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ie.meyer\Google Drive\School Funding Team\FY18\Community Engagement\"/>
    </mc:Choice>
  </mc:AlternateContent>
  <bookViews>
    <workbookView xWindow="0" yWindow="0" windowWidth="25200" windowHeight="11685" activeTab="7"/>
  </bookViews>
  <sheets>
    <sheet name="Final Budget Allocations" sheetId="2" r:id="rId1"/>
    <sheet name="Enrollment Sum" sheetId="4" state="hidden" r:id="rId2"/>
    <sheet name="Special ED" sheetId="5" state="hidden" r:id="rId3"/>
    <sheet name="ELL sum" sheetId="6" state="hidden" r:id="rId4"/>
    <sheet name="Title" sheetId="7" state="hidden" r:id="rId5"/>
    <sheet name="ASP-ECR" sheetId="8" state="hidden" r:id="rId6"/>
    <sheet name="SIg" sheetId="9" state="hidden" r:id="rId7"/>
    <sheet name="Initial allocations" sheetId="1" r:id="rId8"/>
    <sheet name="At-Risk updating " sheetId="10" state="hidden" r:id="rId9"/>
    <sheet name="Initial At-Risk Allocation" sheetId="11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9" hidden="1">'Initial At-Risk Allocation'!$A$2:$AH$110</definedName>
    <definedName name="budgetcategory">[3]Sheet2!$A$2:$A$9</definedName>
    <definedName name="Excel_BuiltIn_Sheet_Title_2">"Enrollment "</definedName>
    <definedName name="Foundation" localSheetId="9">#REF!</definedName>
    <definedName name="Foundation">#REF!</definedName>
    <definedName name="Funding_Sources">'[5]Z-Pick Lists'!$G$2:$G$14</definedName>
    <definedName name="LEP" localSheetId="9">'[6]Enrollment '!#REF!</definedName>
    <definedName name="LEP">'[6]Enrollment '!#REF!</definedName>
    <definedName name="NEP" localSheetId="9">'[6]Enrollment '!#REF!</definedName>
    <definedName name="NEP">'[6]Enrollment '!#REF!</definedName>
    <definedName name="Ninety_Percent" localSheetId="9">#REF!</definedName>
    <definedName name="Ninety_Percent">#REF!</definedName>
    <definedName name="Ninety_Percent_Sum" localSheetId="9">'[7]Allocation Sheet'!#REF!</definedName>
    <definedName name="Ninety_Percent_Sum">'[7]Allocation Sheet'!#REF!</definedName>
    <definedName name="Schools">'[8]Z-Pick Lists'!$D$2:$D$126</definedName>
    <definedName name="Special_Ed2" localSheetId="9">'[6]Enrollment '!#REF!</definedName>
    <definedName name="Special_Ed2">'[6]Enrollment '!#REF!</definedName>
    <definedName name="Special_Ed3" localSheetId="9">'[6]Enrollment '!#REF!</definedName>
    <definedName name="Special_Ed3">'[6]Enrollment '!#REF!</definedName>
    <definedName name="Special_Ed4" localSheetId="9">'[6]Enrollment '!#REF!</definedName>
    <definedName name="Special_Ed4">'[6]Enrollment '!#REF!</definedName>
  </definedNames>
  <calcPr calcId="152511" concurrentCalc="0"/>
  <pivotCaches>
    <pivotCache cacheId="41" r:id="rId19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1" l="1"/>
  <c r="R5" i="11"/>
  <c r="R6" i="11"/>
  <c r="AC7" i="11"/>
  <c r="AB9" i="11"/>
  <c r="F11" i="11"/>
  <c r="Y11" i="11"/>
  <c r="O13" i="11"/>
  <c r="F14" i="11"/>
  <c r="AB15" i="11"/>
  <c r="AB16" i="11"/>
  <c r="AB17" i="11"/>
  <c r="AB18" i="11"/>
  <c r="P20" i="11"/>
  <c r="R21" i="11"/>
  <c r="F22" i="11"/>
  <c r="AB22" i="11"/>
  <c r="X23" i="11"/>
  <c r="AC23" i="11"/>
  <c r="R24" i="11"/>
  <c r="Y26" i="11"/>
  <c r="AB27" i="11"/>
  <c r="R28" i="11"/>
  <c r="R29" i="11"/>
  <c r="F30" i="11"/>
  <c r="Y30" i="11"/>
  <c r="O31" i="11"/>
  <c r="X32" i="11"/>
  <c r="F33" i="11"/>
  <c r="AB34" i="11"/>
  <c r="H35" i="11"/>
  <c r="N36" i="11"/>
  <c r="F37" i="11"/>
  <c r="N37" i="11"/>
  <c r="F38" i="11"/>
  <c r="AB38" i="11"/>
  <c r="AB39" i="11"/>
  <c r="AB40" i="11"/>
  <c r="X41" i="11"/>
  <c r="AB42" i="11"/>
  <c r="F44" i="11"/>
  <c r="O45" i="11"/>
  <c r="O46" i="11"/>
  <c r="AB49" i="11"/>
  <c r="AB50" i="11"/>
  <c r="F51" i="11"/>
  <c r="AB53" i="11"/>
  <c r="AB54" i="11"/>
  <c r="F56" i="11"/>
  <c r="N56" i="11"/>
  <c r="F57" i="11"/>
  <c r="AB57" i="11"/>
  <c r="F58" i="11"/>
  <c r="N58" i="11"/>
  <c r="AB59" i="11"/>
  <c r="F62" i="11"/>
  <c r="Y62" i="11"/>
  <c r="O63" i="11"/>
  <c r="AB66" i="11"/>
  <c r="Y67" i="11"/>
  <c r="AB68" i="11"/>
  <c r="AB69" i="11"/>
  <c r="AB70" i="11"/>
  <c r="O71" i="11"/>
  <c r="AB72" i="11"/>
  <c r="AB73" i="11"/>
  <c r="F75" i="11"/>
  <c r="AB76" i="11"/>
  <c r="F77" i="11"/>
  <c r="AC77" i="11"/>
  <c r="H78" i="11"/>
  <c r="H79" i="11"/>
  <c r="X81" i="11"/>
  <c r="R82" i="11"/>
  <c r="N85" i="11"/>
  <c r="O85" i="11"/>
  <c r="X86" i="11"/>
  <c r="AB90" i="11"/>
  <c r="AB91" i="11"/>
  <c r="M93" i="11"/>
  <c r="AA93" i="11"/>
  <c r="AB93" i="11"/>
  <c r="F94" i="11"/>
  <c r="Y94" i="11"/>
  <c r="F95" i="11"/>
  <c r="F97" i="11"/>
  <c r="F98" i="11"/>
  <c r="F99" i="11"/>
  <c r="AC99" i="11"/>
  <c r="F100" i="11"/>
  <c r="AB100" i="11"/>
  <c r="AB102" i="11"/>
  <c r="AB103" i="11"/>
  <c r="Y105" i="11"/>
  <c r="N106" i="11"/>
  <c r="F107" i="11"/>
  <c r="F108" i="11"/>
  <c r="N108" i="11"/>
  <c r="R109" i="11"/>
  <c r="R110" i="11"/>
  <c r="N3" i="2"/>
  <c r="N4" i="2"/>
  <c r="N5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10" i="2"/>
  <c r="N111" i="2"/>
  <c r="N112" i="2"/>
  <c r="N113" i="2"/>
  <c r="N114" i="2"/>
  <c r="N115" i="2"/>
  <c r="N2" i="2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D1" i="11"/>
  <c r="C1" i="11"/>
  <c r="B1" i="11"/>
  <c r="A1" i="1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2" i="2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3" i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2" i="10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2" i="2"/>
  <c r="M2" i="2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4" i="9"/>
  <c r="CB5" i="4"/>
  <c r="CB6" i="4"/>
  <c r="CB7" i="4"/>
  <c r="CB8" i="4"/>
  <c r="CB9" i="4"/>
  <c r="CB10" i="4"/>
  <c r="CB11" i="4"/>
  <c r="CB12" i="4"/>
  <c r="CB13" i="4"/>
  <c r="CB14" i="4"/>
  <c r="CB15" i="4"/>
  <c r="CB16" i="4"/>
  <c r="CB17" i="4"/>
  <c r="CB18" i="4"/>
  <c r="CB19" i="4"/>
  <c r="CB20" i="4"/>
  <c r="CB21" i="4"/>
  <c r="CB22" i="4"/>
  <c r="CB23" i="4"/>
  <c r="CB24" i="4"/>
  <c r="CB25" i="4"/>
  <c r="CB26" i="4"/>
  <c r="CB27" i="4"/>
  <c r="CB28" i="4"/>
  <c r="CB29" i="4"/>
  <c r="CB30" i="4"/>
  <c r="CB31" i="4"/>
  <c r="CB32" i="4"/>
  <c r="CB33" i="4"/>
  <c r="CB34" i="4"/>
  <c r="CB35" i="4"/>
  <c r="CB36" i="4"/>
  <c r="CB37" i="4"/>
  <c r="CB38" i="4"/>
  <c r="CB39" i="4"/>
  <c r="CB40" i="4"/>
  <c r="CB41" i="4"/>
  <c r="CB42" i="4"/>
  <c r="CB43" i="4"/>
  <c r="CB44" i="4"/>
  <c r="CB45" i="4"/>
  <c r="CB46" i="4"/>
  <c r="CB47" i="4"/>
  <c r="CB48" i="4"/>
  <c r="CB49" i="4"/>
  <c r="CB50" i="4"/>
  <c r="CB51" i="4"/>
  <c r="CB52" i="4"/>
  <c r="CB53" i="4"/>
  <c r="CB54" i="4"/>
  <c r="CB55" i="4"/>
  <c r="CB56" i="4"/>
  <c r="CB57" i="4"/>
  <c r="CB58" i="4"/>
  <c r="CB59" i="4"/>
  <c r="CB60" i="4"/>
  <c r="CB61" i="4"/>
  <c r="CB62" i="4"/>
  <c r="CB63" i="4"/>
  <c r="CB64" i="4"/>
  <c r="CB65" i="4"/>
  <c r="CB66" i="4"/>
  <c r="CB67" i="4"/>
  <c r="CB68" i="4"/>
  <c r="CB69" i="4"/>
  <c r="CB70" i="4"/>
  <c r="CB71" i="4"/>
  <c r="CB72" i="4"/>
  <c r="CB73" i="4"/>
  <c r="CB74" i="4"/>
  <c r="CB75" i="4"/>
  <c r="CB76" i="4"/>
  <c r="CB77" i="4"/>
  <c r="CB78" i="4"/>
  <c r="CB79" i="4"/>
  <c r="CB80" i="4"/>
  <c r="CB81" i="4"/>
  <c r="CB82" i="4"/>
  <c r="CB83" i="4"/>
  <c r="CB84" i="4"/>
  <c r="CB85" i="4"/>
  <c r="CB86" i="4"/>
  <c r="CB87" i="4"/>
  <c r="CB88" i="4"/>
  <c r="CB89" i="4"/>
  <c r="CB90" i="4"/>
  <c r="CB91" i="4"/>
  <c r="CB92" i="4"/>
  <c r="CB93" i="4"/>
  <c r="CB94" i="4"/>
  <c r="CB95" i="4"/>
  <c r="CB96" i="4"/>
  <c r="CB97" i="4"/>
  <c r="CB98" i="4"/>
  <c r="CB99" i="4"/>
  <c r="CB100" i="4"/>
  <c r="CB101" i="4"/>
  <c r="CB102" i="4"/>
  <c r="CB103" i="4"/>
  <c r="CB104" i="4"/>
  <c r="CB105" i="4"/>
  <c r="CB106" i="4"/>
  <c r="CB107" i="4"/>
  <c r="CB108" i="4"/>
  <c r="CB109" i="4"/>
  <c r="CB110" i="4"/>
  <c r="CB111" i="4"/>
  <c r="CB112" i="4"/>
  <c r="CB113" i="4"/>
  <c r="CB114" i="4"/>
  <c r="CB115" i="4"/>
  <c r="CB116" i="4"/>
  <c r="CB117" i="4"/>
  <c r="CB118" i="4"/>
  <c r="CB119" i="4"/>
  <c r="CB120" i="4"/>
  <c r="CB4" i="4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3" i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4" i="8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4" i="7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4" i="6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4" i="5"/>
</calcChain>
</file>

<file path=xl/sharedStrings.xml><?xml version="1.0" encoding="utf-8"?>
<sst xmlns="http://schemas.openxmlformats.org/spreadsheetml/2006/main" count="1935" uniqueCount="386">
  <si>
    <t>PPFM</t>
  </si>
  <si>
    <t>School Information</t>
  </si>
  <si>
    <t>Principal</t>
  </si>
  <si>
    <t>Instructional Coach</t>
  </si>
  <si>
    <t>Assistant Principal</t>
  </si>
  <si>
    <t>Guidance Counselor (Middle Grades)</t>
  </si>
  <si>
    <t>Guidance Counselor (High Schools)</t>
  </si>
  <si>
    <t>Business Manager</t>
  </si>
  <si>
    <t>Administrative Aide</t>
  </si>
  <si>
    <t>Clerk</t>
  </si>
  <si>
    <t>Registrar</t>
  </si>
  <si>
    <t>Attendance Counselor</t>
  </si>
  <si>
    <t>Custodial Foreman</t>
  </si>
  <si>
    <t>RW-5 Custodian</t>
  </si>
  <si>
    <t>RW-3 Custodian</t>
  </si>
  <si>
    <t>Librarian</t>
  </si>
  <si>
    <t>Art Teacher</t>
  </si>
  <si>
    <t>Music Teacher</t>
  </si>
  <si>
    <t>Phys Ed Teacher</t>
  </si>
  <si>
    <t>Add'l Related Arts Due to Size</t>
  </si>
  <si>
    <t>PK3 Teacher</t>
  </si>
  <si>
    <t>PK3 Aide</t>
  </si>
  <si>
    <t>Mxed Age Teacher</t>
  </si>
  <si>
    <t>Mixed Age Aide</t>
  </si>
  <si>
    <t>PK4 Teacher</t>
  </si>
  <si>
    <t>PK4 Aide</t>
  </si>
  <si>
    <t>Kindergarten</t>
  </si>
  <si>
    <t>Kindergarten Aides</t>
  </si>
  <si>
    <t>1st Grade</t>
  </si>
  <si>
    <t>2nd Grade</t>
  </si>
  <si>
    <t>3rd Grade</t>
  </si>
  <si>
    <t>4th Grade</t>
  </si>
  <si>
    <t>5th Grade</t>
  </si>
  <si>
    <t>6th Grade</t>
  </si>
  <si>
    <t>7th Grade</t>
  </si>
  <si>
    <t>8th Grade</t>
  </si>
  <si>
    <t>9th Grade</t>
  </si>
  <si>
    <t>10th Grade</t>
  </si>
  <si>
    <t>11th Grade</t>
  </si>
  <si>
    <t>12th Grade</t>
  </si>
  <si>
    <t>Ungraded</t>
  </si>
  <si>
    <t>School Psychologist</t>
  </si>
  <si>
    <t>Social Worker</t>
  </si>
  <si>
    <t>Special Education Teachers</t>
  </si>
  <si>
    <t>Special Education Aides</t>
  </si>
  <si>
    <t>SPED Behavior Technicians</t>
  </si>
  <si>
    <t>ELL Teacher</t>
  </si>
  <si>
    <t>ELL Aide</t>
  </si>
  <si>
    <t>ELL Counselor</t>
  </si>
  <si>
    <t>ASP Teachers</t>
  </si>
  <si>
    <t>ASP Aides</t>
  </si>
  <si>
    <t>ASP Admin Asst</t>
  </si>
  <si>
    <t>Evening Credit Recovery (ECR)</t>
  </si>
  <si>
    <t xml:space="preserve">Title I </t>
  </si>
  <si>
    <t>Title II</t>
  </si>
  <si>
    <t>International Baccalaureate (IB)</t>
  </si>
  <si>
    <t>Schoolwide Enrichment Model (SEM)</t>
  </si>
  <si>
    <t>At-risk Technology Instructional Coach (TIC)</t>
  </si>
  <si>
    <t>Literacy Initiative Reading Specialists</t>
  </si>
  <si>
    <t>NAF NPS</t>
  </si>
  <si>
    <t>2nd Chance Academy Teachers</t>
  </si>
  <si>
    <t>Reading Recovery Teacher</t>
  </si>
  <si>
    <t>Teacher Leader Innovation (TLI)</t>
  </si>
  <si>
    <t>At-risk Technology Investment</t>
  </si>
  <si>
    <t>Extended Day</t>
  </si>
  <si>
    <t>Pathways Coordinator</t>
  </si>
  <si>
    <t>Pathways Programming</t>
  </si>
  <si>
    <t>Pool Operations 
DPR MOU</t>
  </si>
  <si>
    <t>Non Personnel Services (NPS) Flex</t>
  </si>
  <si>
    <t>Specialty School Funds</t>
  </si>
  <si>
    <t>SIG Instructional Coach</t>
  </si>
  <si>
    <t>SIG Assistant Principal</t>
  </si>
  <si>
    <t>SIG Social Worker</t>
  </si>
  <si>
    <t>SIG Reading Teacher</t>
  </si>
  <si>
    <t>SIG NPS</t>
  </si>
  <si>
    <t>SIG Intervention Coach</t>
  </si>
  <si>
    <t>School Code</t>
  </si>
  <si>
    <t>School Name</t>
  </si>
  <si>
    <t>At-risk Payment</t>
  </si>
  <si>
    <t>Aiton ES</t>
  </si>
  <si>
    <t>Amidon-Bowen ES</t>
  </si>
  <si>
    <t>Anacostia HS</t>
  </si>
  <si>
    <t>Ballou HS</t>
  </si>
  <si>
    <t>Ballou STAY</t>
  </si>
  <si>
    <t>Bancroft ES</t>
  </si>
  <si>
    <t>Barnard ES</t>
  </si>
  <si>
    <t>Beers ES</t>
  </si>
  <si>
    <t>Benjamin Banneker HS</t>
  </si>
  <si>
    <t>Brent ES</t>
  </si>
  <si>
    <t>Brightwood Education Campus</t>
  </si>
  <si>
    <t>Brookland MS</t>
  </si>
  <si>
    <t>Browne EC</t>
  </si>
  <si>
    <t>Bruce-Monroe ES @ Park View</t>
  </si>
  <si>
    <t>Bunker Hill ES</t>
  </si>
  <si>
    <t>Burroughs ES</t>
  </si>
  <si>
    <t>Burrville ES</t>
  </si>
  <si>
    <t>C.W. Harris ES</t>
  </si>
  <si>
    <t>Cap Hill Montessori @ Logan</t>
  </si>
  <si>
    <t>Cardozo EC</t>
  </si>
  <si>
    <t>Choice Academy</t>
  </si>
  <si>
    <t>Cleveland ES</t>
  </si>
  <si>
    <t>Columbia Heights EC (CHEC)</t>
  </si>
  <si>
    <t>Coolidge HS</t>
  </si>
  <si>
    <t>Deal MS</t>
  </si>
  <si>
    <t>Dorothy Height ES</t>
  </si>
  <si>
    <t>Drew ES</t>
  </si>
  <si>
    <t>Dunbar HS</t>
  </si>
  <si>
    <t>Eastern HS</t>
  </si>
  <si>
    <t>Eaton ES</t>
  </si>
  <si>
    <t>Eliot-Hine MS</t>
  </si>
  <si>
    <t>Ellington School of the Arts</t>
  </si>
  <si>
    <t>Garfield ES</t>
  </si>
  <si>
    <t>Garrison ES</t>
  </si>
  <si>
    <t>H.D. Cooke ES</t>
  </si>
  <si>
    <t>Hardy MS</t>
  </si>
  <si>
    <t>Hart MS</t>
  </si>
  <si>
    <t>Hearst ES</t>
  </si>
  <si>
    <t>Hendley ES</t>
  </si>
  <si>
    <t>Houston ES</t>
  </si>
  <si>
    <t>Hyde-Addison ES</t>
  </si>
  <si>
    <t>one time - arts start up funds</t>
  </si>
  <si>
    <t>Inspiring Youth Program</t>
  </si>
  <si>
    <t>$900K DOC MOU + $165K Title I+$135K Local (Excl. formula allocations)</t>
  </si>
  <si>
    <t>J.O. Wilson ES</t>
  </si>
  <si>
    <t>Janney ES</t>
  </si>
  <si>
    <t>Jefferson Middle School Academy</t>
  </si>
  <si>
    <t>Johnson MS</t>
  </si>
  <si>
    <t>Kelly Miller MS</t>
  </si>
  <si>
    <t>Ketcham ES</t>
  </si>
  <si>
    <t>Key ES</t>
  </si>
  <si>
    <t>Kimball ES</t>
  </si>
  <si>
    <t>King, M.L. ES</t>
  </si>
  <si>
    <t>Kramer MS</t>
  </si>
  <si>
    <t>Lafayette ES</t>
  </si>
  <si>
    <t>Langdon EC</t>
  </si>
  <si>
    <t>Langley ES</t>
  </si>
  <si>
    <t>LaSalle-Backus EC</t>
  </si>
  <si>
    <t>Leckie ES</t>
  </si>
  <si>
    <t>Ludlow-Taylor ES</t>
  </si>
  <si>
    <t>Luke Moore Alternative HS</t>
  </si>
  <si>
    <t>MacFarland MS</t>
  </si>
  <si>
    <t>Malcolm X ES @ Green</t>
  </si>
  <si>
    <t>Mann ES</t>
  </si>
  <si>
    <t>Marie Reed ES</t>
  </si>
  <si>
    <t>Maury ES</t>
  </si>
  <si>
    <t>McKinley MS</t>
  </si>
  <si>
    <t>McKinley Technology HS</t>
  </si>
  <si>
    <t>Miner ES</t>
  </si>
  <si>
    <t>Moten ES</t>
  </si>
  <si>
    <t>Murch ES</t>
  </si>
  <si>
    <t>Nalle ES</t>
  </si>
  <si>
    <t>Noyes ES</t>
  </si>
  <si>
    <t>Orr ES</t>
  </si>
  <si>
    <t>Oyster-Adams Bilingual</t>
  </si>
  <si>
    <t>Patterson ES</t>
  </si>
  <si>
    <t>Payne ES</t>
  </si>
  <si>
    <t>Peabody ES</t>
  </si>
  <si>
    <t>Phelps ACE HS</t>
  </si>
  <si>
    <t>Plummer ES</t>
  </si>
  <si>
    <t>Powell ES</t>
  </si>
  <si>
    <t>Randle Highlands ES</t>
  </si>
  <si>
    <t>Raymond EC</t>
  </si>
  <si>
    <t>River Terrace SEC</t>
  </si>
  <si>
    <t>Ron Brown College Preparatory High School</t>
  </si>
  <si>
    <t>new school start up - reduced by 1/4 from FY17</t>
  </si>
  <si>
    <t>Roosevelt HS</t>
  </si>
  <si>
    <t>Global Studies and new school start up - reduced by 1/4 from FY17</t>
  </si>
  <si>
    <t>Roosevelt STAY</t>
  </si>
  <si>
    <t>Ross ES</t>
  </si>
  <si>
    <t>Savoy ES</t>
  </si>
  <si>
    <t>School Without Walls @ Francis-Stevens</t>
  </si>
  <si>
    <t>School Without Walls HS</t>
  </si>
  <si>
    <t>School-Within-School @ Goding</t>
  </si>
  <si>
    <t>Seaton ES</t>
  </si>
  <si>
    <t>Shepherd ES</t>
  </si>
  <si>
    <t>Simon ES</t>
  </si>
  <si>
    <t>Smothers ES</t>
  </si>
  <si>
    <t>Sousa MS</t>
  </si>
  <si>
    <t>Stanton ES</t>
  </si>
  <si>
    <t>Stoddert ES</t>
  </si>
  <si>
    <t>Stuart-Hobson MS</t>
  </si>
  <si>
    <t>Takoma EC</t>
  </si>
  <si>
    <t>Thomas ES</t>
  </si>
  <si>
    <t>Thomson ES</t>
  </si>
  <si>
    <t>Truesdell EC</t>
  </si>
  <si>
    <t>Tubman ES</t>
  </si>
  <si>
    <t>Turner ES</t>
  </si>
  <si>
    <t>Tyler ES</t>
  </si>
  <si>
    <t>Van Ness ES</t>
  </si>
  <si>
    <t>Walker-Jones EC</t>
  </si>
  <si>
    <t>Washington Metropolitan HS</t>
  </si>
  <si>
    <t>HS</t>
  </si>
  <si>
    <t>Watkins ES</t>
  </si>
  <si>
    <t>West EC</t>
  </si>
  <si>
    <t>Wheatley EC</t>
  </si>
  <si>
    <t>Whittier EC</t>
  </si>
  <si>
    <t>Wilson HS</t>
  </si>
  <si>
    <t>Woodson, H.D. HS</t>
  </si>
  <si>
    <t>Youth Services Center ($2.5M MOU)</t>
  </si>
  <si>
    <t>$2.5M DYRS MOU</t>
  </si>
  <si>
    <t>No Data</t>
  </si>
  <si>
    <t>ES</t>
  </si>
  <si>
    <t>STAY</t>
  </si>
  <si>
    <t>EC</t>
  </si>
  <si>
    <t>MS</t>
  </si>
  <si>
    <t>EC2</t>
  </si>
  <si>
    <t>Alt</t>
  </si>
  <si>
    <t>SEC</t>
  </si>
  <si>
    <t>Enrollment</t>
  </si>
  <si>
    <t>HS Priority - Comprehensive HS Subject Teachers</t>
  </si>
  <si>
    <t>Special Education</t>
  </si>
  <si>
    <t>English Language Learner</t>
  </si>
  <si>
    <t>Title</t>
  </si>
  <si>
    <t>NGA AP</t>
  </si>
  <si>
    <t>NGA Admin Prem</t>
  </si>
  <si>
    <t>NGA NPS</t>
  </si>
  <si>
    <t>NGA Field Trip Travel</t>
  </si>
  <si>
    <t>Twilight Academy Coordinator</t>
  </si>
  <si>
    <t>Twilight Admin Prem</t>
  </si>
  <si>
    <t>JROTC Senior</t>
  </si>
  <si>
    <t>JROTC Junior</t>
  </si>
  <si>
    <t>MG Priority Teachers</t>
  </si>
  <si>
    <t>MG Priority
Exposures &amp; Excursions</t>
  </si>
  <si>
    <t>MG Priority 
Clubs &amp; Activities</t>
  </si>
  <si>
    <t>MG Social Emotional Basket</t>
  </si>
  <si>
    <t>HS - Athletics &amp; Activities Coordinator</t>
  </si>
  <si>
    <t>HS  - Computer Lab Admin Premium</t>
  </si>
  <si>
    <t>Extended Year Personnel</t>
  </si>
  <si>
    <t>Extended Year NPS</t>
  </si>
  <si>
    <t>Extended Year Asmin Preimum</t>
  </si>
  <si>
    <t>Art, Music, HPE, Library, Science Supplies</t>
  </si>
  <si>
    <t>Admin Prem / Overtime</t>
  </si>
  <si>
    <t>Global Studies Coordinator</t>
  </si>
  <si>
    <t xml:space="preserve">Middle School APIs </t>
  </si>
  <si>
    <t xml:space="preserve">5% Stabilization 
</t>
  </si>
  <si>
    <t xml:space="preserve">Total </t>
  </si>
  <si>
    <t>Budgeted School Type</t>
  </si>
  <si>
    <t>Ward</t>
  </si>
  <si>
    <t>Budgeted Enrollment</t>
  </si>
  <si>
    <t>At-risk</t>
  </si>
  <si>
    <t>SIG</t>
  </si>
  <si>
    <t>Stabilization</t>
  </si>
  <si>
    <t>Specialty</t>
  </si>
  <si>
    <t>ASP/ECR</t>
  </si>
  <si>
    <t>At-Risk Enrollment</t>
  </si>
  <si>
    <t>Row Labels</t>
  </si>
  <si>
    <t>Grand Total</t>
  </si>
  <si>
    <t>Sum of Enrollment</t>
  </si>
  <si>
    <t>Sum of Enrollment2</t>
  </si>
  <si>
    <t>Sum of Enrollment3</t>
  </si>
  <si>
    <t>Sum of Enrollment4</t>
  </si>
  <si>
    <t>Sum of Enrollment34</t>
  </si>
  <si>
    <t>Sum of Enrollment33</t>
  </si>
  <si>
    <t>Sum of Enrollment32</t>
  </si>
  <si>
    <t>Sum of Enrollment5</t>
  </si>
  <si>
    <t>Sum of Enrollment31</t>
  </si>
  <si>
    <t>Sum of Enrollment30</t>
  </si>
  <si>
    <t>Sum of Enrollment23</t>
  </si>
  <si>
    <t>Sum of Enrollment26</t>
  </si>
  <si>
    <t>Sum of Enrollment37</t>
  </si>
  <si>
    <t>Sum of Enrollment36</t>
  </si>
  <si>
    <t>Sum of Enrollment29</t>
  </si>
  <si>
    <t>Sum of Enrollment6</t>
  </si>
  <si>
    <t>Sum of Enrollment13</t>
  </si>
  <si>
    <t>Sum of Enrollment8</t>
  </si>
  <si>
    <t>Sum of Enrollment7</t>
  </si>
  <si>
    <t>Sum of Enrollment10</t>
  </si>
  <si>
    <t>Sum of Enrollment11</t>
  </si>
  <si>
    <t>Sum of Enrollment9</t>
  </si>
  <si>
    <t>Sum of Enrollment22</t>
  </si>
  <si>
    <t>Sum of Enrollment12</t>
  </si>
  <si>
    <t>Sum of Enrollment14</t>
  </si>
  <si>
    <t>Sum of Enrollment19</t>
  </si>
  <si>
    <t>Sum of Enrollment15</t>
  </si>
  <si>
    <t>Sum of Enrollment18</t>
  </si>
  <si>
    <t>Sum of Enrollment16</t>
  </si>
  <si>
    <t>Sum of Enrollment17</t>
  </si>
  <si>
    <t>Sum of Enrollment20</t>
  </si>
  <si>
    <t>Sum of Enrollment21</t>
  </si>
  <si>
    <t>Sum of Enrollment35</t>
  </si>
  <si>
    <t>Sum of Enrollment27</t>
  </si>
  <si>
    <t>Sum of Enrollment41</t>
  </si>
  <si>
    <t>Sum of Enrollment40</t>
  </si>
  <si>
    <t>Sum of Enrollment39</t>
  </si>
  <si>
    <t>Sum of Enrollment38</t>
  </si>
  <si>
    <t>Sum of Enrollment25</t>
  </si>
  <si>
    <t>Sum of Enrollment28</t>
  </si>
  <si>
    <t>HS - NAF Academy Director</t>
  </si>
  <si>
    <t>HS - NAF Academy Coordinator</t>
  </si>
  <si>
    <t>English Language Learners (ELL)</t>
  </si>
  <si>
    <t>Total School Budget Allocation</t>
  </si>
  <si>
    <t>Notes</t>
  </si>
  <si>
    <t>Total At-Risk</t>
  </si>
  <si>
    <t>Sum of Special Education</t>
  </si>
  <si>
    <t>Sum of Special Education2</t>
  </si>
  <si>
    <t>Sum of Special Education3</t>
  </si>
  <si>
    <t>Sum of Special Education4</t>
  </si>
  <si>
    <t>Sum of Special Education5</t>
  </si>
  <si>
    <t>Sum of English Language Learner</t>
  </si>
  <si>
    <t>Sum of English Language Learner2</t>
  </si>
  <si>
    <t>Sum of English Language Learner3</t>
  </si>
  <si>
    <t>Sum of Title</t>
  </si>
  <si>
    <t>Sum of Title2</t>
  </si>
  <si>
    <t>Sum of Title3</t>
  </si>
  <si>
    <t>At-Risk Payment</t>
  </si>
  <si>
    <t>Sum of ASP/ECR</t>
  </si>
  <si>
    <t>Sum of ASP/ECR2</t>
  </si>
  <si>
    <t>Sum of ASP/ECR3</t>
  </si>
  <si>
    <t>Sum of ASP/ECR4</t>
  </si>
  <si>
    <t>Sum of Enrollment42</t>
  </si>
  <si>
    <t>Sum of Enrollment43</t>
  </si>
  <si>
    <t>Sum of Enrollment45</t>
  </si>
  <si>
    <t>Sum of Enrollment50</t>
  </si>
  <si>
    <t>Sum of Enrollment49</t>
  </si>
  <si>
    <t>Sum of Enrollment53</t>
  </si>
  <si>
    <t>Sum of Enrollment56</t>
  </si>
  <si>
    <t>Sum of Enrollment54</t>
  </si>
  <si>
    <t>Sum of Enrollment55</t>
  </si>
  <si>
    <t>Sum of Enrollment48</t>
  </si>
  <si>
    <t>Sum of Enrollment44</t>
  </si>
  <si>
    <t>Sum of Enrollment58</t>
  </si>
  <si>
    <t>Sum of Enrollment57</t>
  </si>
  <si>
    <t>Sum of Enrollment64</t>
  </si>
  <si>
    <t>Sum of Enrollment62</t>
  </si>
  <si>
    <t>Sum of Enrollment61</t>
  </si>
  <si>
    <t>Sum of Enrollment76</t>
  </si>
  <si>
    <t>Sum of Enrollment78</t>
  </si>
  <si>
    <t>Sum of Enrollment77</t>
  </si>
  <si>
    <t>Sum of Enrollment75</t>
  </si>
  <si>
    <t>Sum of Enrollment74</t>
  </si>
  <si>
    <t>Sum of Enrollment69</t>
  </si>
  <si>
    <t>Sum of Enrollment73</t>
  </si>
  <si>
    <t>Sum of Enrollment72</t>
  </si>
  <si>
    <t>Sum of Enrollment71</t>
  </si>
  <si>
    <t>Sum of Enrollment70</t>
  </si>
  <si>
    <t>Sum of Enrollment68</t>
  </si>
  <si>
    <t>Sum of Enrollment63</t>
  </si>
  <si>
    <t>Sum of Enrollment67</t>
  </si>
  <si>
    <t>Sum of Enrollment66</t>
  </si>
  <si>
    <t>Sum of Enrollment60</t>
  </si>
  <si>
    <t>Sum of Enrollment65</t>
  </si>
  <si>
    <t>Sum of Enrollment52</t>
  </si>
  <si>
    <t>Sum of Enrollment59</t>
  </si>
  <si>
    <t>Sum of Enrollment46</t>
  </si>
  <si>
    <t>Sum of Enrollment51</t>
  </si>
  <si>
    <t>Sum of Enrollment47</t>
  </si>
  <si>
    <t>Sum of Enrollment24</t>
  </si>
  <si>
    <t>Sum of SIG</t>
  </si>
  <si>
    <t>Sum of SIG2</t>
  </si>
  <si>
    <t>Sum of SIG3</t>
  </si>
  <si>
    <t>Sum of SIG4</t>
  </si>
  <si>
    <t>Sum of SIG5</t>
  </si>
  <si>
    <t>Sum of SIG6</t>
  </si>
  <si>
    <t>Sum of SIG7</t>
  </si>
  <si>
    <t>Difference to add</t>
  </si>
  <si>
    <t>At-Risk Payment Updated</t>
  </si>
  <si>
    <t>School Type</t>
  </si>
  <si>
    <t>40/40</t>
  </si>
  <si>
    <t>Ed Supplies Set-asides</t>
  </si>
  <si>
    <t>Extended Day/Year</t>
  </si>
  <si>
    <t>Litearcy Positions (APL &amp; RS)</t>
  </si>
  <si>
    <t>Technology Instructional Coach</t>
  </si>
  <si>
    <t>Attendance Counselors</t>
  </si>
  <si>
    <t>Social Workers</t>
  </si>
  <si>
    <t>Middle Grades Teacher Investment</t>
  </si>
  <si>
    <t>Middle Grades Social-Emotional</t>
  </si>
  <si>
    <t>Middle Grades Exposure &amp; Excursion</t>
  </si>
  <si>
    <t>Middle Grades Clubs &amp; Activities</t>
  </si>
  <si>
    <t>High School Teachers Investment</t>
  </si>
  <si>
    <t>High School Athletic &amp; After School Club Coordinators</t>
  </si>
  <si>
    <t>NAF Academies</t>
  </si>
  <si>
    <t>OA/UC Coordinator</t>
  </si>
  <si>
    <t>Middle School APs for Intervention</t>
  </si>
  <si>
    <t>High School Extended Hours for Computer Lab</t>
  </si>
  <si>
    <t>Specialty Funds</t>
  </si>
  <si>
    <t>Additional Related Arts for Large Schools</t>
  </si>
  <si>
    <t>Local ASP (AV 48)</t>
  </si>
  <si>
    <t>Psychologist</t>
  </si>
  <si>
    <t>Special Ed Inclusion Teachers</t>
  </si>
  <si>
    <t>ELL Counselors</t>
  </si>
  <si>
    <t>Remaining At-risk $ Allocation</t>
  </si>
  <si>
    <t>yes</t>
  </si>
  <si>
    <t>0</t>
  </si>
  <si>
    <t>no</t>
  </si>
  <si>
    <t>Noyes EC</t>
  </si>
  <si>
    <t xml:space="preserve">FY18 At-Risk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</si>
</sst>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"/>
    <numFmt numFmtId="165" formatCode="&quot;$&quot;#,##0"/>
    <numFmt numFmtId="166" formatCode="&quot;$&quot;#,##0.00"/>
    <numFmt numFmtId="167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80808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2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8" fillId="0" borderId="3" xfId="0" applyNumberFormat="1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165" fontId="9" fillId="0" borderId="3" xfId="0" applyNumberFormat="1" applyFont="1" applyFill="1" applyBorder="1" applyAlignment="1">
      <alignment horizontal="right" vertical="center" wrapText="1"/>
    </xf>
    <xf numFmtId="165" fontId="3" fillId="0" borderId="3" xfId="0" applyNumberFormat="1" applyFont="1" applyFill="1" applyBorder="1" applyAlignment="1">
      <alignment horizontal="right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9" fillId="0" borderId="3" xfId="1" applyNumberFormat="1" applyFont="1" applyFill="1" applyBorder="1" applyAlignment="1">
      <alignment horizontal="right" vertical="center" wrapText="1"/>
    </xf>
    <xf numFmtId="164" fontId="9" fillId="0" borderId="3" xfId="0" applyNumberFormat="1" applyFont="1" applyFill="1" applyBorder="1" applyAlignment="1">
      <alignment horizontal="right" vertical="center" wrapText="1"/>
    </xf>
    <xf numFmtId="165" fontId="3" fillId="0" borderId="3" xfId="2" applyNumberFormat="1" applyFont="1" applyFill="1" applyBorder="1" applyAlignment="1">
      <alignment horizontal="right" vertical="center" wrapText="1"/>
    </xf>
    <xf numFmtId="165" fontId="10" fillId="0" borderId="3" xfId="0" applyNumberFormat="1" applyFont="1" applyFill="1" applyBorder="1" applyAlignment="1">
      <alignment horizontal="right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right" vertical="center" wrapText="1"/>
    </xf>
    <xf numFmtId="165" fontId="2" fillId="0" borderId="2" xfId="0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9" fontId="7" fillId="0" borderId="3" xfId="0" quotePrefix="1" applyNumberFormat="1" applyFont="1" applyBorder="1" applyAlignment="1">
      <alignment vertical="center"/>
    </xf>
    <xf numFmtId="0" fontId="0" fillId="0" borderId="0" xfId="0" applyNumberFormat="1"/>
    <xf numFmtId="164" fontId="6" fillId="3" borderId="3" xfId="0" applyNumberFormat="1" applyFont="1" applyFill="1" applyBorder="1" applyAlignment="1">
      <alignment horizontal="center" vertical="center" wrapText="1"/>
    </xf>
    <xf numFmtId="164" fontId="6" fillId="4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5" fontId="6" fillId="3" borderId="3" xfId="0" applyNumberFormat="1" applyFont="1" applyFill="1" applyBorder="1" applyAlignment="1">
      <alignment horizontal="center" vertical="center" wrapText="1"/>
    </xf>
    <xf numFmtId="167" fontId="0" fillId="0" borderId="0" xfId="1" applyNumberFormat="1" applyFont="1"/>
    <xf numFmtId="0" fontId="9" fillId="0" borderId="0" xfId="0" applyFont="1" applyFill="1" applyBorder="1" applyAlignment="1">
      <alignment horizontal="left" vertical="center" wrapText="1"/>
    </xf>
    <xf numFmtId="6" fontId="9" fillId="0" borderId="3" xfId="0" applyNumberFormat="1" applyFont="1" applyFill="1" applyBorder="1" applyAlignment="1">
      <alignment horizontal="right" vertical="center" wrapText="1"/>
    </xf>
    <xf numFmtId="165" fontId="8" fillId="0" borderId="3" xfId="0" applyNumberFormat="1" applyFont="1" applyFill="1" applyBorder="1" applyAlignment="1">
      <alignment horizontal="right" vertical="center" wrapText="1"/>
    </xf>
    <xf numFmtId="165" fontId="4" fillId="0" borderId="3" xfId="0" applyNumberFormat="1" applyFont="1" applyFill="1" applyBorder="1" applyAlignment="1">
      <alignment horizontal="right" vertical="center" wrapText="1"/>
    </xf>
    <xf numFmtId="165" fontId="3" fillId="0" borderId="3" xfId="0" applyNumberFormat="1" applyFont="1" applyFill="1" applyBorder="1" applyAlignment="1">
      <alignment horizontal="left" vertical="center" wrapText="1"/>
    </xf>
    <xf numFmtId="165" fontId="3" fillId="0" borderId="3" xfId="0" applyNumberFormat="1" applyFont="1" applyFill="1" applyBorder="1" applyAlignment="1">
      <alignment horizontal="left" vertical="center" wrapText="1" shrinkToFit="1"/>
    </xf>
    <xf numFmtId="165" fontId="5" fillId="0" borderId="3" xfId="0" applyNumberFormat="1" applyFont="1" applyFill="1" applyBorder="1" applyAlignment="1">
      <alignment horizontal="right" vertical="center" wrapText="1"/>
    </xf>
    <xf numFmtId="167" fontId="0" fillId="0" borderId="0" xfId="0" applyNumberFormat="1"/>
    <xf numFmtId="164" fontId="6" fillId="3" borderId="4" xfId="0" applyNumberFormat="1" applyFont="1" applyFill="1" applyBorder="1" applyAlignment="1">
      <alignment horizontal="center" vertical="center" wrapText="1"/>
    </xf>
    <xf numFmtId="165" fontId="2" fillId="0" borderId="4" xfId="0" applyNumberFormat="1" applyFont="1" applyFill="1" applyBorder="1" applyAlignment="1">
      <alignment horizontal="center" vertical="center" wrapText="1"/>
    </xf>
    <xf numFmtId="166" fontId="3" fillId="0" borderId="3" xfId="2" applyNumberFormat="1" applyFont="1" applyFill="1" applyBorder="1" applyAlignment="1">
      <alignment horizontal="right" vertical="center" wrapText="1"/>
    </xf>
    <xf numFmtId="164" fontId="6" fillId="3" borderId="5" xfId="0" applyNumberFormat="1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7" fontId="0" fillId="0" borderId="3" xfId="1" applyNumberFormat="1" applyFont="1" applyBorder="1"/>
    <xf numFmtId="44" fontId="0" fillId="0" borderId="3" xfId="1" applyFont="1" applyBorder="1"/>
    <xf numFmtId="167" fontId="0" fillId="0" borderId="3" xfId="0" applyNumberFormat="1" applyBorder="1"/>
    <xf numFmtId="0" fontId="9" fillId="0" borderId="0" xfId="3" applyAlignment="1">
      <alignment horizontal="center" vertical="center"/>
    </xf>
    <xf numFmtId="0" fontId="9" fillId="0" borderId="0" xfId="3" applyAlignment="1">
      <alignment vertical="center"/>
    </xf>
    <xf numFmtId="0" fontId="9" fillId="0" borderId="0" xfId="3" applyAlignment="1">
      <alignment vertical="center" wrapText="1"/>
    </xf>
    <xf numFmtId="0" fontId="8" fillId="0" borderId="0" xfId="3" applyFont="1" applyAlignment="1">
      <alignment horizontal="center" vertical="center" wrapText="1"/>
    </xf>
    <xf numFmtId="0" fontId="9" fillId="0" borderId="3" xfId="3" applyFont="1" applyFill="1" applyBorder="1" applyAlignment="1">
      <alignment horizontal="center" vertical="center"/>
    </xf>
    <xf numFmtId="0" fontId="9" fillId="0" borderId="3" xfId="3" applyFont="1" applyFill="1" applyBorder="1" applyAlignment="1">
      <alignment vertical="center"/>
    </xf>
    <xf numFmtId="165" fontId="13" fillId="5" borderId="3" xfId="3" applyNumberFormat="1" applyFont="1" applyFill="1" applyBorder="1" applyAlignment="1">
      <alignment vertical="center"/>
    </xf>
    <xf numFmtId="165" fontId="9" fillId="0" borderId="3" xfId="3" applyNumberFormat="1" applyFont="1" applyBorder="1" applyAlignment="1">
      <alignment vertical="center"/>
    </xf>
    <xf numFmtId="6" fontId="8" fillId="0" borderId="3" xfId="3" applyNumberFormat="1" applyFont="1" applyBorder="1" applyAlignment="1">
      <alignment vertical="center"/>
    </xf>
    <xf numFmtId="165" fontId="9" fillId="0" borderId="0" xfId="3" applyNumberFormat="1" applyAlignment="1">
      <alignment vertical="center"/>
    </xf>
    <xf numFmtId="165" fontId="9" fillId="0" borderId="0" xfId="3" applyNumberFormat="1" applyBorder="1" applyAlignment="1">
      <alignment vertical="center"/>
    </xf>
    <xf numFmtId="0" fontId="9" fillId="0" borderId="3" xfId="3" applyFont="1" applyFill="1" applyBorder="1" applyAlignment="1">
      <alignment horizontal="left" vertical="center"/>
    </xf>
    <xf numFmtId="165" fontId="8" fillId="0" borderId="3" xfId="3" applyNumberFormat="1" applyFont="1" applyBorder="1" applyAlignment="1">
      <alignment vertical="center"/>
    </xf>
    <xf numFmtId="165" fontId="8" fillId="0" borderId="0" xfId="3" applyNumberFormat="1" applyFont="1" applyBorder="1" applyAlignment="1">
      <alignment vertical="center"/>
    </xf>
    <xf numFmtId="0" fontId="9" fillId="0" borderId="0" xfId="3" applyBorder="1" applyAlignment="1">
      <alignment vertical="center"/>
    </xf>
    <xf numFmtId="0" fontId="9" fillId="0" borderId="1" xfId="3" applyBorder="1" applyAlignment="1">
      <alignment vertical="center"/>
    </xf>
    <xf numFmtId="0" fontId="9" fillId="0" borderId="3" xfId="3" applyFont="1" applyBorder="1" applyAlignment="1">
      <alignment vertical="center"/>
    </xf>
    <xf numFmtId="0" fontId="9" fillId="0" borderId="3" xfId="3" applyFont="1" applyBorder="1" applyAlignment="1">
      <alignment horizontal="center" vertical="center"/>
    </xf>
    <xf numFmtId="0" fontId="8" fillId="0" borderId="0" xfId="3" applyFont="1" applyAlignment="1">
      <alignment vertical="center"/>
    </xf>
    <xf numFmtId="0" fontId="6" fillId="6" borderId="7" xfId="3" applyFont="1" applyFill="1" applyBorder="1" applyAlignment="1">
      <alignment horizontal="center" vertical="center" wrapText="1"/>
    </xf>
    <xf numFmtId="0" fontId="6" fillId="6" borderId="2" xfId="3" applyFont="1" applyFill="1" applyBorder="1" applyAlignment="1">
      <alignment horizontal="center" vertical="center" wrapText="1"/>
    </xf>
    <xf numFmtId="0" fontId="6" fillId="6" borderId="8" xfId="3" applyFont="1" applyFill="1" applyBorder="1" applyAlignment="1">
      <alignment horizontal="center" vertical="center" wrapText="1"/>
    </xf>
    <xf numFmtId="0" fontId="6" fillId="6" borderId="3" xfId="3" applyFont="1" applyFill="1" applyBorder="1" applyAlignment="1">
      <alignment horizontal="center" vertical="center" wrapText="1"/>
    </xf>
    <xf numFmtId="0" fontId="13" fillId="6" borderId="9" xfId="3" applyFont="1" applyFill="1" applyBorder="1" applyAlignment="1">
      <alignment horizontal="center" vertical="center" wrapText="1"/>
    </xf>
    <xf numFmtId="167" fontId="11" fillId="0" borderId="0" xfId="1" applyNumberFormat="1" applyFont="1" applyAlignment="1">
      <alignment vertical="center"/>
    </xf>
  </cellXfs>
  <cellStyles count="5">
    <cellStyle name="Currency" xfId="1" builtinId="4"/>
    <cellStyle name="Normal" xfId="0" builtinId="0"/>
    <cellStyle name="Normal 2" xfId="3"/>
    <cellStyle name="Percent" xfId="2" builtinId="5"/>
    <cellStyle name="Percent 6" xfId="4"/>
  </cellStyles>
  <dxfs count="13">
    <dxf>
      <font>
        <color rgb="FF9C6500"/>
      </font>
      <fill>
        <patternFill>
          <bgColor rgb="FFFFEB9C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34998626667073579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nie.meyer/Google%20Drive/School%20Funding%20Team/FY18/Initial%20Budgets%20Allocations/At%20Risk%20Update%203.1.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len.francois/Google%20Drive/COO/School%20Funding%20Team/FY18/Initial%20Budgets%20Allocations/Models/Active%20Models%20(11.30.16)/FY18%20School%20Allocation%20Master%20Model_Active%20(2.14.17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ja.michel-herf/AppData/Local/Temp/Temp1_PWP%20Funding%20Allocation.zip/PWP%20Spend%20Plan%20Template%20for%20SY13-14%20Amidon%20Bowen%2003%2010%20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nie.meyer/Google%20Drive/School%20Funding%20Team/FY18/Initial%20Budgets%20Allocations/Models/At-Risk/Initial%20Allocations%20At-Risk%20Report_v2(2.19.2017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ja.michel-herf/Dropbox/Proving%20What's%20Possible%20Grant/Financial%20Allocation/Financial%20Allocation/Financial%20Allocation%2010_28_12_with%20FTE_NMH_14.5%2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/Documents%20and%20Settings/habib.samuels/Local%20Settings/Temporary%20Internet%20Files/Content.Outlook/WKTB2IQ1/Final%20Modelv6%20(2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/H/Documents%20and%20Settings/david.franklin/Local%20Settings/Temporary%20Internet%20Files/OLKC6/Demo%201%20WSF%202008-2009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avisj06/Local%20Settings/Temporary%20Internet%20Files/Content.Outlook/3C7WX0K4/Financial%20Allocation%2010_16_12_with%20F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A1" t="str">
            <v>School Code</v>
          </cell>
          <cell r="B1" t="str">
            <v>Title 1</v>
          </cell>
          <cell r="C1" t="str">
            <v>School Name</v>
          </cell>
          <cell r="D1" t="str">
            <v>FY17 At-Risk</v>
          </cell>
          <cell r="E1" t="str">
            <v>FY18 At-Risk</v>
          </cell>
          <cell r="F1" t="str">
            <v>Variance</v>
          </cell>
          <cell r="G1" t="str">
            <v>FY18 Funded At-Risk (Original)</v>
          </cell>
          <cell r="H1" t="str">
            <v>FY17 Funded At-Risk</v>
          </cell>
          <cell r="I1" t="str">
            <v>Variance</v>
          </cell>
          <cell r="J1" t="str">
            <v>Original Per Pupil $ Amount</v>
          </cell>
          <cell r="K1" t="str">
            <v>Updated PP</v>
          </cell>
          <cell r="L1" t="str">
            <v>Updated Total</v>
          </cell>
          <cell r="M1" t="str">
            <v>Difference to add 3.2.17</v>
          </cell>
        </row>
        <row r="2">
          <cell r="A2">
            <v>452</v>
          </cell>
          <cell r="B2" t="str">
            <v>Yes</v>
          </cell>
          <cell r="C2" t="str">
            <v>Ballou HS</v>
          </cell>
          <cell r="D2">
            <v>942</v>
          </cell>
          <cell r="E2">
            <v>818</v>
          </cell>
          <cell r="F2">
            <v>-124</v>
          </cell>
          <cell r="G2">
            <v>1560744</v>
          </cell>
          <cell r="H2">
            <v>1833132</v>
          </cell>
          <cell r="I2">
            <v>-241304</v>
          </cell>
          <cell r="J2">
            <v>1908</v>
          </cell>
          <cell r="K2">
            <v>1937</v>
          </cell>
          <cell r="L2">
            <v>1584466</v>
          </cell>
          <cell r="M2">
            <v>23722</v>
          </cell>
        </row>
        <row r="3">
          <cell r="A3">
            <v>442</v>
          </cell>
          <cell r="B3" t="str">
            <v>Yes</v>
          </cell>
          <cell r="C3" t="str">
            <v>Columbia Heights EC (CHEC)</v>
          </cell>
          <cell r="D3">
            <v>908</v>
          </cell>
          <cell r="E3">
            <v>904</v>
          </cell>
          <cell r="F3">
            <v>-4</v>
          </cell>
          <cell r="G3">
            <v>1724832</v>
          </cell>
          <cell r="H3">
            <v>1766968</v>
          </cell>
          <cell r="I3">
            <v>-7784</v>
          </cell>
          <cell r="J3">
            <v>1908</v>
          </cell>
          <cell r="K3">
            <v>1937</v>
          </cell>
          <cell r="L3">
            <v>1751048</v>
          </cell>
          <cell r="M3">
            <v>26216</v>
          </cell>
        </row>
        <row r="4">
          <cell r="A4">
            <v>436</v>
          </cell>
          <cell r="B4" t="str">
            <v>-</v>
          </cell>
          <cell r="C4" t="str">
            <v>Ron Brown Collegiate Prep</v>
          </cell>
          <cell r="D4">
            <v>134</v>
          </cell>
          <cell r="E4">
            <v>199</v>
          </cell>
          <cell r="F4">
            <v>65</v>
          </cell>
          <cell r="G4">
            <v>379692</v>
          </cell>
          <cell r="H4">
            <v>260764</v>
          </cell>
          <cell r="I4">
            <v>126490</v>
          </cell>
          <cell r="J4">
            <v>1908</v>
          </cell>
          <cell r="K4">
            <v>1937</v>
          </cell>
          <cell r="L4">
            <v>385463</v>
          </cell>
          <cell r="M4">
            <v>5771</v>
          </cell>
        </row>
        <row r="5">
          <cell r="A5">
            <v>327</v>
          </cell>
          <cell r="B5" t="str">
            <v>Yes</v>
          </cell>
          <cell r="C5" t="str">
            <v>Truesdell EC</v>
          </cell>
          <cell r="D5">
            <v>402</v>
          </cell>
          <cell r="E5">
            <v>466</v>
          </cell>
          <cell r="F5">
            <v>64</v>
          </cell>
          <cell r="G5">
            <v>889128</v>
          </cell>
          <cell r="H5">
            <v>782292</v>
          </cell>
          <cell r="I5">
            <v>124544</v>
          </cell>
          <cell r="J5">
            <v>1908</v>
          </cell>
          <cell r="K5">
            <v>1937</v>
          </cell>
          <cell r="L5">
            <v>902642</v>
          </cell>
          <cell r="M5">
            <v>13514</v>
          </cell>
        </row>
        <row r="6">
          <cell r="A6">
            <v>459</v>
          </cell>
          <cell r="B6" t="str">
            <v>Yes</v>
          </cell>
          <cell r="C6" t="str">
            <v>Roosevelt HS</v>
          </cell>
          <cell r="D6">
            <v>510</v>
          </cell>
          <cell r="E6">
            <v>585</v>
          </cell>
          <cell r="F6">
            <v>75</v>
          </cell>
          <cell r="G6">
            <v>1116180</v>
          </cell>
          <cell r="H6">
            <v>992460</v>
          </cell>
          <cell r="I6">
            <v>145950</v>
          </cell>
          <cell r="J6">
            <v>1908</v>
          </cell>
          <cell r="K6">
            <v>1937</v>
          </cell>
          <cell r="L6">
            <v>1133145</v>
          </cell>
          <cell r="M6">
            <v>16965</v>
          </cell>
        </row>
        <row r="7">
          <cell r="A7">
            <v>329</v>
          </cell>
          <cell r="B7" t="str">
            <v>Yes</v>
          </cell>
          <cell r="C7" t="str">
            <v>Turner ES</v>
          </cell>
          <cell r="D7">
            <v>430</v>
          </cell>
          <cell r="E7">
            <v>447</v>
          </cell>
          <cell r="F7">
            <v>17</v>
          </cell>
          <cell r="G7">
            <v>852876</v>
          </cell>
          <cell r="H7">
            <v>836780</v>
          </cell>
          <cell r="I7">
            <v>33082</v>
          </cell>
          <cell r="J7">
            <v>1908</v>
          </cell>
          <cell r="K7">
            <v>1937</v>
          </cell>
          <cell r="L7">
            <v>865839</v>
          </cell>
          <cell r="M7">
            <v>12963</v>
          </cell>
        </row>
        <row r="8">
          <cell r="A8">
            <v>213</v>
          </cell>
          <cell r="B8" t="str">
            <v>Yes</v>
          </cell>
          <cell r="C8" t="str">
            <v>Brightwood Education Campus</v>
          </cell>
          <cell r="D8">
            <v>386</v>
          </cell>
          <cell r="E8">
            <v>422</v>
          </cell>
          <cell r="F8">
            <v>36</v>
          </cell>
          <cell r="G8">
            <v>805176</v>
          </cell>
          <cell r="H8">
            <v>751156</v>
          </cell>
          <cell r="I8">
            <v>70056</v>
          </cell>
          <cell r="J8">
            <v>1908</v>
          </cell>
          <cell r="K8">
            <v>1937</v>
          </cell>
          <cell r="L8">
            <v>817414</v>
          </cell>
          <cell r="M8">
            <v>12238</v>
          </cell>
        </row>
        <row r="9">
          <cell r="A9">
            <v>347</v>
          </cell>
          <cell r="B9" t="str">
            <v>Yes</v>
          </cell>
          <cell r="C9" t="str">
            <v>Brookland MS</v>
          </cell>
          <cell r="D9">
            <v>168</v>
          </cell>
          <cell r="E9">
            <v>136</v>
          </cell>
          <cell r="F9">
            <v>-32</v>
          </cell>
          <cell r="G9">
            <v>259488</v>
          </cell>
          <cell r="H9">
            <v>326928</v>
          </cell>
          <cell r="I9">
            <v>-62272</v>
          </cell>
          <cell r="J9">
            <v>1908</v>
          </cell>
          <cell r="K9">
            <v>1937</v>
          </cell>
          <cell r="L9">
            <v>263432</v>
          </cell>
          <cell r="M9">
            <v>3944</v>
          </cell>
        </row>
        <row r="10">
          <cell r="A10">
            <v>464</v>
          </cell>
          <cell r="B10" t="str">
            <v>Yes</v>
          </cell>
          <cell r="C10" t="str">
            <v>Woodson, H.D. HS</v>
          </cell>
          <cell r="D10">
            <v>504</v>
          </cell>
          <cell r="E10">
            <v>485</v>
          </cell>
          <cell r="F10">
            <v>-19</v>
          </cell>
          <cell r="G10">
            <v>925380</v>
          </cell>
          <cell r="H10">
            <v>980784</v>
          </cell>
          <cell r="I10">
            <v>-36974</v>
          </cell>
          <cell r="J10">
            <v>1908</v>
          </cell>
          <cell r="K10">
            <v>1937</v>
          </cell>
          <cell r="L10">
            <v>939445</v>
          </cell>
          <cell r="M10">
            <v>14065</v>
          </cell>
        </row>
        <row r="11">
          <cell r="A11">
            <v>420</v>
          </cell>
          <cell r="B11" t="str">
            <v>-</v>
          </cell>
          <cell r="C11" t="str">
            <v>MacFarland</v>
          </cell>
          <cell r="D11">
            <v>49</v>
          </cell>
          <cell r="E11">
            <v>98</v>
          </cell>
          <cell r="F11">
            <v>49</v>
          </cell>
          <cell r="G11">
            <v>186984</v>
          </cell>
          <cell r="H11">
            <v>95354</v>
          </cell>
          <cell r="I11">
            <v>95354</v>
          </cell>
          <cell r="J11">
            <v>1908</v>
          </cell>
          <cell r="K11">
            <v>1937</v>
          </cell>
          <cell r="L11">
            <v>189826</v>
          </cell>
          <cell r="M11">
            <v>2842</v>
          </cell>
        </row>
        <row r="12">
          <cell r="A12">
            <v>328</v>
          </cell>
          <cell r="B12" t="str">
            <v>Yes</v>
          </cell>
          <cell r="C12" t="str">
            <v>Tubman ES</v>
          </cell>
          <cell r="D12">
            <v>348</v>
          </cell>
          <cell r="E12">
            <v>327</v>
          </cell>
          <cell r="F12">
            <v>-21</v>
          </cell>
          <cell r="G12">
            <v>623916</v>
          </cell>
          <cell r="H12">
            <v>677208</v>
          </cell>
          <cell r="I12">
            <v>-40866</v>
          </cell>
          <cell r="J12">
            <v>1908</v>
          </cell>
          <cell r="K12">
            <v>1937</v>
          </cell>
          <cell r="L12">
            <v>633399</v>
          </cell>
          <cell r="M12">
            <v>9483</v>
          </cell>
        </row>
        <row r="13">
          <cell r="A13">
            <v>300</v>
          </cell>
          <cell r="B13" t="str">
            <v>Yes</v>
          </cell>
          <cell r="C13" t="str">
            <v>Powell ES</v>
          </cell>
          <cell r="D13">
            <v>258</v>
          </cell>
          <cell r="E13">
            <v>266</v>
          </cell>
          <cell r="F13">
            <v>8</v>
          </cell>
          <cell r="G13">
            <v>507528</v>
          </cell>
          <cell r="H13">
            <v>502068</v>
          </cell>
          <cell r="I13">
            <v>15568</v>
          </cell>
          <cell r="J13">
            <v>1908</v>
          </cell>
          <cell r="K13">
            <v>1937</v>
          </cell>
          <cell r="L13">
            <v>515242</v>
          </cell>
          <cell r="M13">
            <v>7714</v>
          </cell>
        </row>
        <row r="14">
          <cell r="A14">
            <v>302</v>
          </cell>
          <cell r="B14" t="str">
            <v>Yes</v>
          </cell>
          <cell r="C14" t="str">
            <v>Raymond EC</v>
          </cell>
          <cell r="D14">
            <v>342</v>
          </cell>
          <cell r="E14">
            <v>375</v>
          </cell>
          <cell r="F14">
            <v>33</v>
          </cell>
          <cell r="G14">
            <v>715500</v>
          </cell>
          <cell r="H14">
            <v>665532</v>
          </cell>
          <cell r="I14">
            <v>64218</v>
          </cell>
          <cell r="J14">
            <v>1908</v>
          </cell>
          <cell r="K14">
            <v>1937</v>
          </cell>
          <cell r="L14">
            <v>726375</v>
          </cell>
          <cell r="M14">
            <v>10875</v>
          </cell>
        </row>
        <row r="15">
          <cell r="A15">
            <v>336</v>
          </cell>
          <cell r="B15" t="str">
            <v>Yes</v>
          </cell>
          <cell r="C15" t="str">
            <v>West EC</v>
          </cell>
          <cell r="D15">
            <v>151</v>
          </cell>
          <cell r="E15">
            <v>168</v>
          </cell>
          <cell r="F15">
            <v>17</v>
          </cell>
          <cell r="G15">
            <v>320544</v>
          </cell>
          <cell r="H15">
            <v>293846</v>
          </cell>
          <cell r="I15">
            <v>33082</v>
          </cell>
          <cell r="J15">
            <v>1908</v>
          </cell>
          <cell r="K15">
            <v>1937</v>
          </cell>
          <cell r="L15">
            <v>325416</v>
          </cell>
          <cell r="M15">
            <v>4872</v>
          </cell>
        </row>
        <row r="16">
          <cell r="A16">
            <v>262</v>
          </cell>
          <cell r="B16" t="str">
            <v>Yes</v>
          </cell>
          <cell r="C16" t="str">
            <v>Langdon EC</v>
          </cell>
          <cell r="D16">
            <v>180</v>
          </cell>
          <cell r="E16">
            <v>196</v>
          </cell>
          <cell r="F16">
            <v>16</v>
          </cell>
          <cell r="G16">
            <v>373968</v>
          </cell>
          <cell r="H16">
            <v>350280</v>
          </cell>
          <cell r="I16">
            <v>31136</v>
          </cell>
          <cell r="J16">
            <v>1908</v>
          </cell>
          <cell r="K16">
            <v>1937</v>
          </cell>
          <cell r="L16">
            <v>379652</v>
          </cell>
          <cell r="M16">
            <v>5684</v>
          </cell>
        </row>
        <row r="17">
          <cell r="A17">
            <v>463</v>
          </cell>
          <cell r="B17" t="str">
            <v>No</v>
          </cell>
          <cell r="C17" t="str">
            <v>Wilson HS</v>
          </cell>
          <cell r="D17">
            <v>607</v>
          </cell>
          <cell r="E17">
            <v>600</v>
          </cell>
          <cell r="F17">
            <v>-7</v>
          </cell>
          <cell r="G17">
            <v>1144800</v>
          </cell>
          <cell r="H17">
            <v>1181222</v>
          </cell>
          <cell r="I17">
            <v>-13622</v>
          </cell>
          <cell r="J17">
            <v>1908</v>
          </cell>
          <cell r="K17">
            <v>1937</v>
          </cell>
          <cell r="L17">
            <v>1162200</v>
          </cell>
          <cell r="M17">
            <v>17400</v>
          </cell>
        </row>
        <row r="18">
          <cell r="A18">
            <v>291</v>
          </cell>
          <cell r="B18" t="str">
            <v>Yes</v>
          </cell>
          <cell r="C18" t="str">
            <v>Orr ES</v>
          </cell>
          <cell r="D18">
            <v>337</v>
          </cell>
          <cell r="E18">
            <v>332</v>
          </cell>
          <cell r="F18">
            <v>-5</v>
          </cell>
          <cell r="G18">
            <v>633456</v>
          </cell>
          <cell r="H18">
            <v>655802</v>
          </cell>
          <cell r="I18">
            <v>-9730</v>
          </cell>
          <cell r="J18">
            <v>1908</v>
          </cell>
          <cell r="K18">
            <v>1937</v>
          </cell>
          <cell r="L18">
            <v>643084</v>
          </cell>
          <cell r="M18">
            <v>9628</v>
          </cell>
        </row>
        <row r="19">
          <cell r="A19">
            <v>454</v>
          </cell>
          <cell r="B19" t="str">
            <v>Yes</v>
          </cell>
          <cell r="C19" t="str">
            <v>Cardozo EC</v>
          </cell>
          <cell r="D19">
            <v>638</v>
          </cell>
          <cell r="E19">
            <v>728</v>
          </cell>
          <cell r="F19">
            <v>90</v>
          </cell>
          <cell r="G19">
            <v>1389024</v>
          </cell>
          <cell r="H19">
            <v>1241548</v>
          </cell>
          <cell r="I19">
            <v>175140</v>
          </cell>
          <cell r="J19">
            <v>1908</v>
          </cell>
          <cell r="K19">
            <v>1937</v>
          </cell>
          <cell r="L19">
            <v>1410136</v>
          </cell>
          <cell r="M19">
            <v>21112</v>
          </cell>
        </row>
        <row r="20">
          <cell r="A20">
            <v>205</v>
          </cell>
          <cell r="B20" t="str">
            <v>Yes</v>
          </cell>
          <cell r="C20" t="str">
            <v>Barnard ES</v>
          </cell>
          <cell r="D20">
            <v>325</v>
          </cell>
          <cell r="E20">
            <v>332</v>
          </cell>
          <cell r="F20">
            <v>7</v>
          </cell>
          <cell r="G20">
            <v>633456</v>
          </cell>
          <cell r="H20">
            <v>632450</v>
          </cell>
          <cell r="I20">
            <v>13622</v>
          </cell>
          <cell r="J20">
            <v>1908</v>
          </cell>
          <cell r="K20">
            <v>1937</v>
          </cell>
          <cell r="L20">
            <v>643084</v>
          </cell>
          <cell r="M20">
            <v>9628</v>
          </cell>
        </row>
        <row r="21">
          <cell r="A21">
            <v>308</v>
          </cell>
          <cell r="B21" t="str">
            <v>Yes</v>
          </cell>
          <cell r="C21" t="str">
            <v>Malcolm X ES @ Green</v>
          </cell>
          <cell r="D21">
            <v>220</v>
          </cell>
          <cell r="E21">
            <v>231</v>
          </cell>
          <cell r="F21">
            <v>11</v>
          </cell>
          <cell r="G21">
            <v>440748</v>
          </cell>
          <cell r="H21">
            <v>428120</v>
          </cell>
          <cell r="I21">
            <v>21406</v>
          </cell>
          <cell r="J21">
            <v>1908</v>
          </cell>
          <cell r="K21">
            <v>1937</v>
          </cell>
          <cell r="L21">
            <v>447447</v>
          </cell>
          <cell r="M21">
            <v>6699</v>
          </cell>
        </row>
        <row r="22">
          <cell r="A22">
            <v>458</v>
          </cell>
          <cell r="B22" t="str">
            <v>Yes</v>
          </cell>
          <cell r="C22" t="str">
            <v>McKinley Technology HS</v>
          </cell>
          <cell r="D22">
            <v>263</v>
          </cell>
          <cell r="E22">
            <v>253</v>
          </cell>
          <cell r="F22">
            <v>-10</v>
          </cell>
          <cell r="G22">
            <v>482724</v>
          </cell>
          <cell r="H22">
            <v>511798</v>
          </cell>
          <cell r="I22">
            <v>-19460</v>
          </cell>
          <cell r="J22">
            <v>1908</v>
          </cell>
          <cell r="K22">
            <v>1937</v>
          </cell>
          <cell r="L22">
            <v>490061</v>
          </cell>
          <cell r="M22">
            <v>7337</v>
          </cell>
        </row>
        <row r="23">
          <cell r="A23">
            <v>344</v>
          </cell>
          <cell r="B23" t="str">
            <v>Yes</v>
          </cell>
          <cell r="C23" t="str">
            <v>King, M.L. ES</v>
          </cell>
          <cell r="D23">
            <v>362</v>
          </cell>
          <cell r="E23">
            <v>348</v>
          </cell>
          <cell r="F23">
            <v>-14</v>
          </cell>
          <cell r="G23">
            <v>663984</v>
          </cell>
          <cell r="H23">
            <v>704452</v>
          </cell>
          <cell r="I23">
            <v>-27244</v>
          </cell>
          <cell r="J23">
            <v>1908</v>
          </cell>
          <cell r="K23">
            <v>1937</v>
          </cell>
          <cell r="L23">
            <v>674076</v>
          </cell>
          <cell r="M23">
            <v>10092</v>
          </cell>
        </row>
        <row r="24">
          <cell r="A24">
            <v>338</v>
          </cell>
          <cell r="B24" t="str">
            <v>Yes</v>
          </cell>
          <cell r="C24" t="str">
            <v>Whittier EC</v>
          </cell>
          <cell r="D24">
            <v>235</v>
          </cell>
          <cell r="E24">
            <v>217</v>
          </cell>
          <cell r="F24">
            <v>-18</v>
          </cell>
          <cell r="G24">
            <v>414036</v>
          </cell>
          <cell r="H24">
            <v>457310</v>
          </cell>
          <cell r="I24">
            <v>-35028</v>
          </cell>
          <cell r="J24">
            <v>1908</v>
          </cell>
          <cell r="K24">
            <v>1937</v>
          </cell>
          <cell r="L24">
            <v>420329</v>
          </cell>
          <cell r="M24">
            <v>6293</v>
          </cell>
        </row>
        <row r="25">
          <cell r="A25">
            <v>404</v>
          </cell>
          <cell r="B25" t="str">
            <v>Yes</v>
          </cell>
          <cell r="C25" t="str">
            <v>Browne EC</v>
          </cell>
          <cell r="D25">
            <v>249</v>
          </cell>
          <cell r="E25">
            <v>241</v>
          </cell>
          <cell r="F25">
            <v>-8</v>
          </cell>
          <cell r="G25">
            <v>459828</v>
          </cell>
          <cell r="H25">
            <v>484554</v>
          </cell>
          <cell r="I25">
            <v>-15568</v>
          </cell>
          <cell r="J25">
            <v>1908</v>
          </cell>
          <cell r="K25">
            <v>1937</v>
          </cell>
          <cell r="L25">
            <v>466817</v>
          </cell>
          <cell r="M25">
            <v>6989</v>
          </cell>
        </row>
        <row r="26">
          <cell r="A26">
            <v>292</v>
          </cell>
          <cell r="B26" t="str">
            <v>No</v>
          </cell>
          <cell r="C26" t="str">
            <v>Oyster-Adams Bilingual</v>
          </cell>
          <cell r="D26">
            <v>75</v>
          </cell>
          <cell r="E26">
            <v>77</v>
          </cell>
          <cell r="F26">
            <v>2</v>
          </cell>
          <cell r="G26">
            <v>146916</v>
          </cell>
          <cell r="H26">
            <v>145950</v>
          </cell>
          <cell r="I26">
            <v>3892</v>
          </cell>
          <cell r="J26">
            <v>1908</v>
          </cell>
          <cell r="K26">
            <v>1937</v>
          </cell>
          <cell r="L26">
            <v>149149</v>
          </cell>
          <cell r="M26">
            <v>2233</v>
          </cell>
        </row>
        <row r="27">
          <cell r="A27">
            <v>238</v>
          </cell>
          <cell r="B27" t="str">
            <v>Yes</v>
          </cell>
          <cell r="C27" t="str">
            <v>Garfield ES</v>
          </cell>
          <cell r="D27">
            <v>263</v>
          </cell>
          <cell r="E27">
            <v>252</v>
          </cell>
          <cell r="F27">
            <v>-11</v>
          </cell>
          <cell r="G27">
            <v>480816</v>
          </cell>
          <cell r="H27">
            <v>511798</v>
          </cell>
          <cell r="I27">
            <v>-21406</v>
          </cell>
          <cell r="J27">
            <v>1908</v>
          </cell>
          <cell r="K27">
            <v>1937</v>
          </cell>
          <cell r="L27">
            <v>488124</v>
          </cell>
          <cell r="M27">
            <v>7308</v>
          </cell>
        </row>
        <row r="28">
          <cell r="A28">
            <v>224</v>
          </cell>
          <cell r="B28" t="str">
            <v>Yes</v>
          </cell>
          <cell r="C28" t="str">
            <v>Cleveland ES</v>
          </cell>
          <cell r="D28">
            <v>161</v>
          </cell>
          <cell r="E28">
            <v>164</v>
          </cell>
          <cell r="F28">
            <v>3</v>
          </cell>
          <cell r="G28">
            <v>312912</v>
          </cell>
          <cell r="H28">
            <v>313306</v>
          </cell>
          <cell r="I28">
            <v>5838</v>
          </cell>
          <cell r="J28">
            <v>1908</v>
          </cell>
          <cell r="K28">
            <v>1937</v>
          </cell>
          <cell r="L28">
            <v>317668</v>
          </cell>
          <cell r="M28">
            <v>4756</v>
          </cell>
        </row>
        <row r="29">
          <cell r="A29">
            <v>333</v>
          </cell>
          <cell r="B29" t="str">
            <v>Yes</v>
          </cell>
          <cell r="C29" t="str">
            <v>Watkins ES</v>
          </cell>
          <cell r="D29">
            <v>118</v>
          </cell>
          <cell r="E29">
            <v>118</v>
          </cell>
          <cell r="F29">
            <v>0</v>
          </cell>
          <cell r="G29">
            <v>225144</v>
          </cell>
          <cell r="H29">
            <v>229628</v>
          </cell>
          <cell r="I29">
            <v>0</v>
          </cell>
          <cell r="J29">
            <v>1908</v>
          </cell>
          <cell r="K29">
            <v>1937</v>
          </cell>
          <cell r="L29">
            <v>228566</v>
          </cell>
          <cell r="M29">
            <v>3422</v>
          </cell>
        </row>
        <row r="30">
          <cell r="A30">
            <v>231</v>
          </cell>
          <cell r="B30" t="str">
            <v>Yes</v>
          </cell>
          <cell r="C30" t="str">
            <v>Drew ES</v>
          </cell>
          <cell r="D30">
            <v>202</v>
          </cell>
          <cell r="E30">
            <v>216</v>
          </cell>
          <cell r="F30">
            <v>14</v>
          </cell>
          <cell r="G30">
            <v>412128</v>
          </cell>
          <cell r="H30">
            <v>393092</v>
          </cell>
          <cell r="I30">
            <v>27244</v>
          </cell>
          <cell r="J30">
            <v>1908</v>
          </cell>
          <cell r="K30">
            <v>1937</v>
          </cell>
          <cell r="L30">
            <v>418392</v>
          </cell>
          <cell r="M30">
            <v>6264</v>
          </cell>
        </row>
        <row r="31">
          <cell r="A31">
            <v>202</v>
          </cell>
          <cell r="B31" t="str">
            <v>Yes</v>
          </cell>
          <cell r="C31" t="str">
            <v>Aiton ES</v>
          </cell>
          <cell r="D31">
            <v>236</v>
          </cell>
          <cell r="E31">
            <v>235</v>
          </cell>
          <cell r="F31">
            <v>-1</v>
          </cell>
          <cell r="G31">
            <v>448380</v>
          </cell>
          <cell r="H31">
            <v>459256</v>
          </cell>
          <cell r="I31">
            <v>-1946</v>
          </cell>
          <cell r="J31">
            <v>1908</v>
          </cell>
          <cell r="K31">
            <v>1937</v>
          </cell>
          <cell r="L31">
            <v>455195</v>
          </cell>
          <cell r="M31">
            <v>6815</v>
          </cell>
        </row>
        <row r="32">
          <cell r="A32">
            <v>324</v>
          </cell>
          <cell r="B32" t="str">
            <v>Yes</v>
          </cell>
          <cell r="C32" t="str">
            <v>Takoma EC</v>
          </cell>
          <cell r="D32">
            <v>224</v>
          </cell>
          <cell r="E32">
            <v>228</v>
          </cell>
          <cell r="F32">
            <v>4</v>
          </cell>
          <cell r="G32">
            <v>435024</v>
          </cell>
          <cell r="H32">
            <v>435904</v>
          </cell>
          <cell r="I32">
            <v>7784</v>
          </cell>
          <cell r="J32">
            <v>1908</v>
          </cell>
          <cell r="K32">
            <v>1937</v>
          </cell>
          <cell r="L32">
            <v>441636</v>
          </cell>
          <cell r="M32">
            <v>6612</v>
          </cell>
        </row>
        <row r="33">
          <cell r="A33">
            <v>219</v>
          </cell>
          <cell r="B33" t="str">
            <v>Yes</v>
          </cell>
          <cell r="C33" t="str">
            <v>Bunker Hill ES</v>
          </cell>
          <cell r="D33">
            <v>93</v>
          </cell>
          <cell r="E33">
            <v>104</v>
          </cell>
          <cell r="F33">
            <v>11</v>
          </cell>
          <cell r="G33">
            <v>198432</v>
          </cell>
          <cell r="H33">
            <v>180978</v>
          </cell>
          <cell r="I33">
            <v>21406</v>
          </cell>
          <cell r="J33">
            <v>1908</v>
          </cell>
          <cell r="K33">
            <v>1937</v>
          </cell>
          <cell r="L33">
            <v>201448</v>
          </cell>
          <cell r="M33">
            <v>3016</v>
          </cell>
        </row>
        <row r="34">
          <cell r="A34">
            <v>259</v>
          </cell>
          <cell r="B34" t="str">
            <v>Yes</v>
          </cell>
          <cell r="C34" t="str">
            <v>Kimball ES</v>
          </cell>
          <cell r="D34">
            <v>288</v>
          </cell>
          <cell r="E34">
            <v>316</v>
          </cell>
          <cell r="F34">
            <v>28</v>
          </cell>
          <cell r="G34">
            <v>602928</v>
          </cell>
          <cell r="H34">
            <v>560448</v>
          </cell>
          <cell r="I34">
            <v>54488</v>
          </cell>
          <cell r="J34">
            <v>1908</v>
          </cell>
          <cell r="K34">
            <v>1937</v>
          </cell>
          <cell r="L34">
            <v>612092</v>
          </cell>
          <cell r="M34">
            <v>9164</v>
          </cell>
        </row>
        <row r="35">
          <cell r="A35">
            <v>332</v>
          </cell>
          <cell r="B35" t="str">
            <v>Yes</v>
          </cell>
          <cell r="C35" t="str">
            <v>Walker-Jones EC</v>
          </cell>
          <cell r="D35">
            <v>377</v>
          </cell>
          <cell r="E35">
            <v>385</v>
          </cell>
          <cell r="F35">
            <v>8</v>
          </cell>
          <cell r="G35">
            <v>734580</v>
          </cell>
          <cell r="H35">
            <v>733642</v>
          </cell>
          <cell r="I35">
            <v>15568</v>
          </cell>
          <cell r="J35">
            <v>1908</v>
          </cell>
          <cell r="K35">
            <v>1937</v>
          </cell>
          <cell r="L35">
            <v>745745</v>
          </cell>
          <cell r="M35">
            <v>11165</v>
          </cell>
        </row>
        <row r="36">
          <cell r="A36">
            <v>455</v>
          </cell>
          <cell r="B36" t="str">
            <v>Yes</v>
          </cell>
          <cell r="C36" t="str">
            <v>Coolidge HS</v>
          </cell>
          <cell r="D36">
            <v>319</v>
          </cell>
          <cell r="E36">
            <v>307</v>
          </cell>
          <cell r="F36">
            <v>-12</v>
          </cell>
          <cell r="G36">
            <v>585756</v>
          </cell>
          <cell r="H36">
            <v>620774</v>
          </cell>
          <cell r="I36">
            <v>-23352</v>
          </cell>
          <cell r="J36">
            <v>1908</v>
          </cell>
          <cell r="K36">
            <v>1937</v>
          </cell>
          <cell r="L36">
            <v>594659</v>
          </cell>
          <cell r="M36">
            <v>8903</v>
          </cell>
        </row>
        <row r="37">
          <cell r="A37">
            <v>264</v>
          </cell>
          <cell r="B37" t="str">
            <v>Yes</v>
          </cell>
          <cell r="C37" t="str">
            <v>LaSalle-Backus EC</v>
          </cell>
          <cell r="D37">
            <v>198</v>
          </cell>
          <cell r="E37">
            <v>214</v>
          </cell>
          <cell r="F37">
            <v>16</v>
          </cell>
          <cell r="G37">
            <v>408312</v>
          </cell>
          <cell r="H37">
            <v>385308</v>
          </cell>
          <cell r="I37">
            <v>31136</v>
          </cell>
          <cell r="J37">
            <v>1908</v>
          </cell>
          <cell r="K37">
            <v>1937</v>
          </cell>
          <cell r="L37">
            <v>414518</v>
          </cell>
          <cell r="M37">
            <v>6206</v>
          </cell>
        </row>
        <row r="38">
          <cell r="A38">
            <v>416</v>
          </cell>
          <cell r="B38" t="str">
            <v>Yes</v>
          </cell>
          <cell r="C38" t="str">
            <v>Johnson, John Hayden MS</v>
          </cell>
          <cell r="D38">
            <v>249</v>
          </cell>
          <cell r="E38">
            <v>218</v>
          </cell>
          <cell r="F38">
            <v>-31</v>
          </cell>
          <cell r="G38">
            <v>415944</v>
          </cell>
          <cell r="H38">
            <v>484554</v>
          </cell>
          <cell r="I38">
            <v>-60326</v>
          </cell>
          <cell r="J38">
            <v>1908</v>
          </cell>
          <cell r="K38">
            <v>1937</v>
          </cell>
          <cell r="L38">
            <v>422266</v>
          </cell>
          <cell r="M38">
            <v>6322</v>
          </cell>
        </row>
        <row r="39">
          <cell r="A39">
            <v>360</v>
          </cell>
          <cell r="B39" t="str">
            <v>No</v>
          </cell>
          <cell r="C39" t="str">
            <v>Cap Hill Montessori @ Logan</v>
          </cell>
          <cell r="D39">
            <v>44</v>
          </cell>
          <cell r="E39">
            <v>45</v>
          </cell>
          <cell r="F39">
            <v>1</v>
          </cell>
          <cell r="G39">
            <v>85860</v>
          </cell>
          <cell r="H39">
            <v>85624</v>
          </cell>
          <cell r="I39">
            <v>1946</v>
          </cell>
          <cell r="J39">
            <v>1908</v>
          </cell>
          <cell r="K39">
            <v>1937</v>
          </cell>
          <cell r="L39">
            <v>87165</v>
          </cell>
          <cell r="M39">
            <v>1305</v>
          </cell>
        </row>
        <row r="40">
          <cell r="A40">
            <v>227</v>
          </cell>
          <cell r="B40" t="str">
            <v>Yes</v>
          </cell>
          <cell r="C40" t="str">
            <v>H.D. Cooke ES</v>
          </cell>
          <cell r="D40">
            <v>226</v>
          </cell>
          <cell r="E40">
            <v>248</v>
          </cell>
          <cell r="F40">
            <v>22</v>
          </cell>
          <cell r="G40">
            <v>473184</v>
          </cell>
          <cell r="H40">
            <v>439796</v>
          </cell>
          <cell r="I40">
            <v>42812</v>
          </cell>
          <cell r="J40">
            <v>1908</v>
          </cell>
          <cell r="K40">
            <v>1937</v>
          </cell>
          <cell r="L40">
            <v>480376</v>
          </cell>
          <cell r="M40">
            <v>7192</v>
          </cell>
        </row>
        <row r="41">
          <cell r="A41">
            <v>206</v>
          </cell>
          <cell r="B41" t="str">
            <v>Yes</v>
          </cell>
          <cell r="C41" t="str">
            <v>Beers ES</v>
          </cell>
          <cell r="D41">
            <v>250</v>
          </cell>
          <cell r="E41">
            <v>269</v>
          </cell>
          <cell r="F41">
            <v>19</v>
          </cell>
          <cell r="G41">
            <v>513252</v>
          </cell>
          <cell r="H41">
            <v>486500</v>
          </cell>
          <cell r="I41">
            <v>36974</v>
          </cell>
          <cell r="J41">
            <v>1908</v>
          </cell>
          <cell r="K41">
            <v>1937</v>
          </cell>
          <cell r="L41">
            <v>521053</v>
          </cell>
          <cell r="M41">
            <v>7801</v>
          </cell>
        </row>
        <row r="42">
          <cell r="A42">
            <v>321</v>
          </cell>
          <cell r="B42" t="str">
            <v>No</v>
          </cell>
          <cell r="C42" t="str">
            <v>Stoddert ES</v>
          </cell>
          <cell r="D42">
            <v>31</v>
          </cell>
          <cell r="E42">
            <v>32</v>
          </cell>
          <cell r="F42">
            <v>1</v>
          </cell>
          <cell r="G42">
            <v>61056</v>
          </cell>
          <cell r="H42">
            <v>60326</v>
          </cell>
          <cell r="I42">
            <v>1946</v>
          </cell>
          <cell r="J42">
            <v>1908</v>
          </cell>
          <cell r="K42">
            <v>1937</v>
          </cell>
          <cell r="L42">
            <v>61984</v>
          </cell>
          <cell r="M42">
            <v>928</v>
          </cell>
        </row>
        <row r="43">
          <cell r="A43">
            <v>402</v>
          </cell>
          <cell r="B43" t="str">
            <v>Yes</v>
          </cell>
          <cell r="C43" t="str">
            <v>Benjamin Banneker HS</v>
          </cell>
          <cell r="D43">
            <v>126</v>
          </cell>
          <cell r="E43">
            <v>127</v>
          </cell>
          <cell r="F43">
            <v>1</v>
          </cell>
          <cell r="G43">
            <v>242316</v>
          </cell>
          <cell r="H43">
            <v>245196</v>
          </cell>
          <cell r="I43">
            <v>1946</v>
          </cell>
          <cell r="J43">
            <v>1908</v>
          </cell>
          <cell r="K43">
            <v>1937</v>
          </cell>
          <cell r="L43">
            <v>245999</v>
          </cell>
          <cell r="M43">
            <v>3683</v>
          </cell>
        </row>
        <row r="44">
          <cell r="A44">
            <v>304</v>
          </cell>
          <cell r="B44" t="str">
            <v>Yes</v>
          </cell>
          <cell r="C44" t="str">
            <v>River Terrace SEC</v>
          </cell>
          <cell r="D44">
            <v>63</v>
          </cell>
          <cell r="E44">
            <v>70</v>
          </cell>
          <cell r="F44">
            <v>7</v>
          </cell>
          <cell r="G44">
            <v>133560</v>
          </cell>
          <cell r="H44">
            <v>122598</v>
          </cell>
          <cell r="I44">
            <v>13622</v>
          </cell>
          <cell r="J44">
            <v>1908</v>
          </cell>
          <cell r="K44">
            <v>1937</v>
          </cell>
          <cell r="L44">
            <v>135590</v>
          </cell>
          <cell r="M44">
            <v>2030</v>
          </cell>
        </row>
        <row r="45">
          <cell r="A45">
            <v>466</v>
          </cell>
          <cell r="B45" t="str">
            <v>No</v>
          </cell>
          <cell r="C45" t="str">
            <v>School Without Walls HS</v>
          </cell>
          <cell r="D45">
            <v>101</v>
          </cell>
          <cell r="E45">
            <v>100</v>
          </cell>
          <cell r="F45">
            <v>-1</v>
          </cell>
          <cell r="G45">
            <v>190800</v>
          </cell>
          <cell r="H45">
            <v>196546</v>
          </cell>
          <cell r="I45">
            <v>-1946</v>
          </cell>
          <cell r="J45">
            <v>1908</v>
          </cell>
          <cell r="K45">
            <v>1937</v>
          </cell>
          <cell r="L45">
            <v>193700</v>
          </cell>
          <cell r="M45">
            <v>2900</v>
          </cell>
        </row>
        <row r="46">
          <cell r="A46">
            <v>309</v>
          </cell>
          <cell r="B46" t="str">
            <v>Yes</v>
          </cell>
          <cell r="C46" t="str">
            <v>Seaton ES</v>
          </cell>
          <cell r="D46">
            <v>173</v>
          </cell>
          <cell r="E46">
            <v>189</v>
          </cell>
          <cell r="F46">
            <v>16</v>
          </cell>
          <cell r="G46">
            <v>360612</v>
          </cell>
          <cell r="H46">
            <v>336658</v>
          </cell>
          <cell r="I46">
            <v>31136</v>
          </cell>
          <cell r="J46">
            <v>1908</v>
          </cell>
          <cell r="K46">
            <v>1937</v>
          </cell>
          <cell r="L46">
            <v>366093</v>
          </cell>
          <cell r="M46">
            <v>5481</v>
          </cell>
        </row>
        <row r="47">
          <cell r="A47">
            <v>220</v>
          </cell>
          <cell r="B47" t="str">
            <v>Yes</v>
          </cell>
          <cell r="C47" t="str">
            <v>Burroughs EC</v>
          </cell>
          <cell r="D47">
            <v>145</v>
          </cell>
          <cell r="E47">
            <v>158</v>
          </cell>
          <cell r="F47">
            <v>13</v>
          </cell>
          <cell r="G47">
            <v>301464</v>
          </cell>
          <cell r="H47">
            <v>282170</v>
          </cell>
          <cell r="I47">
            <v>25298</v>
          </cell>
          <cell r="J47">
            <v>1908</v>
          </cell>
          <cell r="K47">
            <v>1937</v>
          </cell>
          <cell r="L47">
            <v>306046</v>
          </cell>
          <cell r="M47">
            <v>4582</v>
          </cell>
        </row>
        <row r="48">
          <cell r="A48">
            <v>204</v>
          </cell>
          <cell r="B48" t="str">
            <v>Yes</v>
          </cell>
          <cell r="C48" t="str">
            <v>Bancroft ES</v>
          </cell>
          <cell r="D48">
            <v>194</v>
          </cell>
          <cell r="E48">
            <v>201</v>
          </cell>
          <cell r="F48">
            <v>7</v>
          </cell>
          <cell r="G48">
            <v>383508</v>
          </cell>
          <cell r="H48">
            <v>377524</v>
          </cell>
          <cell r="I48">
            <v>13622</v>
          </cell>
          <cell r="J48">
            <v>1908</v>
          </cell>
          <cell r="K48">
            <v>1937</v>
          </cell>
          <cell r="L48">
            <v>389337</v>
          </cell>
          <cell r="M48">
            <v>5829</v>
          </cell>
        </row>
        <row r="49">
          <cell r="A49">
            <v>288</v>
          </cell>
          <cell r="B49" t="str">
            <v>Yes</v>
          </cell>
          <cell r="C49" t="str">
            <v>Nalle ES</v>
          </cell>
          <cell r="D49">
            <v>305</v>
          </cell>
          <cell r="E49">
            <v>317</v>
          </cell>
          <cell r="F49">
            <v>12</v>
          </cell>
          <cell r="G49">
            <v>604836</v>
          </cell>
          <cell r="H49">
            <v>593530</v>
          </cell>
          <cell r="I49">
            <v>23352</v>
          </cell>
          <cell r="J49">
            <v>1908</v>
          </cell>
          <cell r="K49">
            <v>1937</v>
          </cell>
          <cell r="L49">
            <v>614029</v>
          </cell>
          <cell r="M49">
            <v>9193</v>
          </cell>
        </row>
        <row r="50">
          <cell r="A50">
            <v>212</v>
          </cell>
          <cell r="B50" t="str">
            <v>No</v>
          </cell>
          <cell r="C50" t="str">
            <v>Brent ES</v>
          </cell>
          <cell r="D50">
            <v>33</v>
          </cell>
          <cell r="E50">
            <v>35</v>
          </cell>
          <cell r="F50">
            <v>2</v>
          </cell>
          <cell r="G50">
            <v>66780</v>
          </cell>
          <cell r="H50">
            <v>64218</v>
          </cell>
          <cell r="I50">
            <v>3892</v>
          </cell>
          <cell r="J50">
            <v>1908</v>
          </cell>
          <cell r="K50">
            <v>1937</v>
          </cell>
          <cell r="L50">
            <v>67795</v>
          </cell>
          <cell r="M50">
            <v>1015</v>
          </cell>
        </row>
        <row r="51">
          <cell r="A51">
            <v>296</v>
          </cell>
          <cell r="B51" t="str">
            <v>Yes</v>
          </cell>
          <cell r="C51" t="str">
            <v>Bruce-Monroe ES @ Park View</v>
          </cell>
          <cell r="D51">
            <v>249</v>
          </cell>
          <cell r="E51">
            <v>255</v>
          </cell>
          <cell r="F51">
            <v>6</v>
          </cell>
          <cell r="G51">
            <v>486540</v>
          </cell>
          <cell r="H51">
            <v>484554</v>
          </cell>
          <cell r="I51">
            <v>11676</v>
          </cell>
          <cell r="J51">
            <v>1908</v>
          </cell>
          <cell r="K51">
            <v>1937</v>
          </cell>
          <cell r="L51">
            <v>493935</v>
          </cell>
          <cell r="M51">
            <v>7395</v>
          </cell>
        </row>
        <row r="52">
          <cell r="A52">
            <v>251</v>
          </cell>
          <cell r="B52" t="str">
            <v>Yes</v>
          </cell>
          <cell r="C52" t="str">
            <v>Houston ES</v>
          </cell>
          <cell r="D52">
            <v>224</v>
          </cell>
          <cell r="E52">
            <v>236</v>
          </cell>
          <cell r="F52">
            <v>12</v>
          </cell>
          <cell r="G52">
            <v>450288</v>
          </cell>
          <cell r="H52">
            <v>435904</v>
          </cell>
          <cell r="I52">
            <v>23352</v>
          </cell>
          <cell r="J52">
            <v>1908</v>
          </cell>
          <cell r="K52">
            <v>1937</v>
          </cell>
          <cell r="L52">
            <v>457132</v>
          </cell>
          <cell r="M52">
            <v>6844</v>
          </cell>
        </row>
        <row r="53">
          <cell r="A53">
            <v>294</v>
          </cell>
          <cell r="B53" t="str">
            <v>Yes</v>
          </cell>
          <cell r="C53" t="str">
            <v>Patterson ES</v>
          </cell>
          <cell r="D53">
            <v>348</v>
          </cell>
          <cell r="E53">
            <v>334</v>
          </cell>
          <cell r="F53">
            <v>-14</v>
          </cell>
          <cell r="G53">
            <v>637272</v>
          </cell>
          <cell r="H53">
            <v>677208</v>
          </cell>
          <cell r="I53">
            <v>-27244</v>
          </cell>
          <cell r="J53">
            <v>1908</v>
          </cell>
          <cell r="K53">
            <v>1937</v>
          </cell>
          <cell r="L53">
            <v>646958</v>
          </cell>
          <cell r="M53">
            <v>9686</v>
          </cell>
        </row>
        <row r="54">
          <cell r="A54">
            <v>301</v>
          </cell>
          <cell r="B54" t="str">
            <v>No</v>
          </cell>
          <cell r="C54" t="str">
            <v>Peabody ES</v>
          </cell>
          <cell r="D54">
            <v>25</v>
          </cell>
          <cell r="E54">
            <v>27</v>
          </cell>
          <cell r="F54">
            <v>2</v>
          </cell>
          <cell r="G54">
            <v>51516</v>
          </cell>
          <cell r="H54">
            <v>48650</v>
          </cell>
          <cell r="I54">
            <v>3892</v>
          </cell>
          <cell r="J54">
            <v>1908</v>
          </cell>
          <cell r="K54">
            <v>1937</v>
          </cell>
          <cell r="L54">
            <v>52299</v>
          </cell>
          <cell r="M54">
            <v>783</v>
          </cell>
        </row>
        <row r="55">
          <cell r="A55">
            <v>322</v>
          </cell>
          <cell r="B55" t="str">
            <v>Yes</v>
          </cell>
          <cell r="C55" t="str">
            <v>Smothers ES</v>
          </cell>
          <cell r="D55">
            <v>216</v>
          </cell>
          <cell r="E55">
            <v>203</v>
          </cell>
          <cell r="F55">
            <v>-13</v>
          </cell>
          <cell r="G55">
            <v>387324</v>
          </cell>
          <cell r="H55">
            <v>420336</v>
          </cell>
          <cell r="I55">
            <v>-25298</v>
          </cell>
          <cell r="J55">
            <v>1908</v>
          </cell>
          <cell r="K55">
            <v>1937</v>
          </cell>
          <cell r="L55">
            <v>393211</v>
          </cell>
          <cell r="M55">
            <v>5887</v>
          </cell>
        </row>
        <row r="56">
          <cell r="A56">
            <v>325</v>
          </cell>
          <cell r="B56" t="str">
            <v>Yes</v>
          </cell>
          <cell r="C56" t="str">
            <v>Thomas ES</v>
          </cell>
          <cell r="D56">
            <v>308</v>
          </cell>
          <cell r="E56">
            <v>315</v>
          </cell>
          <cell r="F56">
            <v>7</v>
          </cell>
          <cell r="G56">
            <v>601020</v>
          </cell>
          <cell r="H56">
            <v>599368</v>
          </cell>
          <cell r="I56">
            <v>13622</v>
          </cell>
          <cell r="J56">
            <v>1908</v>
          </cell>
          <cell r="K56">
            <v>1937</v>
          </cell>
          <cell r="L56">
            <v>610155</v>
          </cell>
          <cell r="M56">
            <v>9135</v>
          </cell>
        </row>
        <row r="57">
          <cell r="A57">
            <v>254</v>
          </cell>
          <cell r="B57" t="str">
            <v>No</v>
          </cell>
          <cell r="C57" t="str">
            <v>Janney ES</v>
          </cell>
          <cell r="D57">
            <v>15</v>
          </cell>
          <cell r="E57">
            <v>17</v>
          </cell>
          <cell r="F57">
            <v>2</v>
          </cell>
          <cell r="G57">
            <v>32436</v>
          </cell>
          <cell r="H57">
            <v>29190</v>
          </cell>
          <cell r="I57">
            <v>3892</v>
          </cell>
          <cell r="J57">
            <v>1908</v>
          </cell>
          <cell r="K57">
            <v>1937</v>
          </cell>
          <cell r="L57">
            <v>32929</v>
          </cell>
          <cell r="M57">
            <v>493</v>
          </cell>
        </row>
        <row r="58">
          <cell r="A58">
            <v>274</v>
          </cell>
          <cell r="B58" t="str">
            <v>No</v>
          </cell>
          <cell r="C58" t="str">
            <v>Maury ES</v>
          </cell>
          <cell r="D58">
            <v>56</v>
          </cell>
          <cell r="E58">
            <v>58</v>
          </cell>
          <cell r="F58">
            <v>2</v>
          </cell>
          <cell r="G58">
            <v>110664</v>
          </cell>
          <cell r="H58">
            <v>108976</v>
          </cell>
          <cell r="I58">
            <v>3892</v>
          </cell>
          <cell r="J58">
            <v>1908</v>
          </cell>
          <cell r="K58">
            <v>1937</v>
          </cell>
          <cell r="L58">
            <v>112346</v>
          </cell>
          <cell r="M58">
            <v>1682</v>
          </cell>
        </row>
        <row r="59">
          <cell r="A59">
            <v>339</v>
          </cell>
          <cell r="B59" t="str">
            <v>Yes</v>
          </cell>
          <cell r="C59" t="str">
            <v>J.O. Wilson ES</v>
          </cell>
          <cell r="D59">
            <v>249</v>
          </cell>
          <cell r="E59">
            <v>248</v>
          </cell>
          <cell r="F59">
            <v>-1</v>
          </cell>
          <cell r="G59">
            <v>473184</v>
          </cell>
          <cell r="H59">
            <v>484554</v>
          </cell>
          <cell r="I59">
            <v>-1946</v>
          </cell>
          <cell r="J59">
            <v>1908</v>
          </cell>
          <cell r="K59">
            <v>1937</v>
          </cell>
          <cell r="L59">
            <v>480376</v>
          </cell>
          <cell r="M59">
            <v>7192</v>
          </cell>
        </row>
        <row r="60">
          <cell r="A60">
            <v>478</v>
          </cell>
          <cell r="B60" t="str">
            <v>Yes</v>
          </cell>
          <cell r="C60" t="str">
            <v>Phelps ACE HS</v>
          </cell>
          <cell r="D60">
            <v>188</v>
          </cell>
          <cell r="E60">
            <v>211</v>
          </cell>
          <cell r="F60">
            <v>23</v>
          </cell>
          <cell r="G60">
            <v>402588</v>
          </cell>
          <cell r="H60">
            <v>365848</v>
          </cell>
          <cell r="I60">
            <v>44758</v>
          </cell>
          <cell r="J60">
            <v>1908</v>
          </cell>
          <cell r="K60">
            <v>1937</v>
          </cell>
          <cell r="L60">
            <v>408707</v>
          </cell>
          <cell r="M60">
            <v>6119</v>
          </cell>
        </row>
        <row r="61">
          <cell r="A61">
            <v>287</v>
          </cell>
          <cell r="B61" t="str">
            <v>No</v>
          </cell>
          <cell r="C61" t="str">
            <v>Murch ES</v>
          </cell>
          <cell r="D61">
            <v>26</v>
          </cell>
          <cell r="E61">
            <v>27</v>
          </cell>
          <cell r="F61">
            <v>1</v>
          </cell>
          <cell r="G61">
            <v>51516</v>
          </cell>
          <cell r="H61">
            <v>50596</v>
          </cell>
          <cell r="I61">
            <v>1946</v>
          </cell>
          <cell r="J61">
            <v>1908</v>
          </cell>
          <cell r="K61">
            <v>1937</v>
          </cell>
          <cell r="L61">
            <v>52299</v>
          </cell>
          <cell r="M61">
            <v>783</v>
          </cell>
        </row>
        <row r="62">
          <cell r="A62">
            <v>271</v>
          </cell>
          <cell r="B62" t="str">
            <v>Yes</v>
          </cell>
          <cell r="C62" t="str">
            <v>Ludlow-Taylor ES</v>
          </cell>
          <cell r="D62">
            <v>117</v>
          </cell>
          <cell r="E62">
            <v>116</v>
          </cell>
          <cell r="F62">
            <v>-1</v>
          </cell>
          <cell r="G62">
            <v>221328</v>
          </cell>
          <cell r="H62">
            <v>227682</v>
          </cell>
          <cell r="I62">
            <v>-1946</v>
          </cell>
          <cell r="J62">
            <v>1908</v>
          </cell>
          <cell r="K62">
            <v>1937</v>
          </cell>
          <cell r="L62">
            <v>224692</v>
          </cell>
          <cell r="M62">
            <v>3364</v>
          </cell>
        </row>
        <row r="63">
          <cell r="A63">
            <v>467</v>
          </cell>
          <cell r="B63" t="str">
            <v>Yes</v>
          </cell>
          <cell r="C63" t="str">
            <v>Dunbar HS</v>
          </cell>
          <cell r="D63">
            <v>504</v>
          </cell>
          <cell r="E63">
            <v>470</v>
          </cell>
          <cell r="F63">
            <v>-34</v>
          </cell>
          <cell r="G63">
            <v>896760</v>
          </cell>
          <cell r="H63">
            <v>980784</v>
          </cell>
          <cell r="I63">
            <v>-66164</v>
          </cell>
          <cell r="J63">
            <v>1908</v>
          </cell>
          <cell r="K63">
            <v>1937</v>
          </cell>
          <cell r="L63">
            <v>910390</v>
          </cell>
          <cell r="M63">
            <v>13630</v>
          </cell>
        </row>
        <row r="64">
          <cell r="A64">
            <v>257</v>
          </cell>
          <cell r="B64" t="str">
            <v>Yes</v>
          </cell>
          <cell r="C64" t="str">
            <v>Ketcham ES</v>
          </cell>
          <cell r="D64">
            <v>276</v>
          </cell>
          <cell r="E64">
            <v>268</v>
          </cell>
          <cell r="F64">
            <v>-8</v>
          </cell>
          <cell r="G64">
            <v>511344</v>
          </cell>
          <cell r="H64">
            <v>537096</v>
          </cell>
          <cell r="I64">
            <v>-15568</v>
          </cell>
          <cell r="J64">
            <v>1908</v>
          </cell>
          <cell r="K64">
            <v>1937</v>
          </cell>
          <cell r="L64">
            <v>519116</v>
          </cell>
          <cell r="M64">
            <v>7772</v>
          </cell>
        </row>
        <row r="65">
          <cell r="A65">
            <v>232</v>
          </cell>
          <cell r="B65" t="str">
            <v>No</v>
          </cell>
          <cell r="C65" t="str">
            <v>Eaton ES</v>
          </cell>
          <cell r="D65">
            <v>28</v>
          </cell>
          <cell r="E65">
            <v>30</v>
          </cell>
          <cell r="F65">
            <v>2</v>
          </cell>
          <cell r="G65">
            <v>57240</v>
          </cell>
          <cell r="H65">
            <v>54488</v>
          </cell>
          <cell r="I65">
            <v>3892</v>
          </cell>
          <cell r="J65">
            <v>1908</v>
          </cell>
          <cell r="K65">
            <v>1937</v>
          </cell>
          <cell r="L65">
            <v>58110</v>
          </cell>
          <cell r="M65">
            <v>870</v>
          </cell>
        </row>
        <row r="66">
          <cell r="A66">
            <v>326</v>
          </cell>
          <cell r="B66" t="str">
            <v>Yes</v>
          </cell>
          <cell r="C66" t="str">
            <v>Thomson ES</v>
          </cell>
          <cell r="D66">
            <v>127</v>
          </cell>
          <cell r="E66">
            <v>132</v>
          </cell>
          <cell r="F66">
            <v>5</v>
          </cell>
          <cell r="G66">
            <v>251856</v>
          </cell>
          <cell r="H66">
            <v>247142</v>
          </cell>
          <cell r="I66">
            <v>9730</v>
          </cell>
          <cell r="J66">
            <v>1908</v>
          </cell>
          <cell r="K66">
            <v>1937</v>
          </cell>
          <cell r="L66">
            <v>255684</v>
          </cell>
          <cell r="M66">
            <v>3828</v>
          </cell>
        </row>
        <row r="67">
          <cell r="A67">
            <v>266</v>
          </cell>
          <cell r="B67" t="str">
            <v>Yes</v>
          </cell>
          <cell r="C67" t="str">
            <v>Leckie ES</v>
          </cell>
          <cell r="D67">
            <v>222</v>
          </cell>
          <cell r="E67">
            <v>250</v>
          </cell>
          <cell r="F67">
            <v>28</v>
          </cell>
          <cell r="G67">
            <v>477000</v>
          </cell>
          <cell r="H67">
            <v>432012</v>
          </cell>
          <cell r="I67">
            <v>54488</v>
          </cell>
          <cell r="J67">
            <v>1908</v>
          </cell>
          <cell r="K67">
            <v>1937</v>
          </cell>
          <cell r="L67">
            <v>484250</v>
          </cell>
          <cell r="M67">
            <v>7250</v>
          </cell>
        </row>
        <row r="68">
          <cell r="A68">
            <v>273</v>
          </cell>
          <cell r="B68" t="str">
            <v>No</v>
          </cell>
          <cell r="C68" t="str">
            <v>Mann ES</v>
          </cell>
          <cell r="D68">
            <v>7</v>
          </cell>
          <cell r="E68">
            <v>9</v>
          </cell>
          <cell r="F68">
            <v>2</v>
          </cell>
          <cell r="G68">
            <v>17172</v>
          </cell>
          <cell r="H68">
            <v>13622</v>
          </cell>
          <cell r="I68">
            <v>3892</v>
          </cell>
          <cell r="J68">
            <v>1908</v>
          </cell>
          <cell r="K68">
            <v>1937</v>
          </cell>
          <cell r="L68">
            <v>17433</v>
          </cell>
          <cell r="M68">
            <v>261</v>
          </cell>
        </row>
        <row r="69">
          <cell r="A69">
            <v>284</v>
          </cell>
          <cell r="B69" t="str">
            <v>Yes</v>
          </cell>
          <cell r="C69" t="str">
            <v>Marie Reed ES</v>
          </cell>
          <cell r="D69">
            <v>142</v>
          </cell>
          <cell r="E69">
            <v>142</v>
          </cell>
          <cell r="F69">
            <v>0</v>
          </cell>
          <cell r="G69">
            <v>270936</v>
          </cell>
          <cell r="H69">
            <v>276332</v>
          </cell>
          <cell r="I69">
            <v>0</v>
          </cell>
          <cell r="J69">
            <v>1908</v>
          </cell>
          <cell r="K69">
            <v>1937</v>
          </cell>
          <cell r="L69">
            <v>275054</v>
          </cell>
          <cell r="M69">
            <v>4118</v>
          </cell>
        </row>
        <row r="70">
          <cell r="A70">
            <v>331</v>
          </cell>
          <cell r="B70" t="str">
            <v>No</v>
          </cell>
          <cell r="C70" t="str">
            <v>Van Ness ES</v>
          </cell>
          <cell r="D70">
            <v>31</v>
          </cell>
          <cell r="E70">
            <v>49</v>
          </cell>
          <cell r="F70">
            <v>18</v>
          </cell>
          <cell r="G70">
            <v>93492</v>
          </cell>
          <cell r="H70">
            <v>60326</v>
          </cell>
          <cell r="I70">
            <v>35028</v>
          </cell>
          <cell r="J70">
            <v>1908</v>
          </cell>
          <cell r="K70">
            <v>1937</v>
          </cell>
          <cell r="L70">
            <v>94913</v>
          </cell>
          <cell r="M70">
            <v>1421</v>
          </cell>
        </row>
        <row r="71">
          <cell r="A71">
            <v>285</v>
          </cell>
          <cell r="B71" t="str">
            <v>Yes</v>
          </cell>
          <cell r="C71" t="str">
            <v>Moten ES</v>
          </cell>
          <cell r="D71">
            <v>370</v>
          </cell>
          <cell r="E71">
            <v>371</v>
          </cell>
          <cell r="F71">
            <v>1</v>
          </cell>
          <cell r="G71">
            <v>707868</v>
          </cell>
          <cell r="H71">
            <v>720020</v>
          </cell>
          <cell r="I71">
            <v>1946</v>
          </cell>
          <cell r="J71">
            <v>1908</v>
          </cell>
          <cell r="K71">
            <v>1937</v>
          </cell>
          <cell r="L71">
            <v>718627</v>
          </cell>
          <cell r="M71">
            <v>10759</v>
          </cell>
        </row>
        <row r="72">
          <cell r="A72">
            <v>290</v>
          </cell>
          <cell r="B72" t="str">
            <v>Yes</v>
          </cell>
          <cell r="C72" t="str">
            <v>Noyes EC</v>
          </cell>
          <cell r="D72">
            <v>138</v>
          </cell>
          <cell r="E72">
            <v>133</v>
          </cell>
          <cell r="F72">
            <v>-5</v>
          </cell>
          <cell r="G72">
            <v>253764</v>
          </cell>
          <cell r="H72">
            <v>268548</v>
          </cell>
          <cell r="I72">
            <v>-9730</v>
          </cell>
          <cell r="J72">
            <v>1908</v>
          </cell>
          <cell r="K72">
            <v>1937</v>
          </cell>
          <cell r="L72">
            <v>257621</v>
          </cell>
          <cell r="M72">
            <v>3857</v>
          </cell>
        </row>
        <row r="73">
          <cell r="A73">
            <v>175</v>
          </cell>
          <cell r="B73" t="str">
            <v>No</v>
          </cell>
          <cell r="C73" t="str">
            <v>School-Within-School @ Goding</v>
          </cell>
          <cell r="D73">
            <v>21</v>
          </cell>
          <cell r="E73">
            <v>23</v>
          </cell>
          <cell r="F73">
            <v>2</v>
          </cell>
          <cell r="G73">
            <v>43884</v>
          </cell>
          <cell r="H73">
            <v>40866</v>
          </cell>
          <cell r="I73">
            <v>3892</v>
          </cell>
          <cell r="J73">
            <v>1908</v>
          </cell>
          <cell r="K73">
            <v>1937</v>
          </cell>
          <cell r="L73">
            <v>44551</v>
          </cell>
          <cell r="M73">
            <v>667</v>
          </cell>
        </row>
        <row r="74">
          <cell r="A74">
            <v>409</v>
          </cell>
          <cell r="B74" t="str">
            <v>Yes</v>
          </cell>
          <cell r="C74" t="str">
            <v>School Without Walls @ Francis-Stevens</v>
          </cell>
          <cell r="D74">
            <v>113</v>
          </cell>
          <cell r="E74">
            <v>122</v>
          </cell>
          <cell r="F74">
            <v>9</v>
          </cell>
          <cell r="G74">
            <v>232776</v>
          </cell>
          <cell r="H74">
            <v>219898</v>
          </cell>
          <cell r="I74">
            <v>17514</v>
          </cell>
          <cell r="J74">
            <v>1908</v>
          </cell>
          <cell r="K74">
            <v>1937</v>
          </cell>
          <cell r="L74">
            <v>236314</v>
          </cell>
          <cell r="M74">
            <v>3538</v>
          </cell>
        </row>
        <row r="75">
          <cell r="A75">
            <v>272</v>
          </cell>
          <cell r="B75" t="str">
            <v>No</v>
          </cell>
          <cell r="C75" t="str">
            <v>Key ES</v>
          </cell>
          <cell r="D75">
            <v>11</v>
          </cell>
          <cell r="E75">
            <v>13</v>
          </cell>
          <cell r="F75">
            <v>2</v>
          </cell>
          <cell r="G75">
            <v>24804</v>
          </cell>
          <cell r="H75">
            <v>21406</v>
          </cell>
          <cell r="I75">
            <v>3892</v>
          </cell>
          <cell r="J75">
            <v>1908</v>
          </cell>
          <cell r="K75">
            <v>1937</v>
          </cell>
          <cell r="L75">
            <v>25181</v>
          </cell>
          <cell r="M75">
            <v>377</v>
          </cell>
        </row>
        <row r="76">
          <cell r="A76">
            <v>246</v>
          </cell>
          <cell r="B76" t="str">
            <v>Yes</v>
          </cell>
          <cell r="C76" t="str">
            <v>Hardy MS</v>
          </cell>
          <cell r="D76">
            <v>93</v>
          </cell>
          <cell r="E76">
            <v>91</v>
          </cell>
          <cell r="F76">
            <v>-2</v>
          </cell>
          <cell r="G76">
            <v>173628</v>
          </cell>
          <cell r="H76">
            <v>180978</v>
          </cell>
          <cell r="I76">
            <v>-3892</v>
          </cell>
          <cell r="J76">
            <v>1908</v>
          </cell>
          <cell r="K76">
            <v>1937</v>
          </cell>
          <cell r="L76">
            <v>176267</v>
          </cell>
          <cell r="M76">
            <v>2639</v>
          </cell>
        </row>
        <row r="77">
          <cell r="A77">
            <v>261</v>
          </cell>
          <cell r="B77" t="str">
            <v>No</v>
          </cell>
          <cell r="C77" t="str">
            <v>Lafayette ES</v>
          </cell>
          <cell r="D77">
            <v>18</v>
          </cell>
          <cell r="E77">
            <v>22</v>
          </cell>
          <cell r="F77">
            <v>4</v>
          </cell>
          <cell r="G77">
            <v>41976</v>
          </cell>
          <cell r="H77">
            <v>35028</v>
          </cell>
          <cell r="I77">
            <v>7784</v>
          </cell>
          <cell r="J77">
            <v>1908</v>
          </cell>
          <cell r="K77">
            <v>1937</v>
          </cell>
          <cell r="L77">
            <v>42614</v>
          </cell>
          <cell r="M77">
            <v>638</v>
          </cell>
        </row>
        <row r="78">
          <cell r="A78">
            <v>295</v>
          </cell>
          <cell r="B78" t="str">
            <v>Yes</v>
          </cell>
          <cell r="C78" t="str">
            <v>Payne ES</v>
          </cell>
          <cell r="D78">
            <v>168</v>
          </cell>
          <cell r="E78">
            <v>184</v>
          </cell>
          <cell r="F78">
            <v>16</v>
          </cell>
          <cell r="G78">
            <v>351072</v>
          </cell>
          <cell r="H78">
            <v>326928</v>
          </cell>
          <cell r="I78">
            <v>31136</v>
          </cell>
          <cell r="J78">
            <v>1908</v>
          </cell>
          <cell r="K78">
            <v>1937</v>
          </cell>
          <cell r="L78">
            <v>356408</v>
          </cell>
          <cell r="M78">
            <v>5336</v>
          </cell>
        </row>
        <row r="79">
          <cell r="A79">
            <v>405</v>
          </cell>
          <cell r="B79" t="str">
            <v>No</v>
          </cell>
          <cell r="C79" t="str">
            <v>Deal MS</v>
          </cell>
          <cell r="D79">
            <v>102</v>
          </cell>
          <cell r="E79">
            <v>116</v>
          </cell>
          <cell r="F79">
            <v>14</v>
          </cell>
          <cell r="G79">
            <v>221328</v>
          </cell>
          <cell r="H79">
            <v>198492</v>
          </cell>
          <cell r="I79">
            <v>27244</v>
          </cell>
          <cell r="J79">
            <v>1908</v>
          </cell>
          <cell r="K79">
            <v>1937</v>
          </cell>
          <cell r="L79">
            <v>224692</v>
          </cell>
          <cell r="M79">
            <v>3364</v>
          </cell>
        </row>
        <row r="80">
          <cell r="A80">
            <v>428</v>
          </cell>
          <cell r="B80" t="str">
            <v>Yes</v>
          </cell>
          <cell r="C80" t="str">
            <v>Stuart-Hobson MS</v>
          </cell>
          <cell r="D80">
            <v>140</v>
          </cell>
          <cell r="E80">
            <v>146</v>
          </cell>
          <cell r="F80">
            <v>6</v>
          </cell>
          <cell r="G80">
            <v>278568</v>
          </cell>
          <cell r="H80">
            <v>272440</v>
          </cell>
          <cell r="I80">
            <v>11676</v>
          </cell>
          <cell r="J80">
            <v>1908</v>
          </cell>
          <cell r="K80">
            <v>1937</v>
          </cell>
          <cell r="L80">
            <v>282802</v>
          </cell>
          <cell r="M80">
            <v>4234</v>
          </cell>
        </row>
        <row r="81">
          <cell r="A81">
            <v>313</v>
          </cell>
          <cell r="B81" t="str">
            <v>No</v>
          </cell>
          <cell r="C81" t="str">
            <v>Shepherd ES</v>
          </cell>
          <cell r="D81">
            <v>57</v>
          </cell>
          <cell r="E81">
            <v>62</v>
          </cell>
          <cell r="F81">
            <v>5</v>
          </cell>
          <cell r="G81">
            <v>118296</v>
          </cell>
          <cell r="H81">
            <v>110922</v>
          </cell>
          <cell r="I81">
            <v>9730</v>
          </cell>
          <cell r="J81">
            <v>1908</v>
          </cell>
          <cell r="K81">
            <v>1937</v>
          </cell>
          <cell r="L81">
            <v>120094</v>
          </cell>
          <cell r="M81">
            <v>1798</v>
          </cell>
        </row>
        <row r="82">
          <cell r="A82">
            <v>305</v>
          </cell>
          <cell r="B82" t="str">
            <v>No</v>
          </cell>
          <cell r="C82" t="str">
            <v>Ross ES</v>
          </cell>
          <cell r="D82">
            <v>5</v>
          </cell>
          <cell r="E82">
            <v>7</v>
          </cell>
          <cell r="F82">
            <v>2</v>
          </cell>
          <cell r="G82">
            <v>13356</v>
          </cell>
          <cell r="H82">
            <v>9730</v>
          </cell>
          <cell r="I82">
            <v>3892</v>
          </cell>
          <cell r="J82">
            <v>1908</v>
          </cell>
          <cell r="K82">
            <v>1937</v>
          </cell>
          <cell r="L82">
            <v>13559</v>
          </cell>
          <cell r="M82">
            <v>203</v>
          </cell>
        </row>
        <row r="83">
          <cell r="A83">
            <v>427</v>
          </cell>
          <cell r="B83" t="str">
            <v>Yes</v>
          </cell>
          <cell r="C83" t="str">
            <v>Sousa MS</v>
          </cell>
          <cell r="D83">
            <v>183</v>
          </cell>
          <cell r="E83">
            <v>189</v>
          </cell>
          <cell r="F83">
            <v>6</v>
          </cell>
          <cell r="G83">
            <v>360612</v>
          </cell>
          <cell r="H83">
            <v>356118</v>
          </cell>
          <cell r="I83">
            <v>11676</v>
          </cell>
          <cell r="J83">
            <v>1908</v>
          </cell>
          <cell r="K83">
            <v>1937</v>
          </cell>
          <cell r="L83">
            <v>366093</v>
          </cell>
          <cell r="M83">
            <v>5481</v>
          </cell>
        </row>
        <row r="84">
          <cell r="A84">
            <v>252</v>
          </cell>
          <cell r="B84" t="str">
            <v>No</v>
          </cell>
          <cell r="C84" t="str">
            <v>Hyde-Addison ES</v>
          </cell>
          <cell r="D84">
            <v>18</v>
          </cell>
          <cell r="E84">
            <v>20</v>
          </cell>
          <cell r="F84">
            <v>2</v>
          </cell>
          <cell r="G84">
            <v>38160</v>
          </cell>
          <cell r="H84">
            <v>35028</v>
          </cell>
          <cell r="I84">
            <v>3892</v>
          </cell>
          <cell r="J84">
            <v>1908</v>
          </cell>
          <cell r="K84">
            <v>1937</v>
          </cell>
          <cell r="L84">
            <v>38740</v>
          </cell>
          <cell r="M84">
            <v>580</v>
          </cell>
        </row>
        <row r="85">
          <cell r="A85">
            <v>471</v>
          </cell>
          <cell r="B85" t="str">
            <v>No</v>
          </cell>
          <cell r="C85" t="str">
            <v>Ellington School of the Arts</v>
          </cell>
          <cell r="D85">
            <v>163</v>
          </cell>
          <cell r="E85">
            <v>173</v>
          </cell>
          <cell r="F85">
            <v>10</v>
          </cell>
          <cell r="G85">
            <v>330084</v>
          </cell>
          <cell r="H85">
            <v>317198</v>
          </cell>
          <cell r="I85">
            <v>19460</v>
          </cell>
          <cell r="J85">
            <v>1908</v>
          </cell>
          <cell r="K85">
            <v>1937</v>
          </cell>
          <cell r="L85">
            <v>335101</v>
          </cell>
          <cell r="M85">
            <v>5017</v>
          </cell>
        </row>
        <row r="86">
          <cell r="A86">
            <v>258</v>
          </cell>
          <cell r="B86" t="str">
            <v>No</v>
          </cell>
          <cell r="C86" t="str">
            <v>Hearst ES</v>
          </cell>
          <cell r="D86">
            <v>31</v>
          </cell>
          <cell r="E86">
            <v>32</v>
          </cell>
          <cell r="F86">
            <v>1</v>
          </cell>
          <cell r="G86">
            <v>61056</v>
          </cell>
          <cell r="H86">
            <v>60326</v>
          </cell>
          <cell r="I86">
            <v>1946</v>
          </cell>
          <cell r="J86">
            <v>1908</v>
          </cell>
          <cell r="K86">
            <v>1937</v>
          </cell>
          <cell r="L86">
            <v>61984</v>
          </cell>
          <cell r="M86">
            <v>928</v>
          </cell>
        </row>
        <row r="87">
          <cell r="A87">
            <v>433</v>
          </cell>
          <cell r="B87" t="str">
            <v>Yes</v>
          </cell>
          <cell r="C87" t="str">
            <v>Jefferson Middle School Academy</v>
          </cell>
          <cell r="D87">
            <v>172</v>
          </cell>
          <cell r="E87">
            <v>195</v>
          </cell>
          <cell r="F87">
            <v>23</v>
          </cell>
          <cell r="G87">
            <v>372060</v>
          </cell>
          <cell r="H87">
            <v>334712</v>
          </cell>
          <cell r="I87">
            <v>44758</v>
          </cell>
          <cell r="J87">
            <v>1908</v>
          </cell>
          <cell r="K87">
            <v>1937</v>
          </cell>
          <cell r="L87">
            <v>377715</v>
          </cell>
          <cell r="M87">
            <v>5655</v>
          </cell>
        </row>
        <row r="88">
          <cell r="A88">
            <v>239</v>
          </cell>
          <cell r="B88" t="str">
            <v>Yes</v>
          </cell>
          <cell r="C88" t="str">
            <v>Garrison ES</v>
          </cell>
          <cell r="D88">
            <v>113</v>
          </cell>
          <cell r="E88">
            <v>121</v>
          </cell>
          <cell r="F88">
            <v>8</v>
          </cell>
          <cell r="G88">
            <v>230868</v>
          </cell>
          <cell r="H88">
            <v>219898</v>
          </cell>
          <cell r="I88">
            <v>15568</v>
          </cell>
          <cell r="J88">
            <v>1908</v>
          </cell>
          <cell r="K88">
            <v>1937</v>
          </cell>
          <cell r="L88">
            <v>234377</v>
          </cell>
          <cell r="M88">
            <v>3509</v>
          </cell>
        </row>
        <row r="89">
          <cell r="A89">
            <v>203</v>
          </cell>
          <cell r="B89" t="str">
            <v>Yes</v>
          </cell>
          <cell r="C89" t="str">
            <v>Amidon-Bowen ES</v>
          </cell>
          <cell r="D89">
            <v>255</v>
          </cell>
          <cell r="E89">
            <v>253</v>
          </cell>
          <cell r="F89">
            <v>-2</v>
          </cell>
          <cell r="G89">
            <v>482724</v>
          </cell>
          <cell r="H89">
            <v>496230</v>
          </cell>
          <cell r="I89">
            <v>-3892</v>
          </cell>
          <cell r="J89">
            <v>1908</v>
          </cell>
          <cell r="K89">
            <v>1937</v>
          </cell>
          <cell r="L89">
            <v>490061</v>
          </cell>
          <cell r="M89">
            <v>7337</v>
          </cell>
        </row>
        <row r="90">
          <cell r="A90">
            <v>319</v>
          </cell>
          <cell r="B90" t="str">
            <v>Yes</v>
          </cell>
          <cell r="C90" t="str">
            <v>Stanton ES</v>
          </cell>
          <cell r="D90">
            <v>449</v>
          </cell>
          <cell r="E90">
            <v>451</v>
          </cell>
          <cell r="F90">
            <v>2</v>
          </cell>
          <cell r="G90">
            <v>860508</v>
          </cell>
          <cell r="H90">
            <v>873754</v>
          </cell>
          <cell r="I90">
            <v>3892</v>
          </cell>
          <cell r="J90">
            <v>1908</v>
          </cell>
          <cell r="K90">
            <v>1937</v>
          </cell>
          <cell r="L90">
            <v>873587</v>
          </cell>
          <cell r="M90">
            <v>13079</v>
          </cell>
        </row>
        <row r="91">
          <cell r="A91">
            <v>315</v>
          </cell>
          <cell r="B91" t="str">
            <v>Yes</v>
          </cell>
          <cell r="C91" t="str">
            <v>Simon ES</v>
          </cell>
          <cell r="D91">
            <v>221</v>
          </cell>
          <cell r="E91">
            <v>204</v>
          </cell>
          <cell r="F91">
            <v>-17</v>
          </cell>
          <cell r="G91">
            <v>389232</v>
          </cell>
          <cell r="H91">
            <v>430066</v>
          </cell>
          <cell r="I91">
            <v>-33082</v>
          </cell>
          <cell r="J91">
            <v>1908</v>
          </cell>
          <cell r="K91">
            <v>1937</v>
          </cell>
          <cell r="L91">
            <v>395148</v>
          </cell>
          <cell r="M91">
            <v>5916</v>
          </cell>
        </row>
        <row r="92">
          <cell r="A92">
            <v>221</v>
          </cell>
          <cell r="B92" t="str">
            <v>Yes</v>
          </cell>
          <cell r="C92" t="str">
            <v>Burrville ES</v>
          </cell>
          <cell r="D92">
            <v>241</v>
          </cell>
          <cell r="E92">
            <v>257</v>
          </cell>
          <cell r="F92">
            <v>16</v>
          </cell>
          <cell r="G92">
            <v>490356</v>
          </cell>
          <cell r="H92">
            <v>468986</v>
          </cell>
          <cell r="I92">
            <v>31136</v>
          </cell>
          <cell r="J92">
            <v>1908</v>
          </cell>
          <cell r="K92">
            <v>1937</v>
          </cell>
          <cell r="L92">
            <v>497809</v>
          </cell>
          <cell r="M92">
            <v>7453</v>
          </cell>
        </row>
        <row r="93">
          <cell r="A93">
            <v>457</v>
          </cell>
          <cell r="B93" t="str">
            <v>Yes</v>
          </cell>
          <cell r="C93" t="str">
            <v>Eastern HS</v>
          </cell>
          <cell r="D93">
            <v>723</v>
          </cell>
          <cell r="E93">
            <v>609</v>
          </cell>
          <cell r="F93">
            <v>-114</v>
          </cell>
          <cell r="G93">
            <v>1161972</v>
          </cell>
          <cell r="H93">
            <v>1406958</v>
          </cell>
          <cell r="I93">
            <v>-221844</v>
          </cell>
          <cell r="J93">
            <v>1908</v>
          </cell>
          <cell r="K93">
            <v>1937</v>
          </cell>
          <cell r="L93">
            <v>1179633</v>
          </cell>
          <cell r="M93">
            <v>17661</v>
          </cell>
        </row>
        <row r="94">
          <cell r="A94">
            <v>316</v>
          </cell>
          <cell r="B94" t="str">
            <v>Yes</v>
          </cell>
          <cell r="C94" t="str">
            <v>Randle Highlands ES</v>
          </cell>
          <cell r="D94">
            <v>213</v>
          </cell>
          <cell r="E94">
            <v>214</v>
          </cell>
          <cell r="F94">
            <v>1</v>
          </cell>
          <cell r="G94">
            <v>408312</v>
          </cell>
          <cell r="H94">
            <v>414498</v>
          </cell>
          <cell r="I94">
            <v>1946</v>
          </cell>
          <cell r="J94">
            <v>1908</v>
          </cell>
          <cell r="K94">
            <v>1937</v>
          </cell>
          <cell r="L94">
            <v>414518</v>
          </cell>
          <cell r="M94">
            <v>6206</v>
          </cell>
        </row>
        <row r="95">
          <cell r="A95">
            <v>280</v>
          </cell>
          <cell r="B95" t="str">
            <v>Yes</v>
          </cell>
          <cell r="C95" t="str">
            <v>Miner ES</v>
          </cell>
          <cell r="D95">
            <v>279</v>
          </cell>
          <cell r="E95">
            <v>271</v>
          </cell>
          <cell r="F95">
            <v>-8</v>
          </cell>
          <cell r="G95">
            <v>517068</v>
          </cell>
          <cell r="H95">
            <v>542934</v>
          </cell>
          <cell r="I95">
            <v>-15568</v>
          </cell>
          <cell r="J95">
            <v>1908</v>
          </cell>
          <cell r="K95">
            <v>1937</v>
          </cell>
          <cell r="L95">
            <v>524927</v>
          </cell>
          <cell r="M95">
            <v>7859</v>
          </cell>
        </row>
        <row r="96">
          <cell r="A96">
            <v>407</v>
          </cell>
          <cell r="B96" t="str">
            <v>Yes</v>
          </cell>
          <cell r="C96" t="str">
            <v>Eliot-Hine MS</v>
          </cell>
          <cell r="D96">
            <v>132</v>
          </cell>
          <cell r="E96">
            <v>151</v>
          </cell>
          <cell r="F96">
            <v>19</v>
          </cell>
          <cell r="G96">
            <v>288108</v>
          </cell>
          <cell r="H96">
            <v>256872</v>
          </cell>
          <cell r="I96">
            <v>36974</v>
          </cell>
          <cell r="J96">
            <v>1908</v>
          </cell>
          <cell r="K96">
            <v>1937</v>
          </cell>
          <cell r="L96">
            <v>292487</v>
          </cell>
          <cell r="M96">
            <v>4379</v>
          </cell>
        </row>
        <row r="97">
          <cell r="A97">
            <v>249</v>
          </cell>
          <cell r="B97" t="str">
            <v>Yes</v>
          </cell>
          <cell r="C97" t="str">
            <v>Hendley ES</v>
          </cell>
          <cell r="D97">
            <v>435</v>
          </cell>
          <cell r="E97">
            <v>405</v>
          </cell>
          <cell r="F97">
            <v>-30</v>
          </cell>
          <cell r="G97">
            <v>772740</v>
          </cell>
          <cell r="H97">
            <v>846510</v>
          </cell>
          <cell r="I97">
            <v>-58380</v>
          </cell>
          <cell r="J97">
            <v>1908</v>
          </cell>
          <cell r="K97">
            <v>1937</v>
          </cell>
          <cell r="L97">
            <v>784485</v>
          </cell>
          <cell r="M97">
            <v>11745</v>
          </cell>
        </row>
        <row r="98">
          <cell r="A98">
            <v>370</v>
          </cell>
          <cell r="B98" t="str">
            <v>Yes</v>
          </cell>
          <cell r="C98" t="str">
            <v>Langley ES</v>
          </cell>
          <cell r="D98">
            <v>178</v>
          </cell>
          <cell r="E98">
            <v>174</v>
          </cell>
          <cell r="F98">
            <v>-4</v>
          </cell>
          <cell r="G98">
            <v>331992</v>
          </cell>
          <cell r="H98">
            <v>346388</v>
          </cell>
          <cell r="I98">
            <v>-7784</v>
          </cell>
          <cell r="J98">
            <v>1908</v>
          </cell>
          <cell r="K98">
            <v>1937</v>
          </cell>
          <cell r="L98">
            <v>337038</v>
          </cell>
          <cell r="M98">
            <v>5046</v>
          </cell>
        </row>
        <row r="99">
          <cell r="A99">
            <v>247</v>
          </cell>
          <cell r="B99" t="str">
            <v>Yes</v>
          </cell>
          <cell r="C99" t="str">
            <v>C.W. Harris ES</v>
          </cell>
          <cell r="D99">
            <v>222</v>
          </cell>
          <cell r="E99">
            <v>214</v>
          </cell>
          <cell r="F99">
            <v>-8</v>
          </cell>
          <cell r="G99">
            <v>408312</v>
          </cell>
          <cell r="H99">
            <v>432012</v>
          </cell>
          <cell r="I99">
            <v>-15568</v>
          </cell>
          <cell r="J99">
            <v>1908</v>
          </cell>
          <cell r="K99">
            <v>1937</v>
          </cell>
          <cell r="L99">
            <v>414518</v>
          </cell>
          <cell r="M99">
            <v>6206</v>
          </cell>
        </row>
        <row r="100">
          <cell r="A100">
            <v>349</v>
          </cell>
          <cell r="B100" t="str">
            <v>Yes</v>
          </cell>
          <cell r="C100" t="str">
            <v>Dorothy Height ES</v>
          </cell>
          <cell r="D100">
            <v>236</v>
          </cell>
          <cell r="E100">
            <v>245</v>
          </cell>
          <cell r="F100">
            <v>9</v>
          </cell>
          <cell r="G100">
            <v>467460</v>
          </cell>
          <cell r="H100">
            <v>459256</v>
          </cell>
          <cell r="I100">
            <v>17514</v>
          </cell>
          <cell r="J100">
            <v>1908</v>
          </cell>
          <cell r="K100">
            <v>1937</v>
          </cell>
          <cell r="L100">
            <v>474565</v>
          </cell>
          <cell r="M100">
            <v>7105</v>
          </cell>
        </row>
        <row r="101">
          <cell r="A101">
            <v>435</v>
          </cell>
          <cell r="B101" t="str">
            <v>Yes</v>
          </cell>
          <cell r="C101" t="str">
            <v>McKinley MS</v>
          </cell>
          <cell r="D101">
            <v>126</v>
          </cell>
          <cell r="E101">
            <v>135</v>
          </cell>
          <cell r="F101">
            <v>9</v>
          </cell>
          <cell r="G101">
            <v>257580</v>
          </cell>
          <cell r="H101">
            <v>245196</v>
          </cell>
          <cell r="I101">
            <v>17514</v>
          </cell>
          <cell r="J101">
            <v>1908</v>
          </cell>
          <cell r="K101">
            <v>1937</v>
          </cell>
          <cell r="L101">
            <v>261495</v>
          </cell>
          <cell r="M101">
            <v>3915</v>
          </cell>
        </row>
        <row r="102">
          <cell r="A102">
            <v>450</v>
          </cell>
          <cell r="B102" t="str">
            <v>Yes</v>
          </cell>
          <cell r="C102" t="str">
            <v>Anacostia HS</v>
          </cell>
          <cell r="D102">
            <v>531</v>
          </cell>
          <cell r="E102">
            <v>399</v>
          </cell>
          <cell r="F102">
            <v>-132</v>
          </cell>
          <cell r="G102">
            <v>761292</v>
          </cell>
          <cell r="H102">
            <v>1033326</v>
          </cell>
          <cell r="I102">
            <v>-256872</v>
          </cell>
          <cell r="J102">
            <v>1908</v>
          </cell>
          <cell r="K102">
            <v>1937</v>
          </cell>
          <cell r="L102">
            <v>772863</v>
          </cell>
          <cell r="M102">
            <v>11571</v>
          </cell>
        </row>
        <row r="103">
          <cell r="A103">
            <v>417</v>
          </cell>
          <cell r="B103" t="str">
            <v>Yes</v>
          </cell>
          <cell r="C103" t="str">
            <v>Kramer MS</v>
          </cell>
          <cell r="D103">
            <v>218</v>
          </cell>
          <cell r="E103">
            <v>187</v>
          </cell>
          <cell r="F103">
            <v>-31</v>
          </cell>
          <cell r="G103">
            <v>356796</v>
          </cell>
          <cell r="H103">
            <v>424228</v>
          </cell>
          <cell r="I103">
            <v>-60326</v>
          </cell>
          <cell r="J103">
            <v>1908</v>
          </cell>
          <cell r="K103">
            <v>1937</v>
          </cell>
          <cell r="L103">
            <v>362219</v>
          </cell>
          <cell r="M103">
            <v>5423</v>
          </cell>
        </row>
        <row r="104">
          <cell r="A104">
            <v>330</v>
          </cell>
          <cell r="B104" t="str">
            <v>Yes</v>
          </cell>
          <cell r="C104" t="str">
            <v>Tyler ES</v>
          </cell>
          <cell r="D104">
            <v>206</v>
          </cell>
          <cell r="E104">
            <v>205</v>
          </cell>
          <cell r="F104">
            <v>-1</v>
          </cell>
          <cell r="G104">
            <v>391140</v>
          </cell>
          <cell r="H104">
            <v>400876</v>
          </cell>
          <cell r="I104">
            <v>-1946</v>
          </cell>
          <cell r="J104">
            <v>1908</v>
          </cell>
          <cell r="K104">
            <v>1937</v>
          </cell>
          <cell r="L104">
            <v>397085</v>
          </cell>
          <cell r="M104">
            <v>5945</v>
          </cell>
        </row>
        <row r="105">
          <cell r="A105">
            <v>307</v>
          </cell>
          <cell r="B105" t="str">
            <v>Yes</v>
          </cell>
          <cell r="C105" t="str">
            <v>Savoy ES</v>
          </cell>
          <cell r="D105">
            <v>280</v>
          </cell>
          <cell r="E105">
            <v>264</v>
          </cell>
          <cell r="F105">
            <v>-16</v>
          </cell>
          <cell r="G105">
            <v>503712</v>
          </cell>
          <cell r="H105">
            <v>544880</v>
          </cell>
          <cell r="I105">
            <v>-31136</v>
          </cell>
          <cell r="J105">
            <v>1908</v>
          </cell>
          <cell r="K105">
            <v>1937</v>
          </cell>
          <cell r="L105">
            <v>511368</v>
          </cell>
          <cell r="M105">
            <v>7656</v>
          </cell>
        </row>
        <row r="106">
          <cell r="A106">
            <v>413</v>
          </cell>
          <cell r="B106" t="str">
            <v>Yes</v>
          </cell>
          <cell r="C106" t="str">
            <v>Hart MS</v>
          </cell>
          <cell r="D106">
            <v>297</v>
          </cell>
          <cell r="E106">
            <v>293</v>
          </cell>
          <cell r="F106">
            <v>-4</v>
          </cell>
          <cell r="G106">
            <v>559044</v>
          </cell>
          <cell r="H106">
            <v>577962</v>
          </cell>
          <cell r="I106">
            <v>-7784</v>
          </cell>
          <cell r="J106">
            <v>1908</v>
          </cell>
          <cell r="K106">
            <v>1937</v>
          </cell>
          <cell r="L106">
            <v>567541</v>
          </cell>
          <cell r="M106">
            <v>8497</v>
          </cell>
        </row>
        <row r="107">
          <cell r="A107">
            <v>299</v>
          </cell>
          <cell r="B107" t="str">
            <v>Yes</v>
          </cell>
          <cell r="C107" t="str">
            <v>Plummer ES</v>
          </cell>
          <cell r="D107">
            <v>321</v>
          </cell>
          <cell r="E107">
            <v>311</v>
          </cell>
          <cell r="F107">
            <v>-10</v>
          </cell>
          <cell r="G107">
            <v>593388</v>
          </cell>
          <cell r="H107">
            <v>624666</v>
          </cell>
          <cell r="I107">
            <v>-19460</v>
          </cell>
          <cell r="J107">
            <v>1908</v>
          </cell>
          <cell r="K107">
            <v>1937</v>
          </cell>
          <cell r="L107">
            <v>602407</v>
          </cell>
          <cell r="M107">
            <v>9019</v>
          </cell>
        </row>
        <row r="108">
          <cell r="A108">
            <v>335</v>
          </cell>
          <cell r="B108" t="str">
            <v>Yes</v>
          </cell>
          <cell r="C108" t="str">
            <v>Wheatley EC</v>
          </cell>
          <cell r="D108">
            <v>273</v>
          </cell>
          <cell r="E108">
            <v>263</v>
          </cell>
          <cell r="F108">
            <v>-10</v>
          </cell>
          <cell r="G108">
            <v>501804</v>
          </cell>
          <cell r="H108">
            <v>531258</v>
          </cell>
          <cell r="I108">
            <v>-19460</v>
          </cell>
          <cell r="J108">
            <v>1908</v>
          </cell>
          <cell r="K108">
            <v>1937</v>
          </cell>
          <cell r="L108">
            <v>509431</v>
          </cell>
          <cell r="M108">
            <v>7627</v>
          </cell>
        </row>
        <row r="109">
          <cell r="A109">
            <v>421</v>
          </cell>
          <cell r="B109" t="str">
            <v>Yes</v>
          </cell>
          <cell r="C109" t="str">
            <v>Kelly Miller MS</v>
          </cell>
          <cell r="D109">
            <v>306</v>
          </cell>
          <cell r="E109">
            <v>307</v>
          </cell>
          <cell r="F109">
            <v>1</v>
          </cell>
          <cell r="G109">
            <v>585756</v>
          </cell>
          <cell r="H109">
            <v>595476</v>
          </cell>
          <cell r="I109">
            <v>1946</v>
          </cell>
          <cell r="J109">
            <v>1908</v>
          </cell>
          <cell r="K109">
            <v>1937</v>
          </cell>
          <cell r="L109">
            <v>594659</v>
          </cell>
          <cell r="M109">
            <v>8903</v>
          </cell>
        </row>
        <row r="110">
          <cell r="A110">
            <v>2558</v>
          </cell>
          <cell r="B110" t="str">
            <v>-</v>
          </cell>
          <cell r="C110" t="str">
            <v>DCPS</v>
          </cell>
          <cell r="D110">
            <v>24858</v>
          </cell>
          <cell r="E110">
            <v>25028</v>
          </cell>
          <cell r="F110">
            <v>170</v>
          </cell>
          <cell r="G110">
            <v>47753424</v>
          </cell>
          <cell r="H110">
            <v>48373668</v>
          </cell>
          <cell r="I110">
            <v>330820</v>
          </cell>
          <cell r="J110">
            <v>1908</v>
          </cell>
          <cell r="K110">
            <v>1937</v>
          </cell>
          <cell r="L110">
            <v>48479236</v>
          </cell>
          <cell r="M110">
            <v>725812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ool Allocation Notes"/>
      <sheetName val="Schools"/>
      <sheetName val="FY18 Enrollment"/>
      <sheetName val="PFY Enrollment"/>
      <sheetName val="FY18 Avg Position Costs"/>
      <sheetName val="CSM Control Sheet"/>
      <sheetName val="NBN Changes"/>
      <sheetName val="FY18 Allocation Model"/>
      <sheetName val="PFY Submitted Budget"/>
      <sheetName val="# of Classrooms"/>
      <sheetName val="Column Map"/>
      <sheetName val="ECE Classrooms"/>
      <sheetName val="SPED"/>
      <sheetName val="ELL"/>
      <sheetName val="FY18 NPS Set-asides"/>
      <sheetName val="NPS Set-asides Key"/>
      <sheetName val="MS Tchr Scaling"/>
      <sheetName val="Custodian"/>
      <sheetName val="Title2"/>
      <sheetName val="Title"/>
      <sheetName val="ASP"/>
      <sheetName val="Extended Day &amp; YRE"/>
      <sheetName val="ECR"/>
      <sheetName val="TLI"/>
      <sheetName val="NAF"/>
      <sheetName val="At-risk Organized Part 4"/>
      <sheetName val="At-risk Organized Part 3"/>
      <sheetName val="At-Risk Organized Part 2"/>
      <sheetName val="At-risk Attribution-Part2"/>
      <sheetName val="At-Risk Organized-Part I"/>
      <sheetName val="FY18 At-risk Attribution"/>
      <sheetName val="FY18 At-Risk Enrollment2"/>
    </sheetNames>
    <sheetDataSet>
      <sheetData sheetId="0"/>
      <sheetData sheetId="1"/>
      <sheetData sheetId="2"/>
      <sheetData sheetId="3"/>
      <sheetData sheetId="4">
        <row r="12">
          <cell r="E12">
            <v>138141</v>
          </cell>
        </row>
      </sheetData>
      <sheetData sheetId="5">
        <row r="19">
          <cell r="C19">
            <v>97685</v>
          </cell>
        </row>
        <row r="45">
          <cell r="C45">
            <v>97685</v>
          </cell>
        </row>
        <row r="63">
          <cell r="C63">
            <v>97685</v>
          </cell>
        </row>
        <row r="67">
          <cell r="C67">
            <v>97685</v>
          </cell>
        </row>
        <row r="89">
          <cell r="C89">
            <v>97685</v>
          </cell>
        </row>
        <row r="93">
          <cell r="C93">
            <v>97685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1314 PWP"/>
      <sheetName val="Total Budgeting by School"/>
      <sheetName val="Sheet2"/>
      <sheetName val="Sheet1"/>
      <sheetName val="School Allocation Notes"/>
      <sheetName val="Schools"/>
      <sheetName val="FY17 Enrollment"/>
      <sheetName val="FY17 Avg Position Costs"/>
      <sheetName val="CSM Control Sheet"/>
      <sheetName val="FY17 Allocation Model"/>
      <sheetName val="# of Classrooms"/>
      <sheetName val="Column Map"/>
      <sheetName val="ECE Classrooms"/>
      <sheetName val="SPED"/>
      <sheetName val="ELL"/>
      <sheetName val="FY17 NPS Set-asides"/>
      <sheetName val="MS Tchr Scaling"/>
      <sheetName val="Custodian (TBD)"/>
      <sheetName val="Title"/>
      <sheetName val="ASP"/>
      <sheetName val="Extended Day &amp; Year"/>
      <sheetName val="ECR"/>
      <sheetName val="TLI (TBD)"/>
      <sheetName val="At-Risk Payment (TBD)"/>
      <sheetName val="NPS Set-asides Key"/>
      <sheetName val="PFY Submitted Budget"/>
    </sheetNames>
    <sheetDataSet>
      <sheetData sheetId="0"/>
      <sheetData sheetId="1"/>
      <sheetData sheetId="2">
        <row r="2">
          <cell r="A2" t="str">
            <v>Admin Premium</v>
          </cell>
        </row>
        <row r="3">
          <cell r="A3" t="str">
            <v>Contracts</v>
          </cell>
        </row>
        <row r="4">
          <cell r="A4" t="str">
            <v>Hardware</v>
          </cell>
        </row>
        <row r="5">
          <cell r="A5" t="str">
            <v>Professional Development</v>
          </cell>
        </row>
        <row r="6">
          <cell r="A6" t="str">
            <v>Security</v>
          </cell>
        </row>
        <row r="7">
          <cell r="A7" t="str">
            <v>Software</v>
          </cell>
        </row>
        <row r="8">
          <cell r="A8" t="str">
            <v>Supplies</v>
          </cell>
        </row>
        <row r="9">
          <cell r="A9" t="str">
            <v>Travel</v>
          </cell>
        </row>
      </sheetData>
      <sheetData sheetId="3"/>
      <sheetData sheetId="4"/>
      <sheetData sheetId="5">
        <row r="2">
          <cell r="A2" t="str">
            <v>--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 Allocation with FTE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13 Allocations"/>
      <sheetName val="CFO Analysis by School"/>
      <sheetName val="Budgeting Summary"/>
      <sheetName val="Total Budgeting by School"/>
      <sheetName val="Vacancies Summary by School"/>
      <sheetName val="FY12 Planned v Funded Budget"/>
      <sheetName val="School Organizational Data"/>
      <sheetName val="Z-Pick Lists"/>
      <sheetName val="School Calendar"/>
      <sheetName val="Schedule A 11 30 12"/>
      <sheetName val="Indices and PCA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Org Code</v>
          </cell>
        </row>
      </sheetData>
      <sheetData sheetId="7">
        <row r="2">
          <cell r="D2" t="str">
            <v>Aiton</v>
          </cell>
          <cell r="G2" t="str">
            <v>T1</v>
          </cell>
        </row>
        <row r="3">
          <cell r="G3" t="str">
            <v>T1 - CO FY11</v>
          </cell>
        </row>
        <row r="4">
          <cell r="G4" t="str">
            <v>T1 - CO FY12</v>
          </cell>
        </row>
        <row r="5">
          <cell r="G5" t="str">
            <v>T1 - PEI</v>
          </cell>
        </row>
        <row r="6">
          <cell r="G6" t="str">
            <v>SIG</v>
          </cell>
        </row>
        <row r="7">
          <cell r="G7" t="str">
            <v>LD</v>
          </cell>
        </row>
        <row r="8">
          <cell r="G8" t="str">
            <v>LD - SA</v>
          </cell>
        </row>
        <row r="9">
          <cell r="G9" t="str">
            <v>LD - Tech</v>
          </cell>
        </row>
        <row r="10">
          <cell r="G10" t="str">
            <v>LD - Edu</v>
          </cell>
        </row>
        <row r="11">
          <cell r="G11" t="str">
            <v>LD-SE</v>
          </cell>
        </row>
        <row r="12">
          <cell r="G12" t="str">
            <v>Grant</v>
          </cell>
        </row>
        <row r="13">
          <cell r="G13" t="str">
            <v>Race</v>
          </cell>
        </row>
        <row r="14">
          <cell r="G14" t="str">
            <v>NOT FUNDED</v>
          </cell>
        </row>
      </sheetData>
      <sheetData sheetId="8">
        <row r="1">
          <cell r="J1">
            <v>3</v>
          </cell>
        </row>
      </sheetData>
      <sheetData sheetId="9">
        <row r="2">
          <cell r="C2">
            <v>75625</v>
          </cell>
        </row>
      </sheetData>
      <sheetData sheetId="10">
        <row r="2">
          <cell r="A2" t="str">
            <v>Aiton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verage Salaries FY12"/>
      <sheetName val="Assumptions"/>
      <sheetName val="CSM"/>
      <sheetName val="Staffing model"/>
      <sheetName val="Schools"/>
      <sheetName val="FINAL ELL"/>
      <sheetName val="FINAL SPED"/>
      <sheetName val="Final Enrollment 2-8-11"/>
      <sheetName val="Final Enrollment"/>
      <sheetName val="Pivot Analysis"/>
      <sheetName val="Enrollment "/>
      <sheetName val="grants"/>
      <sheetName val="Schools-SPED"/>
      <sheetName val="ELL"/>
      <sheetName val="SPED Staffing Model FY12"/>
      <sheetName val="SPED Staffing Model"/>
      <sheetName val="TITLES"/>
      <sheetName val="schools-sped1"/>
      <sheetName val="schools off CSM"/>
      <sheetName val="Sheet1"/>
      <sheetName val="SHS ratio"/>
      <sheetName val="Nurses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Summary"/>
      <sheetName val="Variable Inputs"/>
      <sheetName val="Enrollment"/>
      <sheetName val="10.8M"/>
      <sheetName val="Small School &amp; Spec"/>
      <sheetName val="Summary Allocations"/>
      <sheetName val="Reserve Adjustments"/>
      <sheetName val="Schools"/>
      <sheetName val="Allocation Sheet"/>
      <sheetName val="Space Constrained subsidy"/>
      <sheetName val="Enrollment Accuracy"/>
      <sheetName val="Projection Sheet"/>
      <sheetName val="ESL Model"/>
      <sheetName val="SPEd Model"/>
      <sheetName val="grade weigh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13 Allocations"/>
      <sheetName val="CFO Analysis by School"/>
      <sheetName val="Budgeting Summary"/>
      <sheetName val="Total Budgeting by School"/>
      <sheetName val="Vacancies Summary by School"/>
      <sheetName val="FY12 Planned v Funded Budget"/>
      <sheetName val="School Organizational Data"/>
      <sheetName val="Z-Pick Lists"/>
      <sheetName val="School Calendar"/>
      <sheetName val="Indices and P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Aiton</v>
          </cell>
        </row>
        <row r="3">
          <cell r="D3" t="str">
            <v>Amidon-Bowen</v>
          </cell>
        </row>
        <row r="4">
          <cell r="D4" t="str">
            <v>Anacostia</v>
          </cell>
        </row>
        <row r="5">
          <cell r="D5" t="str">
            <v>Ballou</v>
          </cell>
        </row>
        <row r="6">
          <cell r="D6" t="str">
            <v>Ballou STAY</v>
          </cell>
        </row>
        <row r="7">
          <cell r="D7" t="str">
            <v>Bancroft</v>
          </cell>
        </row>
        <row r="8">
          <cell r="D8" t="str">
            <v>Barnard</v>
          </cell>
        </row>
        <row r="9">
          <cell r="D9" t="str">
            <v>Beers</v>
          </cell>
        </row>
        <row r="10">
          <cell r="D10" t="str">
            <v>Benjamin Banneker</v>
          </cell>
        </row>
        <row r="11">
          <cell r="D11" t="str">
            <v>Brent</v>
          </cell>
        </row>
        <row r="12">
          <cell r="D12" t="str">
            <v>Brightwood</v>
          </cell>
        </row>
        <row r="13">
          <cell r="D13" t="str">
            <v>Brookland @ Bunker Hill</v>
          </cell>
        </row>
        <row r="14">
          <cell r="D14" t="str">
            <v>Browne</v>
          </cell>
        </row>
        <row r="15">
          <cell r="D15" t="str">
            <v>Bruce-Monroe @ Park View</v>
          </cell>
        </row>
        <row r="16">
          <cell r="D16" t="str">
            <v>Burroughs</v>
          </cell>
        </row>
        <row r="17">
          <cell r="D17" t="str">
            <v>Burrville</v>
          </cell>
        </row>
        <row r="18">
          <cell r="D18" t="str">
            <v>C.W. Harris</v>
          </cell>
        </row>
        <row r="19">
          <cell r="D19" t="str">
            <v>Capitol Hill Montesorri</v>
          </cell>
        </row>
        <row r="20">
          <cell r="D20" t="str">
            <v>Cardozo</v>
          </cell>
        </row>
        <row r="21">
          <cell r="D21" t="str">
            <v>CHOICE Academy</v>
          </cell>
        </row>
        <row r="22">
          <cell r="D22" t="str">
            <v>Cleveland</v>
          </cell>
        </row>
        <row r="23">
          <cell r="D23" t="str">
            <v>Columbia Heights (CHEC)</v>
          </cell>
        </row>
        <row r="24">
          <cell r="D24" t="str">
            <v>Coolidge</v>
          </cell>
        </row>
        <row r="25">
          <cell r="D25" t="str">
            <v>Davis</v>
          </cell>
        </row>
        <row r="26">
          <cell r="D26" t="str">
            <v>Deal</v>
          </cell>
        </row>
        <row r="27">
          <cell r="D27" t="str">
            <v>Drew</v>
          </cell>
        </row>
        <row r="28">
          <cell r="D28" t="str">
            <v>Dunbar</v>
          </cell>
        </row>
        <row r="29">
          <cell r="D29" t="str">
            <v>Eastern</v>
          </cell>
        </row>
        <row r="30">
          <cell r="D30" t="str">
            <v>Eaton</v>
          </cell>
        </row>
        <row r="31">
          <cell r="D31" t="str">
            <v>Eliot-Hine</v>
          </cell>
        </row>
        <row r="32">
          <cell r="D32" t="str">
            <v>Ellington School of the Arts</v>
          </cell>
        </row>
        <row r="33">
          <cell r="D33" t="str">
            <v>Ferebee-Hope</v>
          </cell>
        </row>
        <row r="34">
          <cell r="D34" t="str">
            <v>Francis-Stevens</v>
          </cell>
        </row>
        <row r="35">
          <cell r="D35" t="str">
            <v>Garfield</v>
          </cell>
        </row>
        <row r="36">
          <cell r="D36" t="str">
            <v>Garrison</v>
          </cell>
        </row>
        <row r="37">
          <cell r="D37" t="str">
            <v>H.D. Cooke</v>
          </cell>
        </row>
        <row r="38">
          <cell r="D38" t="str">
            <v>Hardy</v>
          </cell>
        </row>
        <row r="39">
          <cell r="D39" t="str">
            <v>Hart</v>
          </cell>
        </row>
        <row r="40">
          <cell r="D40" t="str">
            <v>Hearst</v>
          </cell>
        </row>
        <row r="41">
          <cell r="D41" t="str">
            <v>Hendley</v>
          </cell>
        </row>
        <row r="42">
          <cell r="D42" t="str">
            <v>Houston</v>
          </cell>
        </row>
        <row r="43">
          <cell r="D43" t="str">
            <v>Hyde-Addison</v>
          </cell>
        </row>
        <row r="44">
          <cell r="D44" t="str">
            <v>Incarcerated Youth Program</v>
          </cell>
        </row>
        <row r="45">
          <cell r="D45" t="str">
            <v>Janney</v>
          </cell>
        </row>
        <row r="46">
          <cell r="D46" t="str">
            <v>Jefferson Academy</v>
          </cell>
        </row>
        <row r="47">
          <cell r="D47" t="str">
            <v>Jefferson</v>
          </cell>
        </row>
        <row r="48">
          <cell r="D48" t="str">
            <v>Johnson, John Hayden</v>
          </cell>
        </row>
        <row r="49">
          <cell r="D49" t="str">
            <v>Kelly Miller</v>
          </cell>
        </row>
        <row r="50">
          <cell r="D50" t="str">
            <v>Kenilworth</v>
          </cell>
        </row>
        <row r="51">
          <cell r="D51" t="str">
            <v>Ketcham</v>
          </cell>
        </row>
        <row r="52">
          <cell r="D52" t="str">
            <v>Key</v>
          </cell>
        </row>
        <row r="53">
          <cell r="D53" t="str">
            <v>Kimball</v>
          </cell>
        </row>
        <row r="54">
          <cell r="D54" t="str">
            <v>King, M.L.</v>
          </cell>
        </row>
        <row r="55">
          <cell r="D55" t="str">
            <v>Kramer</v>
          </cell>
        </row>
        <row r="56">
          <cell r="D56" t="str">
            <v>Lafayette</v>
          </cell>
        </row>
        <row r="57">
          <cell r="D57" t="str">
            <v>Langdon</v>
          </cell>
        </row>
        <row r="58">
          <cell r="D58" t="str">
            <v>Langley</v>
          </cell>
        </row>
        <row r="59">
          <cell r="D59" t="str">
            <v>LaSalle-Backus</v>
          </cell>
        </row>
        <row r="60">
          <cell r="D60" t="str">
            <v>Leckie</v>
          </cell>
        </row>
        <row r="61">
          <cell r="D61" t="str">
            <v>Ludlow-Taylor</v>
          </cell>
        </row>
        <row r="62">
          <cell r="D62" t="str">
            <v>Luke Moore</v>
          </cell>
        </row>
        <row r="63">
          <cell r="D63" t="str">
            <v>M.C. Terrell/ McGogney</v>
          </cell>
        </row>
        <row r="64">
          <cell r="D64" t="str">
            <v>MacFarland</v>
          </cell>
        </row>
        <row r="65">
          <cell r="D65" t="str">
            <v>Malcolm X</v>
          </cell>
        </row>
        <row r="66">
          <cell r="D66" t="str">
            <v>Mamie D. Lee School</v>
          </cell>
        </row>
        <row r="67">
          <cell r="D67" t="str">
            <v>Mann</v>
          </cell>
        </row>
        <row r="68">
          <cell r="D68" t="str">
            <v>Marie Reed</v>
          </cell>
        </row>
        <row r="69">
          <cell r="D69" t="str">
            <v>Marshall</v>
          </cell>
        </row>
        <row r="70">
          <cell r="D70" t="str">
            <v>Maury</v>
          </cell>
        </row>
        <row r="71">
          <cell r="D71" t="str">
            <v>McKinley Technology</v>
          </cell>
        </row>
        <row r="72">
          <cell r="D72" t="str">
            <v>Miner</v>
          </cell>
        </row>
        <row r="73">
          <cell r="D73" t="str">
            <v>Moten @ Wilkinson</v>
          </cell>
        </row>
        <row r="74">
          <cell r="D74" t="str">
            <v>Murch</v>
          </cell>
        </row>
        <row r="75">
          <cell r="D75" t="str">
            <v>Nalle</v>
          </cell>
        </row>
        <row r="76">
          <cell r="D76" t="str">
            <v>Noyes</v>
          </cell>
        </row>
        <row r="77">
          <cell r="D77" t="str">
            <v>Orr</v>
          </cell>
        </row>
        <row r="78">
          <cell r="D78" t="str">
            <v>Oyster-Adams Bilingual School</v>
          </cell>
        </row>
        <row r="79">
          <cell r="D79" t="str">
            <v>Patterson</v>
          </cell>
        </row>
        <row r="80">
          <cell r="D80" t="str">
            <v>Payne</v>
          </cell>
        </row>
        <row r="81">
          <cell r="D81" t="str">
            <v>Peabody</v>
          </cell>
        </row>
        <row r="82">
          <cell r="D82" t="str">
            <v>Phelps ACE</v>
          </cell>
        </row>
        <row r="83">
          <cell r="D83" t="str">
            <v>Plummer</v>
          </cell>
        </row>
        <row r="84">
          <cell r="D84" t="str">
            <v>Powell</v>
          </cell>
        </row>
        <row r="85">
          <cell r="D85" t="str">
            <v>Prospect LC</v>
          </cell>
        </row>
        <row r="86">
          <cell r="D86" t="str">
            <v>Randle Highlands</v>
          </cell>
        </row>
        <row r="87">
          <cell r="D87" t="str">
            <v>Raymond</v>
          </cell>
        </row>
        <row r="88">
          <cell r="D88" t="str">
            <v>River Terrace</v>
          </cell>
        </row>
        <row r="89">
          <cell r="D89" t="str">
            <v>Ron Brown</v>
          </cell>
        </row>
        <row r="90">
          <cell r="D90" t="str">
            <v>Roosevelt</v>
          </cell>
        </row>
        <row r="91">
          <cell r="D91" t="str">
            <v>Roosevelt STAY</v>
          </cell>
        </row>
        <row r="92">
          <cell r="D92" t="str">
            <v>Ross</v>
          </cell>
        </row>
        <row r="93">
          <cell r="D93" t="str">
            <v>Savoy</v>
          </cell>
        </row>
        <row r="94">
          <cell r="D94" t="str">
            <v>School Without Walls</v>
          </cell>
        </row>
        <row r="95">
          <cell r="D95" t="str">
            <v>School-Within-School @ Peabody</v>
          </cell>
        </row>
        <row r="96">
          <cell r="D96" t="str">
            <v>Seaton</v>
          </cell>
        </row>
        <row r="97">
          <cell r="D97" t="str">
            <v>Sharpe Health School</v>
          </cell>
        </row>
        <row r="98">
          <cell r="D98" t="str">
            <v>Shaw @ Garnet-Patterson</v>
          </cell>
        </row>
        <row r="99">
          <cell r="D99" t="str">
            <v>Shepherd</v>
          </cell>
        </row>
        <row r="100">
          <cell r="D100" t="str">
            <v>Simon</v>
          </cell>
        </row>
        <row r="101">
          <cell r="D101" t="str">
            <v>Smothers</v>
          </cell>
        </row>
        <row r="102">
          <cell r="D102" t="str">
            <v>Sousa</v>
          </cell>
        </row>
        <row r="103">
          <cell r="D103" t="str">
            <v>Spingarn</v>
          </cell>
        </row>
        <row r="104">
          <cell r="D104" t="str">
            <v>Spingarn STAY</v>
          </cell>
        </row>
        <row r="105">
          <cell r="D105" t="str">
            <v>Stanton</v>
          </cell>
        </row>
        <row r="106">
          <cell r="D106" t="str">
            <v>Stoddert</v>
          </cell>
        </row>
        <row r="107">
          <cell r="D107" t="str">
            <v>Stuart-Hobson</v>
          </cell>
        </row>
        <row r="108">
          <cell r="D108" t="str">
            <v>Takoma</v>
          </cell>
        </row>
        <row r="109">
          <cell r="D109" t="str">
            <v>Thomas</v>
          </cell>
        </row>
        <row r="110">
          <cell r="D110" t="str">
            <v>Thomson</v>
          </cell>
        </row>
        <row r="111">
          <cell r="D111" t="str">
            <v>Transition Academy @ Ballou</v>
          </cell>
        </row>
        <row r="112">
          <cell r="D112" t="str">
            <v>Truesdell</v>
          </cell>
        </row>
        <row r="113">
          <cell r="D113" t="str">
            <v>Tubman</v>
          </cell>
        </row>
        <row r="114">
          <cell r="D114" t="str">
            <v>Turner @ Green</v>
          </cell>
        </row>
        <row r="115">
          <cell r="D115" t="str">
            <v>Tyler</v>
          </cell>
        </row>
        <row r="116">
          <cell r="D116" t="str">
            <v>Walker-Jones</v>
          </cell>
        </row>
        <row r="117">
          <cell r="D117" t="str">
            <v>Washington Metropolitan</v>
          </cell>
        </row>
        <row r="118">
          <cell r="D118" t="str">
            <v>Watkins</v>
          </cell>
        </row>
        <row r="119">
          <cell r="D119" t="str">
            <v>West</v>
          </cell>
        </row>
        <row r="120">
          <cell r="D120" t="str">
            <v>Wheatley</v>
          </cell>
        </row>
        <row r="121">
          <cell r="D121" t="str">
            <v>Whittier</v>
          </cell>
        </row>
        <row r="122">
          <cell r="D122" t="str">
            <v>Wilson</v>
          </cell>
        </row>
        <row r="123">
          <cell r="D123" t="str">
            <v>Wilson JO</v>
          </cell>
        </row>
        <row r="124">
          <cell r="D124" t="str">
            <v>Winston</v>
          </cell>
        </row>
        <row r="125">
          <cell r="D125" t="str">
            <v>Woodson</v>
          </cell>
        </row>
        <row r="126">
          <cell r="D126" t="str">
            <v>Youth Services Center</v>
          </cell>
        </row>
      </sheetData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yer, Annie (DCPS)" refreshedDate="42844.564812962963" createdVersion="5" refreshedVersion="5" minRefreshableVersion="3" recordCount="116">
  <cacheSource type="worksheet">
    <worksheetSource ref="A1:DH117" sheet="Initial allocations"/>
  </cacheSource>
  <cacheFields count="114">
    <cacheField name="School Information" numFmtId="0">
      <sharedItems containsMixedTypes="1" containsNumber="1" containsInteger="1" minValue="175" maxValue="950"/>
    </cacheField>
    <cacheField name="School Information2" numFmtId="0">
      <sharedItems count="116">
        <s v="School Name"/>
        <s v="Aiton ES"/>
        <s v="Amidon-Bowen ES"/>
        <s v="Anacostia HS"/>
        <s v="Ballou HS"/>
        <s v="Ballou STAY"/>
        <s v="Bancroft ES"/>
        <s v="Barnard ES"/>
        <s v="Beers ES"/>
        <s v="Benjamin Banneker HS"/>
        <s v="Brent ES"/>
        <s v="Brightwood Education Campus"/>
        <s v="Brookland MS"/>
        <s v="Browne EC"/>
        <s v="Bruce-Monroe ES @ Park View"/>
        <s v="Bunker Hill ES"/>
        <s v="Burroughs ES"/>
        <s v="Burrville ES"/>
        <s v="C.W. Harris ES"/>
        <s v="Cap Hill Montessori @ Logan"/>
        <s v="Cardozo EC"/>
        <s v="Choice Academy"/>
        <s v="Cleveland ES"/>
        <s v="Columbia Heights EC (CHEC)"/>
        <s v="Coolidge HS"/>
        <s v="Deal MS"/>
        <s v="Dorothy Height ES"/>
        <s v="Drew ES"/>
        <s v="Dunbar HS"/>
        <s v="Eastern HS"/>
        <s v="Eaton ES"/>
        <s v="Eliot-Hine MS"/>
        <s v="Ellington School of the Arts"/>
        <s v="Garfield ES"/>
        <s v="Garrison ES"/>
        <s v="H.D. Cooke ES"/>
        <s v="Hardy MS"/>
        <s v="Hart MS"/>
        <s v="Hearst ES"/>
        <s v="Hendley ES"/>
        <s v="Houston ES"/>
        <s v="Hyde-Addison ES"/>
        <s v="Inspiring Youth Program"/>
        <s v="J.O. Wilson ES"/>
        <s v="Janney ES"/>
        <s v="Jefferson Middle School Academy"/>
        <s v="Johnson MS"/>
        <s v="Kelly Miller MS"/>
        <s v="Ketcham ES"/>
        <s v="Key ES"/>
        <s v="Kimball ES"/>
        <s v="King, M.L. ES"/>
        <s v="Kramer MS"/>
        <s v="Lafayette ES"/>
        <s v="Langdon EC"/>
        <s v="Langley ES"/>
        <s v="LaSalle-Backus EC"/>
        <s v="Leckie ES"/>
        <s v="Ludlow-Taylor ES"/>
        <s v="Luke Moore Alternative HS"/>
        <s v="MacFarland MS"/>
        <s v="Malcolm X ES @ Green"/>
        <s v="Mann ES"/>
        <s v="Marie Reed ES"/>
        <s v="Maury ES"/>
        <s v="McKinley MS"/>
        <s v="McKinley Technology HS"/>
        <s v="Miner ES"/>
        <s v="Moten ES"/>
        <s v="Murch ES"/>
        <s v="Nalle ES"/>
        <s v="Noyes ES"/>
        <s v="Orr ES"/>
        <s v="Oyster-Adams Bilingual"/>
        <s v="Patterson ES"/>
        <s v="Payne ES"/>
        <s v="Peabody ES"/>
        <s v="Phelps ACE HS"/>
        <s v="Plummer ES"/>
        <s v="Powell ES"/>
        <s v="Randle Highlands ES"/>
        <s v="Raymond EC"/>
        <s v="River Terrace SEC"/>
        <s v="Ron Brown College Preparatory High School"/>
        <s v="Roosevelt HS"/>
        <s v="Roosevelt STAY"/>
        <s v="Ross ES"/>
        <s v="Savoy ES"/>
        <s v="School Without Walls @ Francis-Stevens"/>
        <s v="School Without Walls HS"/>
        <s v="School-Within-School @ Goding"/>
        <s v="Seaton ES"/>
        <s v="Shepherd ES"/>
        <s v="Simon ES"/>
        <s v="Smothers ES"/>
        <s v="Sousa MS"/>
        <s v="Stanton ES"/>
        <s v="Stoddert ES"/>
        <s v="Stuart-Hobson MS"/>
        <s v="Takoma EC"/>
        <s v="Thomas ES"/>
        <s v="Thomson ES"/>
        <s v="Truesdell EC"/>
        <s v="Tubman ES"/>
        <s v="Turner ES"/>
        <s v="Tyler ES"/>
        <s v="Van Ness ES"/>
        <s v="Walker-Jones EC"/>
        <s v="Washington Metropolitan HS"/>
        <s v="Watkins ES"/>
        <s v="West EC"/>
        <s v="Wheatley EC"/>
        <s v="Whittier EC"/>
        <s v="Wilson HS"/>
        <s v="Woodson, H.D. HS"/>
        <s v="Youth Services Center ($2.5M MOU)"/>
      </sharedItems>
    </cacheField>
    <cacheField name="School Information3" numFmtId="0">
      <sharedItems/>
    </cacheField>
    <cacheField name="School Information4" numFmtId="0">
      <sharedItems containsMixedTypes="1" containsNumber="1" containsInteger="1" minValue="1" maxValue="8"/>
    </cacheField>
    <cacheField name="School Information5" numFmtId="0">
      <sharedItems containsMixedTypes="1" containsNumber="1" containsInteger="1" minValue="0" maxValue="1745"/>
    </cacheField>
    <cacheField name="School Information6" numFmtId="0">
      <sharedItems containsMixedTypes="1" containsNumber="1" containsInteger="1" minValue="0" maxValue="904"/>
    </cacheField>
    <cacheField name="Enrollment" numFmtId="0">
      <sharedItems containsMixedTypes="1" containsNumber="1" minValue="0" maxValue="171051"/>
    </cacheField>
    <cacheField name="Enrollment2" numFmtId="0">
      <sharedItems containsMixedTypes="1" containsNumber="1" minValue="0" maxValue="195370"/>
    </cacheField>
    <cacheField name="Enrollment3" numFmtId="0">
      <sharedItems containsMixedTypes="1" containsNumber="1" minValue="0" maxValue="801217.79999999993"/>
    </cacheField>
    <cacheField name="Enrollment4" numFmtId="0">
      <sharedItems containsMixedTypes="1" containsNumber="1" minValue="0" maxValue="371203"/>
    </cacheField>
    <cacheField name="Enrollment5" numFmtId="0">
      <sharedItems containsMixedTypes="1" containsNumber="1" minValue="0" maxValue="780997"/>
    </cacheField>
    <cacheField name="Enrollment6" numFmtId="0">
      <sharedItems containsMixedTypes="1" containsNumber="1" containsInteger="1" minValue="0" maxValue="75970"/>
    </cacheField>
    <cacheField name="Enrollment7" numFmtId="0">
      <sharedItems containsMixedTypes="1" containsNumber="1" containsInteger="1" minValue="55700" maxValue="55700"/>
    </cacheField>
    <cacheField name="Enrollment8" numFmtId="0">
      <sharedItems containsMixedTypes="1" containsNumber="1" minValue="0" maxValue="178072.40000000002"/>
    </cacheField>
    <cacheField name="Enrollment9" numFmtId="0">
      <sharedItems containsMixedTypes="1" containsNumber="1" containsInteger="1" minValue="0" maxValue="47542"/>
    </cacheField>
    <cacheField name="Enrollment10" numFmtId="0">
      <sharedItems containsMixedTypes="1" containsNumber="1" containsInteger="1" minValue="0" maxValue="175461"/>
    </cacheField>
    <cacheField name="Enrollment11" numFmtId="0">
      <sharedItems containsMixedTypes="1" containsNumber="1" containsInteger="1" minValue="0" maxValue="202968"/>
    </cacheField>
    <cacheField name="Enrollment12" numFmtId="0">
      <sharedItems containsMixedTypes="1" containsNumber="1" containsInteger="1" minValue="0" maxValue="204744"/>
    </cacheField>
    <cacheField name="Enrollment13" numFmtId="0">
      <sharedItems containsMixedTypes="1" containsNumber="1" containsInteger="1" minValue="0" maxValue="9"/>
    </cacheField>
    <cacheField name="Enrollment14" numFmtId="0">
      <sharedItems containsMixedTypes="1" containsNumber="1" containsInteger="1" minValue="0" maxValue="370206"/>
    </cacheField>
    <cacheField name="Enrollment15" numFmtId="0">
      <sharedItems containsMixedTypes="1" containsNumber="1" minValue="0" maxValue="195370"/>
    </cacheField>
    <cacheField name="Enrollment16" numFmtId="0">
      <sharedItems containsMixedTypes="1" containsNumber="1" minValue="0" maxValue="97685"/>
    </cacheField>
    <cacheField name="Enrollment17" numFmtId="0">
      <sharedItems containsMixedTypes="1" containsNumber="1" minValue="0" maxValue="97685"/>
    </cacheField>
    <cacheField name="Enrollment18" numFmtId="0">
      <sharedItems containsMixedTypes="1" containsNumber="1" minValue="0" maxValue="195370"/>
    </cacheField>
    <cacheField name="Enrollment19" numFmtId="165">
      <sharedItems containsMixedTypes="1" containsNumber="1" minValue="0" maxValue="439582.5"/>
    </cacheField>
    <cacheField name="Enrollment20" numFmtId="0">
      <sharedItems containsMixedTypes="1" containsNumber="1" containsInteger="1" minValue="0" maxValue="390740"/>
    </cacheField>
    <cacheField name="Enrollment21" numFmtId="0">
      <sharedItems containsMixedTypes="1" containsNumber="1" containsInteger="1" minValue="0" maxValue="115660"/>
    </cacheField>
    <cacheField name="Enrollment22" numFmtId="0">
      <sharedItems containsMixedTypes="1" containsNumber="1" containsInteger="1" minValue="0" maxValue="781480"/>
    </cacheField>
    <cacheField name="Enrollment23" numFmtId="0">
      <sharedItems containsMixedTypes="1" containsNumber="1" containsInteger="1" minValue="0" maxValue="231320"/>
    </cacheField>
    <cacheField name="Enrollment24" numFmtId="0">
      <sharedItems containsMixedTypes="1" containsNumber="1" containsInteger="1" minValue="0" maxValue="488425" count="7">
        <s v="PK4 Teacher"/>
        <n v="195370"/>
        <n v="97685"/>
        <n v="0"/>
        <n v="293055"/>
        <n v="390740"/>
        <n v="488425"/>
      </sharedItems>
    </cacheField>
    <cacheField name="Enrollment25" numFmtId="0">
      <sharedItems containsMixedTypes="1" containsNumber="1" containsInteger="1" minValue="0" maxValue="144575"/>
    </cacheField>
    <cacheField name="Enrollment26" numFmtId="0">
      <sharedItems containsMixedTypes="1" containsNumber="1" containsInteger="1" minValue="0" maxValue="488425"/>
    </cacheField>
    <cacheField name="Enrollment27" numFmtId="0">
      <sharedItems containsMixedTypes="1" containsNumber="1" containsInteger="1" minValue="0" maxValue="144575"/>
    </cacheField>
    <cacheField name="Enrollment28" numFmtId="0">
      <sharedItems containsMixedTypes="1" containsNumber="1" containsInteger="1" minValue="0" maxValue="586110"/>
    </cacheField>
    <cacheField name="Enrollment29" numFmtId="0">
      <sharedItems containsMixedTypes="1" containsNumber="1" containsInteger="1" minValue="0" maxValue="488425"/>
    </cacheField>
    <cacheField name="Enrollment30" numFmtId="0">
      <sharedItems containsMixedTypes="1" containsNumber="1" containsInteger="1" minValue="0" maxValue="488425"/>
    </cacheField>
    <cacheField name="Enrollment31" numFmtId="0">
      <sharedItems containsMixedTypes="1" containsNumber="1" containsInteger="1" minValue="0" maxValue="390740"/>
    </cacheField>
    <cacheField name="Enrollment32" numFmtId="0">
      <sharedItems containsMixedTypes="1" containsNumber="1" containsInteger="1" minValue="0" maxValue="488425"/>
    </cacheField>
    <cacheField name="Enrollment33" numFmtId="0">
      <sharedItems containsMixedTypes="1" containsNumber="1" minValue="0" maxValue="2256523.5"/>
    </cacheField>
    <cacheField name="Enrollment34" numFmtId="0">
      <sharedItems containsMixedTypes="1" containsNumber="1" minValue="0" maxValue="2432356.5"/>
    </cacheField>
    <cacheField name="Enrollment35" numFmtId="0">
      <sharedItems containsMixedTypes="1" containsNumber="1" minValue="0" maxValue="2109996"/>
    </cacheField>
    <cacheField name="Enrollment36" numFmtId="0">
      <sharedItems containsMixedTypes="1" containsNumber="1" minValue="0" maxValue="1367590"/>
    </cacheField>
    <cacheField name="Enrollment37" numFmtId="0">
      <sharedItems containsMixedTypes="1" containsNumber="1" minValue="0" maxValue="1025692.5"/>
    </cacheField>
    <cacheField name="Enrollment38" numFmtId="0">
      <sharedItems containsMixedTypes="1" containsNumber="1" minValue="0" maxValue="1045229.4999999999"/>
    </cacheField>
    <cacheField name="Enrollment39" numFmtId="0">
      <sharedItems containsMixedTypes="1" containsNumber="1" minValue="0" maxValue="1015924"/>
    </cacheField>
    <cacheField name="Enrollment40" numFmtId="0">
      <sharedItems containsMixedTypes="1" containsNumber="1" containsInteger="1" minValue="0" maxValue="586110"/>
    </cacheField>
    <cacheField name="Enrollment41" numFmtId="0">
      <sharedItems containsMixedTypes="1" containsNumber="1" minValue="0" maxValue="8107855"/>
    </cacheField>
    <cacheField name="Special Education" numFmtId="0">
      <sharedItems containsMixedTypes="1" containsNumber="1" minValue="0" maxValue="195370"/>
    </cacheField>
    <cacheField name="Special Education2" numFmtId="0">
      <sharedItems containsMixedTypes="1" containsNumber="1" minValue="0" maxValue="586110"/>
    </cacheField>
    <cacheField name="Special Education3" numFmtId="0">
      <sharedItems containsMixedTypes="1" containsNumber="1" minValue="48842.5" maxValue="2344440"/>
    </cacheField>
    <cacheField name="Special Education4" numFmtId="0">
      <sharedItems containsMixedTypes="1" containsNumber="1" containsInteger="1" minValue="0" maxValue="636130"/>
    </cacheField>
    <cacheField name="Special Education5" numFmtId="0">
      <sharedItems containsMixedTypes="1" containsNumber="1" containsInteger="1" minValue="0" maxValue="180888"/>
    </cacheField>
    <cacheField name="English Language Learner" numFmtId="0">
      <sharedItems containsMixedTypes="1" containsNumber="1" minValue="0" maxValue="2149070" count="27">
        <s v="ELL Teacher"/>
        <n v="0"/>
        <n v="17760.909090909092"/>
        <n v="4440.227272727273"/>
        <n v="8880.454545454546"/>
        <n v="1074535"/>
        <n v="879165"/>
        <n v="39962.045454545456"/>
        <n v="1953700"/>
        <n v="97685"/>
        <n v="13320.681818181818"/>
        <n v="1856015"/>
        <n v="195370"/>
        <n v="2149070"/>
        <n v="390740"/>
        <n v="683795"/>
        <n v="31081.590909090908"/>
        <n v="586110"/>
        <n v="22201.136363636364"/>
        <n v="35521.818181818184"/>
        <n v="26641.363636363636"/>
        <n v="44402.272727272728"/>
        <n v="1172220"/>
        <n v="293055"/>
        <n v="488425"/>
        <n v="1269905"/>
        <n v="48842.5"/>
      </sharedItems>
    </cacheField>
    <cacheField name="English Language Learner2" numFmtId="0">
      <sharedItems containsMixedTypes="1" containsNumber="1" containsInteger="1" minValue="0" maxValue="86745"/>
    </cacheField>
    <cacheField name="English Language Learner3" numFmtId="0">
      <sharedItems containsMixedTypes="1" containsNumber="1" containsInteger="1" minValue="0" maxValue="410752"/>
    </cacheField>
    <cacheField name="ASP/ECR" numFmtId="0">
      <sharedItems containsMixedTypes="1" containsNumber="1" containsInteger="1" minValue="0" maxValue="130460"/>
    </cacheField>
    <cacheField name="ASP/ECR2" numFmtId="0">
      <sharedItems containsMixedTypes="1" containsNumber="1" containsInteger="1" minValue="0" maxValue="143880"/>
    </cacheField>
    <cacheField name="ASP/ECR3" numFmtId="0">
      <sharedItems containsMixedTypes="1" containsNumber="1" containsInteger="1" minValue="0" maxValue="7848"/>
    </cacheField>
    <cacheField name="ASP/ECR4" numFmtId="0">
      <sharedItems containsMixedTypes="1" containsNumber="1" containsInteger="1" minValue="0" maxValue="80920"/>
    </cacheField>
    <cacheField name="Title" numFmtId="0">
      <sharedItems containsMixedTypes="1" containsNumber="1" minValue="0" maxValue="485966"/>
    </cacheField>
    <cacheField name="Title2" numFmtId="0">
      <sharedItems containsMixedTypes="1" containsNumber="1" minValue="0" maxValue="7885"/>
    </cacheField>
    <cacheField name="Title3" numFmtId="0">
      <sharedItems containsMixedTypes="1" containsNumber="1" containsInteger="1" minValue="50" maxValue="43875"/>
    </cacheField>
    <cacheField name="Enrollment42" numFmtId="0">
      <sharedItems containsMixedTypes="1" containsNumber="1" minValue="0" maxValue="101560.06446048801"/>
    </cacheField>
    <cacheField name="Enrollment43" numFmtId="0">
      <sharedItems containsBlank="1" containsMixedTypes="1" containsNumber="1" containsInteger="1" minValue="101560" maxValue="101560" count="3">
        <s v="Global Studies Coordinator"/>
        <m/>
        <n v="101560"/>
      </sharedItems>
    </cacheField>
    <cacheField name="Enrollment44" numFmtId="0">
      <sharedItems containsMixedTypes="1" containsNumber="1" containsInteger="1" minValue="0" maxValue="195370" count="4">
        <s v="Schoolwide Enrichment Model (SEM)"/>
        <n v="0"/>
        <n v="195370"/>
        <n v="97685"/>
      </sharedItems>
    </cacheField>
    <cacheField name="Enrollment45" numFmtId="0">
      <sharedItems containsMixedTypes="1" containsNumber="1" containsInteger="1" minValue="0" maxValue="138141" count="3">
        <s v="Middle School APIs "/>
        <n v="0"/>
        <n v="138141"/>
      </sharedItems>
    </cacheField>
    <cacheField name="Enrollment46" numFmtId="0">
      <sharedItems containsMixedTypes="1" containsNumber="1" containsInteger="1" minValue="0" maxValue="97685" count="3">
        <s v="At-risk Technology Instructional Coach (TIC)"/>
        <n v="0"/>
        <n v="97685"/>
      </sharedItems>
    </cacheField>
    <cacheField name="Enrollment47" numFmtId="0">
      <sharedItems containsMixedTypes="1" containsNumber="1" containsInteger="1" minValue="0" maxValue="97685" count="3">
        <s v="Literacy Initiative Reading Specialists"/>
        <n v="97685"/>
        <n v="0"/>
      </sharedItems>
    </cacheField>
    <cacheField name="Enrollment48" numFmtId="0">
      <sharedItems containsMixedTypes="1" containsNumber="1" containsInteger="1" minValue="0" maxValue="138141" count="3">
        <s v="NGA AP"/>
        <n v="0"/>
        <n v="138141"/>
      </sharedItems>
    </cacheField>
    <cacheField name="Enrollment49" numFmtId="0">
      <sharedItems containsMixedTypes="1" containsNumber="1" containsInteger="1" minValue="0" maxValue="40000" count="5">
        <s v="NGA Admin Prem"/>
        <n v="0"/>
        <n v="30000"/>
        <n v="40000"/>
        <n v="20000"/>
      </sharedItems>
    </cacheField>
    <cacheField name="Enrollment50" numFmtId="0">
      <sharedItems containsMixedTypes="1" containsNumber="1" containsInteger="1" minValue="0" maxValue="10000" count="3">
        <s v="NGA NPS"/>
        <n v="0"/>
        <n v="10000"/>
      </sharedItems>
    </cacheField>
    <cacheField name="Enrollment51" numFmtId="0">
      <sharedItems containsMixedTypes="1" containsNumber="1" containsInteger="1" minValue="0" maxValue="9000" count="3">
        <s v="NGA Field Trip Travel"/>
        <n v="0"/>
        <n v="9000"/>
      </sharedItems>
    </cacheField>
    <cacheField name="Enrollment52" numFmtId="0">
      <sharedItems containsMixedTypes="1" containsNumber="1" containsInteger="1" minValue="0" maxValue="110000" count="4">
        <s v="NAF NPS"/>
        <n v="0"/>
        <n v="55000"/>
        <n v="110000"/>
      </sharedItems>
    </cacheField>
    <cacheField name="Enrollment53" numFmtId="0">
      <sharedItems containsMixedTypes="1" containsNumber="1" containsInteger="1" minValue="0" maxValue="0" count="2">
        <s v="2nd Chance Academy Teachers"/>
        <n v="0"/>
      </sharedItems>
    </cacheField>
    <cacheField name="Enrollment54" numFmtId="0">
      <sharedItems containsMixedTypes="1" containsNumber="1" containsInteger="1" minValue="0" maxValue="97685" count="3">
        <s v="Reading Recovery Teacher"/>
        <n v="0"/>
        <n v="97685"/>
      </sharedItems>
    </cacheField>
    <cacheField name="Enrollment55" numFmtId="0">
      <sharedItems containsMixedTypes="1" containsNumber="1" minValue="0" maxValue="101560.06446048801" count="3">
        <s v="Twilight Academy Coordinator"/>
        <n v="0"/>
        <n v="101560.06446048801"/>
      </sharedItems>
    </cacheField>
    <cacheField name="Enrollment56" numFmtId="0">
      <sharedItems containsMixedTypes="1" containsNumber="1" containsInteger="1" minValue="0" maxValue="15000" count="3">
        <s v="Twilight Admin Prem"/>
        <n v="0"/>
        <n v="15000"/>
      </sharedItems>
    </cacheField>
    <cacheField name="Enrollment57" numFmtId="0">
      <sharedItems containsMixedTypes="1" containsNumber="1" containsInteger="1" minValue="0" maxValue="97685" count="3">
        <s v="JROTC Senior"/>
        <n v="0"/>
        <n v="97685"/>
      </sharedItems>
    </cacheField>
    <cacheField name="Enrollment58" numFmtId="0">
      <sharedItems containsMixedTypes="1" containsNumber="1" containsInteger="1" minValue="0" maxValue="87556" count="3">
        <s v="JROTC Junior"/>
        <n v="0"/>
        <n v="87556"/>
      </sharedItems>
    </cacheField>
    <cacheField name="Enrollment59" numFmtId="0">
      <sharedItems containsMixedTypes="1" containsNumber="1" containsInteger="1" minValue="0" maxValue="268054" count="4">
        <s v="HS - NAF Academy Director"/>
        <n v="0"/>
        <n v="134027"/>
        <n v="268054"/>
      </sharedItems>
    </cacheField>
    <cacheField name="Enrollment60" numFmtId="0">
      <sharedItems containsMixedTypes="1" containsNumber="1" containsInteger="1" minValue="0" maxValue="199394" count="4">
        <s v="HS - NAF Academy Coordinator"/>
        <n v="0"/>
        <n v="99697"/>
        <n v="199394"/>
      </sharedItems>
    </cacheField>
    <cacheField name="Enrollment61" numFmtId="0">
      <sharedItems containsMixedTypes="1" containsNumber="1" minValue="0" maxValue="195370" count="8">
        <s v="Teacher Leader Innovation (TLI)"/>
        <n v="0"/>
        <n v="73263.75"/>
        <n v="146527.5"/>
        <n v="97685"/>
        <n v="48842.5"/>
        <n v="195370"/>
        <n v="122106.25"/>
      </sharedItems>
    </cacheField>
    <cacheField name="Enrollment62" numFmtId="0">
      <sharedItems containsMixedTypes="1" containsNumber="1" containsInteger="1" minValue="0" maxValue="293055" count="5">
        <s v="MG Priority Teachers"/>
        <n v="0"/>
        <n v="195370"/>
        <n v="293055"/>
        <n v="97685"/>
      </sharedItems>
    </cacheField>
    <cacheField name="Enrollment63" numFmtId="0">
      <sharedItems containsMixedTypes="1" containsNumber="1" containsInteger="1" minValue="0" maxValue="23000" count="3">
        <s v="MG Priority_x000a_Exposures &amp; Excursions"/>
        <n v="0"/>
        <n v="23000"/>
      </sharedItems>
    </cacheField>
    <cacheField name="Enrollment64" numFmtId="0">
      <sharedItems containsMixedTypes="1" containsNumber="1" containsInteger="1" minValue="0" maxValue="5000" count="3">
        <s v="MG Priority _x000a_Clubs &amp; Activities"/>
        <n v="0"/>
        <n v="5000"/>
      </sharedItems>
    </cacheField>
    <cacheField name="Enrollment65" numFmtId="0">
      <sharedItems containsMixedTypes="1" containsNumber="1" containsInteger="1" minValue="0" maxValue="100000" count="3">
        <s v="MG Social Emotional Basket"/>
        <n v="0"/>
        <n v="100000"/>
      </sharedItems>
    </cacheField>
    <cacheField name="Enrollment66" numFmtId="0">
      <sharedItems containsMixedTypes="1" containsNumber="1" minValue="0" maxValue="101560.06446048801" count="3">
        <s v="HS - Athletics &amp; Activities Coordinator"/>
        <n v="0"/>
        <n v="101560.06446048801"/>
      </sharedItems>
    </cacheField>
    <cacheField name="Enrollment67" numFmtId="0">
      <sharedItems containsMixedTypes="1" containsNumber="1" containsInteger="1" minValue="0" maxValue="12240" count="3">
        <s v="HS  - Computer Lab Admin Premium"/>
        <n v="0"/>
        <n v="12240"/>
      </sharedItems>
    </cacheField>
    <cacheField name="Enrollment68" numFmtId="0">
      <sharedItems containsMixedTypes="1" containsNumber="1" containsInteger="1" minValue="0" maxValue="32720" count="85">
        <s v="At-risk Technology Investment"/>
        <n v="9400"/>
        <n v="5060"/>
        <n v="15960"/>
        <n v="32720"/>
        <n v="0"/>
        <n v="4020"/>
        <n v="6640"/>
        <n v="5380"/>
        <n v="2540"/>
        <n v="8440"/>
        <n v="2720"/>
        <n v="9640"/>
        <n v="5100"/>
        <n v="2080"/>
        <n v="3160"/>
        <n v="5140"/>
        <n v="8560"/>
        <n v="29120"/>
        <n v="3280"/>
        <n v="18080"/>
        <n v="12280"/>
        <n v="4900"/>
        <n v="8640"/>
        <n v="18800"/>
        <n v="12180"/>
        <n v="3020"/>
        <n v="3460"/>
        <n v="10080"/>
        <n v="2420"/>
        <n v="4960"/>
        <n v="11720"/>
        <n v="16200"/>
        <n v="9440"/>
        <n v="3900"/>
        <n v="8720"/>
        <n v="6140"/>
        <n v="10720"/>
        <n v="12640"/>
        <n v="13920"/>
        <n v="7480"/>
        <n v="3920"/>
        <n v="3480"/>
        <n v="4280"/>
        <n v="5000"/>
        <n v="2320"/>
        <n v="1960"/>
        <n v="9240"/>
        <n v="2840"/>
        <n v="2700"/>
        <n v="5420"/>
        <n v="14840"/>
        <n v="12680"/>
        <n v="2660"/>
        <n v="13280"/>
        <n v="13360"/>
        <n v="3680"/>
        <n v="4220"/>
        <n v="12440"/>
        <n v="5320"/>
        <n v="7500"/>
        <n v="1400"/>
        <n v="7960"/>
        <n v="23400"/>
        <n v="10560"/>
        <n v="2440"/>
        <n v="3780"/>
        <n v="8160"/>
        <n v="8120"/>
        <n v="18040"/>
        <n v="2920"/>
        <n v="4560"/>
        <n v="6300"/>
        <n v="2640"/>
        <n v="9320"/>
        <n v="6540"/>
        <n v="17880"/>
        <n v="4100"/>
        <n v="15400"/>
        <n v="2360"/>
        <n v="3360"/>
        <n v="10520"/>
        <n v="4340"/>
        <n v="12000"/>
        <n v="19400"/>
      </sharedItems>
    </cacheField>
    <cacheField name="Enrollment69" numFmtId="0">
      <sharedItems containsMixedTypes="1" containsNumber="1" containsInteger="1" minValue="0" maxValue="324000" count="26">
        <s v="Extended Day"/>
        <n v="0"/>
        <n v="122400"/>
        <n v="119880"/>
        <n v="42840"/>
        <n v="169200"/>
        <n v="61200"/>
        <n v="49320"/>
        <n v="261000"/>
        <n v="324000"/>
        <n v="104760"/>
        <n v="52560"/>
        <n v="48960"/>
        <n v="210600"/>
        <n v="154800"/>
        <n v="46800"/>
        <n v="83160"/>
        <n v="111760"/>
        <n v="39960"/>
        <n v="146600"/>
        <n v="131040"/>
        <n v="102240"/>
        <n v="163080"/>
        <n v="132120"/>
        <n v="240120"/>
        <n v="148320"/>
      </sharedItems>
    </cacheField>
    <cacheField name="Enrollment70" numFmtId="0">
      <sharedItems containsMixedTypes="1" containsNumber="1" minValue="0" maxValue="776606" count="13">
        <s v="Extended Year Personnel"/>
        <n v="0"/>
        <n v="409646.90909090918"/>
        <n v="547648"/>
        <n v="423335.81818181789"/>
        <n v="479358.90909090918"/>
        <n v="312540"/>
        <n v="475780.3636363633"/>
        <n v="432710.72727272706"/>
        <n v="378848.90909090918"/>
        <n v="776606"/>
        <n v="532926.54545454541"/>
        <n v="553438.72727272753"/>
      </sharedItems>
    </cacheField>
    <cacheField name="Enrollment71" numFmtId="0">
      <sharedItems containsMixedTypes="1" containsNumber="1" minValue="0" maxValue="13995.842960000009" count="14">
        <s v="Extended Year NPS"/>
        <n v="0"/>
        <b v="0"/>
        <n v="6633.5634318181837"/>
        <n v="9838.6891400000022"/>
        <n v="8562.5138836363622"/>
        <n v="8744.6926218181761"/>
        <n v="6791.0525599999964"/>
        <n v="9652.8897727272706"/>
        <n v="7556.913795454544"/>
        <n v="6779.5983618181854"/>
        <n v="13995.842960000009"/>
        <n v="9047.6556490909134"/>
        <n v="9653.7110750373686"/>
      </sharedItems>
    </cacheField>
    <cacheField name="Enrollment72" numFmtId="0">
      <sharedItems containsMixedTypes="1" containsNumber="1" containsInteger="1" minValue="0" maxValue="6290" count="14">
        <s v="Extended Year Asmin Preimum"/>
        <n v="0"/>
        <b v="0"/>
        <n v="2960"/>
        <n v="4380"/>
        <n v="3320"/>
        <n v="4420"/>
        <n v="2430"/>
        <n v="4320"/>
        <n v="3900"/>
        <n v="3430"/>
        <n v="6290"/>
        <n v="4280"/>
        <n v="5140"/>
      </sharedItems>
    </cacheField>
    <cacheField name="Enrollment73" numFmtId="0">
      <sharedItems containsMixedTypes="1" containsNumber="1" minValue="0" maxValue="219570.95294117648" count="116">
        <s v="Art, Music, HPE, Library, Science Supplies"/>
        <n v="15069.289592760182"/>
        <n v="19927.45"/>
        <n v="59398.510454002389"/>
        <n v="116193.3793442623"/>
        <n v="60619.915999999997"/>
        <n v="28442.172727272729"/>
        <n v="32559.591954022988"/>
        <n v="25792.372093023256"/>
        <n v="67639.419354838712"/>
        <n v="21726.398373983739"/>
        <n v="42949.438123167158"/>
        <n v="19584.30909090909"/>
        <n v="22549.602739726026"/>
        <n v="25663.657635467978"/>
        <n v="12153.104166666668"/>
        <n v="17765"/>
        <n v="21083.875"/>
        <n v="16105.417808219179"/>
        <n v="20898.788888888888"/>
        <n v="115408.461682243"/>
        <n v="14531"/>
        <n v="18796.138906250002"/>
        <n v="167561.37914999999"/>
        <n v="50195.731674208146"/>
        <n v="105568.54598540146"/>
        <n v="27400.666666666664"/>
        <n v="16788.3591160221"/>
        <n v="85003.766363636358"/>
        <n v="111707.39090909091"/>
        <n v="25025.855421686749"/>
        <n v="17540.114285714284"/>
        <n v="75292.055882352943"/>
        <n v="17128.598356164384"/>
        <n v="15044.674157303371"/>
        <n v="23818.454545454544"/>
        <n v="29301.141237113403"/>
        <n v="25323.446491228071"/>
        <n v="18655.160909090911"/>
        <n v="23910"/>
        <n v="16820.361809045226"/>
        <n v="18186.966250000001"/>
        <n v="2592.8000000000002"/>
        <n v="28771.458333333332"/>
        <n v="37664.315999999999"/>
        <n v="25393.731707317074"/>
        <n v="21237.69090909091"/>
        <n v="33478.400000000001"/>
        <n v="19146.63846153846"/>
        <n v="22355.475490196077"/>
        <n v="22519.27135678392"/>
        <n v="21517.68918918919"/>
        <n v="17603.866666666665"/>
        <n v="41633.043478260872"/>
        <n v="19755.400000000001"/>
        <n v="17191.849056603773"/>
        <n v="23050.7"/>
        <n v="33309.429166666669"/>
        <n v="22346.209944751383"/>
        <n v="41008.061000000002"/>
        <n v="14691.140740740741"/>
        <n v="15237.471153846154"/>
        <n v="22500.838783783784"/>
        <n v="21306.744680851065"/>
        <n v="21515.902061855668"/>
        <n v="20201.686111111114"/>
        <n v="82712.003750000003"/>
        <n v="20466.909090909092"/>
        <n v="24144.104166666668"/>
        <n v="28134.883720930233"/>
        <n v="23458.95"/>
        <n v="11357.122762148338"/>
        <n v="23921.737499999999"/>
        <n v="38827.929376854605"/>
        <n v="22637.989528795813"/>
        <n v="19428.252873563219"/>
        <n v="13658.631578947368"/>
        <n v="43591.25"/>
        <n v="21661.758928571428"/>
        <n v="28990.68"/>
        <n v="19567.888888888891"/>
        <n v="35587.272357723574"/>
        <n v="24874.85"/>
        <n v="42921.919999999998"/>
        <n v="89999.380601941753"/>
        <n v="67135.912142857138"/>
        <n v="10736.409090909092"/>
        <n v="18196.197674418603"/>
        <n v="30515.607322654461"/>
        <n v="72269.75"/>
        <n v="17360.111111111109"/>
        <n v="21511"/>
        <n v="21548.587500000001"/>
        <n v="16152.423076923076"/>
        <n v="14823.25"/>
        <n v="21508.440251572327"/>
        <n v="27316.237201365188"/>
        <n v="23825.0917721519"/>
        <n v="33906.533333333333"/>
        <n v="30161.677777777775"/>
        <n v="24172.936708860761"/>
        <n v="18254.5"/>
        <n v="40769.840221402214"/>
        <n v="27499.200000000001"/>
        <n v="27545.018867924529"/>
        <n v="27339.851063829788"/>
        <n v="13792.864"/>
        <n v="27492.885714285716"/>
        <n v="24195.75"/>
        <n v="22554.827938671209"/>
        <n v="22170.987050359712"/>
        <n v="20121.3"/>
        <n v="19828.780769230769"/>
        <n v="219570.95294117648"/>
        <n v="80842.100000000006"/>
        <n v="0"/>
      </sharedItems>
    </cacheField>
    <cacheField name="Enrollment74" numFmtId="0">
      <sharedItems containsMixedTypes="1" containsNumber="1" minValue="0" maxValue="101560.06446048801" count="4">
        <s v="Pathways Coordinator"/>
        <n v="0"/>
        <n v="101560.06446048801"/>
        <n v="99451"/>
      </sharedItems>
    </cacheField>
    <cacheField name="Enrollment75" numFmtId="0">
      <sharedItems containsMixedTypes="1" containsNumber="1" containsInteger="1" minValue="0" maxValue="150000" count="3">
        <s v="Pathways Programming"/>
        <n v="0"/>
        <n v="150000"/>
      </sharedItems>
    </cacheField>
    <cacheField name="Enrollment76" numFmtId="0">
      <sharedItems containsMixedTypes="1" containsNumber="1" containsInteger="1" minValue="0" maxValue="128716" count="3">
        <s v="Pool Operations _x000a_DPR MOU"/>
        <n v="0"/>
        <n v="128716"/>
      </sharedItems>
    </cacheField>
    <cacheField name="Enrollment77" numFmtId="0">
      <sharedItems containsMixedTypes="1" containsNumber="1" containsInteger="1" minValue="3306" maxValue="151815" count="110">
        <s v="Admin Prem / Overtime"/>
        <n v="22881"/>
        <n v="30189"/>
        <n v="36975"/>
        <n v="79170"/>
        <n v="42195"/>
        <n v="46371"/>
        <n v="56550"/>
        <n v="40194"/>
        <n v="42456"/>
        <n v="34974"/>
        <n v="68556"/>
        <n v="21402"/>
        <n v="27492"/>
        <n v="41847"/>
        <n v="17313"/>
        <n v="27405"/>
        <n v="30363"/>
        <n v="24795"/>
        <n v="31929"/>
        <n v="76647"/>
        <n v="8700"/>
        <n v="28449"/>
        <n v="121713"/>
        <n v="31842"/>
        <n v="133284"/>
        <n v="45849"/>
        <n v="24186"/>
        <n v="53157"/>
        <n v="72210"/>
        <n v="41412"/>
        <n v="18444"/>
        <n v="48633"/>
        <n v="25752"/>
        <n v="21924"/>
        <n v="38106"/>
        <n v="33321"/>
        <n v="28884"/>
        <n v="27666"/>
        <n v="38454"/>
        <n v="25491"/>
        <n v="28971"/>
        <n v="3306"/>
        <n v="44196"/>
        <n v="63336"/>
        <n v="26970"/>
        <n v="21141"/>
        <n v="37584"/>
        <n v="26361"/>
        <n v="35148"/>
        <n v="33582"/>
        <n v="33930"/>
        <n v="17922"/>
        <n v="69252"/>
        <n v="29145"/>
        <n v="24708"/>
        <n v="32364"/>
        <n v="52113"/>
        <n v="34104"/>
        <n v="31535"/>
        <n v="12354"/>
        <n v="22707"/>
        <n v="35061"/>
        <n v="34365"/>
        <n v="34887"/>
        <n v="19227"/>
        <n v="55593"/>
        <n v="33147"/>
        <n v="36366"/>
        <n v="50112"/>
        <n v="16182"/>
        <n v="36627"/>
        <n v="58899"/>
        <n v="27579"/>
        <n v="19575"/>
        <n v="27144"/>
        <n v="46632"/>
        <n v="29841"/>
        <n v="54723"/>
        <n v="12441"/>
        <n v="19140"/>
        <n v="59334"/>
        <n v="44370"/>
        <n v="15051"/>
        <n v="27927"/>
        <n v="42108"/>
        <n v="50895"/>
        <n v="32190"/>
        <n v="32277"/>
        <n v="23055"/>
        <n v="22533"/>
        <n v="22620"/>
        <n v="44457"/>
        <n v="36714"/>
        <n v="37758"/>
        <n v="40629"/>
        <n v="37236"/>
        <n v="26448"/>
        <n v="62901"/>
        <n v="45240"/>
        <n v="44718"/>
        <n v="45414"/>
        <n v="41586"/>
        <n v="17400"/>
        <n v="36888"/>
        <n v="29928"/>
        <n v="28623"/>
        <n v="151815"/>
        <n v="52722"/>
        <n v="7917"/>
      </sharedItems>
    </cacheField>
    <cacheField name="Enrollment78" numFmtId="0">
      <sharedItems containsMixedTypes="1" containsNumber="1" minValue="15839.7675" maxValue="215243.79493381461" count="116">
        <s v="Non Personnel Services (NPS) Flex"/>
        <n v="47204.9925"/>
        <n v="60481.107136363637"/>
        <n v="108844.72481570816"/>
        <n v="152113.91171755001"/>
        <n v="45291.617279407321"/>
        <n v="91140.871499999994"/>
        <n v="111189.723"/>
        <n v="80454.091909090916"/>
        <n v="55274.262570178274"/>
        <n v="58829.445681818179"/>
        <n v="137971.5165"/>
        <n v="46472.486999999994"/>
        <n v="70324.473966907317"/>
        <n v="94780.1685"/>
        <n v="35830.177499999998"/>
        <n v="59794.909499999994"/>
        <n v="57108.976909090903"/>
        <n v="56260.432499999995"/>
        <n v="54949.802727272719"/>
        <n v="191722.83513163458"/>
        <n v="16298.3925"/>
        <n v="58021.669499999996"/>
        <n v="201403.40593381462"/>
        <n v="85076.906659556873"/>
        <n v="167477.60946690731"/>
        <n v="97588.208999999988"/>
        <n v="47676.633409090908"/>
        <n v="112136.57485990066"/>
        <n v="131755.62837411527"/>
        <n v="64225.731"/>
        <n v="52628.864194180045"/>
        <n v="62933.061136363634"/>
        <n v="58531.44204545454"/>
        <n v="54636.892499999994"/>
        <n v="86811.963000000003"/>
        <n v="65563.391999999993"/>
        <n v="75551.593090909097"/>
        <n v="59294.029499999997"/>
        <n v="77159.052545454557"/>
        <n v="56386.311136363634"/>
        <n v="50614.789499999999"/>
        <n v="15839.7675"/>
        <n v="84083.079681818184"/>
        <n v="86950.778999999995"/>
        <n v="58189.89681818182"/>
        <n v="59921.051999999996"/>
        <n v="85172.556818181809"/>
        <n v="51779.546318181812"/>
        <n v="57362.564999999995"/>
        <n v="61832.684999999998"/>
        <n v="66678.651136363624"/>
        <n v="54114.099818181821"/>
        <n v="95548.845000000001"/>
        <n v="54879.019499999995"/>
        <n v="63753.652499999997"/>
        <n v="80507.870999999999"/>
        <n v="83636.022545454543"/>
        <n v="70134.846136363631"/>
        <n v="38013.436523270961"/>
        <n v="32169.4575"/>
        <n v="47303.332499999997"/>
        <n v="56247.892499999994"/>
        <n v="78799.19249999999"/>
        <n v="58730.343409090907"/>
        <n v="46451.422772727274"/>
        <n v="68312.695239634588"/>
        <n v="68601.360681818187"/>
        <n v="63226.8825"/>
        <n v="80018.006999999998"/>
        <n v="65867.181136363637"/>
        <n v="46176.254999999997"/>
        <n v="68690.953909090909"/>
        <n v="113951.6565"/>
        <n v="71966.684999999998"/>
        <n v="61281.564954545451"/>
        <n v="38340.097499999996"/>
        <n v="51321.218057816419"/>
        <n v="68017.904999999999"/>
        <n v="93254.603999999992"/>
        <n v="59819.98554545454"/>
        <n v="123492.73199999999"/>
        <n v="69624.852954545451"/>
        <n v="44207.936875998224"/>
        <n v="133388.85493381461"/>
        <n v="48154.273154407318"/>
        <n v="32398.244999999999"/>
        <n v="53761.796999999999"/>
        <n v="80937.997499999998"/>
        <n v="61657.985466907317"/>
        <n v="57827.700409090903"/>
        <n v="73041.463499999998"/>
        <n v="57940.094466907314"/>
        <n v="48684.640227272721"/>
        <n v="49337.572499999995"/>
        <n v="52262.615999999995"/>
        <n v="73924.141499999998"/>
        <n v="63674.868000000002"/>
        <n v="65888.087727272723"/>
        <n v="87712.822499999995"/>
        <n v="79832.255727272743"/>
        <n v="60347.097966907313"/>
        <n v="120850.72199999999"/>
        <n v="98782.696499999991"/>
        <n v="85179.80360327095"/>
        <n v="87852.833999999988"/>
        <n v="38724.550909090904"/>
        <n v="85381.703181818186"/>
        <n v="42667.204909090906"/>
        <n v="58161.146863636364"/>
        <n v="64353.655500000001"/>
        <n v="64634.854499999994"/>
        <n v="75818.275500000003"/>
        <n v="215243.79493381461"/>
        <n v="111604.35624004905"/>
        <n v="28025.519318181818"/>
      </sharedItems>
    </cacheField>
    <cacheField name="PPFM" numFmtId="0">
      <sharedItems containsMixedTypes="1" containsNumber="1" minValue="0" maxValue="2151570.8800872043"/>
    </cacheField>
    <cacheField name="Specialty" numFmtId="0">
      <sharedItems containsMixedTypes="1" containsNumber="1" minValue="0" maxValue="3001098.610816732"/>
    </cacheField>
    <cacheField name="Specialty2" numFmtId="0">
      <sharedItems containsBlank="1" containsMixedTypes="1" containsNumber="1" containsInteger="1" minValue="0" maxValue="1030650"/>
    </cacheField>
    <cacheField name="NA" numFmtId="0">
      <sharedItems containsBlank="1"/>
    </cacheField>
    <cacheField name="At-risk" numFmtId="0">
      <sharedItems containsMixedTypes="1" containsNumber="1" minValue="0" maxValue="186309"/>
    </cacheField>
    <cacheField name="." numFmtId="0">
      <sharedItems/>
    </cacheField>
    <cacheField name="SIG" numFmtId="0">
      <sharedItems containsMixedTypes="1" containsNumber="1" containsInteger="1" minValue="0" maxValue="0"/>
    </cacheField>
    <cacheField name="SIG2" numFmtId="0">
      <sharedItems containsMixedTypes="1" containsNumber="1" containsInteger="1" minValue="0" maxValue="0"/>
    </cacheField>
    <cacheField name="SIG3" numFmtId="0">
      <sharedItems containsMixedTypes="1" containsNumber="1" containsInteger="1" minValue="0" maxValue="0"/>
    </cacheField>
    <cacheField name="SIG4" numFmtId="0">
      <sharedItems containsMixedTypes="1" containsNumber="1" containsInteger="1" minValue="0" maxValue="97685"/>
    </cacheField>
    <cacheField name="SIG5" numFmtId="0">
      <sharedItems containsMixedTypes="1" containsNumber="1" containsInteger="1" minValue="0" maxValue="74326"/>
    </cacheField>
    <cacheField name="SIG6" numFmtId="164">
      <sharedItems containsMixedTypes="1" containsNumber="1" minValue="0" maxValue="0.5"/>
    </cacheField>
    <cacheField name="SIG7" numFmtId="0">
      <sharedItems containsMixedTypes="1" containsNumber="1" minValue="0" maxValue="48842.5"/>
    </cacheField>
    <cacheField name="Stabilization" numFmtId="0">
      <sharedItems containsMixedTypes="1" containsNumber="1" minValue="0" maxValue="865637.75237240735"/>
    </cacheField>
    <cacheField name="Total " numFmtId="0">
      <sharedItems containsMixedTypes="1" containsNumber="1" minValue="1126138.8925000001" maxValue="1570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">
  <r>
    <s v="School Code"/>
    <x v="0"/>
    <s v="Budgeted School Type"/>
    <s v="Ward"/>
    <s v="Budgeted Enrollment"/>
    <s v="At-Risk Enrollment"/>
    <s v="Principal"/>
    <s v="Instructional Coach"/>
    <s v="Assistant Principal"/>
    <s v="Guidance Counselor (Middle Grades)"/>
    <s v="Guidance Counselor (High Schools)"/>
    <s v="Business Manager"/>
    <s v="Administrative Aide"/>
    <s v="Clerk"/>
    <s v="Registrar"/>
    <s v="Attendance Counselor"/>
    <s v="Custodial Foreman"/>
    <s v="RW-5 Custodian"/>
    <s v="RW-3 Custodian"/>
    <s v="RW-3 Custodian"/>
    <s v="Librarian"/>
    <s v="Art Teacher"/>
    <s v="Music Teacher"/>
    <s v="Phys Ed Teacher"/>
    <s v="Add'l Related Arts Due to Size"/>
    <s v="PK3 Teacher"/>
    <s v="PK3 Aide"/>
    <s v="Mxed Age Teacher"/>
    <s v="Mixed Age Aide"/>
    <x v="0"/>
    <s v="PK4 Aide"/>
    <s v="Kindergarten"/>
    <s v="Kindergarten Aides"/>
    <s v="1st Grade"/>
    <s v="2nd Grade"/>
    <s v="3rd Grade"/>
    <s v="4th Grade"/>
    <s v="5th Grade"/>
    <s v="6th Grade"/>
    <s v="7th Grade"/>
    <s v="8th Grade"/>
    <s v="9th Grade"/>
    <s v="10th Grade"/>
    <s v="11th Grade"/>
    <s v="12th Grade"/>
    <s v="Ungraded"/>
    <s v="HS Priority - Comprehensive HS Subject Teachers"/>
    <s v="School Psychologist"/>
    <s v="Social Worker"/>
    <s v="Special Education Teachers"/>
    <s v="Special Education Aides"/>
    <s v="SPED Behavior Technicians"/>
    <x v="0"/>
    <s v="ELL Aide"/>
    <s v="ELL Counselor"/>
    <s v="ASP Teachers"/>
    <s v="ASP Aides"/>
    <s v="ASP Admin Asst"/>
    <s v="Evening Credit Recovery (ECR)"/>
    <s v="Title I "/>
    <s v="Title I "/>
    <s v="Title II"/>
    <s v="International Baccalaureate (IB)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PPFM"/>
    <s v="Specialty School Funds"/>
    <s v="Specialty Allocations"/>
    <s v="Notes on Speciality "/>
    <s v="At-risk Payment"/>
    <s v="."/>
    <s v="SIG Instructional Coach"/>
    <s v="SIG Assistant Principal"/>
    <s v="SIG Social Worker"/>
    <s v="SIG Reading Teacher"/>
    <s v="SIG NPS"/>
    <s v="SIG Intervention Coach"/>
    <s v="SIG Intervention Coach"/>
    <s v="5% Stabilization _x000a_"/>
    <s v="Total "/>
  </r>
  <r>
    <n v="202"/>
    <x v="1"/>
    <s v="ES"/>
    <n v="7"/>
    <n v="271"/>
    <n v="235"/>
    <n v="171051"/>
    <n v="97685"/>
    <n v="0"/>
    <n v="0"/>
    <n v="0"/>
    <n v="37985"/>
    <n v="55700"/>
    <n v="0"/>
    <n v="0"/>
    <n v="0"/>
    <n v="67656"/>
    <n v="51186"/>
    <n v="1"/>
    <n v="41134"/>
    <n v="48842.5"/>
    <n v="97685"/>
    <n v="97685"/>
    <n v="97685"/>
    <n v="0"/>
    <n v="195370"/>
    <n v="57830"/>
    <n v="97685"/>
    <n v="28915"/>
    <x v="1"/>
    <n v="57830"/>
    <n v="195370"/>
    <n v="57830"/>
    <n v="97685"/>
    <n v="97685"/>
    <n v="195370"/>
    <n v="97685"/>
    <n v="195370"/>
    <n v="0"/>
    <n v="0"/>
    <n v="0"/>
    <n v="0"/>
    <n v="0"/>
    <n v="0"/>
    <n v="0"/>
    <n v="0"/>
    <n v="0"/>
    <n v="48842.5"/>
    <n v="146527.5"/>
    <n v="488425"/>
    <n v="28915"/>
    <n v="0"/>
    <x v="1"/>
    <n v="0"/>
    <n v="0"/>
    <n v="17790"/>
    <n v="19620"/>
    <n v="7848"/>
    <n v="0"/>
    <n v="104948.8"/>
    <n v="1702.84"/>
    <n v="6525"/>
    <n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n v="0"/>
    <n v="0"/>
    <m/>
    <m/>
    <n v="15874.5"/>
    <s v="."/>
    <n v="0"/>
    <n v="0"/>
    <n v="0"/>
    <n v="0"/>
    <n v="0"/>
    <n v="0"/>
    <n v="0"/>
    <n v="78222.42090723943"/>
    <n v="3591771.3429999999"/>
  </r>
  <r>
    <n v="203"/>
    <x v="2"/>
    <s v="ES"/>
    <n v="6"/>
    <n v="350"/>
    <n v="253"/>
    <n v="171051"/>
    <n v="97685"/>
    <n v="124326.90000000001"/>
    <n v="0"/>
    <n v="0"/>
    <n v="75970"/>
    <n v="55700"/>
    <n v="0"/>
    <n v="0"/>
    <n v="0"/>
    <n v="67656"/>
    <n v="51186"/>
    <n v="2"/>
    <n v="82268"/>
    <n v="97685"/>
    <n v="97685"/>
    <n v="97685"/>
    <n v="97685"/>
    <n v="0"/>
    <n v="97685"/>
    <n v="28915"/>
    <n v="195370"/>
    <n v="86745"/>
    <x v="2"/>
    <n v="28915"/>
    <n v="195370"/>
    <n v="57830"/>
    <n v="195370"/>
    <n v="293055"/>
    <n v="195370"/>
    <n v="195370"/>
    <n v="195370"/>
    <n v="0"/>
    <n v="0"/>
    <n v="0"/>
    <n v="0"/>
    <n v="0"/>
    <n v="0"/>
    <n v="0"/>
    <n v="0"/>
    <n v="0"/>
    <n v="97685"/>
    <n v="195370"/>
    <n v="683795"/>
    <n v="57830"/>
    <n v="0"/>
    <x v="2"/>
    <n v="0"/>
    <n v="0"/>
    <n v="29650"/>
    <n v="32700"/>
    <n v="7848"/>
    <n v="0"/>
    <n v="143334.75"/>
    <n v="2325.67"/>
    <n v="89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2"/>
    <x v="1"/>
    <x v="1"/>
    <x v="1"/>
    <x v="1"/>
    <x v="1"/>
    <x v="1"/>
    <x v="2"/>
    <x v="1"/>
    <x v="1"/>
    <x v="1"/>
    <x v="1"/>
    <x v="2"/>
    <x v="1"/>
    <x v="1"/>
    <x v="1"/>
    <x v="2"/>
    <x v="2"/>
    <n v="0"/>
    <n v="0"/>
    <m/>
    <m/>
    <n v="128979.5"/>
    <s v="."/>
    <n v="0"/>
    <n v="0"/>
    <n v="0"/>
    <n v="0"/>
    <n v="0"/>
    <n v="0"/>
    <n v="0"/>
    <n v="0"/>
    <n v="4574733.0362272728"/>
  </r>
  <r>
    <n v="450"/>
    <x v="3"/>
    <s v="HS"/>
    <n v="8"/>
    <n v="426"/>
    <n v="399"/>
    <n v="171051"/>
    <n v="97685"/>
    <n v="193397.4"/>
    <n v="0"/>
    <n v="189670.69999999998"/>
    <n v="75970"/>
    <n v="55700"/>
    <n v="44518.100000000006"/>
    <n v="47542"/>
    <n v="116974"/>
    <n v="67656"/>
    <n v="153558"/>
    <n v="3"/>
    <n v="123402"/>
    <n v="97685"/>
    <n v="0"/>
    <n v="0"/>
    <n v="0"/>
    <n v="0"/>
    <n v="0"/>
    <n v="0"/>
    <n v="0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2396119.4315201747"/>
    <n v="195370"/>
    <n v="488425"/>
    <n v="2051385"/>
    <n v="346980"/>
    <n v="135666"/>
    <x v="3"/>
    <n v="0"/>
    <n v="0"/>
    <n v="0"/>
    <n v="0"/>
    <n v="0"/>
    <n v="72828"/>
    <n v="242566.49"/>
    <n v="3935.74"/>
    <n v="15075"/>
    <n v="0"/>
    <x v="1"/>
    <x v="1"/>
    <x v="1"/>
    <x v="1"/>
    <x v="2"/>
    <x v="2"/>
    <x v="2"/>
    <x v="2"/>
    <x v="2"/>
    <x v="1"/>
    <x v="1"/>
    <x v="1"/>
    <x v="2"/>
    <x v="2"/>
    <x v="2"/>
    <x v="2"/>
    <x v="1"/>
    <x v="1"/>
    <x v="2"/>
    <x v="1"/>
    <x v="1"/>
    <x v="1"/>
    <x v="1"/>
    <x v="2"/>
    <x v="2"/>
    <x v="3"/>
    <x v="1"/>
    <x v="1"/>
    <x v="1"/>
    <x v="1"/>
    <x v="3"/>
    <x v="2"/>
    <x v="1"/>
    <x v="1"/>
    <x v="3"/>
    <x v="3"/>
    <n v="0"/>
    <n v="0"/>
    <m/>
    <m/>
    <n v="0.18955885316245258"/>
    <s v="."/>
    <n v="0"/>
    <n v="0"/>
    <n v="0"/>
    <n v="0"/>
    <n v="0"/>
    <n v="0"/>
    <n v="0"/>
    <n v="392085.30399706773"/>
    <n v="8778429.7609999981"/>
  </r>
  <r>
    <n v="452"/>
    <x v="4"/>
    <s v="HS"/>
    <n v="8"/>
    <n v="911"/>
    <n v="818"/>
    <n v="171051"/>
    <n v="97685"/>
    <n v="414423"/>
    <n v="0"/>
    <n v="401655.60000000003"/>
    <n v="75970"/>
    <n v="55700"/>
    <n v="93083.299999999988"/>
    <n v="47542"/>
    <n v="116974"/>
    <n v="202968"/>
    <n v="0"/>
    <n v="9"/>
    <n v="370206"/>
    <n v="97685"/>
    <n v="0"/>
    <n v="0"/>
    <n v="97685"/>
    <n v="0"/>
    <n v="0"/>
    <n v="0"/>
    <n v="0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4314625.9643702358"/>
    <n v="97685"/>
    <n v="488425"/>
    <n v="2344440"/>
    <n v="260235"/>
    <n v="180888"/>
    <x v="4"/>
    <n v="0"/>
    <n v="0"/>
    <n v="0"/>
    <n v="0"/>
    <n v="0"/>
    <n v="80920"/>
    <n v="376100.57"/>
    <n v="6102.39"/>
    <n v="23375"/>
    <n v="0"/>
    <x v="1"/>
    <x v="1"/>
    <x v="1"/>
    <x v="1"/>
    <x v="2"/>
    <x v="2"/>
    <x v="3"/>
    <x v="2"/>
    <x v="2"/>
    <x v="2"/>
    <x v="1"/>
    <x v="1"/>
    <x v="1"/>
    <x v="1"/>
    <x v="1"/>
    <x v="1"/>
    <x v="2"/>
    <x v="2"/>
    <x v="2"/>
    <x v="1"/>
    <x v="1"/>
    <x v="1"/>
    <x v="1"/>
    <x v="2"/>
    <x v="2"/>
    <x v="4"/>
    <x v="1"/>
    <x v="1"/>
    <x v="2"/>
    <x v="2"/>
    <x v="4"/>
    <x v="2"/>
    <x v="1"/>
    <x v="2"/>
    <x v="4"/>
    <x v="4"/>
    <n v="0"/>
    <n v="0"/>
    <m/>
    <m/>
    <n v="97685.406708783004"/>
    <s v="."/>
    <n v="0"/>
    <n v="0"/>
    <n v="0"/>
    <n v="0"/>
    <n v="0"/>
    <n v="0"/>
    <n v="0"/>
    <n v="305645.09439273551"/>
    <n v="12111037.949999999"/>
  </r>
  <r>
    <n v="462"/>
    <x v="5"/>
    <s v="STAY"/>
    <n v="8"/>
    <n v="586"/>
    <n v="0"/>
    <n v="171051"/>
    <n v="97685"/>
    <n v="138141"/>
    <n v="0"/>
    <n v="210590.26249999998"/>
    <n v="0"/>
    <n v="55700"/>
    <n v="48565.2"/>
    <n v="47542"/>
    <n v="58487"/>
    <n v="67656"/>
    <n v="51186"/>
    <n v="0"/>
    <n v="0"/>
    <n v="0"/>
    <n v="0"/>
    <n v="0"/>
    <n v="0"/>
    <n v="0"/>
    <n v="0"/>
    <n v="0"/>
    <n v="0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1526328.625"/>
    <n v="48842.5"/>
    <n v="146527.5"/>
    <n v="488425"/>
    <n v="57830"/>
    <n v="45222"/>
    <x v="1"/>
    <n v="0"/>
    <n v="0"/>
    <n v="0"/>
    <n v="0"/>
    <n v="0"/>
    <n v="0"/>
    <n v="0"/>
    <n v="0"/>
    <n v="1232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5"/>
    <x v="1"/>
    <x v="1"/>
    <x v="1"/>
    <x v="1"/>
    <x v="5"/>
    <x v="2"/>
    <x v="2"/>
    <x v="1"/>
    <x v="5"/>
    <x v="5"/>
    <n v="0"/>
    <n v="0"/>
    <n v="0"/>
    <s v="Alt school placeholder"/>
    <n v="0"/>
    <s v="."/>
    <n v="0"/>
    <n v="0"/>
    <n v="0"/>
    <n v="0"/>
    <n v="0"/>
    <n v="0"/>
    <n v="0"/>
    <n v="50205.910760104656"/>
    <n v="3392318.5959999994"/>
  </r>
  <r>
    <n v="204"/>
    <x v="6"/>
    <s v="ES"/>
    <n v="1"/>
    <n v="536"/>
    <n v="201"/>
    <n v="171051"/>
    <n v="97685"/>
    <n v="179583.30000000002"/>
    <n v="0"/>
    <n v="0"/>
    <n v="75970"/>
    <n v="55700"/>
    <n v="52612.3"/>
    <n v="0"/>
    <n v="0"/>
    <n v="67656"/>
    <n v="153558"/>
    <n v="0"/>
    <n v="0"/>
    <n v="97685"/>
    <n v="97685"/>
    <n v="97685"/>
    <n v="97685"/>
    <n v="146527.5"/>
    <n v="293055"/>
    <n v="86745"/>
    <n v="0"/>
    <n v="0"/>
    <x v="4"/>
    <n v="86745"/>
    <n v="293055"/>
    <n v="86745"/>
    <n v="293055"/>
    <n v="390740"/>
    <n v="293055"/>
    <n v="293055"/>
    <n v="293055"/>
    <n v="0"/>
    <n v="0"/>
    <n v="0"/>
    <n v="0"/>
    <n v="0"/>
    <n v="0"/>
    <n v="0"/>
    <n v="0"/>
    <n v="0"/>
    <n v="97685"/>
    <n v="97685"/>
    <n v="488425"/>
    <n v="28915"/>
    <n v="0"/>
    <x v="5"/>
    <n v="0"/>
    <n v="195370"/>
    <n v="47440"/>
    <n v="52320"/>
    <n v="7848"/>
    <n v="0"/>
    <n v="209489.24"/>
    <n v="3399.05"/>
    <n v="1302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3"/>
    <x v="1"/>
    <x v="1"/>
    <x v="1"/>
    <x v="1"/>
    <x v="1"/>
    <x v="1"/>
    <x v="6"/>
    <x v="1"/>
    <x v="1"/>
    <x v="1"/>
    <x v="1"/>
    <x v="6"/>
    <x v="1"/>
    <x v="1"/>
    <x v="1"/>
    <x v="6"/>
    <x v="6"/>
    <n v="0"/>
    <n v="0"/>
    <m/>
    <m/>
    <n v="26671"/>
    <s v="."/>
    <n v="0"/>
    <n v="0"/>
    <n v="0"/>
    <n v="0"/>
    <n v="0"/>
    <n v="0"/>
    <n v="0"/>
    <n v="0"/>
    <n v="6752751.9342272729"/>
  </r>
  <r>
    <n v="205"/>
    <x v="7"/>
    <s v="ES"/>
    <n v="4"/>
    <n v="653"/>
    <n v="332"/>
    <n v="171051"/>
    <n v="97685"/>
    <n v="221025.6"/>
    <n v="0"/>
    <n v="0"/>
    <n v="75970"/>
    <n v="55700"/>
    <n v="64753.600000000006"/>
    <n v="0"/>
    <n v="0"/>
    <n v="67656"/>
    <n v="153558"/>
    <n v="1"/>
    <n v="41134"/>
    <n v="97685"/>
    <n v="97685"/>
    <n v="97685"/>
    <n v="97685"/>
    <n v="244212.5"/>
    <n v="390740"/>
    <n v="115660"/>
    <n v="0"/>
    <n v="0"/>
    <x v="5"/>
    <n v="115660"/>
    <n v="390740"/>
    <n v="115660"/>
    <n v="390740"/>
    <n v="390740"/>
    <n v="390740"/>
    <n v="390740"/>
    <n v="390740"/>
    <n v="0"/>
    <n v="0"/>
    <n v="0"/>
    <n v="0"/>
    <n v="0"/>
    <n v="0"/>
    <n v="0"/>
    <n v="0"/>
    <n v="0"/>
    <n v="48842.5"/>
    <n v="97685"/>
    <n v="879165"/>
    <n v="231320"/>
    <n v="0"/>
    <x v="6"/>
    <n v="0"/>
    <n v="97685"/>
    <n v="130460"/>
    <n v="143880"/>
    <n v="7848"/>
    <n v="0"/>
    <n v="256042.41"/>
    <n v="4154.3999999999996"/>
    <n v="1592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7"/>
    <x v="2"/>
    <x v="1"/>
    <x v="1"/>
    <x v="1"/>
    <x v="7"/>
    <x v="1"/>
    <x v="1"/>
    <x v="1"/>
    <x v="7"/>
    <x v="7"/>
    <n v="0"/>
    <n v="0"/>
    <m/>
    <m/>
    <n v="16330.5"/>
    <s v="."/>
    <n v="0"/>
    <n v="0"/>
    <n v="0"/>
    <n v="0"/>
    <n v="0"/>
    <n v="0"/>
    <n v="0"/>
    <n v="0"/>
    <n v="8194227.8249540227"/>
  </r>
  <r>
    <n v="206"/>
    <x v="8"/>
    <s v="ES"/>
    <n v="7"/>
    <n v="465"/>
    <n v="269"/>
    <n v="171051"/>
    <n v="97685"/>
    <n v="165769.19999999998"/>
    <n v="0"/>
    <n v="0"/>
    <n v="75970"/>
    <n v="55700"/>
    <n v="48565.2"/>
    <n v="0"/>
    <n v="0"/>
    <n v="67656"/>
    <n v="102372"/>
    <n v="0"/>
    <n v="0"/>
    <n v="97685"/>
    <n v="97685"/>
    <n v="97685"/>
    <n v="97685"/>
    <n v="146527.5"/>
    <n v="195370"/>
    <n v="57830"/>
    <n v="97685"/>
    <n v="28915"/>
    <x v="1"/>
    <n v="57830"/>
    <n v="293055"/>
    <n v="86745"/>
    <n v="293055"/>
    <n v="293055"/>
    <n v="293055"/>
    <n v="293055"/>
    <n v="195370"/>
    <n v="0"/>
    <n v="0"/>
    <n v="0"/>
    <n v="0"/>
    <n v="0"/>
    <n v="0"/>
    <n v="0"/>
    <n v="0"/>
    <n v="0"/>
    <n v="97685"/>
    <n v="97685"/>
    <n v="1172220"/>
    <n v="289150"/>
    <n v="0"/>
    <x v="3"/>
    <n v="0"/>
    <n v="0"/>
    <n v="53370"/>
    <n v="58860"/>
    <n v="7848"/>
    <n v="0"/>
    <n v="176820.36"/>
    <n v="2868.98"/>
    <n v="110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4"/>
    <x v="1"/>
    <x v="1"/>
    <x v="1"/>
    <x v="1"/>
    <x v="1"/>
    <x v="1"/>
    <x v="8"/>
    <x v="1"/>
    <x v="1"/>
    <x v="1"/>
    <x v="1"/>
    <x v="8"/>
    <x v="1"/>
    <x v="1"/>
    <x v="1"/>
    <x v="8"/>
    <x v="8"/>
    <n v="0"/>
    <n v="0"/>
    <m/>
    <m/>
    <n v="181385.5"/>
    <s v="."/>
    <n v="0"/>
    <n v="0"/>
    <n v="0"/>
    <n v="0"/>
    <n v="0"/>
    <n v="0"/>
    <n v="0"/>
    <n v="0"/>
    <n v="6105264.4312748415"/>
  </r>
  <r>
    <n v="402"/>
    <x v="9"/>
    <s v="HS"/>
    <n v="1"/>
    <n v="489"/>
    <n v="127"/>
    <n v="171051"/>
    <n v="97685"/>
    <n v="221025.6"/>
    <n v="0"/>
    <n v="223142"/>
    <n v="75970"/>
    <n v="55700"/>
    <n v="48565.2"/>
    <n v="47542"/>
    <n v="58487"/>
    <n v="135312"/>
    <n v="102372"/>
    <n v="0"/>
    <n v="0"/>
    <n v="97685"/>
    <n v="0"/>
    <n v="0"/>
    <n v="0"/>
    <n v="0"/>
    <n v="0"/>
    <n v="0"/>
    <n v="0"/>
    <n v="0"/>
    <x v="3"/>
    <n v="0"/>
    <n v="0"/>
    <n v="0"/>
    <n v="0"/>
    <n v="0"/>
    <n v="0"/>
    <n v="0"/>
    <n v="0"/>
    <n v="0"/>
    <n v="0"/>
    <n v="0"/>
    <n v="537267.5"/>
    <n v="488425"/>
    <n v="488425"/>
    <n v="468888"/>
    <n v="0"/>
    <n v="0"/>
    <n v="97685"/>
    <n v="0"/>
    <n v="48842.5"/>
    <n v="0"/>
    <n v="0"/>
    <x v="2"/>
    <n v="0"/>
    <n v="0"/>
    <n v="0"/>
    <n v="0"/>
    <n v="0"/>
    <n v="0"/>
    <n v="182537.41"/>
    <n v="2961.75"/>
    <n v="11350"/>
    <n v="101560.06446048801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2"/>
    <x v="9"/>
    <x v="1"/>
    <x v="1"/>
    <x v="1"/>
    <x v="1"/>
    <x v="9"/>
    <x v="1"/>
    <x v="1"/>
    <x v="1"/>
    <x v="9"/>
    <x v="9"/>
    <n v="0"/>
    <n v="690480"/>
    <m/>
    <m/>
    <n v="70709.935539511673"/>
    <s v="."/>
    <n v="0"/>
    <n v="0"/>
    <n v="0"/>
    <n v="0"/>
    <n v="0"/>
    <n v="0"/>
    <n v="0"/>
    <n v="0"/>
    <n v="4823139.6154764146"/>
  </r>
  <r>
    <n v="212"/>
    <x v="10"/>
    <s v="ES"/>
    <n v="6"/>
    <n v="405"/>
    <n v="35"/>
    <n v="171051"/>
    <n v="97685"/>
    <n v="138141"/>
    <n v="0"/>
    <n v="0"/>
    <n v="75970"/>
    <n v="55700"/>
    <n v="40471"/>
    <n v="0"/>
    <n v="0"/>
    <n v="67656"/>
    <n v="102372"/>
    <n v="0"/>
    <n v="0"/>
    <n v="97685"/>
    <n v="97685"/>
    <n v="97685"/>
    <n v="97685"/>
    <n v="146527.5"/>
    <n v="0"/>
    <n v="0"/>
    <n v="390740"/>
    <n v="115660"/>
    <x v="3"/>
    <n v="0"/>
    <n v="293055"/>
    <n v="86745"/>
    <n v="293055"/>
    <n v="293055"/>
    <n v="293055"/>
    <n v="293055"/>
    <n v="97685"/>
    <n v="0"/>
    <n v="0"/>
    <n v="0"/>
    <n v="0"/>
    <n v="0"/>
    <n v="0"/>
    <n v="0"/>
    <n v="0"/>
    <n v="0"/>
    <n v="48842.5"/>
    <n v="97685"/>
    <n v="293055"/>
    <n v="0"/>
    <n v="0"/>
    <x v="7"/>
    <n v="0"/>
    <n v="0"/>
    <n v="0"/>
    <n v="0"/>
    <n v="0"/>
    <n v="0"/>
    <n v="0"/>
    <n v="0"/>
    <n v="101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10"/>
    <x v="1"/>
    <x v="1"/>
    <x v="1"/>
    <x v="10"/>
    <x v="10"/>
    <n v="0"/>
    <n v="0"/>
    <m/>
    <m/>
    <n v="2509.5"/>
    <s v="."/>
    <n v="0"/>
    <n v="0"/>
    <n v="0"/>
    <n v="0"/>
    <n v="0"/>
    <n v="0"/>
    <n v="0"/>
    <n v="0"/>
    <n v="4050102.3895103475"/>
  </r>
  <r>
    <n v="213"/>
    <x v="11"/>
    <s v="EC"/>
    <n v="4"/>
    <n v="791"/>
    <n v="422"/>
    <n v="171051"/>
    <n v="97685"/>
    <n v="290096.10000000003"/>
    <n v="97685"/>
    <n v="0"/>
    <n v="75970"/>
    <n v="55700"/>
    <n v="80942"/>
    <n v="0"/>
    <n v="0"/>
    <n v="67656"/>
    <n v="51186"/>
    <n v="3"/>
    <n v="123402"/>
    <n v="97685"/>
    <n v="97685"/>
    <n v="97685"/>
    <n v="97685"/>
    <n v="341897.5"/>
    <n v="195370"/>
    <n v="57830"/>
    <n v="97685"/>
    <n v="28915"/>
    <x v="1"/>
    <n v="57830"/>
    <n v="390740"/>
    <n v="115660"/>
    <n v="390740"/>
    <n v="390740"/>
    <n v="390740"/>
    <n v="390740"/>
    <n v="390740"/>
    <n v="224675.49999999997"/>
    <n v="253981"/>
    <n v="283286.5"/>
    <n v="0"/>
    <n v="0"/>
    <n v="0"/>
    <n v="0"/>
    <n v="0"/>
    <n v="0"/>
    <n v="48842.5"/>
    <n v="195370"/>
    <n v="586110"/>
    <n v="0"/>
    <n v="0"/>
    <x v="8"/>
    <n v="28915"/>
    <n v="390740"/>
    <n v="47440"/>
    <n v="52320"/>
    <n v="7848"/>
    <n v="0"/>
    <n v="287077.84999999998"/>
    <n v="4657.96"/>
    <n v="1785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3"/>
    <x v="2"/>
    <x v="2"/>
    <x v="2"/>
    <x v="2"/>
    <x v="1"/>
    <x v="1"/>
    <x v="10"/>
    <x v="1"/>
    <x v="1"/>
    <x v="1"/>
    <x v="1"/>
    <x v="11"/>
    <x v="1"/>
    <x v="1"/>
    <x v="1"/>
    <x v="11"/>
    <x v="11"/>
    <n v="0"/>
    <n v="0"/>
    <m/>
    <m/>
    <n v="13433.300000000047"/>
    <s v="."/>
    <n v="0"/>
    <n v="0"/>
    <n v="0"/>
    <n v="0"/>
    <n v="0"/>
    <n v="0"/>
    <n v="0"/>
    <n v="0"/>
    <n v="10061172.664623167"/>
  </r>
  <r>
    <n v="347"/>
    <x v="12"/>
    <s v="MS"/>
    <n v="5"/>
    <n v="247"/>
    <n v="136"/>
    <n v="171051"/>
    <n v="97685"/>
    <n v="110512.8"/>
    <n v="97685"/>
    <n v="0"/>
    <n v="37985"/>
    <n v="55700"/>
    <n v="0"/>
    <n v="0"/>
    <n v="0"/>
    <n v="67656"/>
    <n v="51186"/>
    <n v="2"/>
    <n v="82268"/>
    <n v="48842.5"/>
    <n v="0"/>
    <n v="0"/>
    <n v="0"/>
    <n v="0"/>
    <n v="0"/>
    <n v="0"/>
    <n v="0"/>
    <n v="0"/>
    <x v="3"/>
    <n v="0"/>
    <n v="0"/>
    <n v="0"/>
    <n v="0"/>
    <n v="0"/>
    <n v="0"/>
    <n v="0"/>
    <n v="0"/>
    <n v="410277"/>
    <n v="312592"/>
    <n v="371203"/>
    <n v="0"/>
    <n v="0"/>
    <n v="0"/>
    <n v="0"/>
    <n v="0"/>
    <n v="0"/>
    <n v="48842.5"/>
    <n v="195370"/>
    <n v="488425"/>
    <n v="57830"/>
    <n v="0"/>
    <x v="9"/>
    <n v="0"/>
    <n v="0"/>
    <n v="0"/>
    <n v="0"/>
    <n v="0"/>
    <n v="0"/>
    <n v="127000.3"/>
    <n v="2060.63"/>
    <n v="79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2"/>
    <x v="2"/>
    <x v="2"/>
    <x v="2"/>
    <x v="1"/>
    <x v="1"/>
    <x v="11"/>
    <x v="1"/>
    <x v="1"/>
    <x v="1"/>
    <x v="1"/>
    <x v="12"/>
    <x v="1"/>
    <x v="1"/>
    <x v="1"/>
    <x v="12"/>
    <x v="12"/>
    <n v="0"/>
    <n v="200000"/>
    <m/>
    <m/>
    <n v="0"/>
    <s v="."/>
    <n v="0"/>
    <n v="0"/>
    <n v="0"/>
    <n v="0"/>
    <n v="0"/>
    <n v="0"/>
    <n v="0"/>
    <n v="50666.799909090623"/>
    <n v="3603972.3259999999"/>
  </r>
  <r>
    <n v="404"/>
    <x v="13"/>
    <s v="EC"/>
    <n v="5"/>
    <n v="319"/>
    <n v="241"/>
    <n v="171051"/>
    <n v="97685"/>
    <n v="27628.2"/>
    <n v="97685"/>
    <n v="0"/>
    <n v="75970"/>
    <n v="55700"/>
    <n v="0"/>
    <n v="0"/>
    <n v="0"/>
    <n v="67656"/>
    <n v="102372"/>
    <n v="1"/>
    <n v="41134"/>
    <n v="97685"/>
    <n v="97685"/>
    <n v="97685"/>
    <n v="97685"/>
    <n v="195370"/>
    <n v="195370"/>
    <n v="57830"/>
    <n v="0"/>
    <n v="0"/>
    <x v="1"/>
    <n v="57830"/>
    <n v="195370"/>
    <n v="57830"/>
    <n v="195370"/>
    <n v="195370"/>
    <n v="195370"/>
    <n v="97685"/>
    <n v="97685"/>
    <n v="126990.5"/>
    <n v="58611"/>
    <n v="78148"/>
    <n v="0"/>
    <n v="0"/>
    <n v="0"/>
    <n v="0"/>
    <n v="0"/>
    <n v="0"/>
    <n v="97685"/>
    <n v="146527.5"/>
    <n v="586110"/>
    <n v="115660"/>
    <n v="0"/>
    <x v="9"/>
    <n v="0"/>
    <n v="0"/>
    <n v="11860"/>
    <n v="13080"/>
    <n v="7848"/>
    <n v="0"/>
    <n v="134759.16"/>
    <n v="2186.52"/>
    <n v="8375"/>
    <n v="101560.0644604880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2"/>
    <x v="2"/>
    <x v="2"/>
    <x v="1"/>
    <x v="1"/>
    <x v="12"/>
    <x v="3"/>
    <x v="1"/>
    <x v="1"/>
    <x v="1"/>
    <x v="13"/>
    <x v="1"/>
    <x v="1"/>
    <x v="1"/>
    <x v="13"/>
    <x v="13"/>
    <n v="0"/>
    <n v="0"/>
    <m/>
    <m/>
    <n v="0"/>
    <s v="."/>
    <n v="0"/>
    <n v="0"/>
    <n v="0"/>
    <n v="0"/>
    <n v="0"/>
    <n v="0"/>
    <n v="0"/>
    <n v="0"/>
    <n v="5122098.0211671218"/>
  </r>
  <r>
    <n v="296"/>
    <x v="14"/>
    <s v="ES"/>
    <n v="1"/>
    <n v="484"/>
    <n v="255"/>
    <n v="171051"/>
    <n v="97685"/>
    <n v="165769.19999999998"/>
    <n v="0"/>
    <n v="0"/>
    <n v="75970"/>
    <n v="55700"/>
    <n v="48565.2"/>
    <n v="0"/>
    <n v="0"/>
    <n v="67656"/>
    <n v="204744"/>
    <n v="0"/>
    <n v="0"/>
    <n v="97685"/>
    <n v="97685"/>
    <n v="97685"/>
    <n v="97685"/>
    <n v="146527.5"/>
    <n v="0"/>
    <n v="0"/>
    <n v="586110"/>
    <n v="173490"/>
    <x v="3"/>
    <n v="0"/>
    <n v="293055"/>
    <n v="86745"/>
    <n v="293055"/>
    <n v="390740"/>
    <n v="293055"/>
    <n v="390740"/>
    <n v="293055"/>
    <n v="0"/>
    <n v="0"/>
    <n v="0"/>
    <n v="0"/>
    <n v="0"/>
    <n v="0"/>
    <n v="0"/>
    <n v="0"/>
    <n v="0"/>
    <n v="97685"/>
    <n v="195370"/>
    <n v="488425"/>
    <n v="0"/>
    <n v="0"/>
    <x v="5"/>
    <n v="0"/>
    <n v="195370"/>
    <n v="0"/>
    <n v="0"/>
    <n v="0"/>
    <n v="0"/>
    <n v="189887.91"/>
    <n v="3081.01"/>
    <n v="118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3"/>
    <x v="4"/>
    <x v="1"/>
    <x v="1"/>
    <x v="1"/>
    <x v="14"/>
    <x v="1"/>
    <x v="1"/>
    <x v="1"/>
    <x v="14"/>
    <x v="14"/>
    <n v="0"/>
    <n v="0"/>
    <m/>
    <m/>
    <n v="0"/>
    <s v="."/>
    <n v="0"/>
    <n v="0"/>
    <n v="0"/>
    <n v="0"/>
    <n v="0"/>
    <n v="0"/>
    <n v="0"/>
    <n v="0"/>
    <n v="6690837.646135468"/>
  </r>
  <r>
    <n v="219"/>
    <x v="15"/>
    <s v="ES"/>
    <n v="5"/>
    <n v="203"/>
    <n v="104"/>
    <n v="171051"/>
    <n v="97685"/>
    <n v="0"/>
    <n v="0"/>
    <n v="0"/>
    <n v="37985"/>
    <n v="55700"/>
    <n v="0"/>
    <n v="0"/>
    <n v="0"/>
    <n v="67656"/>
    <n v="51186"/>
    <n v="2"/>
    <n v="82268"/>
    <n v="48842.5"/>
    <n v="97685"/>
    <n v="97685"/>
    <n v="97685"/>
    <n v="0"/>
    <n v="97685"/>
    <n v="28915"/>
    <n v="97685"/>
    <n v="28915"/>
    <x v="2"/>
    <n v="28915"/>
    <n v="97685"/>
    <n v="28915"/>
    <n v="97685"/>
    <n v="97685"/>
    <n v="195370"/>
    <n v="97685"/>
    <n v="97685"/>
    <n v="0"/>
    <n v="0"/>
    <n v="0"/>
    <n v="0"/>
    <n v="0"/>
    <n v="0"/>
    <n v="0"/>
    <n v="0"/>
    <n v="0"/>
    <n v="48842.5"/>
    <n v="48842.5"/>
    <n v="195370"/>
    <n v="0"/>
    <n v="0"/>
    <x v="9"/>
    <n v="0"/>
    <n v="0"/>
    <n v="17790"/>
    <n v="19620"/>
    <n v="7848"/>
    <n v="0"/>
    <n v="63295.97"/>
    <n v="1027"/>
    <n v="392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4"/>
    <x v="1"/>
    <x v="1"/>
    <x v="1"/>
    <x v="1"/>
    <x v="15"/>
    <x v="1"/>
    <x v="1"/>
    <x v="1"/>
    <x v="15"/>
    <x v="15"/>
    <n v="0"/>
    <n v="0"/>
    <m/>
    <m/>
    <n v="57765.5"/>
    <s v="."/>
    <n v="0"/>
    <n v="0"/>
    <n v="0"/>
    <n v="0"/>
    <n v="0"/>
    <n v="0"/>
    <n v="0"/>
    <n v="0"/>
    <n v="2627326.2516666669"/>
  </r>
  <r>
    <n v="220"/>
    <x v="16"/>
    <s v="ES"/>
    <n v="5"/>
    <n v="319"/>
    <n v="158"/>
    <n v="171051"/>
    <n v="97685"/>
    <n v="110512.8"/>
    <n v="0"/>
    <n v="0"/>
    <n v="75970"/>
    <n v="55700"/>
    <n v="0"/>
    <n v="0"/>
    <n v="0"/>
    <n v="67656"/>
    <n v="51186"/>
    <n v="1"/>
    <n v="41134"/>
    <n v="97685"/>
    <n v="97685"/>
    <n v="97685"/>
    <n v="97685"/>
    <n v="0"/>
    <n v="195370"/>
    <n v="57830"/>
    <n v="97685"/>
    <n v="57830"/>
    <x v="1"/>
    <n v="57830"/>
    <n v="293055"/>
    <n v="86745"/>
    <n v="195370"/>
    <n v="195370"/>
    <n v="195370"/>
    <n v="195370"/>
    <n v="97685"/>
    <n v="0"/>
    <n v="0"/>
    <n v="0"/>
    <n v="0"/>
    <n v="0"/>
    <n v="0"/>
    <n v="0"/>
    <n v="0"/>
    <n v="0"/>
    <n v="97685"/>
    <n v="48842.5"/>
    <n v="586110"/>
    <n v="173490"/>
    <n v="0"/>
    <x v="9"/>
    <n v="0"/>
    <n v="0"/>
    <n v="35580"/>
    <n v="39240"/>
    <n v="7848"/>
    <n v="0"/>
    <n v="115974.55"/>
    <n v="1881.74"/>
    <n v="72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5"/>
    <x v="1"/>
    <x v="1"/>
    <x v="1"/>
    <x v="1"/>
    <x v="16"/>
    <x v="1"/>
    <x v="1"/>
    <x v="1"/>
    <x v="16"/>
    <x v="16"/>
    <n v="0"/>
    <n v="0"/>
    <m/>
    <m/>
    <n v="123661.5"/>
    <s v="."/>
    <n v="0"/>
    <n v="0"/>
    <n v="0"/>
    <n v="0"/>
    <n v="0"/>
    <n v="0"/>
    <n v="0"/>
    <n v="0"/>
    <n v="4425837.9994999999"/>
  </r>
  <r>
    <n v="221"/>
    <x v="17"/>
    <s v="ES"/>
    <n v="7"/>
    <n v="352"/>
    <n v="257"/>
    <n v="171051"/>
    <n v="97685"/>
    <n v="124326.90000000001"/>
    <n v="0"/>
    <n v="0"/>
    <n v="75970"/>
    <n v="55700"/>
    <n v="0"/>
    <n v="0"/>
    <n v="0"/>
    <n v="67656"/>
    <n v="102372"/>
    <n v="1"/>
    <n v="41134"/>
    <n v="97685"/>
    <n v="97685"/>
    <n v="97685"/>
    <n v="97685"/>
    <n v="0"/>
    <n v="195370"/>
    <n v="57830"/>
    <n v="97685"/>
    <n v="28915"/>
    <x v="4"/>
    <n v="86745"/>
    <n v="293055"/>
    <n v="86745"/>
    <n v="195370"/>
    <n v="195370"/>
    <n v="195370"/>
    <n v="195370"/>
    <n v="195370"/>
    <n v="0"/>
    <n v="0"/>
    <n v="0"/>
    <n v="0"/>
    <n v="0"/>
    <n v="0"/>
    <n v="0"/>
    <n v="0"/>
    <n v="0"/>
    <n v="48842.5"/>
    <n v="48842.5"/>
    <n v="293055"/>
    <n v="0"/>
    <n v="0"/>
    <x v="3"/>
    <n v="0"/>
    <n v="0"/>
    <n v="5930"/>
    <n v="6540"/>
    <n v="7848"/>
    <n v="0"/>
    <n v="131492.26999999999"/>
    <n v="2133.52"/>
    <n v="817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6"/>
    <x v="5"/>
    <x v="1"/>
    <x v="1"/>
    <x v="1"/>
    <x v="17"/>
    <x v="1"/>
    <x v="1"/>
    <x v="1"/>
    <x v="17"/>
    <x v="17"/>
    <n v="0"/>
    <n v="0"/>
    <m/>
    <m/>
    <n v="143700"/>
    <s v="."/>
    <n v="0"/>
    <n v="0"/>
    <n v="0"/>
    <n v="0"/>
    <n v="0"/>
    <n v="0"/>
    <n v="0"/>
    <n v="0"/>
    <n v="4226779.7691818178"/>
  </r>
  <r>
    <n v="247"/>
    <x v="18"/>
    <s v="ES"/>
    <n v="7"/>
    <n v="288"/>
    <n v="214"/>
    <n v="171051"/>
    <n v="97685"/>
    <n v="0"/>
    <n v="0"/>
    <n v="0"/>
    <n v="37985"/>
    <n v="55700"/>
    <n v="0"/>
    <n v="0"/>
    <n v="0"/>
    <n v="67656"/>
    <n v="51186"/>
    <n v="2"/>
    <n v="82268"/>
    <n v="48842.5"/>
    <n v="97685"/>
    <n v="97685"/>
    <n v="97685"/>
    <n v="0"/>
    <n v="97685"/>
    <n v="28915"/>
    <n v="0"/>
    <n v="0"/>
    <x v="1"/>
    <n v="57830"/>
    <n v="195370"/>
    <n v="57830"/>
    <n v="195370"/>
    <n v="195370"/>
    <n v="195370"/>
    <n v="195370"/>
    <n v="195370"/>
    <n v="0"/>
    <n v="0"/>
    <n v="0"/>
    <n v="0"/>
    <n v="0"/>
    <n v="0"/>
    <n v="0"/>
    <n v="0"/>
    <n v="0"/>
    <n v="97685"/>
    <n v="195370"/>
    <n v="781480"/>
    <n v="115660"/>
    <n v="45222"/>
    <x v="1"/>
    <n v="0"/>
    <n v="0"/>
    <n v="0"/>
    <n v="0"/>
    <n v="0"/>
    <n v="0"/>
    <n v="118833.08"/>
    <n v="1928.12"/>
    <n v="737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1"/>
    <x v="1"/>
    <x v="17"/>
    <x v="1"/>
    <x v="1"/>
    <x v="1"/>
    <x v="1"/>
    <x v="18"/>
    <x v="1"/>
    <x v="1"/>
    <x v="1"/>
    <x v="18"/>
    <x v="18"/>
    <n v="0"/>
    <n v="0"/>
    <m/>
    <m/>
    <n v="94869.5"/>
    <s v="."/>
    <n v="0"/>
    <n v="0"/>
    <n v="0"/>
    <n v="0"/>
    <n v="0"/>
    <n v="0"/>
    <n v="0"/>
    <n v="60484.180191780441"/>
    <n v="4188748.7305000001"/>
  </r>
  <r>
    <n v="360"/>
    <x v="19"/>
    <s v="EC"/>
    <n v="6"/>
    <n v="370"/>
    <n v="45"/>
    <n v="171051"/>
    <n v="97685"/>
    <n v="138141"/>
    <n v="97685"/>
    <n v="0"/>
    <n v="75970"/>
    <n v="55700"/>
    <n v="0"/>
    <n v="0"/>
    <n v="0"/>
    <n v="67656"/>
    <n v="51186"/>
    <n v="1"/>
    <n v="41134"/>
    <n v="97685"/>
    <n v="97685"/>
    <n v="97685"/>
    <n v="97685"/>
    <n v="0"/>
    <n v="0"/>
    <n v="0"/>
    <n v="781480"/>
    <n v="231320"/>
    <x v="3"/>
    <n v="0"/>
    <n v="97685"/>
    <n v="28915"/>
    <n v="97685"/>
    <n v="97685"/>
    <n v="97685"/>
    <n v="97685"/>
    <n v="97685"/>
    <n v="39074"/>
    <n v="58611"/>
    <n v="87916.5"/>
    <n v="0"/>
    <n v="0"/>
    <n v="0"/>
    <n v="0"/>
    <n v="0"/>
    <n v="0"/>
    <n v="48842.5"/>
    <n v="48842.5"/>
    <n v="195370"/>
    <n v="0"/>
    <n v="0"/>
    <x v="10"/>
    <n v="0"/>
    <n v="0"/>
    <n v="0"/>
    <n v="0"/>
    <n v="0"/>
    <n v="0"/>
    <n v="0"/>
    <n v="0"/>
    <n v="895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2"/>
    <x v="2"/>
    <x v="2"/>
    <x v="2"/>
    <x v="1"/>
    <x v="1"/>
    <x v="5"/>
    <x v="6"/>
    <x v="1"/>
    <x v="1"/>
    <x v="1"/>
    <x v="19"/>
    <x v="1"/>
    <x v="1"/>
    <x v="1"/>
    <x v="19"/>
    <x v="19"/>
    <n v="0"/>
    <n v="0"/>
    <m/>
    <m/>
    <n v="0.10000000000582077"/>
    <s v="."/>
    <n v="0"/>
    <n v="0"/>
    <n v="0"/>
    <n v="0"/>
    <n v="0"/>
    <n v="0"/>
    <n v="0"/>
    <n v="0"/>
    <n v="3808047.8734343434"/>
  </r>
  <r>
    <n v="454"/>
    <x v="20"/>
    <s v="EC2"/>
    <n v="1"/>
    <n v="882"/>
    <n v="728"/>
    <n v="171051"/>
    <n v="97685"/>
    <n v="400608.89999999997"/>
    <n v="97685"/>
    <n v="334713"/>
    <n v="75970"/>
    <n v="55700"/>
    <n v="89036.200000000012"/>
    <n v="47542"/>
    <n v="58487"/>
    <n v="135312"/>
    <n v="204744"/>
    <n v="4"/>
    <n v="164536"/>
    <n v="97685"/>
    <n v="0"/>
    <n v="0"/>
    <n v="97685"/>
    <n v="0"/>
    <n v="0"/>
    <n v="0"/>
    <n v="0"/>
    <n v="0"/>
    <x v="3"/>
    <n v="0"/>
    <n v="0"/>
    <n v="0"/>
    <n v="0"/>
    <n v="0"/>
    <n v="0"/>
    <n v="0"/>
    <n v="0"/>
    <n v="136759"/>
    <n v="205138.5"/>
    <n v="273518"/>
    <n v="0"/>
    <n v="0"/>
    <n v="0"/>
    <n v="0"/>
    <n v="0"/>
    <n v="3787437.6131879962"/>
    <n v="97685"/>
    <n v="586110"/>
    <n v="2051385"/>
    <n v="433725"/>
    <n v="135666"/>
    <x v="11"/>
    <n v="86745"/>
    <n v="316947"/>
    <n v="0"/>
    <n v="0"/>
    <n v="0"/>
    <n v="56644"/>
    <n v="316888.21000000002"/>
    <n v="5141.6400000000003"/>
    <n v="19700"/>
    <n v="0"/>
    <x v="1"/>
    <x v="1"/>
    <x v="2"/>
    <x v="1"/>
    <x v="2"/>
    <x v="2"/>
    <x v="4"/>
    <x v="2"/>
    <x v="2"/>
    <x v="1"/>
    <x v="1"/>
    <x v="1"/>
    <x v="1"/>
    <x v="1"/>
    <x v="2"/>
    <x v="2"/>
    <x v="1"/>
    <x v="1"/>
    <x v="2"/>
    <x v="2"/>
    <x v="2"/>
    <x v="2"/>
    <x v="2"/>
    <x v="2"/>
    <x v="2"/>
    <x v="18"/>
    <x v="7"/>
    <x v="1"/>
    <x v="1"/>
    <x v="1"/>
    <x v="20"/>
    <x v="2"/>
    <x v="1"/>
    <x v="2"/>
    <x v="20"/>
    <x v="20"/>
    <n v="0"/>
    <n v="0"/>
    <m/>
    <m/>
    <n v="0.45789102348499"/>
    <s v="."/>
    <n v="0"/>
    <n v="0"/>
    <n v="0"/>
    <n v="0"/>
    <n v="0"/>
    <n v="0"/>
    <n v="0"/>
    <n v="0"/>
    <n v="14197396.696813872"/>
  </r>
  <r>
    <n v="947"/>
    <x v="21"/>
    <s v="Alt"/>
    <n v="5"/>
    <n v="5"/>
    <n v="0"/>
    <n v="85525.5"/>
    <n v="0"/>
    <n v="69070.5"/>
    <n v="0"/>
    <n v="0"/>
    <n v="75970"/>
    <n v="55700"/>
    <n v="0"/>
    <n v="0"/>
    <n v="0"/>
    <n v="67656"/>
    <n v="0"/>
    <n v="0"/>
    <n v="0"/>
    <n v="48842.5"/>
    <n v="0"/>
    <n v="0"/>
    <n v="0"/>
    <n v="0"/>
    <n v="0"/>
    <n v="0"/>
    <n v="0"/>
    <n v="0"/>
    <x v="3"/>
    <n v="0"/>
    <n v="0"/>
    <n v="0"/>
    <n v="0"/>
    <n v="0"/>
    <n v="0"/>
    <n v="0"/>
    <n v="0"/>
    <n v="0"/>
    <n v="0"/>
    <n v="0"/>
    <n v="97685"/>
    <n v="97685"/>
    <n v="97685"/>
    <n v="97685"/>
    <n v="0"/>
    <n v="0"/>
    <n v="0"/>
    <n v="97685"/>
    <n v="195370"/>
    <n v="0"/>
    <n v="0"/>
    <x v="1"/>
    <n v="0"/>
    <n v="0"/>
    <n v="0"/>
    <n v="0"/>
    <n v="0"/>
    <n v="0"/>
    <n v="0"/>
    <n v="0"/>
    <n v="5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5"/>
    <x v="1"/>
    <x v="1"/>
    <x v="2"/>
    <x v="2"/>
    <x v="21"/>
    <x v="1"/>
    <x v="1"/>
    <x v="1"/>
    <x v="21"/>
    <x v="21"/>
    <n v="0"/>
    <n v="0"/>
    <m/>
    <m/>
    <n v="0"/>
    <s v="."/>
    <n v="0"/>
    <n v="0"/>
    <n v="0"/>
    <n v="0"/>
    <n v="0"/>
    <n v="0"/>
    <n v="0"/>
    <n v="0"/>
    <n v="1126138.8925000001"/>
  </r>
  <r>
    <n v="224"/>
    <x v="22"/>
    <s v="ES"/>
    <n v="1"/>
    <n v="329"/>
    <n v="164"/>
    <n v="171051"/>
    <n v="97685"/>
    <n v="110512.8"/>
    <n v="0"/>
    <n v="0"/>
    <n v="75970"/>
    <n v="55700"/>
    <n v="0"/>
    <n v="0"/>
    <n v="0"/>
    <n v="67656"/>
    <n v="102372"/>
    <n v="0"/>
    <n v="0"/>
    <n v="97685"/>
    <n v="97685"/>
    <n v="97685"/>
    <n v="97685"/>
    <n v="146527.5"/>
    <n v="195370"/>
    <n v="57830"/>
    <n v="97685"/>
    <n v="57830"/>
    <x v="1"/>
    <n v="57830"/>
    <n v="195370"/>
    <n v="57830"/>
    <n v="195370"/>
    <n v="195370"/>
    <n v="195370"/>
    <n v="195370"/>
    <n v="195370"/>
    <n v="0"/>
    <n v="0"/>
    <n v="0"/>
    <n v="0"/>
    <n v="0"/>
    <n v="0"/>
    <n v="0"/>
    <n v="0"/>
    <n v="0"/>
    <n v="48842.5"/>
    <n v="48842.5"/>
    <n v="390740"/>
    <n v="28915"/>
    <n v="45222"/>
    <x v="12"/>
    <n v="0"/>
    <n v="0"/>
    <n v="35580"/>
    <n v="39240"/>
    <n v="7848"/>
    <n v="0"/>
    <n v="128633.75"/>
    <n v="2087.14"/>
    <n v="80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9"/>
    <x v="1"/>
    <x v="1"/>
    <x v="1"/>
    <x v="1"/>
    <x v="22"/>
    <x v="1"/>
    <x v="1"/>
    <x v="1"/>
    <x v="22"/>
    <x v="22"/>
    <n v="0"/>
    <n v="0"/>
    <m/>
    <m/>
    <n v="0"/>
    <s v="."/>
    <n v="0"/>
    <n v="0"/>
    <n v="0"/>
    <n v="0"/>
    <n v="0"/>
    <n v="0"/>
    <n v="0"/>
    <n v="0"/>
    <n v="4198046.99840625"/>
  </r>
  <r>
    <n v="442"/>
    <x v="23"/>
    <s v="EC2"/>
    <n v="1"/>
    <n v="1400"/>
    <n v="904"/>
    <n v="171051"/>
    <n v="97685"/>
    <n v="649262.70000000007"/>
    <n v="97685"/>
    <n v="490912.4"/>
    <n v="75970"/>
    <n v="55700"/>
    <n v="141648.5"/>
    <n v="47542"/>
    <n v="58487"/>
    <n v="135312"/>
    <n v="102372"/>
    <n v="7"/>
    <n v="287938"/>
    <n v="97685"/>
    <n v="0"/>
    <n v="0"/>
    <n v="0"/>
    <n v="0"/>
    <n v="0"/>
    <n v="0"/>
    <n v="0"/>
    <n v="0"/>
    <x v="3"/>
    <n v="0"/>
    <n v="0"/>
    <n v="0"/>
    <n v="0"/>
    <n v="0"/>
    <n v="0"/>
    <n v="0"/>
    <n v="0"/>
    <n v="390740"/>
    <n v="478656.50000000006"/>
    <n v="498193.49999999994"/>
    <n v="1367590"/>
    <n v="1025692.5"/>
    <n v="1045229.4999999999"/>
    <n v="1015924"/>
    <n v="0"/>
    <n v="0"/>
    <n v="97685"/>
    <n v="390740"/>
    <n v="1172220"/>
    <n v="57830"/>
    <n v="0"/>
    <x v="13"/>
    <n v="57830"/>
    <n v="410752"/>
    <n v="0"/>
    <n v="0"/>
    <n v="0"/>
    <n v="56644"/>
    <n v="485966"/>
    <n v="7885"/>
    <n v="34825"/>
    <n v="0"/>
    <x v="1"/>
    <x v="1"/>
    <x v="1"/>
    <x v="1"/>
    <x v="2"/>
    <x v="1"/>
    <x v="1"/>
    <x v="1"/>
    <x v="1"/>
    <x v="2"/>
    <x v="1"/>
    <x v="1"/>
    <x v="1"/>
    <x v="1"/>
    <x v="2"/>
    <x v="2"/>
    <x v="2"/>
    <x v="2"/>
    <x v="6"/>
    <x v="2"/>
    <x v="2"/>
    <x v="2"/>
    <x v="2"/>
    <x v="2"/>
    <x v="2"/>
    <x v="20"/>
    <x v="8"/>
    <x v="1"/>
    <x v="1"/>
    <x v="1"/>
    <x v="23"/>
    <x v="2"/>
    <x v="1"/>
    <x v="1"/>
    <x v="23"/>
    <x v="23"/>
    <n v="0"/>
    <n v="457685"/>
    <m/>
    <m/>
    <n v="0.42107902350835502"/>
    <s v="."/>
    <n v="0"/>
    <n v="0"/>
    <n v="0"/>
    <n v="0"/>
    <n v="0"/>
    <n v="0"/>
    <n v="0"/>
    <n v="0"/>
    <n v="15688231.935083812"/>
  </r>
  <r>
    <n v="455"/>
    <x v="24"/>
    <s v="HS"/>
    <n v="4"/>
    <n v="418"/>
    <n v="307"/>
    <n v="171051"/>
    <n v="97685"/>
    <n v="165769.19999999998"/>
    <n v="0"/>
    <n v="167356.5"/>
    <n v="75970"/>
    <n v="55700"/>
    <n v="0"/>
    <n v="47542"/>
    <n v="58487"/>
    <n v="135312"/>
    <n v="102372"/>
    <n v="2"/>
    <n v="82268"/>
    <n v="97685"/>
    <n v="0"/>
    <n v="0"/>
    <n v="0"/>
    <n v="0"/>
    <n v="0"/>
    <n v="0"/>
    <n v="0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2189211.9483828153"/>
    <n v="97685"/>
    <n v="293055"/>
    <n v="976850"/>
    <n v="173490"/>
    <n v="90444"/>
    <x v="14"/>
    <n v="0"/>
    <n v="0"/>
    <n v="0"/>
    <n v="0"/>
    <n v="0"/>
    <n v="52598"/>
    <n v="155993.94"/>
    <n v="2531.0700000000002"/>
    <n v="9700"/>
    <n v="0"/>
    <x v="1"/>
    <x v="1"/>
    <x v="1"/>
    <x v="1"/>
    <x v="2"/>
    <x v="2"/>
    <x v="4"/>
    <x v="2"/>
    <x v="2"/>
    <x v="2"/>
    <x v="1"/>
    <x v="1"/>
    <x v="1"/>
    <x v="1"/>
    <x v="2"/>
    <x v="2"/>
    <x v="2"/>
    <x v="2"/>
    <x v="4"/>
    <x v="1"/>
    <x v="1"/>
    <x v="1"/>
    <x v="1"/>
    <x v="2"/>
    <x v="2"/>
    <x v="21"/>
    <x v="1"/>
    <x v="1"/>
    <x v="1"/>
    <x v="1"/>
    <x v="24"/>
    <x v="2"/>
    <x v="1"/>
    <x v="1"/>
    <x v="24"/>
    <x v="24"/>
    <n v="0"/>
    <n v="0"/>
    <m/>
    <m/>
    <n v="0.42269620334263891"/>
    <s v="."/>
    <n v="0"/>
    <n v="0"/>
    <n v="0"/>
    <n v="0"/>
    <n v="71144"/>
    <n v="0.5"/>
    <n v="48842.5"/>
    <n v="0"/>
    <n v="6953029.3483337592"/>
  </r>
  <r>
    <n v="405"/>
    <x v="25"/>
    <s v="MS"/>
    <n v="3"/>
    <n v="1532"/>
    <n v="116"/>
    <n v="171051"/>
    <n v="97685"/>
    <n v="704519.1"/>
    <n v="371203"/>
    <n v="0"/>
    <n v="75970"/>
    <n v="55700"/>
    <n v="153789.79999999999"/>
    <n v="0"/>
    <n v="0"/>
    <n v="67656"/>
    <n v="153558"/>
    <n v="4"/>
    <n v="164536"/>
    <n v="97685"/>
    <n v="0"/>
    <n v="0"/>
    <n v="0"/>
    <n v="0"/>
    <n v="0"/>
    <n v="0"/>
    <n v="0"/>
    <n v="0"/>
    <x v="3"/>
    <n v="0"/>
    <n v="0"/>
    <n v="0"/>
    <n v="0"/>
    <n v="0"/>
    <n v="0"/>
    <n v="0"/>
    <n v="0"/>
    <n v="2256523.5"/>
    <n v="2432356.5"/>
    <n v="2109996"/>
    <n v="0"/>
    <n v="0"/>
    <n v="0"/>
    <n v="0"/>
    <n v="0"/>
    <n v="0"/>
    <n v="195370"/>
    <n v="390740"/>
    <n v="976850"/>
    <n v="0"/>
    <n v="0"/>
    <x v="12"/>
    <n v="0"/>
    <n v="0"/>
    <n v="0"/>
    <n v="0"/>
    <n v="0"/>
    <n v="0"/>
    <n v="0"/>
    <n v="0"/>
    <n v="36925"/>
    <n v="101560.06446048801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3"/>
    <x v="2"/>
    <x v="2"/>
    <x v="2"/>
    <x v="1"/>
    <x v="1"/>
    <x v="5"/>
    <x v="1"/>
    <x v="1"/>
    <x v="1"/>
    <x v="1"/>
    <x v="25"/>
    <x v="1"/>
    <x v="1"/>
    <x v="1"/>
    <x v="25"/>
    <x v="25"/>
    <n v="2151570.8800872043"/>
    <n v="0"/>
    <m/>
    <m/>
    <n v="335.60000000000582"/>
    <s v="."/>
    <n v="0"/>
    <n v="0"/>
    <n v="0"/>
    <n v="0"/>
    <n v="0"/>
    <n v="0"/>
    <n v="0"/>
    <n v="0"/>
    <n v="13788335.6"/>
  </r>
  <r>
    <n v="349"/>
    <x v="26"/>
    <s v="ES"/>
    <n v="4"/>
    <n v="530"/>
    <n v="245"/>
    <n v="171051"/>
    <n v="97685"/>
    <n v="179583.30000000002"/>
    <n v="0"/>
    <n v="0"/>
    <n v="75970"/>
    <n v="55700"/>
    <n v="52612.3"/>
    <n v="0"/>
    <n v="0"/>
    <n v="67656"/>
    <n v="51186"/>
    <n v="3"/>
    <n v="123402"/>
    <n v="97685"/>
    <n v="97685"/>
    <n v="97685"/>
    <n v="97685"/>
    <n v="146527.5"/>
    <n v="390740"/>
    <n v="115660"/>
    <n v="0"/>
    <n v="0"/>
    <x v="6"/>
    <n v="144575"/>
    <n v="488425"/>
    <n v="144575"/>
    <n v="293055"/>
    <n v="293055"/>
    <n v="195370"/>
    <n v="293055"/>
    <n v="195370"/>
    <n v="0"/>
    <n v="0"/>
    <n v="0"/>
    <n v="0"/>
    <n v="0"/>
    <n v="0"/>
    <n v="0"/>
    <n v="0"/>
    <n v="0"/>
    <n v="97685"/>
    <n v="146527.5"/>
    <n v="586110"/>
    <n v="115660"/>
    <n v="0"/>
    <x v="15"/>
    <n v="0"/>
    <n v="97685"/>
    <n v="0"/>
    <n v="0"/>
    <n v="0"/>
    <n v="0"/>
    <n v="200505.3"/>
    <n v="3253.28"/>
    <n v="1245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22"/>
    <x v="9"/>
    <x v="1"/>
    <x v="1"/>
    <x v="1"/>
    <x v="26"/>
    <x v="1"/>
    <x v="1"/>
    <x v="1"/>
    <x v="26"/>
    <x v="26"/>
    <n v="0"/>
    <n v="0"/>
    <m/>
    <m/>
    <n v="0"/>
    <s v="."/>
    <n v="0"/>
    <n v="0"/>
    <n v="0"/>
    <n v="0"/>
    <n v="0"/>
    <n v="0"/>
    <n v="0"/>
    <n v="0"/>
    <n v="6897827.0556666665"/>
  </r>
  <r>
    <n v="231"/>
    <x v="27"/>
    <s v="ES"/>
    <n v="7"/>
    <n v="281"/>
    <n v="216"/>
    <n v="171051"/>
    <n v="97685"/>
    <n v="0"/>
    <n v="0"/>
    <n v="0"/>
    <n v="37985"/>
    <n v="55700"/>
    <n v="0"/>
    <n v="0"/>
    <n v="0"/>
    <n v="67656"/>
    <n v="51186"/>
    <n v="1"/>
    <n v="41134"/>
    <n v="48842.5"/>
    <n v="97685"/>
    <n v="97685"/>
    <n v="97685"/>
    <n v="0"/>
    <n v="97685"/>
    <n v="28915"/>
    <n v="97685"/>
    <n v="28915"/>
    <x v="2"/>
    <n v="28915"/>
    <n v="195370"/>
    <n v="57830"/>
    <n v="97685"/>
    <n v="195370"/>
    <n v="195370"/>
    <n v="195370"/>
    <n v="195370"/>
    <n v="0"/>
    <n v="0"/>
    <n v="0"/>
    <n v="0"/>
    <n v="0"/>
    <n v="0"/>
    <n v="0"/>
    <n v="0"/>
    <n v="0"/>
    <n v="97685"/>
    <n v="48842.5"/>
    <n v="488425"/>
    <n v="57830"/>
    <n v="0"/>
    <x v="3"/>
    <n v="0"/>
    <n v="0"/>
    <n v="17790"/>
    <n v="19620"/>
    <n v="7848"/>
    <n v="0"/>
    <n v="99231.75"/>
    <n v="1610.08"/>
    <n v="6175"/>
    <n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23"/>
    <x v="10"/>
    <x v="1"/>
    <x v="2"/>
    <x v="2"/>
    <x v="27"/>
    <x v="1"/>
    <x v="1"/>
    <x v="1"/>
    <x v="27"/>
    <x v="27"/>
    <n v="0"/>
    <n v="0"/>
    <m/>
    <m/>
    <n v="0"/>
    <s v="."/>
    <n v="0"/>
    <n v="0"/>
    <n v="0"/>
    <n v="0"/>
    <n v="0"/>
    <n v="0"/>
    <n v="0"/>
    <n v="0"/>
    <n v="3525693.04979784"/>
  </r>
  <r>
    <n v="467"/>
    <x v="28"/>
    <s v="HS"/>
    <n v="5"/>
    <n v="612"/>
    <n v="470"/>
    <n v="171051"/>
    <n v="97685"/>
    <n v="276282"/>
    <n v="0"/>
    <n v="267770.39999999997"/>
    <n v="75970"/>
    <n v="55700"/>
    <n v="60706.5"/>
    <n v="47542"/>
    <n v="58487"/>
    <n v="67656"/>
    <n v="204744"/>
    <n v="3"/>
    <n v="123402"/>
    <n v="97685"/>
    <n v="0"/>
    <n v="0"/>
    <n v="97685"/>
    <n v="0"/>
    <n v="0"/>
    <n v="0"/>
    <n v="0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3254966.6284057354"/>
    <n v="97685"/>
    <n v="390740"/>
    <n v="1465275"/>
    <n v="173490"/>
    <n v="90444"/>
    <x v="9"/>
    <n v="0"/>
    <n v="0"/>
    <n v="0"/>
    <n v="0"/>
    <n v="0"/>
    <n v="56644"/>
    <n v="262984.55"/>
    <n v="4267.04"/>
    <n v="16350"/>
    <n v="0"/>
    <x v="1"/>
    <x v="1"/>
    <x v="1"/>
    <x v="1"/>
    <x v="2"/>
    <x v="2"/>
    <x v="2"/>
    <x v="2"/>
    <x v="2"/>
    <x v="2"/>
    <x v="1"/>
    <x v="1"/>
    <x v="1"/>
    <x v="1"/>
    <x v="2"/>
    <x v="2"/>
    <x v="2"/>
    <x v="2"/>
    <x v="1"/>
    <x v="1"/>
    <x v="1"/>
    <x v="1"/>
    <x v="1"/>
    <x v="2"/>
    <x v="2"/>
    <x v="24"/>
    <x v="1"/>
    <x v="1"/>
    <x v="1"/>
    <x v="1"/>
    <x v="28"/>
    <x v="2"/>
    <x v="1"/>
    <x v="2"/>
    <x v="28"/>
    <x v="28"/>
    <n v="0"/>
    <n v="0"/>
    <m/>
    <m/>
    <n v="0.49267328321002424"/>
    <s v="."/>
    <n v="0"/>
    <n v="0"/>
    <n v="0"/>
    <n v="0"/>
    <n v="0"/>
    <n v="0"/>
    <n v="0"/>
    <n v="0"/>
    <n v="8887177.0812235307"/>
  </r>
  <r>
    <n v="457"/>
    <x v="29"/>
    <s v="HS"/>
    <n v="6"/>
    <n v="831"/>
    <n v="609"/>
    <n v="171051"/>
    <n v="97685"/>
    <n v="386794.8"/>
    <n v="0"/>
    <n v="368184.3"/>
    <n v="75970"/>
    <n v="55700"/>
    <n v="84989.1"/>
    <n v="47542"/>
    <n v="58487"/>
    <n v="67656"/>
    <n v="204744"/>
    <n v="4"/>
    <n v="164536"/>
    <n v="97685"/>
    <n v="0"/>
    <n v="0"/>
    <n v="0"/>
    <n v="0"/>
    <n v="0"/>
    <n v="0"/>
    <n v="0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3517298.0739837959"/>
    <n v="97685"/>
    <n v="439582.5"/>
    <n v="2051385"/>
    <n v="318065"/>
    <n v="45222"/>
    <x v="16"/>
    <n v="0"/>
    <n v="0"/>
    <n v="0"/>
    <n v="0"/>
    <n v="0"/>
    <n v="68782"/>
    <n v="392026.65"/>
    <n v="6360.8"/>
    <n v="24375"/>
    <n v="101560.06446048801"/>
    <x v="1"/>
    <x v="1"/>
    <x v="1"/>
    <x v="2"/>
    <x v="2"/>
    <x v="2"/>
    <x v="3"/>
    <x v="2"/>
    <x v="2"/>
    <x v="1"/>
    <x v="1"/>
    <x v="1"/>
    <x v="2"/>
    <x v="2"/>
    <x v="2"/>
    <x v="2"/>
    <x v="1"/>
    <x v="1"/>
    <x v="4"/>
    <x v="1"/>
    <x v="1"/>
    <x v="1"/>
    <x v="1"/>
    <x v="2"/>
    <x v="2"/>
    <x v="25"/>
    <x v="1"/>
    <x v="1"/>
    <x v="1"/>
    <x v="1"/>
    <x v="29"/>
    <x v="2"/>
    <x v="1"/>
    <x v="1"/>
    <x v="29"/>
    <x v="29"/>
    <n v="0"/>
    <n v="0"/>
    <m/>
    <m/>
    <n v="39014.871079023229"/>
    <s v="."/>
    <n v="0"/>
    <n v="0"/>
    <n v="0"/>
    <n v="0"/>
    <n v="0"/>
    <n v="0"/>
    <n v="0"/>
    <n v="154011.04990293086"/>
    <n v="10404999.012999998"/>
  </r>
  <r>
    <n v="232"/>
    <x v="30"/>
    <s v="ES"/>
    <n v="3"/>
    <n v="478"/>
    <n v="30"/>
    <n v="171051"/>
    <n v="97685"/>
    <n v="165769.19999999998"/>
    <n v="0"/>
    <n v="0"/>
    <n v="75970"/>
    <n v="55700"/>
    <n v="48565.2"/>
    <n v="0"/>
    <n v="0"/>
    <n v="67656"/>
    <n v="51186"/>
    <n v="2"/>
    <n v="82268"/>
    <n v="97685"/>
    <n v="97685"/>
    <n v="97685"/>
    <n v="97685"/>
    <n v="146527.5"/>
    <n v="0"/>
    <n v="0"/>
    <n v="0"/>
    <n v="0"/>
    <x v="1"/>
    <n v="57830"/>
    <n v="293055"/>
    <n v="86745"/>
    <n v="390740"/>
    <n v="293055"/>
    <n v="293055"/>
    <n v="293055"/>
    <n v="390740"/>
    <n v="0"/>
    <n v="0"/>
    <n v="0"/>
    <n v="0"/>
    <n v="0"/>
    <n v="0"/>
    <n v="0"/>
    <n v="0"/>
    <n v="0"/>
    <n v="48842.5"/>
    <n v="97685"/>
    <n v="293055"/>
    <n v="0"/>
    <n v="0"/>
    <x v="12"/>
    <n v="0"/>
    <n v="0"/>
    <n v="0"/>
    <n v="0"/>
    <n v="0"/>
    <n v="0"/>
    <n v="0"/>
    <n v="0"/>
    <n v="1192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30"/>
    <x v="1"/>
    <x v="1"/>
    <x v="1"/>
    <x v="30"/>
    <x v="30"/>
    <n v="0"/>
    <n v="0"/>
    <m/>
    <m/>
    <n v="0"/>
    <s v="."/>
    <n v="0"/>
    <n v="0"/>
    <n v="0"/>
    <n v="0"/>
    <n v="0"/>
    <n v="0"/>
    <n v="0"/>
    <n v="0"/>
    <n v="4424303.9864216866"/>
  </r>
  <r>
    <n v="407"/>
    <x v="31"/>
    <s v="MS"/>
    <n v="6"/>
    <n v="213"/>
    <n v="151"/>
    <n v="171051"/>
    <n v="97685"/>
    <n v="96698.7"/>
    <n v="97685"/>
    <n v="0"/>
    <n v="37985"/>
    <n v="55700"/>
    <n v="0"/>
    <n v="0"/>
    <n v="0"/>
    <n v="67656"/>
    <n v="153558"/>
    <n v="0"/>
    <n v="0"/>
    <n v="48842.5"/>
    <n v="0"/>
    <n v="0"/>
    <n v="0"/>
    <n v="0"/>
    <n v="0"/>
    <n v="0"/>
    <n v="0"/>
    <n v="0"/>
    <x v="3"/>
    <n v="0"/>
    <n v="0"/>
    <n v="0"/>
    <n v="0"/>
    <n v="0"/>
    <n v="0"/>
    <n v="0"/>
    <n v="0"/>
    <n v="341897.5"/>
    <n v="312592"/>
    <n v="283286.5"/>
    <n v="0"/>
    <n v="0"/>
    <n v="0"/>
    <n v="0"/>
    <n v="0"/>
    <n v="0"/>
    <n v="97685"/>
    <n v="195370"/>
    <n v="683795"/>
    <n v="173490"/>
    <n v="45222"/>
    <x v="10"/>
    <n v="0"/>
    <n v="0"/>
    <n v="0"/>
    <n v="0"/>
    <n v="0"/>
    <n v="0"/>
    <n v="84122.39"/>
    <n v="1364.92"/>
    <n v="5225"/>
    <n v="101560.06446048801"/>
    <x v="1"/>
    <x v="1"/>
    <x v="2"/>
    <x v="1"/>
    <x v="2"/>
    <x v="1"/>
    <x v="1"/>
    <x v="1"/>
    <x v="1"/>
    <x v="1"/>
    <x v="1"/>
    <x v="1"/>
    <x v="1"/>
    <x v="1"/>
    <x v="1"/>
    <x v="1"/>
    <x v="1"/>
    <x v="1"/>
    <x v="2"/>
    <x v="2"/>
    <x v="2"/>
    <x v="2"/>
    <x v="2"/>
    <x v="1"/>
    <x v="1"/>
    <x v="26"/>
    <x v="1"/>
    <x v="1"/>
    <x v="1"/>
    <x v="1"/>
    <x v="31"/>
    <x v="1"/>
    <x v="1"/>
    <x v="1"/>
    <x v="31"/>
    <x v="31"/>
    <n v="0"/>
    <n v="0"/>
    <m/>
    <m/>
    <n v="0"/>
    <s v="."/>
    <n v="0"/>
    <n v="0"/>
    <n v="0"/>
    <n v="0"/>
    <n v="0"/>
    <n v="0"/>
    <n v="0"/>
    <n v="0"/>
    <n v="3792199.9847585643"/>
  </r>
  <r>
    <n v="471"/>
    <x v="32"/>
    <s v="HS"/>
    <n v="2"/>
    <n v="559"/>
    <n v="173"/>
    <n v="171051"/>
    <n v="97685"/>
    <n v="262467.89999999997"/>
    <n v="0"/>
    <n v="245456.2"/>
    <n v="75970"/>
    <n v="55700"/>
    <n v="56659.399999999994"/>
    <n v="47542"/>
    <n v="58487"/>
    <n v="67656"/>
    <n v="102372"/>
    <n v="3"/>
    <n v="123402"/>
    <n v="97685"/>
    <n v="0"/>
    <n v="0"/>
    <n v="0"/>
    <n v="0"/>
    <n v="0"/>
    <n v="0"/>
    <n v="0"/>
    <n v="0"/>
    <x v="3"/>
    <n v="0"/>
    <n v="0"/>
    <n v="0"/>
    <n v="0"/>
    <n v="0"/>
    <n v="0"/>
    <n v="0"/>
    <n v="0"/>
    <n v="0"/>
    <n v="0"/>
    <n v="0"/>
    <n v="654489.5"/>
    <n v="605647"/>
    <n v="556804.5"/>
    <n v="459119.5"/>
    <n v="0"/>
    <n v="0"/>
    <n v="48842.5"/>
    <n v="97685"/>
    <n v="293055"/>
    <n v="0"/>
    <n v="0"/>
    <x v="2"/>
    <n v="0"/>
    <n v="0"/>
    <n v="0"/>
    <n v="0"/>
    <n v="0"/>
    <n v="0"/>
    <n v="0"/>
    <n v="0"/>
    <n v="1312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27"/>
    <x v="1"/>
    <x v="1"/>
    <x v="1"/>
    <x v="1"/>
    <x v="32"/>
    <x v="1"/>
    <x v="1"/>
    <x v="1"/>
    <x v="32"/>
    <x v="32"/>
    <n v="0"/>
    <n v="3001098.610816732"/>
    <m/>
    <m/>
    <n v="0"/>
    <s v="."/>
    <n v="0"/>
    <n v="0"/>
    <n v="0"/>
    <n v="0"/>
    <n v="0"/>
    <n v="0"/>
    <n v="0"/>
    <n v="0"/>
    <n v="7412319.1369263586"/>
  </r>
  <r>
    <n v="238"/>
    <x v="33"/>
    <s v="ES"/>
    <n v="8"/>
    <n v="297"/>
    <n v="252"/>
    <n v="171051"/>
    <n v="97685"/>
    <n v="0"/>
    <n v="0"/>
    <n v="0"/>
    <n v="37985"/>
    <n v="55700"/>
    <n v="0"/>
    <n v="0"/>
    <n v="0"/>
    <n v="67656"/>
    <n v="102372"/>
    <n v="0"/>
    <n v="0"/>
    <n v="48842.5"/>
    <n v="97685"/>
    <n v="97685"/>
    <n v="97685"/>
    <n v="0"/>
    <n v="97685"/>
    <n v="28915"/>
    <n v="97685"/>
    <n v="28915"/>
    <x v="2"/>
    <n v="28915"/>
    <n v="195370"/>
    <n v="57830"/>
    <n v="97685"/>
    <n v="293055"/>
    <n v="195370"/>
    <n v="195370"/>
    <n v="195370"/>
    <n v="0"/>
    <n v="0"/>
    <n v="0"/>
    <n v="0"/>
    <n v="0"/>
    <n v="0"/>
    <n v="0"/>
    <n v="0"/>
    <n v="0"/>
    <n v="97685"/>
    <n v="146527.5"/>
    <n v="586110"/>
    <n v="173490"/>
    <n v="0"/>
    <x v="3"/>
    <n v="0"/>
    <n v="0"/>
    <n v="29650"/>
    <n v="32700"/>
    <n v="7848"/>
    <n v="0"/>
    <n v="129858.83"/>
    <n v="2107.0100000000002"/>
    <n v="807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1"/>
    <x v="1"/>
    <x v="28"/>
    <x v="1"/>
    <x v="2"/>
    <x v="3"/>
    <x v="3"/>
    <x v="33"/>
    <x v="1"/>
    <x v="1"/>
    <x v="1"/>
    <x v="33"/>
    <x v="33"/>
    <n v="0"/>
    <n v="0"/>
    <m/>
    <m/>
    <n v="0"/>
    <s v="."/>
    <n v="0"/>
    <n v="0"/>
    <n v="0"/>
    <n v="0"/>
    <n v="0"/>
    <n v="0"/>
    <n v="0"/>
    <n v="0"/>
    <n v="4282263.0801970735"/>
  </r>
  <r>
    <n v="239"/>
    <x v="34"/>
    <s v="ES"/>
    <n v="2"/>
    <n v="255"/>
    <n v="121"/>
    <n v="171051"/>
    <n v="97685"/>
    <n v="0"/>
    <n v="0"/>
    <n v="0"/>
    <n v="37985"/>
    <n v="55700"/>
    <n v="0"/>
    <n v="0"/>
    <n v="0"/>
    <n v="67656"/>
    <n v="51186"/>
    <n v="1"/>
    <n v="41134"/>
    <n v="48842.5"/>
    <n v="97685"/>
    <n v="97685"/>
    <n v="97685"/>
    <n v="0"/>
    <n v="0"/>
    <n v="0"/>
    <n v="488425"/>
    <n v="173490"/>
    <x v="3"/>
    <n v="0"/>
    <n v="195370"/>
    <n v="57830"/>
    <n v="195370"/>
    <n v="97685"/>
    <n v="97685"/>
    <n v="97685"/>
    <n v="97685"/>
    <n v="0"/>
    <n v="0"/>
    <n v="0"/>
    <n v="0"/>
    <n v="0"/>
    <n v="0"/>
    <n v="0"/>
    <n v="0"/>
    <n v="0"/>
    <n v="97685"/>
    <n v="97685"/>
    <n v="683795"/>
    <n v="202405"/>
    <n v="0"/>
    <x v="12"/>
    <n v="0"/>
    <n v="0"/>
    <n v="29650"/>
    <n v="32700"/>
    <n v="7848"/>
    <n v="0"/>
    <n v="98006.66"/>
    <n v="1590.2"/>
    <n v="61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2"/>
    <x v="1"/>
    <x v="1"/>
    <x v="1"/>
    <x v="1"/>
    <x v="1"/>
    <x v="1"/>
    <x v="29"/>
    <x v="1"/>
    <x v="1"/>
    <x v="1"/>
    <x v="1"/>
    <x v="34"/>
    <x v="1"/>
    <x v="1"/>
    <x v="1"/>
    <x v="34"/>
    <x v="34"/>
    <n v="0"/>
    <n v="0"/>
    <m/>
    <m/>
    <n v="0"/>
    <s v="."/>
    <n v="0"/>
    <n v="0"/>
    <n v="0"/>
    <n v="0"/>
    <n v="0"/>
    <n v="0"/>
    <n v="0"/>
    <n v="0"/>
    <n v="3985643.6766573032"/>
  </r>
  <r>
    <n v="227"/>
    <x v="35"/>
    <s v="ES"/>
    <n v="1"/>
    <n v="440"/>
    <n v="248"/>
    <n v="171051"/>
    <n v="97685"/>
    <n v="151955.1"/>
    <n v="0"/>
    <n v="0"/>
    <n v="75970"/>
    <n v="55700"/>
    <n v="44518.100000000006"/>
    <n v="0"/>
    <n v="0"/>
    <n v="67656"/>
    <n v="102372"/>
    <n v="1"/>
    <n v="41134"/>
    <n v="97685"/>
    <n v="97685"/>
    <n v="97685"/>
    <n v="97685"/>
    <n v="195370"/>
    <n v="195370"/>
    <n v="57830"/>
    <n v="0"/>
    <n v="0"/>
    <x v="4"/>
    <n v="86745"/>
    <n v="293055"/>
    <n v="86745"/>
    <n v="293055"/>
    <n v="293055"/>
    <n v="293055"/>
    <n v="293055"/>
    <n v="293055"/>
    <n v="0"/>
    <n v="0"/>
    <n v="0"/>
    <n v="0"/>
    <n v="0"/>
    <n v="0"/>
    <n v="0"/>
    <n v="0"/>
    <n v="0"/>
    <n v="97685"/>
    <n v="195370"/>
    <n v="293055"/>
    <n v="0"/>
    <n v="0"/>
    <x v="15"/>
    <n v="0"/>
    <n v="97685"/>
    <n v="41510"/>
    <n v="45780"/>
    <n v="7848"/>
    <n v="0"/>
    <n v="159669.19"/>
    <n v="2590.6999999999998"/>
    <n v="9925"/>
    <n v="10156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1"/>
    <x v="1"/>
    <x v="30"/>
    <x v="1"/>
    <x v="3"/>
    <x v="4"/>
    <x v="4"/>
    <x v="35"/>
    <x v="1"/>
    <x v="1"/>
    <x v="1"/>
    <x v="35"/>
    <x v="35"/>
    <n v="0"/>
    <n v="0"/>
    <m/>
    <m/>
    <n v="0.31085999996867031"/>
    <s v="."/>
    <n v="0"/>
    <n v="0"/>
    <n v="0"/>
    <n v="0"/>
    <n v="0"/>
    <n v="0"/>
    <n v="0"/>
    <n v="0"/>
    <n v="6373105.0075454544"/>
  </r>
  <r>
    <n v="246"/>
    <x v="36"/>
    <s v="MS"/>
    <n v="2"/>
    <n v="384"/>
    <n v="91"/>
    <n v="171051"/>
    <n v="97685"/>
    <n v="179583.30000000002"/>
    <n v="97685"/>
    <n v="0"/>
    <n v="75970"/>
    <n v="55700"/>
    <n v="0"/>
    <n v="0"/>
    <n v="0"/>
    <n v="67656"/>
    <n v="102372"/>
    <n v="1"/>
    <n v="41134"/>
    <n v="97685"/>
    <n v="0"/>
    <n v="0"/>
    <n v="0"/>
    <n v="0"/>
    <n v="0"/>
    <n v="0"/>
    <n v="0"/>
    <n v="0"/>
    <x v="3"/>
    <n v="0"/>
    <n v="0"/>
    <n v="0"/>
    <n v="0"/>
    <n v="0"/>
    <n v="0"/>
    <n v="0"/>
    <n v="0"/>
    <n v="615415.5"/>
    <n v="576341.5"/>
    <n v="507962"/>
    <n v="0"/>
    <n v="0"/>
    <n v="0"/>
    <n v="0"/>
    <n v="0"/>
    <n v="0"/>
    <n v="48842.5"/>
    <n v="97685"/>
    <n v="683795"/>
    <n v="115660"/>
    <n v="0"/>
    <x v="9"/>
    <n v="0"/>
    <n v="0"/>
    <n v="0"/>
    <n v="0"/>
    <n v="0"/>
    <n v="0"/>
    <n v="58804"/>
    <n v="954.12"/>
    <n v="9375"/>
    <n v="0"/>
    <x v="1"/>
    <x v="2"/>
    <x v="1"/>
    <x v="1"/>
    <x v="2"/>
    <x v="1"/>
    <x v="1"/>
    <x v="1"/>
    <x v="1"/>
    <x v="1"/>
    <x v="1"/>
    <x v="1"/>
    <x v="1"/>
    <x v="1"/>
    <x v="1"/>
    <x v="1"/>
    <x v="1"/>
    <x v="1"/>
    <x v="1"/>
    <x v="3"/>
    <x v="2"/>
    <x v="2"/>
    <x v="2"/>
    <x v="1"/>
    <x v="1"/>
    <x v="5"/>
    <x v="11"/>
    <x v="1"/>
    <x v="1"/>
    <x v="1"/>
    <x v="36"/>
    <x v="1"/>
    <x v="1"/>
    <x v="1"/>
    <x v="36"/>
    <x v="36"/>
    <n v="0"/>
    <n v="0"/>
    <m/>
    <m/>
    <n v="134.89999999999418"/>
    <s v="."/>
    <n v="0"/>
    <n v="0"/>
    <n v="0"/>
    <n v="0"/>
    <n v="0"/>
    <n v="0"/>
    <n v="0"/>
    <n v="0"/>
    <n v="4596346.3532371139"/>
  </r>
  <r>
    <n v="413"/>
    <x v="37"/>
    <s v="MS"/>
    <n v="8"/>
    <n v="333"/>
    <n v="293"/>
    <n v="171051"/>
    <n v="97685"/>
    <n v="151955.1"/>
    <n v="97685"/>
    <n v="0"/>
    <n v="75970"/>
    <n v="55700"/>
    <n v="0"/>
    <n v="0"/>
    <n v="58487"/>
    <n v="67656"/>
    <n v="153558"/>
    <n v="2"/>
    <n v="82268"/>
    <n v="97685"/>
    <n v="0"/>
    <n v="0"/>
    <n v="0"/>
    <n v="0"/>
    <n v="0"/>
    <n v="0"/>
    <n v="0"/>
    <n v="0"/>
    <x v="3"/>
    <n v="0"/>
    <n v="0"/>
    <n v="0"/>
    <n v="0"/>
    <n v="0"/>
    <n v="0"/>
    <n v="0"/>
    <n v="0"/>
    <n v="527499"/>
    <n v="468888"/>
    <n v="478656.50000000006"/>
    <n v="0"/>
    <n v="0"/>
    <n v="0"/>
    <n v="0"/>
    <n v="0"/>
    <n v="0"/>
    <n v="97685"/>
    <n v="390740"/>
    <n v="879165"/>
    <n v="173490"/>
    <n v="45222"/>
    <x v="4"/>
    <n v="0"/>
    <n v="0"/>
    <n v="0"/>
    <n v="0"/>
    <n v="0"/>
    <n v="0"/>
    <n v="155177.22"/>
    <n v="2517.8200000000002"/>
    <n v="9650"/>
    <n v="0"/>
    <x v="1"/>
    <x v="1"/>
    <x v="2"/>
    <x v="1"/>
    <x v="2"/>
    <x v="1"/>
    <x v="1"/>
    <x v="1"/>
    <x v="1"/>
    <x v="1"/>
    <x v="1"/>
    <x v="1"/>
    <x v="1"/>
    <x v="1"/>
    <x v="1"/>
    <x v="1"/>
    <x v="1"/>
    <x v="1"/>
    <x v="1"/>
    <x v="2"/>
    <x v="2"/>
    <x v="2"/>
    <x v="2"/>
    <x v="1"/>
    <x v="1"/>
    <x v="31"/>
    <x v="1"/>
    <x v="4"/>
    <x v="5"/>
    <x v="5"/>
    <x v="37"/>
    <x v="1"/>
    <x v="1"/>
    <x v="1"/>
    <x v="37"/>
    <x v="37"/>
    <n v="0"/>
    <n v="0"/>
    <m/>
    <m/>
    <n v="0.26793454575818032"/>
    <s v="."/>
    <n v="0"/>
    <n v="0"/>
    <n v="0"/>
    <n v="0"/>
    <n v="0"/>
    <n v="0"/>
    <n v="0"/>
    <n v="865637.75237240735"/>
    <n v="6251117.4864999996"/>
  </r>
  <r>
    <n v="258"/>
    <x v="38"/>
    <s v="ES"/>
    <n v="3"/>
    <n v="321"/>
    <n v="32"/>
    <n v="171051"/>
    <n v="97685"/>
    <n v="110512.8"/>
    <n v="0"/>
    <n v="0"/>
    <n v="75970"/>
    <n v="55700"/>
    <n v="0"/>
    <n v="0"/>
    <n v="0"/>
    <n v="67656"/>
    <n v="51186"/>
    <n v="3"/>
    <n v="123402"/>
    <n v="97685"/>
    <n v="97685"/>
    <n v="97685"/>
    <n v="97685"/>
    <n v="0"/>
    <n v="0"/>
    <n v="0"/>
    <n v="0"/>
    <n v="0"/>
    <x v="1"/>
    <n v="57830"/>
    <n v="293055"/>
    <n v="86745"/>
    <n v="293055"/>
    <n v="195370"/>
    <n v="195370"/>
    <n v="195370"/>
    <n v="195370"/>
    <n v="0"/>
    <n v="0"/>
    <n v="0"/>
    <n v="0"/>
    <n v="0"/>
    <n v="0"/>
    <n v="0"/>
    <n v="0"/>
    <n v="0"/>
    <n v="48842.5"/>
    <n v="97685"/>
    <n v="586110"/>
    <n v="173490"/>
    <n v="0"/>
    <x v="12"/>
    <n v="0"/>
    <n v="0"/>
    <n v="0"/>
    <n v="0"/>
    <n v="0"/>
    <n v="0"/>
    <n v="0"/>
    <n v="0"/>
    <n v="78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38"/>
    <x v="1"/>
    <x v="1"/>
    <x v="1"/>
    <x v="38"/>
    <x v="38"/>
    <n v="0"/>
    <n v="0"/>
    <m/>
    <m/>
    <n v="0"/>
    <s v="."/>
    <n v="0"/>
    <n v="0"/>
    <n v="0"/>
    <n v="0"/>
    <n v="0"/>
    <n v="0"/>
    <n v="0"/>
    <n v="0"/>
    <n v="4066350.4904090911"/>
  </r>
  <r>
    <n v="249"/>
    <x v="39"/>
    <s v="ES"/>
    <n v="8"/>
    <n v="445"/>
    <n v="405"/>
    <n v="171051"/>
    <n v="97685"/>
    <n v="151955.1"/>
    <n v="0"/>
    <n v="0"/>
    <n v="75970"/>
    <n v="55700"/>
    <n v="44518.100000000006"/>
    <n v="0"/>
    <n v="0"/>
    <n v="67656"/>
    <n v="153558"/>
    <n v="0"/>
    <n v="0"/>
    <n v="97685"/>
    <n v="97685"/>
    <n v="97685"/>
    <n v="97685"/>
    <n v="146527.5"/>
    <n v="195370"/>
    <n v="57830"/>
    <n v="0"/>
    <n v="0"/>
    <x v="1"/>
    <n v="57830"/>
    <n v="293055"/>
    <n v="86745"/>
    <n v="293055"/>
    <n v="293055"/>
    <n v="390740"/>
    <n v="195370"/>
    <n v="390740"/>
    <n v="0"/>
    <n v="0"/>
    <n v="0"/>
    <n v="0"/>
    <n v="0"/>
    <n v="0"/>
    <n v="0"/>
    <n v="0"/>
    <n v="0"/>
    <n v="97685"/>
    <n v="195370"/>
    <n v="488425"/>
    <n v="28915"/>
    <n v="45222"/>
    <x v="3"/>
    <n v="0"/>
    <n v="0"/>
    <n v="41510"/>
    <n v="45780"/>
    <n v="7848"/>
    <n v="0"/>
    <n v="189887.91"/>
    <n v="3081.01"/>
    <n v="118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32"/>
    <x v="1"/>
    <x v="5"/>
    <x v="6"/>
    <x v="6"/>
    <x v="39"/>
    <x v="1"/>
    <x v="1"/>
    <x v="1"/>
    <x v="39"/>
    <x v="39"/>
    <n v="0"/>
    <n v="0"/>
    <m/>
    <m/>
    <n v="1460.8982872726629"/>
    <s v="."/>
    <n v="0"/>
    <n v="0"/>
    <n v="0"/>
    <n v="0"/>
    <n v="0"/>
    <n v="0"/>
    <n v="0"/>
    <n v="0"/>
    <n v="5614192.399818182"/>
  </r>
  <r>
    <n v="251"/>
    <x v="40"/>
    <s v="ES"/>
    <n v="7"/>
    <n v="294"/>
    <n v="236"/>
    <n v="171051"/>
    <n v="97685"/>
    <n v="0"/>
    <n v="0"/>
    <n v="0"/>
    <n v="37985"/>
    <n v="55700"/>
    <n v="0"/>
    <n v="0"/>
    <n v="0"/>
    <n v="67656"/>
    <n v="102372"/>
    <n v="0"/>
    <n v="0"/>
    <n v="48842.5"/>
    <n v="97685"/>
    <n v="97685"/>
    <n v="97685"/>
    <n v="0"/>
    <n v="195370"/>
    <n v="57830"/>
    <n v="0"/>
    <n v="0"/>
    <x v="1"/>
    <n v="57830"/>
    <n v="195370"/>
    <n v="57830"/>
    <n v="195370"/>
    <n v="195370"/>
    <n v="195370"/>
    <n v="195370"/>
    <n v="195370"/>
    <n v="0"/>
    <n v="0"/>
    <n v="0"/>
    <n v="0"/>
    <n v="0"/>
    <n v="0"/>
    <n v="0"/>
    <n v="0"/>
    <n v="0"/>
    <n v="97685"/>
    <n v="97685"/>
    <n v="683795"/>
    <n v="202405"/>
    <n v="0"/>
    <x v="2"/>
    <n v="0"/>
    <n v="0"/>
    <n v="29650"/>
    <n v="32700"/>
    <n v="7848"/>
    <n v="0"/>
    <n v="110665.86"/>
    <n v="1795.6"/>
    <n v="687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33"/>
    <x v="12"/>
    <x v="1"/>
    <x v="1"/>
    <x v="1"/>
    <x v="40"/>
    <x v="1"/>
    <x v="1"/>
    <x v="1"/>
    <x v="40"/>
    <x v="40"/>
    <n v="0"/>
    <n v="0"/>
    <m/>
    <m/>
    <n v="49061.5"/>
    <s v="."/>
    <n v="0"/>
    <n v="0"/>
    <n v="0"/>
    <n v="0"/>
    <n v="0"/>
    <n v="0"/>
    <n v="0"/>
    <n v="0"/>
    <n v="4105821.0420363178"/>
  </r>
  <r>
    <n v="252"/>
    <x v="41"/>
    <s v="ES"/>
    <n v="2"/>
    <n v="335"/>
    <n v="20"/>
    <n v="171051"/>
    <n v="97685"/>
    <n v="110512.8"/>
    <n v="0"/>
    <n v="0"/>
    <n v="75970"/>
    <n v="55700"/>
    <n v="0"/>
    <n v="0"/>
    <n v="0"/>
    <n v="67656"/>
    <n v="102372"/>
    <n v="0"/>
    <n v="0"/>
    <n v="97685"/>
    <n v="97685"/>
    <n v="97685"/>
    <n v="97685"/>
    <n v="0"/>
    <n v="97685"/>
    <n v="28915"/>
    <n v="0"/>
    <n v="0"/>
    <x v="1"/>
    <n v="57830"/>
    <n v="293055"/>
    <n v="86745"/>
    <n v="293055"/>
    <n v="195370"/>
    <n v="195370"/>
    <n v="195370"/>
    <n v="195370"/>
    <n v="0"/>
    <n v="0"/>
    <n v="0"/>
    <n v="0"/>
    <n v="0"/>
    <n v="0"/>
    <n v="0"/>
    <n v="0"/>
    <n v="0"/>
    <n v="48842.5"/>
    <n v="97685"/>
    <n v="195370"/>
    <n v="28915"/>
    <n v="0"/>
    <x v="9"/>
    <n v="0"/>
    <n v="0"/>
    <n v="0"/>
    <n v="0"/>
    <n v="0"/>
    <n v="0"/>
    <n v="0"/>
    <n v="0"/>
    <n v="822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41"/>
    <x v="1"/>
    <x v="1"/>
    <x v="1"/>
    <x v="41"/>
    <x v="41"/>
    <n v="0"/>
    <n v="35000"/>
    <m/>
    <s v="one time - arts start up funds"/>
    <n v="0"/>
    <s v="."/>
    <n v="0"/>
    <n v="0"/>
    <n v="0"/>
    <n v="0"/>
    <n v="0"/>
    <n v="0"/>
    <n v="0"/>
    <n v="0"/>
    <n v="3515317.0557499998"/>
  </r>
  <r>
    <n v="950"/>
    <x v="42"/>
    <s v="Alt"/>
    <n v="7"/>
    <n v="38"/>
    <n v="0"/>
    <n v="171051"/>
    <n v="48842.5"/>
    <n v="0"/>
    <n v="0"/>
    <n v="0"/>
    <n v="37985"/>
    <n v="55700"/>
    <n v="0"/>
    <n v="0"/>
    <n v="0"/>
    <n v="0"/>
    <n v="0"/>
    <n v="0"/>
    <n v="0"/>
    <n v="48842.5"/>
    <n v="0"/>
    <n v="0"/>
    <n v="0"/>
    <n v="48842.5"/>
    <n v="0"/>
    <n v="0"/>
    <n v="0"/>
    <n v="0"/>
    <x v="3"/>
    <n v="0"/>
    <n v="0"/>
    <n v="0"/>
    <n v="0"/>
    <n v="0"/>
    <n v="0"/>
    <n v="0"/>
    <n v="0"/>
    <n v="0"/>
    <n v="0"/>
    <n v="0"/>
    <n v="0"/>
    <n v="0"/>
    <n v="0"/>
    <n v="0"/>
    <n v="156296"/>
    <n v="0"/>
    <n v="0"/>
    <n v="97685"/>
    <n v="390740"/>
    <n v="0"/>
    <n v="0"/>
    <x v="1"/>
    <n v="0"/>
    <n v="0"/>
    <n v="0"/>
    <n v="0"/>
    <n v="0"/>
    <n v="12138"/>
    <n v="0"/>
    <n v="0"/>
    <n v="12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42"/>
    <x v="1"/>
    <x v="1"/>
    <x v="1"/>
    <x v="42"/>
    <x v="42"/>
    <n v="0"/>
    <n v="0"/>
    <n v="116943"/>
    <s v="$900K DOC MOU + $165K Title I+$135K Local (Excl. formula allocations)"/>
    <n v="0"/>
    <s v="."/>
    <n v="0"/>
    <n v="0"/>
    <n v="0"/>
    <n v="0"/>
    <n v="0"/>
    <n v="0"/>
    <n v="0"/>
    <n v="0"/>
    <n v="1208004.0675000001"/>
  </r>
  <r>
    <n v="339"/>
    <x v="43"/>
    <s v="ES"/>
    <n v="6"/>
    <n v="511"/>
    <n v="248"/>
    <n v="171051"/>
    <n v="97685"/>
    <n v="179583.30000000002"/>
    <n v="0"/>
    <n v="0"/>
    <n v="75970"/>
    <n v="55700"/>
    <n v="52612.3"/>
    <n v="0"/>
    <n v="0"/>
    <n v="67656"/>
    <n v="51186"/>
    <n v="2"/>
    <n v="82268"/>
    <n v="97685"/>
    <n v="97685"/>
    <n v="97685"/>
    <n v="97685"/>
    <n v="146527.5"/>
    <n v="293055"/>
    <n v="86745"/>
    <n v="97685"/>
    <n v="57830"/>
    <x v="4"/>
    <n v="86745"/>
    <n v="390740"/>
    <n v="115660"/>
    <n v="390740"/>
    <n v="293055"/>
    <n v="293055"/>
    <n v="293055"/>
    <n v="293055"/>
    <n v="0"/>
    <n v="0"/>
    <n v="0"/>
    <n v="0"/>
    <n v="0"/>
    <n v="0"/>
    <n v="0"/>
    <n v="0"/>
    <n v="0"/>
    <n v="97685"/>
    <n v="146527.5"/>
    <n v="781480"/>
    <n v="86745"/>
    <n v="0"/>
    <x v="7"/>
    <n v="0"/>
    <n v="0"/>
    <n v="41510"/>
    <n v="45780"/>
    <n v="7848"/>
    <n v="0"/>
    <n v="202955.47"/>
    <n v="3293.04"/>
    <n v="12625"/>
    <n v="0"/>
    <x v="1"/>
    <x v="1"/>
    <x v="1"/>
    <x v="2"/>
    <x v="2"/>
    <x v="1"/>
    <x v="1"/>
    <x v="1"/>
    <x v="1"/>
    <x v="1"/>
    <x v="1"/>
    <x v="1"/>
    <x v="1"/>
    <x v="1"/>
    <x v="1"/>
    <x v="1"/>
    <x v="1"/>
    <x v="1"/>
    <x v="4"/>
    <x v="1"/>
    <x v="1"/>
    <x v="1"/>
    <x v="1"/>
    <x v="1"/>
    <x v="1"/>
    <x v="30"/>
    <x v="1"/>
    <x v="1"/>
    <x v="1"/>
    <x v="1"/>
    <x v="43"/>
    <x v="1"/>
    <x v="1"/>
    <x v="1"/>
    <x v="43"/>
    <x v="43"/>
    <n v="0"/>
    <n v="0"/>
    <m/>
    <m/>
    <n v="15230"/>
    <s v="."/>
    <n v="0"/>
    <n v="0"/>
    <n v="0"/>
    <n v="0"/>
    <n v="0"/>
    <n v="0"/>
    <n v="0"/>
    <n v="0"/>
    <n v="6194475.6934696967"/>
  </r>
  <r>
    <n v="254"/>
    <x v="44"/>
    <s v="ES"/>
    <n v="3"/>
    <n v="730"/>
    <n v="17"/>
    <n v="171051"/>
    <n v="97685"/>
    <n v="248653.80000000002"/>
    <n v="0"/>
    <n v="0"/>
    <n v="75970"/>
    <n v="55700"/>
    <n v="72847.8"/>
    <n v="0"/>
    <n v="0"/>
    <n v="67656"/>
    <n v="102372"/>
    <n v="2"/>
    <n v="82268"/>
    <n v="97685"/>
    <n v="97685"/>
    <n v="97685"/>
    <n v="97685"/>
    <n v="341897.5"/>
    <n v="0"/>
    <n v="0"/>
    <n v="0"/>
    <n v="0"/>
    <x v="4"/>
    <n v="86745"/>
    <n v="488425"/>
    <n v="144575"/>
    <n v="488425"/>
    <n v="488425"/>
    <n v="488425"/>
    <n v="390740"/>
    <n v="488425"/>
    <n v="0"/>
    <n v="0"/>
    <n v="0"/>
    <n v="0"/>
    <n v="0"/>
    <n v="0"/>
    <n v="0"/>
    <n v="0"/>
    <n v="0"/>
    <n v="97685"/>
    <n v="146527.5"/>
    <n v="390740"/>
    <n v="0"/>
    <n v="0"/>
    <x v="9"/>
    <n v="0"/>
    <n v="0"/>
    <n v="0"/>
    <n v="0"/>
    <n v="0"/>
    <n v="0"/>
    <n v="0"/>
    <n v="0"/>
    <n v="1805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44"/>
    <x v="1"/>
    <x v="1"/>
    <x v="1"/>
    <x v="44"/>
    <x v="44"/>
    <n v="549280.30500000063"/>
    <n v="0"/>
    <m/>
    <m/>
    <n v="2224"/>
    <s v="."/>
    <n v="0"/>
    <n v="0"/>
    <n v="0"/>
    <n v="0"/>
    <n v="0"/>
    <n v="0"/>
    <n v="0"/>
    <n v="0"/>
    <n v="6554224"/>
  </r>
  <r>
    <n v="433"/>
    <x v="45"/>
    <s v="MS"/>
    <n v="6"/>
    <n v="311"/>
    <n v="195"/>
    <n v="171051"/>
    <n v="97685"/>
    <n v="138141"/>
    <n v="97685"/>
    <n v="0"/>
    <n v="75970"/>
    <n v="55700"/>
    <n v="0"/>
    <n v="0"/>
    <n v="0"/>
    <n v="67656"/>
    <n v="102372"/>
    <n v="2"/>
    <n v="82268"/>
    <n v="97685"/>
    <n v="0"/>
    <n v="0"/>
    <n v="0"/>
    <n v="0"/>
    <n v="0"/>
    <n v="0"/>
    <n v="0"/>
    <n v="0"/>
    <x v="3"/>
    <n v="0"/>
    <n v="0"/>
    <n v="0"/>
    <n v="0"/>
    <n v="0"/>
    <n v="0"/>
    <n v="0"/>
    <n v="0"/>
    <n v="478656.50000000006"/>
    <n v="488425"/>
    <n v="420045.5"/>
    <n v="0"/>
    <n v="0"/>
    <n v="0"/>
    <n v="0"/>
    <n v="0"/>
    <n v="0"/>
    <n v="97685"/>
    <n v="195370"/>
    <n v="683795"/>
    <n v="86745"/>
    <n v="0"/>
    <x v="4"/>
    <n v="0"/>
    <n v="0"/>
    <n v="0"/>
    <n v="0"/>
    <n v="0"/>
    <n v="0"/>
    <n v="110665.86"/>
    <n v="1795.6"/>
    <n v="6875"/>
    <n v="0"/>
    <x v="1"/>
    <x v="1"/>
    <x v="2"/>
    <x v="1"/>
    <x v="2"/>
    <x v="1"/>
    <x v="1"/>
    <x v="1"/>
    <x v="1"/>
    <x v="1"/>
    <x v="1"/>
    <x v="1"/>
    <x v="1"/>
    <x v="1"/>
    <x v="1"/>
    <x v="1"/>
    <x v="1"/>
    <x v="1"/>
    <x v="2"/>
    <x v="2"/>
    <x v="2"/>
    <x v="2"/>
    <x v="2"/>
    <x v="1"/>
    <x v="1"/>
    <x v="34"/>
    <x v="1"/>
    <x v="1"/>
    <x v="1"/>
    <x v="1"/>
    <x v="45"/>
    <x v="1"/>
    <x v="1"/>
    <x v="1"/>
    <x v="45"/>
    <x v="45"/>
    <n v="0"/>
    <n v="0"/>
    <m/>
    <m/>
    <n v="0"/>
    <s v="."/>
    <n v="0"/>
    <n v="0"/>
    <n v="0"/>
    <n v="0"/>
    <n v="0"/>
    <n v="0"/>
    <n v="0"/>
    <n v="0"/>
    <n v="4214380.2930709533"/>
  </r>
  <r>
    <n v="416"/>
    <x v="46"/>
    <s v="MS"/>
    <n v="8"/>
    <n v="245"/>
    <n v="218"/>
    <n v="171051"/>
    <n v="97685"/>
    <n v="110512.8"/>
    <n v="97685"/>
    <n v="0"/>
    <n v="37985"/>
    <n v="55700"/>
    <n v="0"/>
    <n v="0"/>
    <n v="58487"/>
    <n v="67656"/>
    <n v="102372"/>
    <n v="1"/>
    <n v="41134"/>
    <n v="48842.5"/>
    <n v="0"/>
    <n v="0"/>
    <n v="0"/>
    <n v="0"/>
    <n v="0"/>
    <n v="0"/>
    <n v="0"/>
    <n v="0"/>
    <x v="3"/>
    <n v="0"/>
    <n v="0"/>
    <n v="0"/>
    <n v="0"/>
    <n v="0"/>
    <n v="0"/>
    <n v="0"/>
    <n v="0"/>
    <n v="371203"/>
    <n v="332129"/>
    <n v="380971.5"/>
    <n v="0"/>
    <n v="0"/>
    <n v="0"/>
    <n v="0"/>
    <n v="0"/>
    <n v="0"/>
    <n v="97685"/>
    <n v="293055"/>
    <n v="683795"/>
    <n v="57830"/>
    <n v="45222"/>
    <x v="1"/>
    <n v="0"/>
    <n v="0"/>
    <n v="0"/>
    <n v="0"/>
    <n v="0"/>
    <n v="0"/>
    <n v="117199.64"/>
    <n v="1901.61"/>
    <n v="7275"/>
    <n v="0"/>
    <x v="1"/>
    <x v="3"/>
    <x v="2"/>
    <x v="1"/>
    <x v="2"/>
    <x v="1"/>
    <x v="1"/>
    <x v="1"/>
    <x v="1"/>
    <x v="1"/>
    <x v="1"/>
    <x v="1"/>
    <x v="1"/>
    <x v="1"/>
    <x v="1"/>
    <x v="1"/>
    <x v="1"/>
    <x v="1"/>
    <x v="1"/>
    <x v="2"/>
    <x v="2"/>
    <x v="2"/>
    <x v="2"/>
    <x v="1"/>
    <x v="1"/>
    <x v="35"/>
    <x v="1"/>
    <x v="6"/>
    <x v="7"/>
    <x v="7"/>
    <x v="46"/>
    <x v="1"/>
    <x v="1"/>
    <x v="1"/>
    <x v="46"/>
    <x v="46"/>
    <n v="0"/>
    <n v="0"/>
    <m/>
    <m/>
    <n v="0"/>
    <s v="."/>
    <n v="0"/>
    <n v="0"/>
    <n v="0"/>
    <n v="0"/>
    <n v="0"/>
    <n v="0"/>
    <n v="0"/>
    <n v="0"/>
    <n v="4269353.8454690911"/>
  </r>
  <r>
    <n v="421"/>
    <x v="47"/>
    <s v="MS"/>
    <n v="7"/>
    <n v="432"/>
    <n v="307"/>
    <n v="171051"/>
    <n v="97685"/>
    <n v="193397.4"/>
    <n v="107453.50000000001"/>
    <n v="0"/>
    <n v="75970"/>
    <n v="55700"/>
    <n v="44518.100000000006"/>
    <n v="0"/>
    <n v="58487"/>
    <n v="67656"/>
    <n v="102372"/>
    <n v="1"/>
    <n v="41134"/>
    <n v="97685"/>
    <n v="0"/>
    <n v="0"/>
    <n v="0"/>
    <n v="0"/>
    <n v="0"/>
    <n v="0"/>
    <n v="0"/>
    <n v="0"/>
    <x v="3"/>
    <n v="0"/>
    <n v="0"/>
    <n v="0"/>
    <n v="0"/>
    <n v="0"/>
    <n v="0"/>
    <n v="0"/>
    <n v="0"/>
    <n v="664258"/>
    <n v="674026.5"/>
    <n v="586110"/>
    <n v="0"/>
    <n v="0"/>
    <n v="0"/>
    <n v="0"/>
    <n v="0"/>
    <n v="0"/>
    <n v="97685"/>
    <n v="390740"/>
    <n v="781480"/>
    <n v="144575"/>
    <n v="90444"/>
    <x v="16"/>
    <n v="0"/>
    <n v="0"/>
    <n v="0"/>
    <n v="0"/>
    <n v="0"/>
    <n v="0"/>
    <n v="181312.33"/>
    <n v="2941.87"/>
    <n v="11275"/>
    <n v="0"/>
    <x v="1"/>
    <x v="3"/>
    <x v="2"/>
    <x v="1"/>
    <x v="2"/>
    <x v="1"/>
    <x v="1"/>
    <x v="1"/>
    <x v="1"/>
    <x v="1"/>
    <x v="1"/>
    <x v="1"/>
    <x v="1"/>
    <x v="1"/>
    <x v="1"/>
    <x v="1"/>
    <x v="1"/>
    <x v="1"/>
    <x v="1"/>
    <x v="3"/>
    <x v="2"/>
    <x v="2"/>
    <x v="2"/>
    <x v="1"/>
    <x v="1"/>
    <x v="36"/>
    <x v="1"/>
    <x v="7"/>
    <x v="8"/>
    <x v="8"/>
    <x v="47"/>
    <x v="1"/>
    <x v="1"/>
    <x v="1"/>
    <x v="47"/>
    <x v="47"/>
    <n v="0"/>
    <n v="0"/>
    <m/>
    <m/>
    <n v="0.34659090940840542"/>
    <s v="."/>
    <n v="0"/>
    <n v="0"/>
    <n v="0"/>
    <n v="0"/>
    <n v="0"/>
    <n v="0"/>
    <n v="0"/>
    <n v="0"/>
    <n v="6078047.8477272727"/>
  </r>
  <r>
    <n v="257"/>
    <x v="48"/>
    <s v="ES"/>
    <n v="8"/>
    <n v="306"/>
    <n v="268"/>
    <n v="171051"/>
    <n v="97685"/>
    <n v="110512.8"/>
    <n v="0"/>
    <n v="0"/>
    <n v="75970"/>
    <n v="55700"/>
    <n v="0"/>
    <n v="0"/>
    <n v="0"/>
    <n v="67656"/>
    <n v="102372"/>
    <n v="0"/>
    <n v="0"/>
    <n v="97685"/>
    <n v="97685"/>
    <n v="97685"/>
    <n v="97685"/>
    <n v="146527.5"/>
    <n v="195370"/>
    <n v="57830"/>
    <n v="0"/>
    <n v="0"/>
    <x v="1"/>
    <n v="57830"/>
    <n v="195370"/>
    <n v="57830"/>
    <n v="195370"/>
    <n v="195370"/>
    <n v="195370"/>
    <n v="195370"/>
    <n v="195370"/>
    <n v="0"/>
    <n v="0"/>
    <n v="0"/>
    <n v="0"/>
    <n v="0"/>
    <n v="0"/>
    <n v="0"/>
    <n v="0"/>
    <n v="0"/>
    <n v="97685"/>
    <n v="97685"/>
    <n v="293055"/>
    <n v="0"/>
    <n v="0"/>
    <x v="4"/>
    <n v="0"/>
    <n v="0"/>
    <n v="23720"/>
    <n v="26160"/>
    <n v="7848"/>
    <n v="0"/>
    <n v="125775.22"/>
    <n v="2040.76"/>
    <n v="782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2"/>
    <x v="1"/>
    <x v="1"/>
    <x v="1"/>
    <x v="1"/>
    <x v="1"/>
    <x v="1"/>
    <x v="37"/>
    <x v="1"/>
    <x v="1"/>
    <x v="1"/>
    <x v="1"/>
    <x v="48"/>
    <x v="1"/>
    <x v="1"/>
    <x v="1"/>
    <x v="48"/>
    <x v="48"/>
    <n v="0"/>
    <n v="0"/>
    <m/>
    <m/>
    <n v="41330"/>
    <s v="."/>
    <n v="0"/>
    <n v="0"/>
    <n v="0"/>
    <n v="0"/>
    <n v="0"/>
    <n v="0"/>
    <n v="0"/>
    <n v="0"/>
    <n v="3867939.6693251748"/>
  </r>
  <r>
    <n v="272"/>
    <x v="49"/>
    <s v="ES"/>
    <n v="3"/>
    <n v="407"/>
    <n v="13"/>
    <n v="171051"/>
    <n v="97685"/>
    <n v="138141"/>
    <n v="0"/>
    <n v="0"/>
    <n v="75970"/>
    <n v="55700"/>
    <n v="40471"/>
    <n v="0"/>
    <n v="0"/>
    <n v="67656"/>
    <n v="102372"/>
    <n v="0"/>
    <n v="0"/>
    <n v="97685"/>
    <n v="97685"/>
    <n v="97685"/>
    <n v="97685"/>
    <n v="146527.5"/>
    <n v="0"/>
    <n v="0"/>
    <n v="0"/>
    <n v="0"/>
    <x v="1"/>
    <n v="57830"/>
    <n v="293055"/>
    <n v="86745"/>
    <n v="293055"/>
    <n v="293055"/>
    <n v="293055"/>
    <n v="293055"/>
    <n v="195370"/>
    <n v="0"/>
    <n v="0"/>
    <n v="0"/>
    <n v="0"/>
    <n v="0"/>
    <n v="0"/>
    <n v="0"/>
    <n v="0"/>
    <n v="0"/>
    <n v="48842.5"/>
    <n v="97685"/>
    <n v="293055"/>
    <n v="0"/>
    <n v="0"/>
    <x v="9"/>
    <n v="0"/>
    <n v="0"/>
    <n v="0"/>
    <n v="0"/>
    <n v="0"/>
    <n v="0"/>
    <n v="0"/>
    <n v="0"/>
    <n v="992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49"/>
    <x v="1"/>
    <x v="1"/>
    <x v="1"/>
    <x v="49"/>
    <x v="49"/>
    <n v="0"/>
    <n v="0"/>
    <m/>
    <m/>
    <n v="8038"/>
    <s v="."/>
    <n v="0"/>
    <n v="0"/>
    <n v="0"/>
    <n v="0"/>
    <n v="0"/>
    <n v="0"/>
    <n v="0"/>
    <n v="0"/>
    <n v="3957000.0404901961"/>
  </r>
  <r>
    <n v="259"/>
    <x v="50"/>
    <s v="ES"/>
    <n v="7"/>
    <n v="389"/>
    <n v="316"/>
    <n v="171051"/>
    <n v="97685"/>
    <n v="138141"/>
    <n v="0"/>
    <n v="0"/>
    <n v="75970"/>
    <n v="55700"/>
    <n v="0"/>
    <n v="0"/>
    <n v="0"/>
    <n v="67656"/>
    <n v="102372"/>
    <n v="1"/>
    <n v="41134"/>
    <n v="97685"/>
    <n v="97685"/>
    <n v="97685"/>
    <n v="97685"/>
    <n v="0"/>
    <n v="195370"/>
    <n v="57830"/>
    <n v="0"/>
    <n v="0"/>
    <x v="1"/>
    <n v="57830"/>
    <n v="293055"/>
    <n v="86745"/>
    <n v="293055"/>
    <n v="195370"/>
    <n v="195370"/>
    <n v="293055"/>
    <n v="195370"/>
    <n v="0"/>
    <n v="0"/>
    <n v="0"/>
    <n v="0"/>
    <n v="0"/>
    <n v="0"/>
    <n v="0"/>
    <n v="0"/>
    <n v="0"/>
    <n v="97685"/>
    <n v="97685"/>
    <n v="488425"/>
    <n v="28915"/>
    <n v="0"/>
    <x v="1"/>
    <n v="0"/>
    <n v="0"/>
    <n v="35580"/>
    <n v="39240"/>
    <n v="7848"/>
    <n v="0"/>
    <n v="143334.75"/>
    <n v="2325.67"/>
    <n v="89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38"/>
    <x v="13"/>
    <x v="1"/>
    <x v="1"/>
    <x v="1"/>
    <x v="50"/>
    <x v="1"/>
    <x v="1"/>
    <x v="1"/>
    <x v="50"/>
    <x v="50"/>
    <n v="0"/>
    <n v="0"/>
    <m/>
    <m/>
    <n v="33135"/>
    <s v="."/>
    <n v="0"/>
    <n v="0"/>
    <n v="0"/>
    <n v="0"/>
    <n v="0"/>
    <n v="0"/>
    <n v="0"/>
    <n v="0"/>
    <n v="4523116.3763567833"/>
  </r>
  <r>
    <n v="344"/>
    <x v="51"/>
    <s v="ES"/>
    <n v="8"/>
    <n v="393"/>
    <n v="348"/>
    <n v="171051"/>
    <n v="97685"/>
    <n v="138141"/>
    <n v="0"/>
    <n v="0"/>
    <n v="75970"/>
    <n v="55700"/>
    <n v="0"/>
    <n v="0"/>
    <n v="0"/>
    <n v="67656"/>
    <n v="51186"/>
    <n v="2"/>
    <n v="82268"/>
    <n v="97685"/>
    <n v="97685"/>
    <n v="97685"/>
    <n v="97685"/>
    <n v="0"/>
    <n v="195370"/>
    <n v="57830"/>
    <n v="0"/>
    <n v="0"/>
    <x v="4"/>
    <n v="86745"/>
    <n v="293055"/>
    <n v="86745"/>
    <n v="293055"/>
    <n v="293055"/>
    <n v="195370"/>
    <n v="195370"/>
    <n v="293055"/>
    <n v="0"/>
    <n v="0"/>
    <n v="0"/>
    <n v="0"/>
    <n v="0"/>
    <n v="0"/>
    <n v="0"/>
    <n v="0"/>
    <n v="0"/>
    <n v="97685"/>
    <n v="97685"/>
    <n v="390740"/>
    <n v="0"/>
    <n v="0"/>
    <x v="10"/>
    <n v="0"/>
    <n v="0"/>
    <n v="23720"/>
    <n v="26160"/>
    <n v="7848"/>
    <n v="0"/>
    <n v="160077.54999999999"/>
    <n v="2597.33"/>
    <n v="9950"/>
    <n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39"/>
    <x v="1"/>
    <x v="8"/>
    <x v="9"/>
    <x v="9"/>
    <x v="51"/>
    <x v="1"/>
    <x v="1"/>
    <x v="1"/>
    <x v="51"/>
    <x v="51"/>
    <n v="0"/>
    <n v="0"/>
    <m/>
    <m/>
    <n v="27001.858931818395"/>
    <s v="."/>
    <n v="0"/>
    <n v="0"/>
    <n v="0"/>
    <n v="0"/>
    <n v="0"/>
    <n v="0"/>
    <n v="0"/>
    <n v="0"/>
    <n v="4947786.4021437345"/>
  </r>
  <r>
    <n v="417"/>
    <x v="52"/>
    <s v="MS"/>
    <n v="8"/>
    <n v="207"/>
    <n v="187"/>
    <n v="171051"/>
    <n v="97685"/>
    <n v="96698.7"/>
    <n v="97685"/>
    <n v="0"/>
    <n v="37985"/>
    <n v="55700"/>
    <n v="0"/>
    <n v="0"/>
    <n v="58487"/>
    <n v="67656"/>
    <n v="153558"/>
    <n v="1"/>
    <n v="41134"/>
    <n v="48842.5"/>
    <n v="0"/>
    <n v="0"/>
    <n v="0"/>
    <n v="0"/>
    <n v="0"/>
    <n v="0"/>
    <n v="0"/>
    <n v="0"/>
    <x v="3"/>
    <n v="0"/>
    <n v="0"/>
    <n v="0"/>
    <n v="0"/>
    <n v="0"/>
    <n v="0"/>
    <n v="0"/>
    <n v="0"/>
    <n v="322360.5"/>
    <n v="302823.5"/>
    <n v="293055"/>
    <n v="0"/>
    <n v="0"/>
    <n v="0"/>
    <n v="0"/>
    <n v="0"/>
    <n v="0"/>
    <n v="97685"/>
    <n v="390740"/>
    <n v="683795"/>
    <n v="57830"/>
    <n v="90444"/>
    <x v="4"/>
    <n v="0"/>
    <n v="0"/>
    <n v="0"/>
    <n v="0"/>
    <n v="0"/>
    <n v="0"/>
    <n v="100048.47"/>
    <n v="1623.33"/>
    <n v="6225"/>
    <n v="0"/>
    <x v="1"/>
    <x v="1"/>
    <x v="2"/>
    <x v="1"/>
    <x v="2"/>
    <x v="1"/>
    <x v="1"/>
    <x v="1"/>
    <x v="1"/>
    <x v="1"/>
    <x v="1"/>
    <x v="1"/>
    <x v="1"/>
    <x v="1"/>
    <x v="1"/>
    <x v="1"/>
    <x v="1"/>
    <x v="1"/>
    <x v="1"/>
    <x v="2"/>
    <x v="2"/>
    <x v="2"/>
    <x v="2"/>
    <x v="1"/>
    <x v="1"/>
    <x v="40"/>
    <x v="1"/>
    <x v="1"/>
    <x v="1"/>
    <x v="1"/>
    <x v="52"/>
    <x v="1"/>
    <x v="1"/>
    <x v="1"/>
    <x v="52"/>
    <x v="52"/>
    <n v="0"/>
    <n v="0"/>
    <m/>
    <m/>
    <n v="0"/>
    <s v="."/>
    <n v="0"/>
    <n v="0"/>
    <n v="0"/>
    <n v="0"/>
    <n v="0"/>
    <n v="0"/>
    <n v="0"/>
    <n v="275229.68146969704"/>
    <n v="4115853.1025"/>
  </r>
  <r>
    <n v="261"/>
    <x v="53"/>
    <s v="ES"/>
    <n v="4"/>
    <n v="779"/>
    <n v="22"/>
    <n v="171051"/>
    <n v="97685"/>
    <n v="276282"/>
    <n v="0"/>
    <n v="0"/>
    <n v="75970"/>
    <n v="55700"/>
    <n v="80942"/>
    <n v="0"/>
    <n v="0"/>
    <n v="67656"/>
    <n v="51186"/>
    <n v="4"/>
    <n v="164536"/>
    <n v="97685"/>
    <n v="97685"/>
    <n v="97685"/>
    <n v="97685"/>
    <n v="439582.5"/>
    <n v="0"/>
    <n v="0"/>
    <n v="0"/>
    <n v="0"/>
    <x v="6"/>
    <n v="144575"/>
    <n v="488425"/>
    <n v="144575"/>
    <n v="586110"/>
    <n v="488425"/>
    <n v="488425"/>
    <n v="390740"/>
    <n v="488425"/>
    <n v="0"/>
    <n v="0"/>
    <n v="0"/>
    <n v="0"/>
    <n v="0"/>
    <n v="0"/>
    <n v="0"/>
    <n v="0"/>
    <n v="0"/>
    <n v="97685"/>
    <n v="48842.5"/>
    <n v="488425"/>
    <n v="57830"/>
    <n v="0"/>
    <x v="9"/>
    <n v="0"/>
    <n v="0"/>
    <n v="0"/>
    <n v="0"/>
    <n v="0"/>
    <n v="0"/>
    <n v="0"/>
    <n v="0"/>
    <n v="190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53"/>
    <x v="1"/>
    <x v="1"/>
    <x v="1"/>
    <x v="53"/>
    <x v="53"/>
    <n v="568643.11152173951"/>
    <n v="0"/>
    <m/>
    <m/>
    <n v="8942"/>
    <s v="."/>
    <n v="0"/>
    <n v="0"/>
    <n v="0"/>
    <n v="0"/>
    <n v="0"/>
    <n v="0"/>
    <n v="0"/>
    <n v="0"/>
    <n v="7172942"/>
  </r>
  <r>
    <n v="262"/>
    <x v="54"/>
    <s v="ES"/>
    <n v="5"/>
    <n v="338"/>
    <n v="196"/>
    <n v="171051"/>
    <n v="97685"/>
    <n v="110512.8"/>
    <n v="0"/>
    <n v="0"/>
    <n v="75970"/>
    <n v="55700"/>
    <n v="0"/>
    <n v="0"/>
    <n v="0"/>
    <n v="67656"/>
    <n v="51186"/>
    <n v="2"/>
    <n v="82268"/>
    <n v="97685"/>
    <n v="97685"/>
    <n v="97685"/>
    <n v="97685"/>
    <n v="0"/>
    <n v="97685"/>
    <n v="28915"/>
    <n v="293055"/>
    <n v="86745"/>
    <x v="2"/>
    <n v="28915"/>
    <n v="195370"/>
    <n v="57830"/>
    <n v="195370"/>
    <n v="195370"/>
    <n v="195370"/>
    <n v="195370"/>
    <n v="195370"/>
    <n v="0"/>
    <n v="0"/>
    <n v="0"/>
    <n v="0"/>
    <n v="0"/>
    <n v="0"/>
    <n v="0"/>
    <n v="0"/>
    <n v="0"/>
    <n v="48842.5"/>
    <n v="97685"/>
    <n v="390740"/>
    <n v="57830"/>
    <n v="0"/>
    <x v="9"/>
    <n v="0"/>
    <n v="0"/>
    <n v="35580"/>
    <n v="39240"/>
    <n v="7848"/>
    <n v="0"/>
    <n v="122099.97"/>
    <n v="1981.12"/>
    <n v="76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41"/>
    <x v="1"/>
    <x v="1"/>
    <x v="1"/>
    <x v="1"/>
    <x v="54"/>
    <x v="1"/>
    <x v="1"/>
    <x v="1"/>
    <x v="54"/>
    <x v="54"/>
    <n v="0"/>
    <n v="0"/>
    <m/>
    <m/>
    <n v="5167.5"/>
    <s v="."/>
    <n v="0"/>
    <n v="0"/>
    <n v="0"/>
    <n v="0"/>
    <n v="0"/>
    <n v="0"/>
    <n v="0"/>
    <n v="0"/>
    <n v="3985817.3094999995"/>
  </r>
  <r>
    <n v="370"/>
    <x v="55"/>
    <s v="ES"/>
    <n v="5"/>
    <n v="287"/>
    <n v="174"/>
    <n v="171051"/>
    <n v="97685"/>
    <n v="0"/>
    <n v="0"/>
    <n v="0"/>
    <n v="37985"/>
    <n v="55700"/>
    <n v="0"/>
    <n v="0"/>
    <n v="0"/>
    <n v="67656"/>
    <n v="51186"/>
    <n v="1"/>
    <n v="41134"/>
    <n v="48842.5"/>
    <n v="97685"/>
    <n v="97685"/>
    <n v="97685"/>
    <n v="0"/>
    <n v="195370"/>
    <n v="57830"/>
    <n v="0"/>
    <n v="0"/>
    <x v="1"/>
    <n v="57830"/>
    <n v="195370"/>
    <n v="57830"/>
    <n v="195370"/>
    <n v="195370"/>
    <n v="195370"/>
    <n v="195370"/>
    <n v="195370"/>
    <n v="0"/>
    <n v="0"/>
    <n v="0"/>
    <n v="0"/>
    <n v="0"/>
    <n v="0"/>
    <n v="0"/>
    <n v="0"/>
    <n v="0"/>
    <n v="48842.5"/>
    <n v="146527.5"/>
    <n v="976850"/>
    <n v="289150"/>
    <n v="90444"/>
    <x v="9"/>
    <n v="0"/>
    <n v="0"/>
    <n v="17790"/>
    <n v="19620"/>
    <n v="7848"/>
    <n v="0"/>
    <n v="115566.19"/>
    <n v="1875.11"/>
    <n v="717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42"/>
    <x v="1"/>
    <x v="1"/>
    <x v="1"/>
    <x v="1"/>
    <x v="55"/>
    <x v="1"/>
    <x v="1"/>
    <x v="1"/>
    <x v="55"/>
    <x v="55"/>
    <n v="0"/>
    <n v="0"/>
    <m/>
    <m/>
    <n v="89645"/>
    <s v="."/>
    <n v="0"/>
    <n v="0"/>
    <n v="0"/>
    <n v="0"/>
    <n v="0"/>
    <n v="0"/>
    <n v="0"/>
    <n v="0"/>
    <n v="4618896.3015566031"/>
  </r>
  <r>
    <n v="264"/>
    <x v="56"/>
    <s v="EC"/>
    <n v="4"/>
    <n v="375"/>
    <n v="214"/>
    <n v="171051"/>
    <n v="97685"/>
    <n v="55256.4"/>
    <n v="97685"/>
    <n v="0"/>
    <n v="75970"/>
    <n v="55700"/>
    <n v="0"/>
    <n v="0"/>
    <n v="0"/>
    <n v="67656"/>
    <n v="102372"/>
    <n v="1"/>
    <n v="41134"/>
    <n v="97685"/>
    <n v="97685"/>
    <n v="97685"/>
    <n v="97685"/>
    <n v="0"/>
    <n v="97685"/>
    <n v="28915"/>
    <n v="97685"/>
    <n v="28915"/>
    <x v="2"/>
    <n v="28915"/>
    <n v="195370"/>
    <n v="57830"/>
    <n v="195370"/>
    <n v="195370"/>
    <n v="97685"/>
    <n v="195370"/>
    <n v="195370"/>
    <n v="185601.5"/>
    <n v="166064.5"/>
    <n v="166064.5"/>
    <n v="0"/>
    <n v="0"/>
    <n v="0"/>
    <n v="0"/>
    <n v="0"/>
    <n v="0"/>
    <n v="48842.5"/>
    <n v="293055"/>
    <n v="683795"/>
    <n v="86745"/>
    <n v="90444"/>
    <x v="17"/>
    <n v="0"/>
    <n v="97685"/>
    <n v="29650"/>
    <n v="32700"/>
    <n v="7848"/>
    <n v="0"/>
    <n v="138434.41"/>
    <n v="2246.16"/>
    <n v="86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2"/>
    <x v="2"/>
    <x v="2"/>
    <x v="2"/>
    <x v="1"/>
    <x v="1"/>
    <x v="43"/>
    <x v="1"/>
    <x v="1"/>
    <x v="1"/>
    <x v="1"/>
    <x v="56"/>
    <x v="1"/>
    <x v="1"/>
    <x v="1"/>
    <x v="56"/>
    <x v="56"/>
    <n v="0"/>
    <n v="0"/>
    <m/>
    <m/>
    <n v="23937.799999999988"/>
    <s v="."/>
    <n v="0"/>
    <n v="0"/>
    <n v="0"/>
    <n v="0"/>
    <n v="0"/>
    <n v="0"/>
    <n v="0"/>
    <n v="0"/>
    <n v="5778810.3410000009"/>
  </r>
  <r>
    <n v="266"/>
    <x v="57"/>
    <s v="ES"/>
    <n v="8"/>
    <n v="602"/>
    <n v="250"/>
    <n v="171051"/>
    <n v="97685"/>
    <n v="165769.19999999998"/>
    <n v="0"/>
    <n v="0"/>
    <n v="75970"/>
    <n v="55700"/>
    <n v="60706.5"/>
    <n v="0"/>
    <n v="0"/>
    <n v="67656"/>
    <n v="102372"/>
    <n v="1"/>
    <n v="41134"/>
    <n v="97685"/>
    <n v="97685"/>
    <n v="97685"/>
    <n v="97685"/>
    <n v="146527.5"/>
    <n v="293055"/>
    <n v="86745"/>
    <n v="0"/>
    <n v="0"/>
    <x v="4"/>
    <n v="86745"/>
    <n v="293055"/>
    <n v="86745"/>
    <n v="293055"/>
    <n v="293055"/>
    <n v="293055"/>
    <n v="293055"/>
    <n v="293055"/>
    <n v="146527.5"/>
    <n v="146527.5"/>
    <n v="146527.5"/>
    <n v="0"/>
    <n v="0"/>
    <n v="0"/>
    <n v="0"/>
    <n v="0"/>
    <n v="0"/>
    <n v="48842.5"/>
    <n v="146527.5"/>
    <n v="488425"/>
    <n v="0"/>
    <n v="0"/>
    <x v="18"/>
    <n v="0"/>
    <n v="0"/>
    <n v="53370"/>
    <n v="58860"/>
    <n v="7848"/>
    <n v="0"/>
    <n v="224190.24"/>
    <n v="3637.58"/>
    <n v="1392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5"/>
    <x v="2"/>
    <x v="2"/>
    <x v="2"/>
    <x v="2"/>
    <x v="1"/>
    <x v="1"/>
    <x v="44"/>
    <x v="14"/>
    <x v="1"/>
    <x v="1"/>
    <x v="1"/>
    <x v="57"/>
    <x v="1"/>
    <x v="1"/>
    <x v="1"/>
    <x v="57"/>
    <x v="57"/>
    <n v="0"/>
    <n v="0"/>
    <m/>
    <m/>
    <n v="0.29999999998835847"/>
    <s v="."/>
    <n v="0"/>
    <n v="0"/>
    <n v="0"/>
    <n v="0"/>
    <n v="0"/>
    <n v="0"/>
    <n v="0"/>
    <n v="0"/>
    <n v="6188466.9080757583"/>
  </r>
  <r>
    <n v="271"/>
    <x v="58"/>
    <s v="ES"/>
    <n v="6"/>
    <n v="395"/>
    <n v="116"/>
    <n v="171051"/>
    <n v="97685"/>
    <n v="138141"/>
    <n v="0"/>
    <n v="0"/>
    <n v="75970"/>
    <n v="55700"/>
    <n v="0"/>
    <n v="0"/>
    <n v="0"/>
    <n v="67656"/>
    <n v="51186"/>
    <n v="1"/>
    <n v="41134"/>
    <n v="97685"/>
    <n v="97685"/>
    <n v="97685"/>
    <n v="97685"/>
    <n v="0"/>
    <n v="293055"/>
    <n v="86745"/>
    <n v="0"/>
    <n v="0"/>
    <x v="4"/>
    <n v="86745"/>
    <n v="293055"/>
    <n v="86745"/>
    <n v="293055"/>
    <n v="195370"/>
    <n v="293055"/>
    <n v="195370"/>
    <n v="195370"/>
    <n v="0"/>
    <n v="0"/>
    <n v="0"/>
    <n v="0"/>
    <n v="0"/>
    <n v="0"/>
    <n v="0"/>
    <n v="0"/>
    <n v="0"/>
    <n v="97685"/>
    <n v="146527.5"/>
    <n v="781480"/>
    <n v="231320"/>
    <n v="0"/>
    <x v="2"/>
    <n v="0"/>
    <n v="0"/>
    <n v="65230"/>
    <n v="71940"/>
    <n v="7848"/>
    <n v="0"/>
    <n v="149460.16"/>
    <n v="2425.0500000000002"/>
    <n v="93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45"/>
    <x v="1"/>
    <x v="1"/>
    <x v="1"/>
    <x v="1"/>
    <x v="58"/>
    <x v="1"/>
    <x v="1"/>
    <x v="1"/>
    <x v="58"/>
    <x v="58"/>
    <n v="0"/>
    <n v="0"/>
    <m/>
    <m/>
    <n v="0"/>
    <s v="."/>
    <n v="0"/>
    <n v="0"/>
    <n v="0"/>
    <n v="0"/>
    <n v="0"/>
    <n v="0"/>
    <n v="0"/>
    <n v="0"/>
    <n v="5110764.6751720235"/>
  </r>
  <r>
    <n v="884"/>
    <x v="59"/>
    <s v="Alt"/>
    <n v="5"/>
    <n v="393"/>
    <n v="0"/>
    <n v="171051"/>
    <n v="0"/>
    <n v="0"/>
    <n v="0"/>
    <n v="152629.12800000003"/>
    <n v="0"/>
    <n v="55700"/>
    <n v="0"/>
    <n v="0"/>
    <n v="0"/>
    <n v="67656"/>
    <n v="51186"/>
    <n v="1"/>
    <n v="41134"/>
    <n v="97685"/>
    <n v="0"/>
    <n v="0"/>
    <n v="0"/>
    <n v="0"/>
    <n v="0"/>
    <n v="0"/>
    <n v="0"/>
    <n v="0"/>
    <x v="3"/>
    <n v="0"/>
    <n v="0"/>
    <n v="0"/>
    <n v="0"/>
    <n v="0"/>
    <n v="0"/>
    <n v="0"/>
    <n v="0"/>
    <n v="0"/>
    <n v="0"/>
    <n v="0"/>
    <n v="390740"/>
    <n v="322360.5"/>
    <n v="293055"/>
    <n v="234444"/>
    <n v="0"/>
    <n v="0"/>
    <n v="48842.5"/>
    <n v="195370"/>
    <n v="293055"/>
    <n v="0"/>
    <n v="0"/>
    <x v="2"/>
    <n v="0"/>
    <n v="0"/>
    <n v="0"/>
    <n v="0"/>
    <n v="0"/>
    <n v="64736"/>
    <n v="122099.97"/>
    <n v="1981.12"/>
    <n v="76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5"/>
    <x v="1"/>
    <x v="1"/>
    <x v="2"/>
    <x v="2"/>
    <x v="59"/>
    <x v="2"/>
    <x v="2"/>
    <x v="1"/>
    <x v="59"/>
    <x v="59"/>
    <n v="0"/>
    <n v="0"/>
    <n v="0"/>
    <s v="Alt school placeholder"/>
    <n v="0"/>
    <s v="."/>
    <n v="0"/>
    <n v="0"/>
    <n v="0"/>
    <n v="0"/>
    <n v="0"/>
    <n v="0"/>
    <n v="0"/>
    <n v="434326.31992533198"/>
    <n v="3437769.0090000001"/>
  </r>
  <r>
    <n v="420"/>
    <x v="60"/>
    <s v="MS"/>
    <n v="4"/>
    <n v="142"/>
    <n v="98"/>
    <n v="171051"/>
    <n v="97685"/>
    <n v="69070.5"/>
    <n v="97685"/>
    <n v="0"/>
    <n v="37985"/>
    <n v="55700"/>
    <n v="0"/>
    <n v="0"/>
    <n v="0"/>
    <n v="67656"/>
    <n v="0"/>
    <n v="1"/>
    <n v="41134"/>
    <n v="48842.5"/>
    <n v="48842.5"/>
    <n v="48842.5"/>
    <n v="48842.5"/>
    <n v="0"/>
    <n v="0"/>
    <n v="0"/>
    <n v="0"/>
    <n v="0"/>
    <x v="3"/>
    <n v="0"/>
    <n v="0"/>
    <n v="0"/>
    <n v="0"/>
    <n v="0"/>
    <n v="0"/>
    <n v="0"/>
    <n v="0"/>
    <n v="341897.5"/>
    <n v="283286.5"/>
    <n v="0"/>
    <n v="0"/>
    <n v="0"/>
    <n v="0"/>
    <n v="0"/>
    <n v="0"/>
    <n v="0"/>
    <s v="No Data"/>
    <n v="97685"/>
    <n v="195370"/>
    <n v="0"/>
    <n v="0"/>
    <x v="12"/>
    <n v="0"/>
    <n v="0"/>
    <n v="0"/>
    <n v="0"/>
    <n v="0"/>
    <n v="0"/>
    <n v="26135.11"/>
    <n v="424.05"/>
    <n v="1625"/>
    <n v="0"/>
    <x v="2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4"/>
    <x v="2"/>
    <x v="2"/>
    <x v="2"/>
    <x v="1"/>
    <x v="1"/>
    <x v="46"/>
    <x v="1"/>
    <x v="1"/>
    <x v="1"/>
    <x v="1"/>
    <x v="60"/>
    <x v="1"/>
    <x v="1"/>
    <x v="1"/>
    <x v="60"/>
    <x v="60"/>
    <n v="0"/>
    <n v="0"/>
    <m/>
    <m/>
    <n v="0.10000000000582077"/>
    <s v="."/>
    <n v="0"/>
    <n v="0"/>
    <n v="0"/>
    <n v="0"/>
    <n v="0"/>
    <n v="0"/>
    <n v="0"/>
    <n v="0"/>
    <n v="2363549.3582407408"/>
  </r>
  <r>
    <n v="308"/>
    <x v="61"/>
    <s v="ES"/>
    <n v="8"/>
    <n v="263"/>
    <n v="231"/>
    <n v="171051"/>
    <n v="97685"/>
    <n v="0"/>
    <n v="0"/>
    <n v="0"/>
    <n v="37985"/>
    <n v="55700"/>
    <n v="0"/>
    <n v="0"/>
    <n v="0"/>
    <n v="67656"/>
    <n v="51186"/>
    <n v="2"/>
    <n v="82268"/>
    <n v="48842.5"/>
    <n v="97685"/>
    <n v="97685"/>
    <n v="97685"/>
    <n v="0"/>
    <n v="195370"/>
    <n v="57830"/>
    <n v="0"/>
    <n v="0"/>
    <x v="1"/>
    <n v="57830"/>
    <n v="195370"/>
    <n v="57830"/>
    <n v="97685"/>
    <n v="97685"/>
    <n v="195370"/>
    <n v="195370"/>
    <n v="195370"/>
    <n v="0"/>
    <n v="0"/>
    <n v="0"/>
    <n v="0"/>
    <n v="0"/>
    <n v="0"/>
    <n v="0"/>
    <n v="0"/>
    <n v="0"/>
    <n v="97685"/>
    <n v="97685"/>
    <n v="390740"/>
    <n v="28915"/>
    <n v="45222"/>
    <x v="1"/>
    <n v="0"/>
    <n v="0"/>
    <n v="0"/>
    <n v="0"/>
    <n v="0"/>
    <n v="0"/>
    <n v="95964.86"/>
    <n v="1557.07"/>
    <n v="597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47"/>
    <x v="15"/>
    <x v="1"/>
    <x v="1"/>
    <x v="1"/>
    <x v="61"/>
    <x v="1"/>
    <x v="1"/>
    <x v="1"/>
    <x v="61"/>
    <x v="61"/>
    <n v="0"/>
    <n v="0"/>
    <m/>
    <m/>
    <n v="80821.5"/>
    <s v="."/>
    <n v="0"/>
    <n v="0"/>
    <n v="0"/>
    <n v="0"/>
    <n v="0"/>
    <n v="0"/>
    <n v="0"/>
    <n v="0"/>
    <n v="3432361.7336538462"/>
  </r>
  <r>
    <n v="273"/>
    <x v="62"/>
    <s v="ES"/>
    <n v="3"/>
    <n v="404"/>
    <n v="9"/>
    <n v="171051"/>
    <n v="97685"/>
    <n v="138141"/>
    <n v="0"/>
    <n v="0"/>
    <n v="75970"/>
    <n v="55700"/>
    <n v="40471"/>
    <n v="0"/>
    <n v="0"/>
    <n v="67656"/>
    <n v="51186"/>
    <n v="3"/>
    <n v="123402"/>
    <n v="97685"/>
    <n v="97685"/>
    <n v="97685"/>
    <n v="97685"/>
    <n v="146527.5"/>
    <n v="0"/>
    <n v="0"/>
    <n v="0"/>
    <n v="0"/>
    <x v="1"/>
    <n v="57830"/>
    <n v="293055"/>
    <n v="86745"/>
    <n v="293055"/>
    <n v="293055"/>
    <n v="293055"/>
    <n v="293055"/>
    <n v="195370"/>
    <n v="0"/>
    <n v="0"/>
    <n v="0"/>
    <n v="0"/>
    <n v="0"/>
    <n v="0"/>
    <n v="0"/>
    <n v="0"/>
    <n v="0"/>
    <n v="48842.5"/>
    <n v="48842.5"/>
    <n v="195370"/>
    <n v="0"/>
    <n v="0"/>
    <x v="9"/>
    <n v="0"/>
    <n v="0"/>
    <n v="0"/>
    <n v="0"/>
    <n v="0"/>
    <n v="0"/>
    <n v="0"/>
    <n v="0"/>
    <n v="947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62"/>
    <x v="1"/>
    <x v="1"/>
    <x v="1"/>
    <x v="62"/>
    <x v="62"/>
    <n v="0"/>
    <n v="0"/>
    <m/>
    <m/>
    <n v="447.5"/>
    <s v="."/>
    <n v="0"/>
    <n v="0"/>
    <n v="0"/>
    <n v="0"/>
    <n v="0"/>
    <n v="0"/>
    <n v="0"/>
    <n v="0"/>
    <n v="3873591.7312837839"/>
  </r>
  <r>
    <n v="284"/>
    <x v="63"/>
    <s v="ES"/>
    <n v="1"/>
    <n v="398"/>
    <n v="142"/>
    <n v="171051"/>
    <n v="97685"/>
    <n v="138141"/>
    <n v="0"/>
    <n v="0"/>
    <n v="75970"/>
    <n v="55700"/>
    <n v="0"/>
    <n v="0"/>
    <n v="0"/>
    <n v="67656"/>
    <n v="102372"/>
    <n v="2"/>
    <n v="82268"/>
    <n v="97685"/>
    <n v="97685"/>
    <n v="97685"/>
    <n v="195370"/>
    <n v="0"/>
    <n v="195370"/>
    <n v="57830"/>
    <n v="195370"/>
    <n v="57830"/>
    <x v="1"/>
    <n v="57830"/>
    <n v="293055"/>
    <n v="86745"/>
    <n v="293055"/>
    <n v="195370"/>
    <n v="195370"/>
    <n v="293055"/>
    <n v="195370"/>
    <n v="0"/>
    <n v="0"/>
    <n v="0"/>
    <n v="0"/>
    <n v="0"/>
    <n v="0"/>
    <n v="0"/>
    <n v="0"/>
    <n v="0"/>
    <n v="48842.5"/>
    <n v="195370"/>
    <n v="488425"/>
    <n v="57830"/>
    <n v="90444"/>
    <x v="15"/>
    <n v="0"/>
    <n v="97685"/>
    <n v="65230"/>
    <n v="71940"/>
    <n v="7848"/>
    <n v="0"/>
    <n v="160485.91"/>
    <n v="2603.9499999999998"/>
    <n v="997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1"/>
    <x v="1"/>
    <x v="48"/>
    <x v="1"/>
    <x v="1"/>
    <x v="1"/>
    <x v="1"/>
    <x v="63"/>
    <x v="1"/>
    <x v="1"/>
    <x v="2"/>
    <x v="63"/>
    <x v="63"/>
    <n v="0"/>
    <n v="35000"/>
    <m/>
    <s v="one time - arts start up funds"/>
    <n v="11432.5"/>
    <s v="."/>
    <n v="0"/>
    <n v="0"/>
    <n v="0"/>
    <n v="0"/>
    <n v="0"/>
    <n v="0"/>
    <n v="0"/>
    <n v="0"/>
    <n v="5932664.297180851"/>
  </r>
  <r>
    <n v="274"/>
    <x v="64"/>
    <s v="ES"/>
    <n v="6"/>
    <n v="403"/>
    <n v="58"/>
    <n v="171051"/>
    <n v="97685"/>
    <n v="138141"/>
    <n v="0"/>
    <n v="0"/>
    <n v="75970"/>
    <n v="55700"/>
    <n v="40471"/>
    <n v="0"/>
    <n v="0"/>
    <n v="67656"/>
    <n v="102372"/>
    <n v="0"/>
    <n v="0"/>
    <n v="97685"/>
    <n v="97685"/>
    <n v="97685"/>
    <n v="97685"/>
    <n v="146527.5"/>
    <n v="195370"/>
    <n v="57830"/>
    <n v="97685"/>
    <n v="28915"/>
    <x v="1"/>
    <n v="57830"/>
    <n v="293055"/>
    <n v="86745"/>
    <n v="293055"/>
    <n v="293055"/>
    <n v="195370"/>
    <n v="195370"/>
    <n v="195370"/>
    <n v="0"/>
    <n v="0"/>
    <n v="0"/>
    <n v="0"/>
    <n v="0"/>
    <n v="0"/>
    <n v="0"/>
    <n v="0"/>
    <n v="0"/>
    <n v="48842.5"/>
    <n v="97685"/>
    <n v="293055"/>
    <n v="0"/>
    <n v="0"/>
    <x v="3"/>
    <n v="0"/>
    <n v="0"/>
    <n v="0"/>
    <n v="0"/>
    <n v="0"/>
    <n v="0"/>
    <n v="0"/>
    <n v="0"/>
    <n v="972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64"/>
    <x v="1"/>
    <x v="1"/>
    <x v="1"/>
    <x v="64"/>
    <x v="64"/>
    <n v="0"/>
    <n v="0"/>
    <m/>
    <m/>
    <n v="0"/>
    <s v="."/>
    <n v="0"/>
    <n v="0"/>
    <n v="0"/>
    <n v="0"/>
    <n v="0"/>
    <n v="0"/>
    <n v="0"/>
    <n v="0"/>
    <n v="4040214.4727436737"/>
  </r>
  <r>
    <n v="435"/>
    <x v="65"/>
    <s v="MS"/>
    <n v="5"/>
    <n v="222"/>
    <n v="135"/>
    <n v="85525.5"/>
    <n v="97685"/>
    <n v="234839.69999999998"/>
    <n v="97685"/>
    <n v="0"/>
    <n v="37985"/>
    <n v="55700"/>
    <n v="0"/>
    <n v="0"/>
    <n v="0"/>
    <n v="67656"/>
    <n v="102372"/>
    <n v="1"/>
    <n v="41134"/>
    <n v="48842.5"/>
    <n v="0"/>
    <n v="0"/>
    <n v="0"/>
    <n v="0"/>
    <n v="0"/>
    <n v="0"/>
    <n v="0"/>
    <n v="0"/>
    <x v="3"/>
    <n v="0"/>
    <n v="0"/>
    <n v="0"/>
    <n v="0"/>
    <n v="0"/>
    <n v="0"/>
    <n v="0"/>
    <n v="0"/>
    <n v="361434.5"/>
    <n v="351666"/>
    <n v="273518"/>
    <n v="0"/>
    <n v="0"/>
    <n v="0"/>
    <n v="0"/>
    <n v="0"/>
    <n v="0"/>
    <n v="97685"/>
    <n v="146527.5"/>
    <n v="488425"/>
    <n v="86745"/>
    <n v="90444"/>
    <x v="19"/>
    <n v="0"/>
    <n v="0"/>
    <n v="0"/>
    <n v="0"/>
    <n v="0"/>
    <n v="0"/>
    <n v="91472.89"/>
    <n v="1484.19"/>
    <n v="567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2"/>
    <x v="2"/>
    <x v="2"/>
    <x v="2"/>
    <x v="1"/>
    <x v="1"/>
    <x v="49"/>
    <x v="1"/>
    <x v="1"/>
    <x v="1"/>
    <x v="1"/>
    <x v="65"/>
    <x v="1"/>
    <x v="1"/>
    <x v="1"/>
    <x v="65"/>
    <x v="65"/>
    <n v="0"/>
    <n v="0"/>
    <m/>
    <m/>
    <n v="0.29999999998835847"/>
    <s v="."/>
    <n v="0"/>
    <n v="0"/>
    <n v="0"/>
    <n v="0"/>
    <n v="0"/>
    <n v="0"/>
    <n v="0"/>
    <n v="0"/>
    <n v="3311974.0070656571"/>
  </r>
  <r>
    <n v="458"/>
    <x v="66"/>
    <s v="HS"/>
    <n v="5"/>
    <n v="639"/>
    <n v="253"/>
    <n v="85525.5"/>
    <n v="97685"/>
    <n v="290096.10000000003"/>
    <n v="0"/>
    <n v="290084.60000000003"/>
    <n v="75970"/>
    <n v="55700"/>
    <n v="64753.600000000006"/>
    <n v="47542"/>
    <n v="58487"/>
    <n v="67656"/>
    <n v="153558"/>
    <n v="2"/>
    <n v="82268"/>
    <n v="97685"/>
    <n v="0"/>
    <n v="0"/>
    <n v="0"/>
    <n v="0"/>
    <n v="0"/>
    <n v="0"/>
    <n v="0"/>
    <n v="0"/>
    <x v="3"/>
    <n v="0"/>
    <n v="0"/>
    <n v="0"/>
    <n v="0"/>
    <n v="0"/>
    <n v="0"/>
    <n v="0"/>
    <n v="0"/>
    <n v="0"/>
    <n v="0"/>
    <n v="0"/>
    <n v="761943"/>
    <n v="498193.49999999994"/>
    <n v="781480"/>
    <n v="566573"/>
    <n v="0"/>
    <n v="0"/>
    <n v="48842.5"/>
    <n v="195370"/>
    <n v="97685"/>
    <n v="0"/>
    <n v="0"/>
    <x v="19"/>
    <n v="0"/>
    <n v="0"/>
    <n v="0"/>
    <n v="0"/>
    <n v="0"/>
    <n v="0"/>
    <n v="263801.27"/>
    <n v="4280.29"/>
    <n v="16400"/>
    <n v="0"/>
    <x v="1"/>
    <x v="1"/>
    <x v="1"/>
    <x v="1"/>
    <x v="2"/>
    <x v="1"/>
    <x v="1"/>
    <x v="1"/>
    <x v="1"/>
    <x v="3"/>
    <x v="1"/>
    <x v="1"/>
    <x v="1"/>
    <x v="1"/>
    <x v="2"/>
    <x v="2"/>
    <x v="3"/>
    <x v="2"/>
    <x v="1"/>
    <x v="1"/>
    <x v="1"/>
    <x v="1"/>
    <x v="1"/>
    <x v="2"/>
    <x v="2"/>
    <x v="2"/>
    <x v="1"/>
    <x v="1"/>
    <x v="1"/>
    <x v="1"/>
    <x v="66"/>
    <x v="1"/>
    <x v="1"/>
    <x v="1"/>
    <x v="66"/>
    <x v="66"/>
    <n v="0"/>
    <n v="1680585.0389999999"/>
    <m/>
    <m/>
    <n v="25306.25"/>
    <s v="."/>
    <n v="0"/>
    <n v="0"/>
    <n v="0"/>
    <n v="0"/>
    <n v="0"/>
    <n v="0"/>
    <n v="0"/>
    <n v="0"/>
    <n v="7431462.2306319401"/>
  </r>
  <r>
    <n v="280"/>
    <x v="67"/>
    <s v="ES"/>
    <n v="6"/>
    <n v="383"/>
    <n v="271"/>
    <n v="171051"/>
    <n v="97685"/>
    <n v="138141"/>
    <n v="0"/>
    <n v="0"/>
    <n v="75970"/>
    <n v="55700"/>
    <n v="0"/>
    <n v="0"/>
    <n v="0"/>
    <n v="67656"/>
    <n v="204744"/>
    <n v="0"/>
    <n v="0"/>
    <n v="97685"/>
    <n v="97685"/>
    <n v="97685"/>
    <n v="97685"/>
    <n v="293055"/>
    <n v="195370"/>
    <n v="57830"/>
    <n v="293055"/>
    <n v="86745"/>
    <x v="2"/>
    <n v="28915"/>
    <n v="195370"/>
    <n v="57830"/>
    <n v="195370"/>
    <n v="195370"/>
    <n v="195370"/>
    <n v="195370"/>
    <n v="195370"/>
    <n v="0"/>
    <n v="0"/>
    <n v="0"/>
    <n v="0"/>
    <n v="0"/>
    <n v="0"/>
    <n v="0"/>
    <n v="0"/>
    <n v="0"/>
    <n v="97685"/>
    <n v="195370"/>
    <n v="586110"/>
    <n v="86745"/>
    <n v="0"/>
    <x v="7"/>
    <n v="0"/>
    <n v="0"/>
    <n v="35580"/>
    <n v="39240"/>
    <n v="7848"/>
    <n v="0"/>
    <n v="160485.91"/>
    <n v="2603.9499999999998"/>
    <n v="997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50"/>
    <x v="16"/>
    <x v="1"/>
    <x v="1"/>
    <x v="1"/>
    <x v="67"/>
    <x v="1"/>
    <x v="1"/>
    <x v="1"/>
    <x v="67"/>
    <x v="67"/>
    <n v="0"/>
    <n v="0"/>
    <m/>
    <m/>
    <n v="89808.5"/>
    <s v="."/>
    <n v="0"/>
    <n v="0"/>
    <n v="0"/>
    <n v="0"/>
    <n v="0"/>
    <n v="0"/>
    <n v="0"/>
    <n v="0"/>
    <n v="5046600.6752272733"/>
  </r>
  <r>
    <n v="285"/>
    <x v="68"/>
    <s v="ES"/>
    <n v="8"/>
    <n v="421"/>
    <n v="371"/>
    <n v="171051"/>
    <n v="97685"/>
    <n v="138141"/>
    <n v="0"/>
    <n v="0"/>
    <n v="75970"/>
    <n v="55700"/>
    <n v="40471"/>
    <n v="0"/>
    <n v="0"/>
    <n v="67656"/>
    <n v="51186"/>
    <n v="2"/>
    <n v="82268"/>
    <n v="97685"/>
    <n v="97685"/>
    <n v="97685"/>
    <n v="97685"/>
    <n v="146527.5"/>
    <n v="195370"/>
    <n v="57830"/>
    <n v="97685"/>
    <n v="28915"/>
    <x v="1"/>
    <n v="57830"/>
    <n v="293055"/>
    <n v="86745"/>
    <n v="293055"/>
    <n v="293055"/>
    <n v="293055"/>
    <n v="195370"/>
    <n v="195370"/>
    <n v="0"/>
    <n v="0"/>
    <n v="0"/>
    <n v="0"/>
    <n v="0"/>
    <n v="0"/>
    <n v="0"/>
    <n v="0"/>
    <n v="0"/>
    <n v="97685"/>
    <n v="97685"/>
    <n v="390740"/>
    <n v="28915"/>
    <n v="0"/>
    <x v="1"/>
    <n v="0"/>
    <n v="0"/>
    <n v="29650"/>
    <n v="32700"/>
    <n v="7848"/>
    <n v="0"/>
    <n v="170286.58"/>
    <n v="2762.97"/>
    <n v="10575"/>
    <n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51"/>
    <x v="1"/>
    <x v="1"/>
    <x v="1"/>
    <x v="1"/>
    <x v="68"/>
    <x v="1"/>
    <x v="1"/>
    <x v="1"/>
    <x v="68"/>
    <x v="68"/>
    <n v="0"/>
    <n v="0"/>
    <m/>
    <m/>
    <n v="110204.5"/>
    <s v="."/>
    <n v="0"/>
    <n v="0"/>
    <n v="0"/>
    <n v="0"/>
    <n v="0"/>
    <n v="0"/>
    <n v="0"/>
    <n v="0"/>
    <n v="4815414.5366666671"/>
  </r>
  <r>
    <n v="287"/>
    <x v="69"/>
    <s v="ES"/>
    <n v="3"/>
    <n v="577"/>
    <n v="27"/>
    <n v="171051"/>
    <n v="97685"/>
    <n v="193397.4"/>
    <n v="0"/>
    <n v="0"/>
    <n v="75970"/>
    <n v="55700"/>
    <n v="56659.399999999994"/>
    <n v="0"/>
    <n v="0"/>
    <n v="67656"/>
    <n v="102372"/>
    <n v="2"/>
    <n v="82268"/>
    <n v="97685"/>
    <n v="97685"/>
    <n v="97685"/>
    <n v="97685"/>
    <n v="146527.5"/>
    <n v="0"/>
    <n v="0"/>
    <n v="0"/>
    <n v="0"/>
    <x v="4"/>
    <n v="86745"/>
    <n v="390740"/>
    <n v="115660"/>
    <n v="390740"/>
    <n v="488425"/>
    <n v="488425"/>
    <n v="390740"/>
    <n v="488425"/>
    <n v="0"/>
    <n v="0"/>
    <n v="0"/>
    <n v="0"/>
    <n v="0"/>
    <n v="0"/>
    <n v="0"/>
    <n v="0"/>
    <n v="0"/>
    <n v="48842.5"/>
    <n v="97685"/>
    <n v="390740"/>
    <n v="28915"/>
    <n v="0"/>
    <x v="12"/>
    <n v="0"/>
    <n v="0"/>
    <n v="0"/>
    <n v="0"/>
    <n v="0"/>
    <n v="0"/>
    <n v="0"/>
    <n v="0"/>
    <n v="1432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69"/>
    <x v="1"/>
    <x v="1"/>
    <x v="1"/>
    <x v="69"/>
    <x v="69"/>
    <n v="0"/>
    <n v="0"/>
    <m/>
    <m/>
    <n v="1562.6666666666715"/>
    <s v="."/>
    <n v="0"/>
    <n v="0"/>
    <n v="0"/>
    <n v="0"/>
    <n v="0"/>
    <n v="0"/>
    <n v="0"/>
    <n v="0"/>
    <n v="5508686.3573875977"/>
  </r>
  <r>
    <n v="288"/>
    <x v="70"/>
    <s v="ES"/>
    <n v="7"/>
    <n v="395"/>
    <n v="317"/>
    <n v="171051"/>
    <n v="97685"/>
    <n v="138141"/>
    <n v="0"/>
    <n v="0"/>
    <n v="75970"/>
    <n v="55700"/>
    <n v="40471"/>
    <n v="0"/>
    <n v="0"/>
    <n v="67656"/>
    <n v="0"/>
    <n v="2"/>
    <n v="82268"/>
    <n v="97685"/>
    <n v="97685"/>
    <n v="97685"/>
    <n v="97685"/>
    <n v="244212.5"/>
    <n v="0"/>
    <n v="0"/>
    <n v="586110"/>
    <n v="173490"/>
    <x v="3"/>
    <n v="0"/>
    <n v="293055"/>
    <n v="86745"/>
    <n v="293055"/>
    <n v="293055"/>
    <n v="195370"/>
    <n v="293055"/>
    <n v="195370"/>
    <n v="0"/>
    <n v="0"/>
    <n v="0"/>
    <n v="0"/>
    <n v="0"/>
    <n v="0"/>
    <n v="0"/>
    <n v="0"/>
    <n v="0"/>
    <n v="97685"/>
    <n v="97685"/>
    <n v="293055"/>
    <n v="0"/>
    <n v="0"/>
    <x v="2"/>
    <n v="0"/>
    <n v="0"/>
    <n v="0"/>
    <n v="0"/>
    <n v="0"/>
    <n v="0"/>
    <n v="157627.38"/>
    <n v="2557.5700000000002"/>
    <n v="9800"/>
    <n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52"/>
    <x v="17"/>
    <x v="1"/>
    <x v="1"/>
    <x v="1"/>
    <x v="70"/>
    <x v="1"/>
    <x v="1"/>
    <x v="1"/>
    <x v="49"/>
    <x v="70"/>
    <n v="0"/>
    <n v="0"/>
    <m/>
    <m/>
    <n v="24047.5"/>
    <s v="."/>
    <n v="0"/>
    <n v="0"/>
    <n v="0"/>
    <n v="0"/>
    <n v="0"/>
    <n v="0"/>
    <n v="0"/>
    <n v="0"/>
    <n v="4820016.9902272727"/>
  </r>
  <r>
    <n v="290"/>
    <x v="71"/>
    <s v="ES"/>
    <n v="5"/>
    <n v="187"/>
    <n v="133"/>
    <n v="171051"/>
    <n v="97685"/>
    <n v="0"/>
    <n v="0"/>
    <n v="0"/>
    <n v="75970"/>
    <n v="55700"/>
    <n v="0"/>
    <n v="0"/>
    <n v="0"/>
    <n v="67656"/>
    <n v="51186"/>
    <n v="1"/>
    <n v="41134"/>
    <n v="48842.5"/>
    <n v="97685"/>
    <n v="97685"/>
    <n v="97685"/>
    <n v="0"/>
    <n v="97685"/>
    <n v="28915"/>
    <n v="0"/>
    <n v="0"/>
    <x v="2"/>
    <n v="28915"/>
    <n v="195370"/>
    <n v="57830"/>
    <n v="97685"/>
    <n v="195370"/>
    <n v="97685"/>
    <n v="97685"/>
    <n v="97685"/>
    <n v="0"/>
    <n v="0"/>
    <n v="0"/>
    <n v="0"/>
    <n v="0"/>
    <n v="0"/>
    <n v="0"/>
    <n v="0"/>
    <n v="0"/>
    <n v="48842.5"/>
    <n v="97685"/>
    <n v="683795"/>
    <n v="115660"/>
    <n v="0"/>
    <x v="9"/>
    <n v="0"/>
    <n v="0"/>
    <n v="23720"/>
    <n v="26160"/>
    <n v="7848"/>
    <n v="0"/>
    <n v="77996.97"/>
    <n v="1265.53"/>
    <n v="485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53"/>
    <x v="18"/>
    <x v="1"/>
    <x v="1"/>
    <x v="1"/>
    <x v="71"/>
    <x v="1"/>
    <x v="1"/>
    <x v="1"/>
    <x v="70"/>
    <x v="71"/>
    <n v="0"/>
    <n v="0"/>
    <m/>
    <m/>
    <n v="74215"/>
    <s v="."/>
    <n v="0"/>
    <n v="0"/>
    <n v="0"/>
    <n v="0"/>
    <n v="0"/>
    <n v="0"/>
    <n v="0"/>
    <n v="0"/>
    <n v="3370847.8777621482"/>
  </r>
  <r>
    <n v="291"/>
    <x v="72"/>
    <s v="ES"/>
    <n v="8"/>
    <n v="422"/>
    <n v="332"/>
    <n v="171051"/>
    <n v="97685"/>
    <n v="151955.1"/>
    <n v="0"/>
    <n v="0"/>
    <n v="75970"/>
    <n v="55700"/>
    <n v="44518.100000000006"/>
    <n v="0"/>
    <n v="0"/>
    <n v="67656"/>
    <n v="51186"/>
    <n v="2"/>
    <n v="82268"/>
    <n v="97685"/>
    <n v="97685"/>
    <n v="97685"/>
    <n v="97685"/>
    <n v="146527.5"/>
    <n v="293055"/>
    <n v="86745"/>
    <n v="0"/>
    <n v="0"/>
    <x v="4"/>
    <n v="86745"/>
    <n v="293055"/>
    <n v="86745"/>
    <n v="293055"/>
    <n v="293055"/>
    <n v="293055"/>
    <n v="195370"/>
    <n v="293055"/>
    <n v="0"/>
    <n v="0"/>
    <n v="0"/>
    <n v="0"/>
    <n v="0"/>
    <n v="0"/>
    <n v="0"/>
    <n v="0"/>
    <n v="0"/>
    <n v="97685"/>
    <n v="97685"/>
    <n v="390740"/>
    <n v="0"/>
    <n v="0"/>
    <x v="3"/>
    <n v="0"/>
    <n v="0"/>
    <n v="0"/>
    <n v="0"/>
    <n v="0"/>
    <n v="0"/>
    <n v="169469.86"/>
    <n v="2749.72"/>
    <n v="10525"/>
    <n v="0"/>
    <x v="1"/>
    <x v="1"/>
    <x v="1"/>
    <x v="1"/>
    <x v="2"/>
    <x v="1"/>
    <x v="1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54"/>
    <x v="19"/>
    <x v="1"/>
    <x v="1"/>
    <x v="1"/>
    <x v="72"/>
    <x v="1"/>
    <x v="1"/>
    <x v="1"/>
    <x v="71"/>
    <x v="72"/>
    <n v="0"/>
    <n v="0"/>
    <m/>
    <m/>
    <n v="114207"/>
    <s v="."/>
    <n v="0"/>
    <n v="0"/>
    <n v="0"/>
    <n v="0"/>
    <n v="0"/>
    <n v="0"/>
    <n v="0"/>
    <n v="0"/>
    <n v="5116553.1986818183"/>
  </r>
  <r>
    <n v="292"/>
    <x v="73"/>
    <s v="EC"/>
    <n v="3"/>
    <n v="678"/>
    <n v="77"/>
    <n v="171051"/>
    <n v="195370"/>
    <n v="262467.89999999997"/>
    <n v="97685"/>
    <n v="0"/>
    <n v="75970"/>
    <n v="55700"/>
    <n v="68800.7"/>
    <n v="0"/>
    <n v="0"/>
    <n v="135312"/>
    <n v="153558"/>
    <n v="1"/>
    <n v="41134"/>
    <n v="195370"/>
    <n v="97685"/>
    <n v="97685"/>
    <n v="97685"/>
    <n v="341897.5"/>
    <n v="0"/>
    <n v="0"/>
    <n v="0"/>
    <n v="0"/>
    <x v="1"/>
    <n v="57830"/>
    <n v="293055"/>
    <n v="86745"/>
    <n v="390740"/>
    <n v="390740"/>
    <n v="390740"/>
    <n v="390740"/>
    <n v="390740"/>
    <n v="351666"/>
    <n v="371203"/>
    <n v="361434.5"/>
    <n v="0"/>
    <n v="0"/>
    <n v="0"/>
    <n v="0"/>
    <n v="0"/>
    <n v="0"/>
    <n v="146527.5"/>
    <n v="195370"/>
    <n v="683795"/>
    <n v="28915"/>
    <n v="0"/>
    <x v="14"/>
    <n v="0"/>
    <n v="97685"/>
    <n v="0"/>
    <n v="0"/>
    <n v="0"/>
    <n v="0"/>
    <n v="0"/>
    <n v="0"/>
    <n v="1685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2"/>
    <x v="2"/>
    <x v="2"/>
    <x v="2"/>
    <x v="1"/>
    <x v="1"/>
    <x v="5"/>
    <x v="1"/>
    <x v="1"/>
    <x v="1"/>
    <x v="1"/>
    <x v="73"/>
    <x v="1"/>
    <x v="1"/>
    <x v="1"/>
    <x v="72"/>
    <x v="73"/>
    <n v="0"/>
    <n v="500000"/>
    <m/>
    <m/>
    <n v="0"/>
    <s v="."/>
    <n v="0"/>
    <n v="0"/>
    <n v="0"/>
    <n v="0"/>
    <n v="0"/>
    <n v="0"/>
    <n v="0"/>
    <n v="0"/>
    <n v="8353305.6858768538"/>
  </r>
  <r>
    <n v="294"/>
    <x v="74"/>
    <s v="ES"/>
    <n v="8"/>
    <n v="391"/>
    <n v="334"/>
    <n v="171051"/>
    <n v="97685"/>
    <n v="138141"/>
    <n v="0"/>
    <n v="0"/>
    <n v="75970"/>
    <n v="55700"/>
    <n v="0"/>
    <n v="0"/>
    <n v="0"/>
    <n v="67656"/>
    <n v="102372"/>
    <n v="1"/>
    <n v="41134"/>
    <n v="97685"/>
    <n v="97685"/>
    <n v="97685"/>
    <n v="97685"/>
    <n v="146527.5"/>
    <n v="195370"/>
    <n v="57830"/>
    <n v="0"/>
    <n v="0"/>
    <x v="1"/>
    <n v="57830"/>
    <n v="293055"/>
    <n v="86745"/>
    <n v="293055"/>
    <n v="293055"/>
    <n v="293055"/>
    <n v="195370"/>
    <n v="195370"/>
    <n v="0"/>
    <n v="0"/>
    <n v="0"/>
    <n v="0"/>
    <n v="0"/>
    <n v="0"/>
    <n v="0"/>
    <n v="0"/>
    <n v="0"/>
    <n v="97685"/>
    <n v="146527.5"/>
    <n v="879165"/>
    <n v="231320"/>
    <n v="0"/>
    <x v="1"/>
    <n v="0"/>
    <n v="0"/>
    <n v="47440"/>
    <n v="52320"/>
    <n v="7848"/>
    <n v="0"/>
    <n v="162527.72"/>
    <n v="2637.08"/>
    <n v="101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55"/>
    <x v="1"/>
    <x v="1"/>
    <x v="1"/>
    <x v="1"/>
    <x v="74"/>
    <x v="1"/>
    <x v="1"/>
    <x v="1"/>
    <x v="51"/>
    <x v="74"/>
    <n v="0"/>
    <n v="0"/>
    <m/>
    <m/>
    <n v="46066.5"/>
    <s v="."/>
    <n v="0"/>
    <n v="0"/>
    <n v="0"/>
    <n v="0"/>
    <n v="0"/>
    <n v="0"/>
    <n v="0"/>
    <n v="0"/>
    <n v="5268612.9745287951"/>
  </r>
  <r>
    <n v="295"/>
    <x v="75"/>
    <s v="ES"/>
    <n v="6"/>
    <n v="318"/>
    <n v="184"/>
    <n v="171051"/>
    <n v="97685"/>
    <n v="110512.8"/>
    <n v="0"/>
    <n v="0"/>
    <n v="75970"/>
    <n v="55700"/>
    <n v="0"/>
    <n v="0"/>
    <n v="0"/>
    <n v="67656"/>
    <n v="51186"/>
    <n v="1"/>
    <n v="41134"/>
    <n v="97685"/>
    <n v="97685"/>
    <n v="97685"/>
    <n v="97685"/>
    <n v="0"/>
    <n v="195370"/>
    <n v="57830"/>
    <n v="0"/>
    <n v="0"/>
    <x v="1"/>
    <n v="57830"/>
    <n v="195370"/>
    <n v="57830"/>
    <n v="195370"/>
    <n v="195370"/>
    <n v="195370"/>
    <n v="195370"/>
    <n v="195370"/>
    <n v="0"/>
    <n v="0"/>
    <n v="0"/>
    <n v="0"/>
    <n v="0"/>
    <n v="0"/>
    <n v="0"/>
    <n v="0"/>
    <n v="0"/>
    <n v="97685"/>
    <n v="146527.5"/>
    <n v="781480"/>
    <n v="144575"/>
    <n v="90444"/>
    <x v="20"/>
    <n v="0"/>
    <n v="0"/>
    <n v="65230"/>
    <n v="71940"/>
    <n v="7848"/>
    <n v="0"/>
    <n v="123733.41"/>
    <n v="2007.63"/>
    <n v="77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56"/>
    <x v="1"/>
    <x v="1"/>
    <x v="1"/>
    <x v="1"/>
    <x v="75"/>
    <x v="1"/>
    <x v="1"/>
    <x v="1"/>
    <x v="73"/>
    <x v="75"/>
    <n v="0"/>
    <n v="0"/>
    <m/>
    <m/>
    <n v="179770.5"/>
    <s v="."/>
    <n v="0"/>
    <n v="0"/>
    <n v="0"/>
    <n v="0"/>
    <n v="0"/>
    <n v="0"/>
    <n v="0"/>
    <n v="0"/>
    <n v="4655636.0214644726"/>
  </r>
  <r>
    <n v="301"/>
    <x v="76"/>
    <s v="ES"/>
    <n v="6"/>
    <n v="225"/>
    <n v="27"/>
    <n v="0"/>
    <n v="97685"/>
    <n v="138141"/>
    <n v="0"/>
    <n v="0"/>
    <n v="37985"/>
    <n v="55700"/>
    <n v="0"/>
    <n v="0"/>
    <n v="0"/>
    <n v="67656"/>
    <n v="102372"/>
    <n v="0"/>
    <n v="0"/>
    <n v="48842.5"/>
    <n v="97685"/>
    <n v="97685"/>
    <n v="97685"/>
    <n v="0"/>
    <n v="390740"/>
    <n v="115660"/>
    <n v="0"/>
    <n v="0"/>
    <x v="5"/>
    <n v="115660"/>
    <n v="390740"/>
    <n v="115660"/>
    <n v="0"/>
    <n v="0"/>
    <n v="0"/>
    <n v="0"/>
    <n v="0"/>
    <n v="0"/>
    <n v="0"/>
    <n v="0"/>
    <n v="0"/>
    <n v="0"/>
    <n v="0"/>
    <n v="0"/>
    <n v="0"/>
    <n v="0"/>
    <n v="48842.5"/>
    <n v="48842.5"/>
    <n v="97685"/>
    <n v="0"/>
    <n v="0"/>
    <x v="1"/>
    <n v="0"/>
    <n v="0"/>
    <n v="0"/>
    <n v="0"/>
    <n v="0"/>
    <n v="0"/>
    <n v="0"/>
    <n v="0"/>
    <n v="572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76"/>
    <x v="1"/>
    <x v="1"/>
    <x v="1"/>
    <x v="74"/>
    <x v="76"/>
    <n v="0"/>
    <n v="0"/>
    <m/>
    <m/>
    <n v="42178.5"/>
    <s v="."/>
    <n v="0"/>
    <n v="0"/>
    <n v="0"/>
    <n v="0"/>
    <n v="0"/>
    <n v="0"/>
    <n v="0"/>
    <n v="0"/>
    <n v="2675483.7290789476"/>
  </r>
  <r>
    <n v="478"/>
    <x v="77"/>
    <s v="HS"/>
    <n v="5"/>
    <n v="313"/>
    <n v="211"/>
    <n v="171051"/>
    <n v="97685"/>
    <n v="138141"/>
    <n v="0"/>
    <n v="133885.19999999998"/>
    <n v="75970"/>
    <n v="55700"/>
    <n v="0"/>
    <n v="47542"/>
    <n v="58487"/>
    <n v="67656"/>
    <n v="102372"/>
    <n v="1"/>
    <n v="41134"/>
    <n v="97685"/>
    <n v="0"/>
    <n v="0"/>
    <n v="0"/>
    <n v="0"/>
    <n v="0"/>
    <n v="0"/>
    <n v="0"/>
    <n v="0"/>
    <x v="3"/>
    <n v="0"/>
    <n v="0"/>
    <n v="0"/>
    <n v="0"/>
    <n v="0"/>
    <n v="0"/>
    <n v="0"/>
    <n v="0"/>
    <n v="0"/>
    <n v="0"/>
    <n v="0"/>
    <n v="625184"/>
    <n v="449350.99999999994"/>
    <n v="244212.5"/>
    <n v="380971.5"/>
    <n v="0"/>
    <n v="0"/>
    <n v="48842.5"/>
    <n v="146527.5"/>
    <n v="293055"/>
    <n v="0"/>
    <n v="0"/>
    <x v="21"/>
    <n v="0"/>
    <n v="0"/>
    <n v="0"/>
    <n v="0"/>
    <n v="0"/>
    <n v="24276"/>
    <n v="122916.69"/>
    <n v="1994.38"/>
    <n v="7650"/>
    <n v="0"/>
    <x v="1"/>
    <x v="1"/>
    <x v="1"/>
    <x v="1"/>
    <x v="2"/>
    <x v="1"/>
    <x v="1"/>
    <x v="1"/>
    <x v="1"/>
    <x v="2"/>
    <x v="1"/>
    <x v="1"/>
    <x v="1"/>
    <x v="1"/>
    <x v="2"/>
    <x v="2"/>
    <x v="2"/>
    <x v="2"/>
    <x v="1"/>
    <x v="1"/>
    <x v="1"/>
    <x v="1"/>
    <x v="1"/>
    <x v="2"/>
    <x v="2"/>
    <x v="57"/>
    <x v="1"/>
    <x v="1"/>
    <x v="1"/>
    <x v="1"/>
    <x v="77"/>
    <x v="1"/>
    <x v="1"/>
    <x v="1"/>
    <x v="75"/>
    <x v="77"/>
    <n v="0"/>
    <n v="0"/>
    <m/>
    <m/>
    <n v="0"/>
    <s v="."/>
    <n v="0"/>
    <n v="0"/>
    <n v="0"/>
    <n v="0"/>
    <n v="0"/>
    <n v="0"/>
    <n v="0"/>
    <n v="0"/>
    <n v="4190733.0752455774"/>
  </r>
  <r>
    <n v="299"/>
    <x v="78"/>
    <s v="ES"/>
    <n v="7"/>
    <n v="391"/>
    <n v="311"/>
    <n v="171051"/>
    <n v="97685"/>
    <n v="138141"/>
    <n v="0"/>
    <n v="0"/>
    <n v="75970"/>
    <n v="55700"/>
    <n v="0"/>
    <n v="0"/>
    <n v="0"/>
    <n v="67656"/>
    <n v="51186"/>
    <n v="2"/>
    <n v="82268"/>
    <n v="97685"/>
    <n v="97685"/>
    <n v="97685"/>
    <n v="97685"/>
    <n v="97685"/>
    <n v="195370"/>
    <n v="57830"/>
    <n v="0"/>
    <n v="0"/>
    <x v="1"/>
    <n v="57830"/>
    <n v="293055"/>
    <n v="86745"/>
    <n v="293055"/>
    <n v="293055"/>
    <n v="195370"/>
    <n v="293055"/>
    <n v="293055"/>
    <n v="0"/>
    <n v="0"/>
    <n v="0"/>
    <n v="0"/>
    <n v="0"/>
    <n v="0"/>
    <n v="0"/>
    <n v="0"/>
    <n v="0"/>
    <n v="97685"/>
    <n v="97685"/>
    <n v="586110"/>
    <n v="173490"/>
    <n v="0"/>
    <x v="9"/>
    <n v="0"/>
    <n v="0"/>
    <n v="47440"/>
    <n v="52320"/>
    <n v="7848"/>
    <n v="0"/>
    <n v="164569.51999999999"/>
    <n v="2670.21"/>
    <n v="1022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1"/>
    <x v="1"/>
    <x v="58"/>
    <x v="1"/>
    <x v="1"/>
    <x v="1"/>
    <x v="1"/>
    <x v="78"/>
    <x v="1"/>
    <x v="1"/>
    <x v="1"/>
    <x v="51"/>
    <x v="78"/>
    <n v="0"/>
    <n v="0"/>
    <m/>
    <m/>
    <n v="159609"/>
    <s v="."/>
    <n v="0"/>
    <n v="0"/>
    <n v="0"/>
    <n v="0"/>
    <n v="0"/>
    <n v="0"/>
    <n v="0"/>
    <n v="0"/>
    <n v="5164100.8939285725"/>
  </r>
  <r>
    <n v="300"/>
    <x v="79"/>
    <s v="ES"/>
    <n v="4"/>
    <n v="537"/>
    <n v="266"/>
    <n v="171051"/>
    <n v="97685"/>
    <n v="179583.30000000002"/>
    <n v="0"/>
    <n v="0"/>
    <n v="75970"/>
    <n v="55700"/>
    <n v="52612.3"/>
    <n v="0"/>
    <n v="0"/>
    <n v="67656"/>
    <n v="102372"/>
    <n v="1"/>
    <n v="41134"/>
    <n v="97685"/>
    <n v="97685"/>
    <n v="97685"/>
    <n v="97685"/>
    <n v="146527.5"/>
    <n v="0"/>
    <n v="0"/>
    <n v="586110"/>
    <n v="173490"/>
    <x v="3"/>
    <n v="0"/>
    <n v="293055"/>
    <n v="86745"/>
    <n v="390740"/>
    <n v="293055"/>
    <n v="390740"/>
    <n v="293055"/>
    <n v="293055"/>
    <n v="0"/>
    <n v="0"/>
    <n v="0"/>
    <n v="0"/>
    <n v="0"/>
    <n v="0"/>
    <n v="0"/>
    <n v="0"/>
    <n v="0"/>
    <n v="48842.5"/>
    <n v="97685"/>
    <n v="488425"/>
    <n v="0"/>
    <n v="0"/>
    <x v="5"/>
    <n v="0"/>
    <n v="195370"/>
    <n v="94880"/>
    <n v="104640"/>
    <n v="7848"/>
    <n v="0"/>
    <n v="205813.99"/>
    <n v="3339.42"/>
    <n v="128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4"/>
    <x v="1"/>
    <x v="1"/>
    <x v="1"/>
    <x v="1"/>
    <x v="1"/>
    <x v="1"/>
    <x v="59"/>
    <x v="20"/>
    <x v="1"/>
    <x v="1"/>
    <x v="1"/>
    <x v="79"/>
    <x v="1"/>
    <x v="1"/>
    <x v="1"/>
    <x v="76"/>
    <x v="79"/>
    <n v="0"/>
    <n v="0"/>
    <m/>
    <m/>
    <n v="0"/>
    <s v="."/>
    <n v="0"/>
    <n v="0"/>
    <n v="0"/>
    <n v="0"/>
    <n v="0"/>
    <n v="0"/>
    <n v="0"/>
    <n v="0"/>
    <n v="6918177.2939999998"/>
  </r>
  <r>
    <n v="316"/>
    <x v="80"/>
    <s v="ES"/>
    <n v="7"/>
    <n v="345"/>
    <n v="214"/>
    <n v="171051"/>
    <n v="97685"/>
    <n v="124326.90000000001"/>
    <n v="0"/>
    <n v="0"/>
    <n v="75970"/>
    <n v="55700"/>
    <n v="0"/>
    <n v="0"/>
    <n v="0"/>
    <n v="67656"/>
    <n v="102372"/>
    <n v="1"/>
    <n v="41134"/>
    <n v="97685"/>
    <n v="97685"/>
    <n v="97685"/>
    <n v="97685"/>
    <n v="0"/>
    <n v="195370"/>
    <n v="57830"/>
    <n v="97685"/>
    <n v="28915"/>
    <x v="1"/>
    <n v="57830"/>
    <n v="293055"/>
    <n v="86745"/>
    <n v="195370"/>
    <n v="195370"/>
    <n v="195370"/>
    <n v="195370"/>
    <n v="195370"/>
    <n v="0"/>
    <n v="0"/>
    <n v="0"/>
    <n v="0"/>
    <n v="0"/>
    <n v="0"/>
    <n v="0"/>
    <n v="0"/>
    <n v="0"/>
    <n v="48842.5"/>
    <n v="48842.5"/>
    <n v="390740"/>
    <n v="0"/>
    <n v="0"/>
    <x v="3"/>
    <n v="0"/>
    <n v="0"/>
    <n v="29650"/>
    <n v="32700"/>
    <n v="7848"/>
    <n v="0"/>
    <n v="137209.32999999999"/>
    <n v="2226.2800000000002"/>
    <n v="852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43"/>
    <x v="1"/>
    <x v="9"/>
    <x v="10"/>
    <x v="10"/>
    <x v="80"/>
    <x v="1"/>
    <x v="1"/>
    <x v="1"/>
    <x v="77"/>
    <x v="80"/>
    <n v="0"/>
    <n v="0"/>
    <m/>
    <m/>
    <n v="0"/>
    <s v="."/>
    <n v="0"/>
    <n v="0"/>
    <n v="0"/>
    <n v="0"/>
    <n v="0"/>
    <n v="0"/>
    <n v="0"/>
    <n v="0"/>
    <n v="4329876.1191597972"/>
  </r>
  <r>
    <n v="302"/>
    <x v="81"/>
    <s v="EC"/>
    <n v="4"/>
    <n v="630"/>
    <n v="375"/>
    <n v="171051"/>
    <n v="97685"/>
    <n v="234839.69999999998"/>
    <n v="97685"/>
    <n v="0"/>
    <n v="75970"/>
    <n v="55700"/>
    <n v="64753.600000000006"/>
    <n v="0"/>
    <n v="0"/>
    <n v="67656"/>
    <n v="51186"/>
    <n v="3"/>
    <n v="123402"/>
    <n v="97685"/>
    <n v="97685"/>
    <n v="97685"/>
    <n v="97685"/>
    <n v="195370"/>
    <n v="293055"/>
    <n v="86745"/>
    <n v="0"/>
    <n v="0"/>
    <x v="4"/>
    <n v="86745"/>
    <n v="293055"/>
    <n v="86745"/>
    <n v="293055"/>
    <n v="293055"/>
    <n v="293055"/>
    <n v="293055"/>
    <n v="293055"/>
    <n v="273518"/>
    <n v="234444"/>
    <n v="244212.5"/>
    <n v="0"/>
    <n v="0"/>
    <n v="0"/>
    <n v="0"/>
    <n v="0"/>
    <n v="0"/>
    <n v="97685"/>
    <n v="97685"/>
    <n v="586110"/>
    <n v="0"/>
    <n v="0"/>
    <x v="22"/>
    <n v="28915"/>
    <n v="195370"/>
    <n v="35580"/>
    <n v="39240"/>
    <n v="7848"/>
    <n v="0"/>
    <n v="229907.3"/>
    <n v="3730.34"/>
    <n v="143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2"/>
    <x v="2"/>
    <x v="2"/>
    <x v="2"/>
    <x v="1"/>
    <x v="1"/>
    <x v="60"/>
    <x v="1"/>
    <x v="10"/>
    <x v="11"/>
    <x v="11"/>
    <x v="81"/>
    <x v="1"/>
    <x v="1"/>
    <x v="1"/>
    <x v="78"/>
    <x v="81"/>
    <n v="0"/>
    <n v="0"/>
    <m/>
    <m/>
    <n v="0"/>
    <s v="."/>
    <n v="0"/>
    <n v="0"/>
    <n v="0"/>
    <n v="0"/>
    <n v="0"/>
    <n v="0"/>
    <n v="0"/>
    <n v="0"/>
    <n v="8833043.287317723"/>
  </r>
  <r>
    <n v="304"/>
    <x v="82"/>
    <s v="SEC"/>
    <n v="7"/>
    <n v="0"/>
    <n v="70"/>
    <n v="171051"/>
    <n v="97685"/>
    <n v="0"/>
    <n v="0"/>
    <n v="0"/>
    <n v="37985"/>
    <n v="55700"/>
    <n v="0"/>
    <n v="0"/>
    <n v="0"/>
    <n v="67656"/>
    <n v="51186"/>
    <n v="2"/>
    <n v="82268"/>
    <n v="48842.5"/>
    <n v="97685"/>
    <n v="97685"/>
    <n v="97685"/>
    <n v="0"/>
    <n v="0"/>
    <n v="0"/>
    <n v="0"/>
    <n v="0"/>
    <x v="3"/>
    <n v="0"/>
    <n v="0"/>
    <n v="0"/>
    <n v="0"/>
    <n v="0"/>
    <n v="0"/>
    <n v="0"/>
    <n v="0"/>
    <n v="0"/>
    <n v="0"/>
    <n v="0"/>
    <n v="0"/>
    <n v="0"/>
    <n v="0"/>
    <n v="0"/>
    <n v="586110"/>
    <n v="0"/>
    <n v="97685"/>
    <n v="97685"/>
    <n v="2051385"/>
    <n v="636130"/>
    <n v="45222"/>
    <x v="20"/>
    <n v="0"/>
    <n v="0"/>
    <n v="11860"/>
    <n v="13080"/>
    <n v="7848"/>
    <n v="0"/>
    <n v="50228.42"/>
    <n v="814.98"/>
    <n v="312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2"/>
    <x v="1"/>
    <x v="1"/>
    <x v="1"/>
    <x v="1"/>
    <x v="1"/>
    <x v="61"/>
    <x v="1"/>
    <x v="1"/>
    <x v="2"/>
    <x v="2"/>
    <x v="82"/>
    <x v="1"/>
    <x v="1"/>
    <x v="1"/>
    <x v="79"/>
    <x v="82"/>
    <n v="0"/>
    <n v="0"/>
    <m/>
    <m/>
    <n v="77555.149999999994"/>
    <s v="."/>
    <n v="0"/>
    <n v="0"/>
    <n v="0"/>
    <n v="0"/>
    <n v="0"/>
    <n v="0"/>
    <n v="0"/>
    <n v="0"/>
    <n v="4914509.1165909087"/>
  </r>
  <r>
    <n v="436"/>
    <x v="83"/>
    <s v="HS"/>
    <n v="7"/>
    <n v="220"/>
    <n v="199"/>
    <n v="171051"/>
    <n v="97685"/>
    <n v="0"/>
    <n v="0"/>
    <n v="111571"/>
    <n v="75970"/>
    <n v="55700"/>
    <n v="0"/>
    <n v="47542"/>
    <n v="58487"/>
    <n v="67656"/>
    <n v="51186"/>
    <n v="2"/>
    <n v="82268"/>
    <n v="48842.5"/>
    <n v="97685"/>
    <n v="97685"/>
    <n v="97685"/>
    <n v="97685"/>
    <n v="0"/>
    <n v="0"/>
    <n v="0"/>
    <n v="0"/>
    <x v="3"/>
    <n v="0"/>
    <n v="0"/>
    <n v="0"/>
    <n v="0"/>
    <n v="0"/>
    <n v="0"/>
    <n v="0"/>
    <n v="0"/>
    <n v="0"/>
    <n v="0"/>
    <n v="0"/>
    <n v="468888"/>
    <n v="429814.00000000006"/>
    <n v="0"/>
    <n v="0"/>
    <n v="0"/>
    <n v="0"/>
    <n v="97685"/>
    <n v="97685"/>
    <n v="390740"/>
    <n v="0"/>
    <n v="0"/>
    <x v="3"/>
    <n v="0"/>
    <n v="0"/>
    <n v="0"/>
    <n v="0"/>
    <n v="0"/>
    <n v="24276"/>
    <n v="48186.61"/>
    <n v="781.85"/>
    <n v="3000"/>
    <n v="0"/>
    <x v="1"/>
    <x v="1"/>
    <x v="1"/>
    <x v="2"/>
    <x v="2"/>
    <x v="2"/>
    <x v="2"/>
    <x v="2"/>
    <x v="2"/>
    <x v="1"/>
    <x v="1"/>
    <x v="1"/>
    <x v="1"/>
    <x v="1"/>
    <x v="1"/>
    <x v="1"/>
    <x v="1"/>
    <x v="1"/>
    <x v="1"/>
    <x v="1"/>
    <x v="1"/>
    <x v="1"/>
    <x v="1"/>
    <x v="2"/>
    <x v="2"/>
    <x v="62"/>
    <x v="1"/>
    <x v="1"/>
    <x v="1"/>
    <x v="1"/>
    <x v="83"/>
    <x v="1"/>
    <x v="1"/>
    <x v="1"/>
    <x v="80"/>
    <x v="83"/>
    <n v="0"/>
    <n v="172500"/>
    <m/>
    <s v="new school start up - reduced by 1/4 from FY17"/>
    <n v="0"/>
    <s v="."/>
    <n v="0"/>
    <n v="0"/>
    <n v="0"/>
    <n v="0"/>
    <n v="0"/>
    <n v="0"/>
    <n v="0"/>
    <n v="0"/>
    <n v="3509551.108609213"/>
  </r>
  <r>
    <n v="459"/>
    <x v="84"/>
    <s v="HS"/>
    <n v="4"/>
    <n v="682"/>
    <n v="585"/>
    <n v="171051"/>
    <n v="97685"/>
    <n v="317724.3"/>
    <n v="0"/>
    <n v="301241.7"/>
    <n v="75970"/>
    <n v="55700"/>
    <n v="68800.7"/>
    <n v="47542"/>
    <n v="58487"/>
    <n v="67656"/>
    <n v="51186"/>
    <n v="2"/>
    <n v="82268"/>
    <n v="97685"/>
    <n v="0"/>
    <n v="0"/>
    <n v="97685"/>
    <n v="0"/>
    <n v="0"/>
    <n v="0"/>
    <n v="0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3565502.5"/>
    <n v="97685"/>
    <n v="390740"/>
    <n v="1367590"/>
    <n v="231320"/>
    <n v="90444"/>
    <x v="5"/>
    <n v="57830"/>
    <n v="223142"/>
    <n v="0"/>
    <n v="0"/>
    <n v="0"/>
    <n v="64736"/>
    <n v="200096.94"/>
    <n v="3246.66"/>
    <n v="12425"/>
    <n v="0"/>
    <x v="2"/>
    <x v="1"/>
    <x v="1"/>
    <x v="1"/>
    <x v="2"/>
    <x v="2"/>
    <x v="2"/>
    <x v="2"/>
    <x v="2"/>
    <x v="1"/>
    <x v="1"/>
    <x v="1"/>
    <x v="1"/>
    <x v="1"/>
    <x v="2"/>
    <x v="2"/>
    <x v="1"/>
    <x v="1"/>
    <x v="1"/>
    <x v="1"/>
    <x v="1"/>
    <x v="1"/>
    <x v="1"/>
    <x v="2"/>
    <x v="2"/>
    <x v="63"/>
    <x v="1"/>
    <x v="1"/>
    <x v="1"/>
    <x v="1"/>
    <x v="84"/>
    <x v="2"/>
    <x v="1"/>
    <x v="2"/>
    <x v="81"/>
    <x v="84"/>
    <n v="0"/>
    <n v="150000"/>
    <n v="251560"/>
    <s v="Global Studies and new school start up - reduced by 1/4 from FY17"/>
    <n v="0"/>
    <s v="."/>
    <n v="0"/>
    <n v="0"/>
    <n v="0"/>
    <n v="0"/>
    <n v="0"/>
    <n v="0"/>
    <n v="0"/>
    <n v="0"/>
    <n v="10244115.164456733"/>
  </r>
  <r>
    <n v="456"/>
    <x v="85"/>
    <s v="STAY"/>
    <n v="4"/>
    <n v="612"/>
    <n v="0"/>
    <n v="171051"/>
    <n v="97685"/>
    <n v="138141"/>
    <n v="0"/>
    <n v="210590.26249999998"/>
    <n v="0"/>
    <n v="55700"/>
    <n v="52612.3"/>
    <n v="47542"/>
    <n v="58487"/>
    <n v="67656"/>
    <n v="51186"/>
    <n v="2"/>
    <n v="82268"/>
    <n v="0"/>
    <n v="0"/>
    <n v="0"/>
    <n v="0"/>
    <n v="0"/>
    <n v="0"/>
    <n v="0"/>
    <n v="0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1626455.75"/>
    <n v="48842.5"/>
    <n v="97685"/>
    <n v="390740"/>
    <n v="0"/>
    <n v="0"/>
    <x v="23"/>
    <n v="0"/>
    <n v="0"/>
    <n v="0"/>
    <n v="0"/>
    <n v="0"/>
    <n v="0"/>
    <n v="0"/>
    <n v="0"/>
    <n v="1625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5"/>
    <x v="1"/>
    <x v="1"/>
    <x v="2"/>
    <x v="2"/>
    <x v="85"/>
    <x v="2"/>
    <x v="2"/>
    <x v="1"/>
    <x v="82"/>
    <x v="85"/>
    <n v="0"/>
    <n v="0"/>
    <n v="0"/>
    <s v="Alt school placeholder"/>
    <n v="0"/>
    <s v="."/>
    <n v="0"/>
    <n v="0"/>
    <n v="0"/>
    <n v="0"/>
    <n v="0"/>
    <n v="0"/>
    <n v="0"/>
    <n v="72026.698742247652"/>
    <n v="3620461.7609999999"/>
  </r>
  <r>
    <n v="305"/>
    <x v="86"/>
    <s v="ES"/>
    <n v="2"/>
    <n v="173"/>
    <n v="7"/>
    <n v="171051"/>
    <n v="97685"/>
    <n v="0"/>
    <n v="0"/>
    <n v="0"/>
    <n v="37985"/>
    <n v="55700"/>
    <n v="0"/>
    <n v="0"/>
    <n v="0"/>
    <n v="67656"/>
    <n v="51186"/>
    <n v="0"/>
    <n v="0"/>
    <n v="48842.5"/>
    <n v="97685"/>
    <n v="97685"/>
    <n v="97685"/>
    <n v="97685"/>
    <n v="97685"/>
    <n v="28915"/>
    <n v="0"/>
    <n v="0"/>
    <x v="2"/>
    <n v="28915"/>
    <n v="195370"/>
    <n v="57830"/>
    <n v="97685"/>
    <n v="97685"/>
    <n v="97685"/>
    <n v="97685"/>
    <n v="97685"/>
    <n v="0"/>
    <n v="0"/>
    <n v="0"/>
    <n v="0"/>
    <n v="0"/>
    <n v="0"/>
    <n v="0"/>
    <n v="0"/>
    <n v="0"/>
    <n v="48842.5"/>
    <n v="0"/>
    <n v="97685"/>
    <n v="0"/>
    <n v="0"/>
    <x v="9"/>
    <n v="0"/>
    <n v="0"/>
    <n v="0"/>
    <n v="0"/>
    <n v="0"/>
    <n v="0"/>
    <n v="0"/>
    <n v="0"/>
    <n v="427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86"/>
    <x v="1"/>
    <x v="1"/>
    <x v="1"/>
    <x v="83"/>
    <x v="86"/>
    <n v="0"/>
    <n v="0"/>
    <m/>
    <m/>
    <n v="6176.5"/>
    <s v="."/>
    <n v="0"/>
    <n v="0"/>
    <n v="0"/>
    <n v="0"/>
    <n v="0"/>
    <n v="0"/>
    <n v="0"/>
    <n v="0"/>
    <n v="2228520.1540909093"/>
  </r>
  <r>
    <n v="307"/>
    <x v="87"/>
    <s v="ES"/>
    <n v="8"/>
    <n v="334"/>
    <n v="264"/>
    <n v="171051"/>
    <n v="97685"/>
    <n v="110512.8"/>
    <n v="0"/>
    <n v="0"/>
    <n v="75970"/>
    <n v="55700"/>
    <n v="0"/>
    <n v="0"/>
    <n v="0"/>
    <n v="67656"/>
    <n v="51186"/>
    <n v="1"/>
    <n v="41134"/>
    <n v="97685"/>
    <n v="97685"/>
    <n v="97685"/>
    <n v="97685"/>
    <n v="0"/>
    <n v="195370"/>
    <n v="57830"/>
    <n v="0"/>
    <n v="0"/>
    <x v="1"/>
    <n v="57830"/>
    <n v="195370"/>
    <n v="57830"/>
    <n v="195370"/>
    <n v="195370"/>
    <n v="195370"/>
    <n v="293055"/>
    <n v="195370"/>
    <n v="0"/>
    <n v="0"/>
    <n v="0"/>
    <n v="0"/>
    <n v="0"/>
    <n v="0"/>
    <n v="0"/>
    <n v="0"/>
    <n v="0"/>
    <n v="97685"/>
    <n v="195370"/>
    <n v="293055"/>
    <n v="0"/>
    <n v="0"/>
    <x v="1"/>
    <n v="0"/>
    <n v="0"/>
    <n v="17790"/>
    <n v="19620"/>
    <n v="7848"/>
    <n v="0"/>
    <n v="141701.29999999999"/>
    <n v="2299.16"/>
    <n v="88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2"/>
    <x v="1"/>
    <x v="1"/>
    <x v="1"/>
    <x v="1"/>
    <x v="1"/>
    <x v="1"/>
    <x v="64"/>
    <x v="21"/>
    <x v="1"/>
    <x v="1"/>
    <x v="1"/>
    <x v="87"/>
    <x v="1"/>
    <x v="1"/>
    <x v="1"/>
    <x v="84"/>
    <x v="87"/>
    <n v="0"/>
    <n v="0"/>
    <m/>
    <m/>
    <n v="55622.5"/>
    <s v="."/>
    <n v="0"/>
    <n v="0"/>
    <n v="0"/>
    <n v="0"/>
    <n v="0"/>
    <n v="0"/>
    <n v="0"/>
    <n v="162895.31282558199"/>
    <n v="4184404.8175000004"/>
  </r>
  <r>
    <n v="409"/>
    <x v="88"/>
    <s v="EC"/>
    <n v="2"/>
    <n v="486"/>
    <n v="122"/>
    <n v="85525.5"/>
    <n v="97685"/>
    <n v="317724.3"/>
    <n v="97685"/>
    <n v="0"/>
    <n v="75970"/>
    <n v="55700"/>
    <n v="48565.2"/>
    <n v="0"/>
    <n v="0"/>
    <n v="67656"/>
    <n v="204744"/>
    <n v="0"/>
    <n v="0"/>
    <n v="97685"/>
    <n v="97685"/>
    <n v="97685"/>
    <n v="97685"/>
    <n v="0"/>
    <n v="195370"/>
    <n v="57830"/>
    <n v="97685"/>
    <n v="28915"/>
    <x v="1"/>
    <n v="57830"/>
    <n v="195370"/>
    <n v="57830"/>
    <n v="195370"/>
    <n v="195370"/>
    <n v="195370"/>
    <n v="195370"/>
    <n v="195370"/>
    <n v="185601.5"/>
    <n v="214907.00000000003"/>
    <n v="224675.49999999997"/>
    <n v="0"/>
    <n v="0"/>
    <n v="0"/>
    <n v="0"/>
    <n v="0"/>
    <n v="0"/>
    <n v="48842.5"/>
    <n v="97685"/>
    <n v="683795"/>
    <n v="144575"/>
    <n v="0"/>
    <x v="12"/>
    <n v="0"/>
    <n v="0"/>
    <n v="0"/>
    <n v="0"/>
    <n v="0"/>
    <n v="0"/>
    <n v="0"/>
    <n v="0"/>
    <n v="118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2"/>
    <x v="2"/>
    <x v="2"/>
    <x v="2"/>
    <x v="1"/>
    <x v="1"/>
    <x v="65"/>
    <x v="1"/>
    <x v="1"/>
    <x v="1"/>
    <x v="1"/>
    <x v="88"/>
    <x v="1"/>
    <x v="1"/>
    <x v="1"/>
    <x v="85"/>
    <x v="88"/>
    <n v="0"/>
    <n v="0"/>
    <m/>
    <m/>
    <n v="0"/>
    <s v="."/>
    <n v="0"/>
    <n v="0"/>
    <n v="0"/>
    <n v="0"/>
    <n v="0"/>
    <n v="0"/>
    <n v="0"/>
    <n v="0"/>
    <n v="5591668.1048226543"/>
  </r>
  <r>
    <n v="466"/>
    <x v="89"/>
    <s v="HS"/>
    <n v="2"/>
    <n v="565"/>
    <n v="100"/>
    <n v="85525.5"/>
    <n v="97685"/>
    <n v="276282"/>
    <n v="0"/>
    <n v="256613.3"/>
    <n v="75970"/>
    <n v="55700"/>
    <n v="60706.5"/>
    <n v="47542"/>
    <n v="58487"/>
    <n v="135312"/>
    <n v="102372"/>
    <n v="1"/>
    <n v="41134"/>
    <n v="97685"/>
    <n v="0"/>
    <n v="0"/>
    <n v="0"/>
    <n v="0"/>
    <n v="0"/>
    <n v="0"/>
    <n v="0"/>
    <n v="0"/>
    <x v="3"/>
    <n v="0"/>
    <n v="0"/>
    <n v="0"/>
    <n v="0"/>
    <n v="0"/>
    <n v="0"/>
    <n v="0"/>
    <n v="0"/>
    <n v="0"/>
    <n v="0"/>
    <n v="0"/>
    <n v="566573"/>
    <n v="576341.5"/>
    <n v="566573"/>
    <n v="664258"/>
    <n v="0"/>
    <n v="0"/>
    <n v="48842.5"/>
    <n v="146527.5"/>
    <n v="48842.5"/>
    <n v="0"/>
    <n v="0"/>
    <x v="1"/>
    <n v="0"/>
    <n v="0"/>
    <n v="0"/>
    <n v="0"/>
    <n v="0"/>
    <n v="0"/>
    <n v="0"/>
    <n v="0"/>
    <n v="1502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2"/>
    <x v="5"/>
    <x v="1"/>
    <x v="1"/>
    <x v="1"/>
    <x v="1"/>
    <x v="89"/>
    <x v="1"/>
    <x v="1"/>
    <x v="1"/>
    <x v="86"/>
    <x v="89"/>
    <n v="446943.90007260442"/>
    <n v="495436"/>
    <m/>
    <m/>
    <n v="0"/>
    <s v="."/>
    <n v="0"/>
    <n v="0"/>
    <n v="0"/>
    <n v="0"/>
    <n v="0"/>
    <n v="0"/>
    <n v="0"/>
    <n v="0"/>
    <n v="5265000"/>
  </r>
  <r>
    <n v="175"/>
    <x v="90"/>
    <s v="ES"/>
    <n v="6"/>
    <n v="298"/>
    <n v="23"/>
    <n v="171051"/>
    <n v="97685"/>
    <n v="110512.8"/>
    <n v="0"/>
    <n v="0"/>
    <n v="75970"/>
    <n v="55700"/>
    <n v="0"/>
    <n v="0"/>
    <n v="0"/>
    <n v="67656"/>
    <n v="51186"/>
    <n v="1"/>
    <n v="41134"/>
    <n v="97685"/>
    <n v="97685"/>
    <n v="97685"/>
    <n v="97685"/>
    <n v="0"/>
    <n v="195370"/>
    <n v="57830"/>
    <n v="0"/>
    <n v="0"/>
    <x v="1"/>
    <n v="57830"/>
    <n v="195370"/>
    <n v="57830"/>
    <n v="195370"/>
    <n v="195370"/>
    <n v="195370"/>
    <n v="195370"/>
    <n v="97685"/>
    <n v="0"/>
    <n v="0"/>
    <n v="0"/>
    <n v="0"/>
    <n v="0"/>
    <n v="0"/>
    <n v="0"/>
    <n v="0"/>
    <n v="0"/>
    <n v="48842.5"/>
    <n v="146527.5"/>
    <n v="781480"/>
    <n v="173490"/>
    <n v="0"/>
    <x v="3"/>
    <n v="0"/>
    <n v="0"/>
    <n v="0"/>
    <n v="0"/>
    <n v="0"/>
    <n v="0"/>
    <n v="0"/>
    <n v="0"/>
    <n v="765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90"/>
    <x v="1"/>
    <x v="1"/>
    <x v="1"/>
    <x v="45"/>
    <x v="90"/>
    <n v="0"/>
    <n v="0"/>
    <m/>
    <m/>
    <n v="31019"/>
    <s v="."/>
    <n v="0"/>
    <n v="0"/>
    <n v="0"/>
    <n v="0"/>
    <n v="0"/>
    <n v="0"/>
    <n v="0"/>
    <n v="0"/>
    <n v="3996006.838792929"/>
  </r>
  <r>
    <n v="309"/>
    <x v="91"/>
    <s v="ES"/>
    <n v="6"/>
    <n v="372"/>
    <n v="189"/>
    <n v="171051"/>
    <n v="97685"/>
    <n v="124326.90000000001"/>
    <n v="0"/>
    <n v="0"/>
    <n v="75970"/>
    <n v="55700"/>
    <n v="0"/>
    <n v="0"/>
    <n v="0"/>
    <n v="67656"/>
    <n v="102372"/>
    <n v="0"/>
    <n v="0"/>
    <n v="97685"/>
    <n v="97685"/>
    <n v="97685"/>
    <n v="97685"/>
    <n v="97685"/>
    <n v="293055"/>
    <n v="86745"/>
    <n v="0"/>
    <n v="0"/>
    <x v="4"/>
    <n v="86745"/>
    <n v="293055"/>
    <n v="86745"/>
    <n v="195370"/>
    <n v="195370"/>
    <n v="195370"/>
    <n v="293055"/>
    <n v="97685"/>
    <n v="0"/>
    <n v="0"/>
    <n v="0"/>
    <n v="0"/>
    <n v="0"/>
    <n v="0"/>
    <n v="0"/>
    <n v="0"/>
    <n v="0"/>
    <n v="48842.5"/>
    <n v="48842.5"/>
    <n v="683795"/>
    <n v="202405"/>
    <n v="0"/>
    <x v="24"/>
    <n v="0"/>
    <n v="97685"/>
    <n v="35580"/>
    <n v="39240"/>
    <n v="7848"/>
    <n v="0"/>
    <n v="124958.5"/>
    <n v="2027.5"/>
    <n v="777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66"/>
    <x v="1"/>
    <x v="1"/>
    <x v="1"/>
    <x v="1"/>
    <x v="91"/>
    <x v="1"/>
    <x v="1"/>
    <x v="1"/>
    <x v="87"/>
    <x v="91"/>
    <n v="0"/>
    <n v="0"/>
    <m/>
    <m/>
    <n v="185018"/>
    <s v="."/>
    <n v="0"/>
    <n v="0"/>
    <n v="0"/>
    <n v="0"/>
    <n v="0"/>
    <n v="0"/>
    <n v="0"/>
    <n v="0"/>
    <n v="5402400.3635"/>
  </r>
  <r>
    <n v="313"/>
    <x v="92"/>
    <s v="ES"/>
    <n v="4"/>
    <n v="373"/>
    <n v="62"/>
    <n v="171051"/>
    <n v="97685"/>
    <n v="124326.90000000001"/>
    <n v="0"/>
    <n v="0"/>
    <n v="75970"/>
    <n v="55700"/>
    <n v="0"/>
    <n v="0"/>
    <n v="0"/>
    <n v="67656"/>
    <n v="51186"/>
    <n v="2"/>
    <n v="82268"/>
    <n v="97685"/>
    <n v="97685"/>
    <n v="97685"/>
    <n v="97685"/>
    <n v="97685"/>
    <n v="195370"/>
    <n v="57830"/>
    <n v="0"/>
    <n v="0"/>
    <x v="1"/>
    <n v="57830"/>
    <n v="293055"/>
    <n v="86745"/>
    <n v="293055"/>
    <n v="293055"/>
    <n v="195370"/>
    <n v="195370"/>
    <n v="195370"/>
    <n v="0"/>
    <n v="0"/>
    <n v="0"/>
    <n v="0"/>
    <n v="0"/>
    <n v="0"/>
    <n v="0"/>
    <n v="0"/>
    <n v="0"/>
    <n v="97685"/>
    <n v="97685"/>
    <n v="195370"/>
    <n v="0"/>
    <n v="0"/>
    <x v="9"/>
    <n v="0"/>
    <n v="0"/>
    <n v="0"/>
    <n v="0"/>
    <n v="0"/>
    <n v="0"/>
    <n v="0"/>
    <n v="0"/>
    <n v="9025"/>
    <n v="101560.06446048801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92"/>
    <x v="1"/>
    <x v="1"/>
    <x v="1"/>
    <x v="88"/>
    <x v="92"/>
    <n v="0"/>
    <n v="0"/>
    <m/>
    <m/>
    <n v="5214.5"/>
    <s v="."/>
    <n v="0"/>
    <n v="0"/>
    <n v="0"/>
    <n v="0"/>
    <n v="0"/>
    <n v="0"/>
    <n v="0"/>
    <n v="0"/>
    <n v="3988678.1464273953"/>
  </r>
  <r>
    <n v="315"/>
    <x v="93"/>
    <s v="ES"/>
    <n v="8"/>
    <n v="267"/>
    <n v="204"/>
    <n v="171051"/>
    <n v="97685"/>
    <n v="0"/>
    <n v="0"/>
    <n v="0"/>
    <n v="37985"/>
    <n v="55700"/>
    <n v="0"/>
    <n v="0"/>
    <n v="0"/>
    <n v="67656"/>
    <n v="51186"/>
    <n v="1"/>
    <n v="41134"/>
    <n v="48842.5"/>
    <n v="97685"/>
    <n v="97685"/>
    <n v="97685"/>
    <n v="0"/>
    <n v="97685"/>
    <n v="28915"/>
    <n v="97685"/>
    <n v="28915"/>
    <x v="2"/>
    <n v="28915"/>
    <n v="195370"/>
    <n v="57830"/>
    <n v="195370"/>
    <n v="195370"/>
    <n v="195370"/>
    <n v="195370"/>
    <n v="195370"/>
    <n v="0"/>
    <n v="0"/>
    <n v="0"/>
    <n v="0"/>
    <n v="0"/>
    <n v="0"/>
    <n v="0"/>
    <n v="0"/>
    <n v="0"/>
    <n v="48842.5"/>
    <n v="97685"/>
    <n v="390740"/>
    <n v="57830"/>
    <n v="0"/>
    <x v="10"/>
    <n v="0"/>
    <n v="0"/>
    <n v="0"/>
    <n v="0"/>
    <n v="0"/>
    <n v="0"/>
    <n v="122099.97"/>
    <n v="1981.12"/>
    <n v="76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67"/>
    <x v="22"/>
    <x v="1"/>
    <x v="1"/>
    <x v="1"/>
    <x v="93"/>
    <x v="1"/>
    <x v="1"/>
    <x v="1"/>
    <x v="89"/>
    <x v="93"/>
    <n v="0"/>
    <n v="0"/>
    <m/>
    <m/>
    <n v="109309.5"/>
    <s v="."/>
    <n v="0"/>
    <n v="0"/>
    <n v="0"/>
    <n v="0"/>
    <n v="0"/>
    <n v="0"/>
    <n v="0"/>
    <n v="0"/>
    <n v="3582685.3351223771"/>
  </r>
  <r>
    <n v="322"/>
    <x v="94"/>
    <s v="ES"/>
    <n v="7"/>
    <n v="261"/>
    <n v="203"/>
    <n v="171051"/>
    <n v="97685"/>
    <n v="0"/>
    <n v="0"/>
    <n v="0"/>
    <n v="37985"/>
    <n v="55700"/>
    <n v="0"/>
    <n v="0"/>
    <n v="0"/>
    <n v="67656"/>
    <n v="102372"/>
    <n v="0"/>
    <n v="0"/>
    <n v="48842.5"/>
    <n v="97685"/>
    <n v="97685"/>
    <n v="97685"/>
    <n v="0"/>
    <n v="195370"/>
    <n v="57830"/>
    <n v="0"/>
    <n v="0"/>
    <x v="1"/>
    <n v="57830"/>
    <n v="195370"/>
    <n v="57830"/>
    <n v="195370"/>
    <n v="97685"/>
    <n v="97685"/>
    <n v="195370"/>
    <n v="97685"/>
    <n v="0"/>
    <n v="0"/>
    <n v="0"/>
    <n v="0"/>
    <n v="0"/>
    <n v="0"/>
    <n v="0"/>
    <n v="0"/>
    <n v="0"/>
    <n v="97685"/>
    <n v="97685"/>
    <n v="488425"/>
    <n v="57830"/>
    <n v="0"/>
    <x v="9"/>
    <n v="0"/>
    <n v="0"/>
    <n v="29650"/>
    <n v="32700"/>
    <n v="7848"/>
    <n v="0"/>
    <n v="114341.11"/>
    <n v="1855.23"/>
    <n v="7100"/>
    <n v="0"/>
    <x v="1"/>
    <x v="1"/>
    <x v="1"/>
    <x v="1"/>
    <x v="2"/>
    <x v="1"/>
    <x v="1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68"/>
    <x v="23"/>
    <x v="1"/>
    <x v="1"/>
    <x v="1"/>
    <x v="94"/>
    <x v="1"/>
    <x v="1"/>
    <x v="1"/>
    <x v="90"/>
    <x v="94"/>
    <n v="0"/>
    <n v="0"/>
    <m/>
    <m/>
    <n v="110441.5"/>
    <s v="."/>
    <n v="0"/>
    <n v="0"/>
    <n v="0"/>
    <n v="0"/>
    <n v="0"/>
    <n v="0"/>
    <n v="0"/>
    <n v="0"/>
    <n v="3785606.1624999996"/>
  </r>
  <r>
    <n v="427"/>
    <x v="95"/>
    <s v="MS"/>
    <n v="7"/>
    <n v="261"/>
    <n v="189"/>
    <n v="171051"/>
    <n v="97685"/>
    <n v="124326.90000000001"/>
    <n v="97685"/>
    <n v="0"/>
    <n v="37985"/>
    <n v="55700"/>
    <n v="0"/>
    <n v="0"/>
    <n v="0"/>
    <n v="67656"/>
    <n v="51186"/>
    <n v="2"/>
    <n v="82268"/>
    <n v="48842.5"/>
    <n v="0"/>
    <n v="0"/>
    <n v="0"/>
    <n v="0"/>
    <n v="0"/>
    <n v="0"/>
    <n v="0"/>
    <n v="0"/>
    <x v="3"/>
    <n v="0"/>
    <n v="0"/>
    <n v="0"/>
    <n v="0"/>
    <n v="0"/>
    <n v="0"/>
    <n v="0"/>
    <n v="0"/>
    <n v="390740"/>
    <n v="400508.49999999994"/>
    <n v="361434.5"/>
    <n v="0"/>
    <n v="0"/>
    <n v="0"/>
    <n v="0"/>
    <n v="0"/>
    <n v="0"/>
    <n v="97685"/>
    <n v="195370"/>
    <n v="586110"/>
    <n v="86745"/>
    <n v="0"/>
    <x v="1"/>
    <n v="0"/>
    <n v="0"/>
    <n v="0"/>
    <n v="0"/>
    <n v="0"/>
    <n v="0"/>
    <n v="102907"/>
    <n v="1669.71"/>
    <n v="6400"/>
    <n v="0"/>
    <x v="1"/>
    <x v="3"/>
    <x v="2"/>
    <x v="1"/>
    <x v="2"/>
    <x v="1"/>
    <x v="1"/>
    <x v="1"/>
    <x v="1"/>
    <x v="1"/>
    <x v="1"/>
    <x v="1"/>
    <x v="1"/>
    <x v="1"/>
    <x v="1"/>
    <x v="1"/>
    <x v="1"/>
    <x v="1"/>
    <x v="1"/>
    <x v="2"/>
    <x v="2"/>
    <x v="2"/>
    <x v="2"/>
    <x v="1"/>
    <x v="1"/>
    <x v="66"/>
    <x v="1"/>
    <x v="1"/>
    <x v="1"/>
    <x v="1"/>
    <x v="95"/>
    <x v="1"/>
    <x v="1"/>
    <x v="1"/>
    <x v="91"/>
    <x v="95"/>
    <n v="0"/>
    <n v="0"/>
    <m/>
    <m/>
    <n v="2539"/>
    <s v="."/>
    <n v="0"/>
    <n v="0"/>
    <n v="0"/>
    <n v="0"/>
    <n v="0"/>
    <n v="0"/>
    <n v="0"/>
    <n v="0"/>
    <n v="3725861.1662515723"/>
  </r>
  <r>
    <n v="319"/>
    <x v="96"/>
    <s v="ES"/>
    <n v="8"/>
    <n v="513"/>
    <n v="451"/>
    <n v="171051"/>
    <n v="97685"/>
    <n v="179583.30000000002"/>
    <n v="0"/>
    <n v="0"/>
    <n v="75970"/>
    <n v="55700"/>
    <n v="52612.3"/>
    <n v="0"/>
    <n v="0"/>
    <n v="67656"/>
    <n v="153558"/>
    <n v="2"/>
    <n v="82268"/>
    <n v="97685"/>
    <n v="97685"/>
    <n v="97685"/>
    <n v="97685"/>
    <n v="146527.5"/>
    <n v="195370"/>
    <n v="57830"/>
    <n v="0"/>
    <n v="0"/>
    <x v="4"/>
    <n v="86745"/>
    <n v="293055"/>
    <n v="86745"/>
    <n v="293055"/>
    <n v="293055"/>
    <n v="390740"/>
    <n v="390740"/>
    <n v="390740"/>
    <n v="0"/>
    <n v="0"/>
    <n v="0"/>
    <n v="0"/>
    <n v="0"/>
    <n v="0"/>
    <n v="0"/>
    <n v="0"/>
    <n v="0"/>
    <n v="97685"/>
    <n v="97685"/>
    <n v="488425"/>
    <n v="0"/>
    <n v="0"/>
    <x v="1"/>
    <n v="0"/>
    <n v="0"/>
    <n v="41510"/>
    <n v="45780"/>
    <n v="7848"/>
    <n v="0"/>
    <n v="212347.77"/>
    <n v="3445.43"/>
    <n v="132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1"/>
    <x v="1"/>
    <x v="69"/>
    <x v="1"/>
    <x v="1"/>
    <x v="1"/>
    <x v="1"/>
    <x v="96"/>
    <x v="1"/>
    <x v="1"/>
    <x v="1"/>
    <x v="92"/>
    <x v="96"/>
    <n v="0"/>
    <n v="0"/>
    <m/>
    <m/>
    <n v="186309"/>
    <s v="."/>
    <n v="0"/>
    <n v="0"/>
    <n v="0"/>
    <n v="0"/>
    <n v="0"/>
    <n v="0"/>
    <n v="0"/>
    <n v="0"/>
    <n v="5651296.1787013654"/>
  </r>
  <r>
    <n v="321"/>
    <x v="97"/>
    <s v="ES"/>
    <n v="3"/>
    <n v="424"/>
    <n v="32"/>
    <n v="171051"/>
    <n v="97685"/>
    <n v="151955.1"/>
    <n v="0"/>
    <n v="0"/>
    <n v="75970"/>
    <n v="55700"/>
    <n v="44518.100000000006"/>
    <n v="0"/>
    <n v="0"/>
    <n v="67656"/>
    <n v="102372"/>
    <n v="1"/>
    <n v="41134"/>
    <n v="97685"/>
    <n v="97685"/>
    <n v="97685"/>
    <n v="97685"/>
    <n v="146527.5"/>
    <n v="0"/>
    <n v="0"/>
    <n v="0"/>
    <n v="0"/>
    <x v="2"/>
    <n v="28915"/>
    <n v="293055"/>
    <n v="86745"/>
    <n v="390740"/>
    <n v="390740"/>
    <n v="390740"/>
    <n v="293055"/>
    <n v="293055"/>
    <n v="0"/>
    <n v="0"/>
    <n v="0"/>
    <n v="0"/>
    <n v="0"/>
    <n v="0"/>
    <n v="0"/>
    <n v="0"/>
    <n v="0"/>
    <n v="48842.5"/>
    <n v="97685"/>
    <n v="195370"/>
    <n v="0"/>
    <n v="0"/>
    <x v="23"/>
    <n v="0"/>
    <n v="0"/>
    <n v="0"/>
    <n v="0"/>
    <n v="0"/>
    <n v="0"/>
    <n v="0"/>
    <n v="0"/>
    <n v="1087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97"/>
    <x v="1"/>
    <x v="1"/>
    <x v="1"/>
    <x v="93"/>
    <x v="97"/>
    <n v="0"/>
    <n v="0"/>
    <m/>
    <m/>
    <n v="0"/>
    <s v="."/>
    <n v="0"/>
    <n v="0"/>
    <n v="0"/>
    <n v="0"/>
    <n v="0"/>
    <n v="0"/>
    <n v="0"/>
    <n v="0"/>
    <n v="4380080.1597721521"/>
  </r>
  <r>
    <n v="428"/>
    <x v="98"/>
    <s v="MS"/>
    <n v="6"/>
    <n v="435"/>
    <n v="146"/>
    <n v="171051"/>
    <n v="97685"/>
    <n v="193397.4"/>
    <n v="107453.50000000001"/>
    <n v="0"/>
    <n v="75970"/>
    <n v="55700"/>
    <n v="44518.100000000006"/>
    <n v="0"/>
    <n v="0"/>
    <n v="67656"/>
    <n v="102372"/>
    <n v="1"/>
    <n v="41134"/>
    <n v="97685"/>
    <n v="0"/>
    <n v="0"/>
    <n v="0"/>
    <n v="0"/>
    <n v="0"/>
    <n v="0"/>
    <n v="0"/>
    <n v="0"/>
    <x v="3"/>
    <n v="0"/>
    <n v="0"/>
    <n v="0"/>
    <n v="0"/>
    <n v="0"/>
    <n v="0"/>
    <n v="0"/>
    <n v="0"/>
    <n v="683795"/>
    <n v="634952.5"/>
    <n v="615415.5"/>
    <n v="0"/>
    <n v="0"/>
    <n v="0"/>
    <n v="0"/>
    <n v="0"/>
    <n v="0"/>
    <n v="48842.5"/>
    <n v="97685"/>
    <n v="586110"/>
    <n v="28915"/>
    <n v="0"/>
    <x v="10"/>
    <n v="0"/>
    <n v="0"/>
    <n v="0"/>
    <n v="0"/>
    <n v="0"/>
    <n v="0"/>
    <n v="71054.83"/>
    <n v="1152.8900000000001"/>
    <n v="10850"/>
    <n v="0"/>
    <x v="1"/>
    <x v="3"/>
    <x v="2"/>
    <x v="1"/>
    <x v="2"/>
    <x v="1"/>
    <x v="1"/>
    <x v="1"/>
    <x v="1"/>
    <x v="1"/>
    <x v="1"/>
    <x v="1"/>
    <x v="1"/>
    <x v="1"/>
    <x v="1"/>
    <x v="1"/>
    <x v="1"/>
    <x v="1"/>
    <x v="1"/>
    <x v="3"/>
    <x v="2"/>
    <x v="2"/>
    <x v="2"/>
    <x v="1"/>
    <x v="1"/>
    <x v="70"/>
    <x v="1"/>
    <x v="1"/>
    <x v="1"/>
    <x v="1"/>
    <x v="98"/>
    <x v="1"/>
    <x v="1"/>
    <x v="1"/>
    <x v="94"/>
    <x v="98"/>
    <n v="0"/>
    <n v="0"/>
    <m/>
    <m/>
    <n v="0.20000000001164153"/>
    <s v="."/>
    <n v="0"/>
    <n v="0"/>
    <n v="0"/>
    <n v="0"/>
    <n v="0"/>
    <n v="0"/>
    <n v="0"/>
    <n v="0"/>
    <n v="4644069.7228787886"/>
  </r>
  <r>
    <n v="324"/>
    <x v="99"/>
    <s v="EC"/>
    <n v="4"/>
    <n v="470"/>
    <n v="228"/>
    <n v="171051"/>
    <n v="97685"/>
    <n v="179583.30000000002"/>
    <n v="97685"/>
    <n v="0"/>
    <n v="75970"/>
    <n v="55700"/>
    <n v="48565.2"/>
    <n v="0"/>
    <n v="0"/>
    <n v="67656"/>
    <n v="51186"/>
    <n v="2"/>
    <n v="82268"/>
    <n v="97685"/>
    <n v="97685"/>
    <n v="97685"/>
    <n v="97685"/>
    <n v="0"/>
    <n v="195370"/>
    <n v="57830"/>
    <n v="0"/>
    <n v="0"/>
    <x v="1"/>
    <n v="57830"/>
    <n v="195370"/>
    <n v="57830"/>
    <n v="195370"/>
    <n v="293055"/>
    <n v="195370"/>
    <n v="195370"/>
    <n v="195370"/>
    <n v="166064.5"/>
    <n v="195370"/>
    <n v="146527.5"/>
    <n v="0"/>
    <n v="0"/>
    <n v="0"/>
    <n v="0"/>
    <n v="0"/>
    <n v="0"/>
    <n v="97685"/>
    <n v="195370"/>
    <n v="781480"/>
    <n v="231320"/>
    <n v="0"/>
    <x v="24"/>
    <n v="0"/>
    <n v="97685"/>
    <n v="53370"/>
    <n v="58860"/>
    <n v="7848"/>
    <n v="0"/>
    <n v="189479.55"/>
    <n v="3074.39"/>
    <n v="1177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4"/>
    <x v="2"/>
    <x v="2"/>
    <x v="2"/>
    <x v="2"/>
    <x v="1"/>
    <x v="1"/>
    <x v="71"/>
    <x v="1"/>
    <x v="1"/>
    <x v="1"/>
    <x v="1"/>
    <x v="99"/>
    <x v="1"/>
    <x v="1"/>
    <x v="1"/>
    <x v="95"/>
    <x v="99"/>
    <n v="0"/>
    <n v="0"/>
    <m/>
    <m/>
    <n v="11327.099999999977"/>
    <s v="."/>
    <n v="0"/>
    <n v="0"/>
    <n v="0"/>
    <n v="0"/>
    <n v="0"/>
    <n v="0"/>
    <n v="0"/>
    <n v="0"/>
    <n v="6472004.0402777772"/>
  </r>
  <r>
    <n v="325"/>
    <x v="100"/>
    <s v="ES"/>
    <n v="7"/>
    <n v="430"/>
    <n v="315"/>
    <n v="171051"/>
    <n v="97685"/>
    <n v="151955.1"/>
    <n v="0"/>
    <n v="0"/>
    <n v="75970"/>
    <n v="55700"/>
    <n v="44518.100000000006"/>
    <n v="0"/>
    <n v="0"/>
    <n v="67656"/>
    <n v="51186"/>
    <n v="1"/>
    <n v="41134"/>
    <n v="97685"/>
    <n v="97685"/>
    <n v="97685"/>
    <n v="97685"/>
    <n v="146527.5"/>
    <n v="195370"/>
    <n v="57830"/>
    <n v="97685"/>
    <n v="28915"/>
    <x v="1"/>
    <n v="57830"/>
    <n v="293055"/>
    <n v="86745"/>
    <n v="293055"/>
    <n v="293055"/>
    <n v="293055"/>
    <n v="293055"/>
    <n v="195370"/>
    <n v="0"/>
    <n v="0"/>
    <n v="0"/>
    <n v="0"/>
    <n v="0"/>
    <n v="0"/>
    <n v="0"/>
    <n v="0"/>
    <n v="0"/>
    <n v="97685"/>
    <n v="97685"/>
    <n v="781480"/>
    <n v="115660"/>
    <n v="0"/>
    <x v="18"/>
    <n v="0"/>
    <n v="0"/>
    <n v="47440"/>
    <n v="52320"/>
    <n v="7848"/>
    <n v="0"/>
    <n v="166611.32999999999"/>
    <n v="2703.34"/>
    <n v="1035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72"/>
    <x v="1"/>
    <x v="11"/>
    <x v="12"/>
    <x v="12"/>
    <x v="100"/>
    <x v="1"/>
    <x v="1"/>
    <x v="1"/>
    <x v="96"/>
    <x v="100"/>
    <n v="0"/>
    <n v="0"/>
    <m/>
    <m/>
    <n v="0"/>
    <s v="."/>
    <n v="0"/>
    <n v="0"/>
    <n v="0"/>
    <n v="0"/>
    <n v="0"/>
    <n v="0"/>
    <n v="0"/>
    <n v="0"/>
    <n v="5770291.8999034064"/>
  </r>
  <r>
    <n v="326"/>
    <x v="101"/>
    <s v="ES"/>
    <n v="2"/>
    <n v="307"/>
    <n v="132"/>
    <n v="171051"/>
    <n v="97685"/>
    <n v="110512.8"/>
    <n v="0"/>
    <n v="0"/>
    <n v="75970"/>
    <n v="55700"/>
    <n v="0"/>
    <n v="0"/>
    <n v="0"/>
    <n v="67656"/>
    <n v="51186"/>
    <n v="1"/>
    <n v="41134"/>
    <n v="97685"/>
    <n v="97685"/>
    <n v="97685"/>
    <n v="97685"/>
    <n v="0"/>
    <n v="0"/>
    <n v="0"/>
    <n v="390740"/>
    <n v="115660"/>
    <x v="3"/>
    <n v="0"/>
    <n v="195370"/>
    <n v="57830"/>
    <n v="195370"/>
    <n v="195370"/>
    <n v="195370"/>
    <n v="195370"/>
    <n v="195370"/>
    <n v="0"/>
    <n v="0"/>
    <n v="0"/>
    <n v="0"/>
    <n v="0"/>
    <n v="0"/>
    <n v="0"/>
    <n v="0"/>
    <n v="0"/>
    <n v="48842.5"/>
    <n v="48842.5"/>
    <n v="293055"/>
    <n v="0"/>
    <n v="0"/>
    <x v="17"/>
    <n v="0"/>
    <n v="97685"/>
    <n v="53370"/>
    <n v="58860"/>
    <n v="7848"/>
    <n v="0"/>
    <n v="115566.19"/>
    <n v="1875.11"/>
    <n v="7175"/>
    <n v="101560.06446048801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73"/>
    <x v="12"/>
    <x v="1"/>
    <x v="1"/>
    <x v="1"/>
    <x v="101"/>
    <x v="1"/>
    <x v="1"/>
    <x v="1"/>
    <x v="97"/>
    <x v="101"/>
    <n v="0"/>
    <n v="0"/>
    <m/>
    <m/>
    <n v="0"/>
    <s v="."/>
    <n v="0"/>
    <n v="0"/>
    <n v="0"/>
    <n v="0"/>
    <n v="0"/>
    <n v="0"/>
    <n v="0"/>
    <n v="0"/>
    <n v="4375523.7624273952"/>
  </r>
  <r>
    <n v="327"/>
    <x v="102"/>
    <s v="EC"/>
    <n v="4"/>
    <n v="727"/>
    <n v="466"/>
    <n v="171051"/>
    <n v="97685"/>
    <n v="276282"/>
    <n v="97685"/>
    <n v="0"/>
    <n v="75970"/>
    <n v="55700"/>
    <n v="72847.8"/>
    <n v="0"/>
    <n v="0"/>
    <n v="67656"/>
    <n v="102372"/>
    <n v="1"/>
    <n v="41134"/>
    <n v="97685"/>
    <n v="97685"/>
    <n v="97685"/>
    <n v="97685"/>
    <n v="146527.5"/>
    <n v="293055"/>
    <n v="86745"/>
    <n v="0"/>
    <n v="0"/>
    <x v="4"/>
    <n v="86745"/>
    <n v="293055"/>
    <n v="86745"/>
    <n v="293055"/>
    <n v="293055"/>
    <n v="293055"/>
    <n v="293055"/>
    <n v="293055"/>
    <n v="380971.5"/>
    <n v="234444"/>
    <n v="234444"/>
    <n v="0"/>
    <n v="0"/>
    <n v="0"/>
    <n v="0"/>
    <n v="0"/>
    <n v="0"/>
    <n v="97685"/>
    <n v="195370"/>
    <n v="683795"/>
    <n v="0"/>
    <n v="0"/>
    <x v="25"/>
    <n v="28915"/>
    <n v="195370"/>
    <n v="47440"/>
    <n v="52320"/>
    <n v="7848"/>
    <n v="0"/>
    <n v="236849.44"/>
    <n v="3842.98"/>
    <n v="1472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4"/>
    <x v="2"/>
    <x v="2"/>
    <x v="2"/>
    <x v="2"/>
    <x v="1"/>
    <x v="1"/>
    <x v="74"/>
    <x v="24"/>
    <x v="1"/>
    <x v="1"/>
    <x v="1"/>
    <x v="102"/>
    <x v="1"/>
    <x v="1"/>
    <x v="1"/>
    <x v="98"/>
    <x v="102"/>
    <n v="0"/>
    <n v="0"/>
    <m/>
    <m/>
    <n v="0"/>
    <s v="."/>
    <n v="0"/>
    <n v="0"/>
    <n v="0"/>
    <n v="0"/>
    <n v="0"/>
    <n v="0"/>
    <n v="0"/>
    <n v="0"/>
    <n v="8779266.7822214011"/>
  </r>
  <r>
    <n v="328"/>
    <x v="103"/>
    <s v="ES"/>
    <n v="1"/>
    <n v="523"/>
    <n v="327"/>
    <n v="171051"/>
    <n v="97685"/>
    <n v="179583.30000000002"/>
    <n v="0"/>
    <n v="0"/>
    <n v="75970"/>
    <n v="55700"/>
    <n v="52612.3"/>
    <n v="0"/>
    <n v="0"/>
    <n v="67656"/>
    <n v="51186"/>
    <n v="3"/>
    <n v="123402"/>
    <n v="97685"/>
    <n v="97685"/>
    <n v="97685"/>
    <n v="97685"/>
    <n v="146527.5"/>
    <n v="0"/>
    <n v="0"/>
    <n v="390740"/>
    <n v="115660"/>
    <x v="3"/>
    <n v="0"/>
    <n v="293055"/>
    <n v="86745"/>
    <n v="390740"/>
    <n v="390740"/>
    <n v="293055"/>
    <n v="390740"/>
    <n v="390740"/>
    <n v="0"/>
    <n v="0"/>
    <n v="0"/>
    <n v="0"/>
    <n v="0"/>
    <n v="0"/>
    <n v="0"/>
    <n v="0"/>
    <n v="0"/>
    <n v="97685"/>
    <n v="195370"/>
    <n v="781480"/>
    <n v="86745"/>
    <n v="0"/>
    <x v="5"/>
    <n v="0"/>
    <n v="195370"/>
    <n v="29650"/>
    <n v="32700"/>
    <n v="7848"/>
    <n v="0"/>
    <n v="220106.63"/>
    <n v="3571.32"/>
    <n v="1367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7"/>
    <x v="1"/>
    <x v="1"/>
    <x v="1"/>
    <x v="1"/>
    <x v="1"/>
    <x v="1"/>
    <x v="75"/>
    <x v="1"/>
    <x v="1"/>
    <x v="1"/>
    <x v="1"/>
    <x v="103"/>
    <x v="1"/>
    <x v="1"/>
    <x v="1"/>
    <x v="99"/>
    <x v="103"/>
    <n v="0"/>
    <n v="0"/>
    <m/>
    <m/>
    <n v="0.25"/>
    <s v="."/>
    <n v="0"/>
    <n v="0"/>
    <n v="0"/>
    <n v="0"/>
    <n v="0"/>
    <n v="0"/>
    <n v="0"/>
    <n v="0"/>
    <n v="7193232.4464999996"/>
  </r>
  <r>
    <n v="329"/>
    <x v="104"/>
    <s v="ES"/>
    <n v="8"/>
    <n v="517"/>
    <n v="447"/>
    <n v="171051"/>
    <n v="97685"/>
    <n v="179583.30000000002"/>
    <n v="0"/>
    <n v="0"/>
    <n v="75970"/>
    <n v="55700"/>
    <n v="52612.3"/>
    <n v="0"/>
    <n v="0"/>
    <n v="67656"/>
    <n v="51186"/>
    <n v="2"/>
    <n v="82268"/>
    <n v="97685"/>
    <n v="97685"/>
    <n v="97685"/>
    <n v="97685"/>
    <n v="195370"/>
    <n v="195370"/>
    <n v="57830"/>
    <n v="97685"/>
    <n v="28915"/>
    <x v="1"/>
    <n v="57830"/>
    <n v="390740"/>
    <n v="115660"/>
    <n v="390740"/>
    <n v="293055"/>
    <n v="293055"/>
    <n v="293055"/>
    <n v="293055"/>
    <n v="0"/>
    <n v="0"/>
    <n v="0"/>
    <n v="0"/>
    <n v="0"/>
    <n v="0"/>
    <n v="0"/>
    <n v="0"/>
    <n v="0"/>
    <n v="97685"/>
    <n v="146527.5"/>
    <n v="586110"/>
    <n v="57830"/>
    <n v="0"/>
    <x v="10"/>
    <n v="0"/>
    <n v="0"/>
    <n v="35580"/>
    <n v="39240"/>
    <n v="7848"/>
    <n v="0"/>
    <n v="187846.11"/>
    <n v="3047.88"/>
    <n v="11675"/>
    <n v="101560.06446048801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2"/>
    <x v="1"/>
    <x v="1"/>
    <x v="1"/>
    <x v="1"/>
    <x v="1"/>
    <x v="1"/>
    <x v="76"/>
    <x v="1"/>
    <x v="12"/>
    <x v="13"/>
    <x v="13"/>
    <x v="104"/>
    <x v="1"/>
    <x v="1"/>
    <x v="1"/>
    <x v="100"/>
    <x v="104"/>
    <n v="0"/>
    <n v="0"/>
    <m/>
    <m/>
    <n v="33378.561652235105"/>
    <s v="."/>
    <n v="0"/>
    <n v="0"/>
    <n v="0"/>
    <n v="0"/>
    <n v="0"/>
    <n v="0"/>
    <n v="0"/>
    <n v="0"/>
    <n v="6260649.4087498644"/>
  </r>
  <r>
    <n v="330"/>
    <x v="105"/>
    <s v="ES"/>
    <n v="6"/>
    <n v="525"/>
    <n v="205"/>
    <n v="171051"/>
    <n v="97685"/>
    <n v="179583.30000000002"/>
    <n v="0"/>
    <n v="0"/>
    <n v="75970"/>
    <n v="55700"/>
    <n v="52612.3"/>
    <n v="0"/>
    <n v="0"/>
    <n v="67656"/>
    <n v="153558"/>
    <n v="0"/>
    <n v="0"/>
    <n v="97685"/>
    <n v="97685"/>
    <n v="97685"/>
    <n v="97685"/>
    <n v="146527.5"/>
    <n v="390740"/>
    <n v="115660"/>
    <n v="0"/>
    <n v="0"/>
    <x v="5"/>
    <n v="115660"/>
    <n v="390740"/>
    <n v="115660"/>
    <n v="390740"/>
    <n v="293055"/>
    <n v="293055"/>
    <n v="293055"/>
    <n v="293055"/>
    <n v="0"/>
    <n v="0"/>
    <n v="0"/>
    <n v="0"/>
    <n v="0"/>
    <n v="0"/>
    <n v="0"/>
    <n v="0"/>
    <n v="0"/>
    <n v="97685"/>
    <n v="97685"/>
    <n v="879165"/>
    <n v="260235"/>
    <n v="0"/>
    <x v="26"/>
    <n v="0"/>
    <n v="0"/>
    <n v="29650"/>
    <n v="32700"/>
    <n v="7848"/>
    <n v="0"/>
    <n v="209489.24"/>
    <n v="3399.05"/>
    <n v="1302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77"/>
    <x v="1"/>
    <x v="1"/>
    <x v="1"/>
    <x v="1"/>
    <x v="105"/>
    <x v="1"/>
    <x v="1"/>
    <x v="1"/>
    <x v="101"/>
    <x v="105"/>
    <n v="0"/>
    <n v="0"/>
    <m/>
    <m/>
    <n v="20243"/>
    <s v="."/>
    <n v="0"/>
    <n v="0"/>
    <n v="0"/>
    <n v="0"/>
    <n v="0"/>
    <n v="0"/>
    <n v="0"/>
    <n v="0"/>
    <n v="6337916.5750638293"/>
  </r>
  <r>
    <n v="331"/>
    <x v="106"/>
    <s v="ES"/>
    <n v="6"/>
    <n v="220"/>
    <n v="49"/>
    <n v="171051"/>
    <n v="97685"/>
    <n v="0"/>
    <n v="0"/>
    <n v="0"/>
    <n v="37985"/>
    <n v="55700"/>
    <n v="0"/>
    <n v="0"/>
    <n v="0"/>
    <n v="67656"/>
    <n v="51186"/>
    <n v="1"/>
    <n v="41134"/>
    <n v="48842.5"/>
    <n v="97685"/>
    <n v="97685"/>
    <n v="97685"/>
    <n v="0"/>
    <n v="195370"/>
    <n v="57830"/>
    <n v="97685"/>
    <n v="28915"/>
    <x v="1"/>
    <n v="57830"/>
    <n v="195370"/>
    <n v="57830"/>
    <n v="195370"/>
    <n v="195370"/>
    <n v="0"/>
    <n v="0"/>
    <n v="0"/>
    <n v="0"/>
    <n v="0"/>
    <n v="0"/>
    <n v="0"/>
    <n v="0"/>
    <n v="0"/>
    <n v="0"/>
    <n v="0"/>
    <n v="0"/>
    <n v="97685"/>
    <n v="97685"/>
    <n v="195370"/>
    <n v="0"/>
    <n v="45222"/>
    <x v="3"/>
    <n v="0"/>
    <n v="0"/>
    <n v="0"/>
    <n v="0"/>
    <n v="0"/>
    <n v="0"/>
    <n v="0"/>
    <n v="0"/>
    <n v="427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106"/>
    <x v="1"/>
    <x v="1"/>
    <x v="1"/>
    <x v="80"/>
    <x v="106"/>
    <n v="0"/>
    <n v="0"/>
    <m/>
    <m/>
    <n v="35519.5"/>
    <s v="."/>
    <n v="0"/>
    <n v="0"/>
    <n v="0"/>
    <n v="0"/>
    <n v="0"/>
    <n v="0"/>
    <n v="0"/>
    <n v="0"/>
    <n v="2693088.6421818179"/>
  </r>
  <r>
    <n v="332"/>
    <x v="107"/>
    <s v="EC"/>
    <n v="6"/>
    <n v="480"/>
    <n v="385"/>
    <n v="171051"/>
    <n v="97685"/>
    <n v="179583.30000000002"/>
    <n v="97685"/>
    <n v="0"/>
    <n v="75970"/>
    <n v="55700"/>
    <n v="48565.2"/>
    <n v="0"/>
    <n v="0"/>
    <n v="67656"/>
    <n v="51186"/>
    <n v="2"/>
    <n v="82268"/>
    <n v="97685"/>
    <n v="97685"/>
    <n v="97685"/>
    <n v="97685"/>
    <n v="0"/>
    <n v="195370"/>
    <n v="57830"/>
    <n v="97685"/>
    <n v="28915"/>
    <x v="1"/>
    <n v="57830"/>
    <n v="293055"/>
    <n v="86745"/>
    <n v="293055"/>
    <n v="195370"/>
    <n v="195370"/>
    <n v="195370"/>
    <n v="195370"/>
    <n v="146527.5"/>
    <n v="117222"/>
    <n v="146527.5"/>
    <n v="0"/>
    <n v="0"/>
    <n v="0"/>
    <n v="0"/>
    <n v="0"/>
    <n v="0"/>
    <n v="97685"/>
    <n v="195370"/>
    <n v="1074535"/>
    <n v="173490"/>
    <n v="0"/>
    <x v="7"/>
    <n v="0"/>
    <n v="0"/>
    <n v="41510"/>
    <n v="45780"/>
    <n v="7848"/>
    <n v="0"/>
    <n v="183354.13"/>
    <n v="2975"/>
    <n v="114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2"/>
    <x v="2"/>
    <x v="2"/>
    <x v="2"/>
    <x v="1"/>
    <x v="1"/>
    <x v="78"/>
    <x v="1"/>
    <x v="1"/>
    <x v="1"/>
    <x v="1"/>
    <x v="107"/>
    <x v="1"/>
    <x v="1"/>
    <x v="1"/>
    <x v="102"/>
    <x v="107"/>
    <n v="0"/>
    <n v="0"/>
    <m/>
    <m/>
    <n v="45842.400000000023"/>
    <s v="."/>
    <n v="0"/>
    <n v="0"/>
    <n v="0"/>
    <n v="0"/>
    <n v="0"/>
    <n v="0"/>
    <n v="0"/>
    <n v="0"/>
    <n v="6228683.6643506503"/>
  </r>
  <r>
    <n v="474"/>
    <x v="108"/>
    <s v="HS"/>
    <n v="1"/>
    <n v="270"/>
    <n v="0"/>
    <n v="85525.5"/>
    <n v="97685"/>
    <n v="138141"/>
    <n v="0"/>
    <n v="122728.1"/>
    <n v="37985"/>
    <n v="55700"/>
    <n v="0"/>
    <n v="47542"/>
    <n v="175461"/>
    <n v="33828"/>
    <n v="51186"/>
    <n v="2"/>
    <n v="82268"/>
    <n v="48842.5"/>
    <n v="0"/>
    <n v="0"/>
    <n v="0"/>
    <n v="0"/>
    <n v="0"/>
    <n v="0"/>
    <n v="0"/>
    <n v="0"/>
    <x v="3"/>
    <n v="0"/>
    <n v="0"/>
    <n v="0"/>
    <n v="0"/>
    <n v="0"/>
    <n v="0"/>
    <n v="0"/>
    <n v="0"/>
    <n v="0"/>
    <n v="0"/>
    <n v="244212.5"/>
    <n v="205138.5"/>
    <n v="117222"/>
    <n v="166064.5"/>
    <n v="97685"/>
    <n v="0"/>
    <n v="0"/>
    <n v="48842.5"/>
    <n v="195370"/>
    <n v="586110"/>
    <n v="57830"/>
    <n v="45222"/>
    <x v="3"/>
    <n v="0"/>
    <n v="0"/>
    <n v="0"/>
    <n v="0"/>
    <n v="0"/>
    <n v="48552"/>
    <n v="61254.16"/>
    <n v="993.87"/>
    <n v="3800"/>
    <n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2"/>
    <x v="5"/>
    <x v="1"/>
    <x v="1"/>
    <x v="2"/>
    <x v="2"/>
    <x v="108"/>
    <x v="3"/>
    <x v="2"/>
    <x v="1"/>
    <x v="103"/>
    <x v="108"/>
    <n v="0"/>
    <n v="0"/>
    <n v="0"/>
    <s v="Alt school placeholder (zeroed)"/>
    <n v="0"/>
    <s v="."/>
    <n v="0"/>
    <n v="0"/>
    <n v="0"/>
    <n v="0"/>
    <n v="0"/>
    <n v="0"/>
    <n v="0"/>
    <n v="115831.46781818196"/>
    <n v="3419099.78"/>
  </r>
  <r>
    <n v="333"/>
    <x v="109"/>
    <s v="ES"/>
    <n v="6"/>
    <n v="426"/>
    <n v="118"/>
    <n v="171051"/>
    <n v="97685"/>
    <n v="151955.1"/>
    <n v="0"/>
    <n v="0"/>
    <n v="75970"/>
    <n v="55700"/>
    <n v="44518.100000000006"/>
    <n v="0"/>
    <n v="0"/>
    <n v="67656"/>
    <n v="153558"/>
    <n v="0"/>
    <n v="0"/>
    <n v="97685"/>
    <n v="97685"/>
    <n v="97685"/>
    <n v="97685"/>
    <n v="146527.5"/>
    <n v="0"/>
    <n v="0"/>
    <n v="0"/>
    <n v="0"/>
    <x v="3"/>
    <n v="0"/>
    <n v="0"/>
    <n v="0"/>
    <n v="390740"/>
    <n v="390740"/>
    <n v="390740"/>
    <n v="390740"/>
    <n v="390740"/>
    <n v="0"/>
    <n v="0"/>
    <n v="0"/>
    <n v="0"/>
    <n v="0"/>
    <n v="0"/>
    <n v="0"/>
    <n v="0"/>
    <n v="0"/>
    <n v="48842.5"/>
    <n v="195370"/>
    <n v="293055"/>
    <n v="0"/>
    <n v="0"/>
    <x v="16"/>
    <n v="0"/>
    <n v="0"/>
    <n v="47440"/>
    <n v="52320"/>
    <n v="7848"/>
    <n v="0"/>
    <n v="0"/>
    <n v="0"/>
    <n v="1087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79"/>
    <x v="1"/>
    <x v="1"/>
    <x v="1"/>
    <x v="1"/>
    <x v="109"/>
    <x v="1"/>
    <x v="1"/>
    <x v="1"/>
    <x v="104"/>
    <x v="109"/>
    <n v="0"/>
    <n v="0"/>
    <m/>
    <m/>
    <n v="0"/>
    <s v="."/>
    <n v="0"/>
    <n v="0"/>
    <n v="0"/>
    <n v="0"/>
    <n v="0"/>
    <n v="0"/>
    <n v="0"/>
    <n v="43566.243788600899"/>
    <n v="4159423.0094999997"/>
  </r>
  <r>
    <n v="336"/>
    <x v="110"/>
    <s v="EC"/>
    <n v="4"/>
    <n v="347"/>
    <n v="168"/>
    <n v="171051"/>
    <n v="97685"/>
    <n v="27628.2"/>
    <n v="97685"/>
    <n v="0"/>
    <n v="75970"/>
    <n v="55700"/>
    <n v="0"/>
    <n v="0"/>
    <n v="0"/>
    <n v="67656"/>
    <n v="51186"/>
    <n v="1"/>
    <n v="41134"/>
    <n v="97685"/>
    <n v="97685"/>
    <n v="97685"/>
    <n v="97685"/>
    <n v="0"/>
    <n v="195370"/>
    <n v="57830"/>
    <n v="0"/>
    <n v="0"/>
    <x v="1"/>
    <n v="57830"/>
    <n v="195370"/>
    <n v="57830"/>
    <n v="195370"/>
    <n v="195370"/>
    <n v="195370"/>
    <n v="195370"/>
    <n v="195370"/>
    <n v="117222"/>
    <n v="48842.5"/>
    <n v="87916.5"/>
    <n v="0"/>
    <n v="0"/>
    <n v="0"/>
    <n v="0"/>
    <n v="0"/>
    <n v="0"/>
    <n v="48842.5"/>
    <n v="97685"/>
    <n v="390740"/>
    <n v="0"/>
    <n v="0"/>
    <x v="23"/>
    <n v="0"/>
    <n v="0"/>
    <n v="29650"/>
    <n v="32700"/>
    <n v="7848"/>
    <n v="0"/>
    <n v="121691.61"/>
    <n v="1974.5"/>
    <n v="7575"/>
    <n v="0"/>
    <x v="1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2"/>
    <x v="2"/>
    <x v="2"/>
    <x v="2"/>
    <x v="1"/>
    <x v="1"/>
    <x v="80"/>
    <x v="1"/>
    <x v="1"/>
    <x v="1"/>
    <x v="1"/>
    <x v="110"/>
    <x v="1"/>
    <x v="1"/>
    <x v="1"/>
    <x v="105"/>
    <x v="110"/>
    <n v="0"/>
    <n v="0"/>
    <m/>
    <m/>
    <n v="21841.200000000012"/>
    <s v="."/>
    <n v="0"/>
    <n v="0"/>
    <n v="0"/>
    <n v="0"/>
    <n v="0"/>
    <n v="0"/>
    <n v="0"/>
    <n v="0"/>
    <n v="4661336.6525503611"/>
  </r>
  <r>
    <n v="335"/>
    <x v="111"/>
    <s v="EC"/>
    <n v="5"/>
    <n v="342"/>
    <n v="263"/>
    <n v="171051"/>
    <n v="97685"/>
    <n v="41442.299999999996"/>
    <n v="97685"/>
    <n v="0"/>
    <n v="75970"/>
    <n v="55700"/>
    <n v="0"/>
    <n v="0"/>
    <n v="0"/>
    <n v="67656"/>
    <n v="102372"/>
    <n v="1"/>
    <n v="41134"/>
    <n v="97685"/>
    <n v="97685"/>
    <n v="97685"/>
    <n v="97685"/>
    <n v="97685"/>
    <n v="97685"/>
    <n v="28915"/>
    <n v="195370"/>
    <n v="57830"/>
    <x v="2"/>
    <n v="28915"/>
    <n v="195370"/>
    <n v="57830"/>
    <n v="97685"/>
    <n v="195370"/>
    <n v="97685"/>
    <n v="195370"/>
    <n v="97685"/>
    <n v="146527.5"/>
    <n v="117222"/>
    <n v="126990.5"/>
    <n v="0"/>
    <n v="0"/>
    <n v="0"/>
    <n v="0"/>
    <n v="0"/>
    <n v="0"/>
    <n v="97685"/>
    <n v="195370"/>
    <n v="488425"/>
    <n v="0"/>
    <n v="0"/>
    <x v="9"/>
    <n v="0"/>
    <n v="0"/>
    <n v="23720"/>
    <n v="26160"/>
    <n v="7848"/>
    <n v="0"/>
    <n v="144968.19"/>
    <n v="2352.17"/>
    <n v="90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2"/>
    <x v="2"/>
    <x v="2"/>
    <x v="2"/>
    <x v="1"/>
    <x v="1"/>
    <x v="81"/>
    <x v="6"/>
    <x v="1"/>
    <x v="1"/>
    <x v="1"/>
    <x v="111"/>
    <x v="1"/>
    <x v="1"/>
    <x v="1"/>
    <x v="106"/>
    <x v="111"/>
    <n v="0"/>
    <n v="0"/>
    <m/>
    <m/>
    <n v="0"/>
    <s v="."/>
    <n v="0"/>
    <n v="0"/>
    <n v="0"/>
    <n v="0"/>
    <n v="0"/>
    <n v="0"/>
    <n v="0"/>
    <n v="250006.3479999993"/>
    <n v="4924944.1624999996"/>
  </r>
  <r>
    <n v="338"/>
    <x v="112"/>
    <s v="EC"/>
    <n v="4"/>
    <n v="335"/>
    <n v="217"/>
    <n v="171051"/>
    <n v="97685"/>
    <n v="27628.2"/>
    <n v="97685"/>
    <n v="0"/>
    <n v="75970"/>
    <n v="55700"/>
    <n v="0"/>
    <n v="0"/>
    <n v="0"/>
    <n v="67656"/>
    <n v="153558"/>
    <n v="0"/>
    <n v="0"/>
    <n v="97685"/>
    <n v="97685"/>
    <n v="97685"/>
    <n v="97685"/>
    <n v="0"/>
    <n v="97685"/>
    <n v="28915"/>
    <n v="97685"/>
    <n v="28915"/>
    <x v="2"/>
    <n v="28915"/>
    <n v="195370"/>
    <n v="57830"/>
    <n v="195370"/>
    <n v="195370"/>
    <n v="195370"/>
    <n v="195370"/>
    <n v="195370"/>
    <n v="117222"/>
    <n v="91164"/>
    <n v="75970"/>
    <n v="0"/>
    <n v="0"/>
    <n v="0"/>
    <n v="0"/>
    <n v="0"/>
    <n v="0"/>
    <n v="48842.5"/>
    <n v="97685"/>
    <n v="976850"/>
    <n v="260235"/>
    <n v="0"/>
    <x v="12"/>
    <n v="0"/>
    <n v="0"/>
    <n v="35580"/>
    <n v="39240"/>
    <n v="7848"/>
    <n v="0"/>
    <n v="147010"/>
    <n v="2385.3000000000002"/>
    <n v="9125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2"/>
    <x v="2"/>
    <x v="2"/>
    <x v="2"/>
    <x v="1"/>
    <x v="1"/>
    <x v="82"/>
    <x v="25"/>
    <x v="1"/>
    <x v="1"/>
    <x v="1"/>
    <x v="112"/>
    <x v="1"/>
    <x v="1"/>
    <x v="1"/>
    <x v="41"/>
    <x v="112"/>
    <n v="0"/>
    <n v="0"/>
    <m/>
    <m/>
    <n v="0"/>
    <s v="."/>
    <n v="0"/>
    <n v="0"/>
    <n v="0"/>
    <n v="0"/>
    <n v="0"/>
    <n v="0"/>
    <n v="0"/>
    <n v="0"/>
    <n v="5452698.0562692313"/>
  </r>
  <r>
    <n v="463"/>
    <x v="113"/>
    <s v="HS"/>
    <n v="3"/>
    <n v="1745"/>
    <n v="600"/>
    <n v="171051"/>
    <n v="97685"/>
    <n v="801217.79999999993"/>
    <n v="0"/>
    <n v="780997"/>
    <n v="75970"/>
    <n v="55700"/>
    <n v="178072.40000000002"/>
    <n v="47542"/>
    <n v="58487"/>
    <n v="135312"/>
    <n v="204744"/>
    <n v="7"/>
    <n v="287938"/>
    <n v="97685"/>
    <n v="0"/>
    <n v="0"/>
    <n v="0"/>
    <n v="0"/>
    <n v="0"/>
    <n v="0"/>
    <n v="0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8107855"/>
    <n v="195370"/>
    <n v="488425"/>
    <n v="1660645"/>
    <n v="115660"/>
    <n v="0"/>
    <x v="24"/>
    <n v="0"/>
    <n v="97685"/>
    <n v="0"/>
    <n v="0"/>
    <n v="0"/>
    <n v="72828"/>
    <n v="0"/>
    <n v="0"/>
    <n v="43875"/>
    <n v="0"/>
    <x v="1"/>
    <x v="1"/>
    <x v="1"/>
    <x v="1"/>
    <x v="2"/>
    <x v="1"/>
    <x v="1"/>
    <x v="1"/>
    <x v="1"/>
    <x v="2"/>
    <x v="1"/>
    <x v="1"/>
    <x v="1"/>
    <x v="1"/>
    <x v="2"/>
    <x v="2"/>
    <x v="2"/>
    <x v="2"/>
    <x v="1"/>
    <x v="1"/>
    <x v="1"/>
    <x v="1"/>
    <x v="1"/>
    <x v="2"/>
    <x v="2"/>
    <x v="83"/>
    <x v="1"/>
    <x v="1"/>
    <x v="1"/>
    <x v="1"/>
    <x v="113"/>
    <x v="2"/>
    <x v="1"/>
    <x v="1"/>
    <x v="107"/>
    <x v="113"/>
    <n v="153875.92320403457"/>
    <n v="0"/>
    <m/>
    <m/>
    <n v="0"/>
    <s v="."/>
    <n v="0"/>
    <n v="0"/>
    <n v="0"/>
    <n v="0"/>
    <n v="0"/>
    <n v="0"/>
    <n v="0"/>
    <n v="0"/>
    <n v="15705000"/>
  </r>
  <r>
    <n v="464"/>
    <x v="114"/>
    <s v="HS"/>
    <n v="7"/>
    <n v="607"/>
    <n v="485"/>
    <n v="171051"/>
    <n v="97685"/>
    <n v="276282"/>
    <n v="0"/>
    <n v="267770.39999999997"/>
    <n v="75970"/>
    <n v="55700"/>
    <n v="60706.5"/>
    <n v="47542"/>
    <n v="58487"/>
    <n v="67656"/>
    <n v="204744"/>
    <n v="5"/>
    <n v="205670"/>
    <n v="97685"/>
    <n v="0"/>
    <n v="0"/>
    <n v="97685"/>
    <n v="0"/>
    <n v="0"/>
    <n v="0"/>
    <n v="0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3152811.705264112"/>
    <n v="97685"/>
    <n v="390740"/>
    <n v="1562960"/>
    <n v="144575"/>
    <n v="90444"/>
    <x v="10"/>
    <n v="0"/>
    <n v="0"/>
    <n v="0"/>
    <n v="0"/>
    <n v="0"/>
    <n v="80920"/>
    <n v="267476.52"/>
    <n v="4339.92"/>
    <n v="16625"/>
    <n v="0"/>
    <x v="1"/>
    <x v="1"/>
    <x v="1"/>
    <x v="1"/>
    <x v="2"/>
    <x v="2"/>
    <x v="2"/>
    <x v="2"/>
    <x v="2"/>
    <x v="3"/>
    <x v="1"/>
    <x v="1"/>
    <x v="1"/>
    <x v="1"/>
    <x v="2"/>
    <x v="2"/>
    <x v="3"/>
    <x v="3"/>
    <x v="5"/>
    <x v="1"/>
    <x v="1"/>
    <x v="1"/>
    <x v="1"/>
    <x v="2"/>
    <x v="2"/>
    <x v="84"/>
    <x v="1"/>
    <x v="1"/>
    <x v="1"/>
    <x v="1"/>
    <x v="114"/>
    <x v="2"/>
    <x v="1"/>
    <x v="2"/>
    <x v="108"/>
    <x v="114"/>
    <n v="0"/>
    <n v="0"/>
    <m/>
    <m/>
    <n v="0"/>
    <s v="."/>
    <n v="0"/>
    <n v="0"/>
    <n v="0"/>
    <n v="97685"/>
    <n v="74326"/>
    <n v="0.5"/>
    <n v="48842.5"/>
    <n v="0"/>
    <n v="9434702.3122433182"/>
  </r>
  <r>
    <n v="861"/>
    <x v="115"/>
    <s v="Alt"/>
    <n v="5"/>
    <n v="91"/>
    <n v="0"/>
    <n v="171051"/>
    <n v="48842.5"/>
    <n v="0"/>
    <n v="0"/>
    <n v="0"/>
    <n v="0"/>
    <n v="55700"/>
    <n v="40471"/>
    <n v="0"/>
    <n v="0"/>
    <n v="0"/>
    <n v="0"/>
    <n v="0"/>
    <n v="0"/>
    <n v="0"/>
    <n v="0"/>
    <n v="0"/>
    <n v="0"/>
    <n v="48842.5"/>
    <n v="0"/>
    <n v="0"/>
    <n v="0"/>
    <n v="0"/>
    <x v="3"/>
    <n v="0"/>
    <n v="0"/>
    <n v="0"/>
    <n v="0"/>
    <n v="0"/>
    <n v="0"/>
    <n v="0"/>
    <n v="0"/>
    <n v="0"/>
    <n v="97685"/>
    <n v="97685"/>
    <n v="97685"/>
    <n v="97685"/>
    <n v="97685"/>
    <n v="0"/>
    <n v="371203"/>
    <n v="0"/>
    <n v="48842.5"/>
    <n v="195370"/>
    <n v="390740"/>
    <n v="0"/>
    <n v="0"/>
    <x v="4"/>
    <n v="0"/>
    <n v="0"/>
    <n v="0"/>
    <n v="0"/>
    <n v="0"/>
    <n v="0"/>
    <n v="0"/>
    <n v="0"/>
    <n v="2400"/>
    <n v="0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5"/>
    <x v="1"/>
    <x v="1"/>
    <x v="1"/>
    <x v="1"/>
    <x v="115"/>
    <x v="1"/>
    <x v="1"/>
    <x v="1"/>
    <x v="109"/>
    <x v="115"/>
    <n v="0"/>
    <n v="0"/>
    <n v="1030650"/>
    <s v="$2.5M DYRS MOU"/>
    <n v="0"/>
    <s v="."/>
    <n v="0"/>
    <n v="0"/>
    <n v="0"/>
    <n v="0"/>
    <n v="0"/>
    <n v="0"/>
    <n v="0"/>
    <n v="0"/>
    <n v="2937360.47386363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A120" firstHeaderRow="0" firstDataRow="1" firstDataCol="1"/>
  <pivotFields count="114">
    <pivotField showAll="0"/>
    <pivotField axis="axisRow" showAll="0">
      <items count="11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0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8">
        <item x="3"/>
        <item x="2"/>
        <item x="1"/>
        <item x="4"/>
        <item x="5"/>
        <item x="6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>
      <items count="4">
        <item x="2"/>
        <item x="0"/>
        <item x="1"/>
        <item t="default"/>
      </items>
    </pivotField>
    <pivotField dataField="1" showAll="0">
      <items count="5">
        <item x="1"/>
        <item x="3"/>
        <item x="2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6">
        <item x="1"/>
        <item x="4"/>
        <item x="2"/>
        <item x="3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5">
        <item x="1"/>
        <item x="2"/>
        <item x="3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5">
        <item x="1"/>
        <item x="2"/>
        <item x="3"/>
        <item x="0"/>
        <item t="default"/>
      </items>
    </pivotField>
    <pivotField dataField="1" showAll="0">
      <items count="5">
        <item x="1"/>
        <item x="2"/>
        <item x="3"/>
        <item x="0"/>
        <item t="default"/>
      </items>
    </pivotField>
    <pivotField dataField="1" showAll="0">
      <items count="9">
        <item x="1"/>
        <item x="5"/>
        <item x="2"/>
        <item x="4"/>
        <item x="7"/>
        <item x="3"/>
        <item x="6"/>
        <item x="0"/>
        <item t="default"/>
      </items>
    </pivotField>
    <pivotField dataField="1" showAll="0">
      <items count="6">
        <item x="1"/>
        <item x="4"/>
        <item x="2"/>
        <item x="3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86">
        <item x="5"/>
        <item x="61"/>
        <item x="46"/>
        <item x="14"/>
        <item x="45"/>
        <item x="79"/>
        <item x="29"/>
        <item x="65"/>
        <item x="9"/>
        <item x="73"/>
        <item x="53"/>
        <item x="49"/>
        <item x="11"/>
        <item x="48"/>
        <item x="70"/>
        <item x="26"/>
        <item x="15"/>
        <item x="19"/>
        <item x="80"/>
        <item x="27"/>
        <item x="42"/>
        <item x="56"/>
        <item x="66"/>
        <item x="34"/>
        <item x="41"/>
        <item x="6"/>
        <item x="77"/>
        <item x="57"/>
        <item x="43"/>
        <item x="82"/>
        <item x="71"/>
        <item x="22"/>
        <item x="30"/>
        <item x="44"/>
        <item x="2"/>
        <item x="13"/>
        <item x="16"/>
        <item x="59"/>
        <item x="8"/>
        <item x="50"/>
        <item x="36"/>
        <item x="72"/>
        <item x="75"/>
        <item x="7"/>
        <item x="40"/>
        <item x="60"/>
        <item x="62"/>
        <item x="68"/>
        <item x="67"/>
        <item x="10"/>
        <item x="17"/>
        <item x="23"/>
        <item x="35"/>
        <item x="47"/>
        <item x="74"/>
        <item x="1"/>
        <item x="33"/>
        <item x="12"/>
        <item x="28"/>
        <item x="81"/>
        <item x="64"/>
        <item x="37"/>
        <item x="31"/>
        <item x="83"/>
        <item x="25"/>
        <item x="21"/>
        <item x="58"/>
        <item x="38"/>
        <item x="52"/>
        <item x="54"/>
        <item x="55"/>
        <item x="39"/>
        <item x="51"/>
        <item x="78"/>
        <item x="3"/>
        <item x="32"/>
        <item x="76"/>
        <item x="69"/>
        <item x="20"/>
        <item x="24"/>
        <item x="84"/>
        <item x="63"/>
        <item x="18"/>
        <item x="4"/>
        <item x="0"/>
        <item t="default"/>
      </items>
    </pivotField>
    <pivotField dataField="1" showAll="0">
      <items count="27">
        <item x="1"/>
        <item x="18"/>
        <item x="4"/>
        <item x="15"/>
        <item x="12"/>
        <item x="7"/>
        <item x="11"/>
        <item x="6"/>
        <item x="16"/>
        <item x="21"/>
        <item x="10"/>
        <item x="17"/>
        <item x="3"/>
        <item x="2"/>
        <item x="20"/>
        <item x="23"/>
        <item x="19"/>
        <item x="25"/>
        <item x="14"/>
        <item x="22"/>
        <item x="5"/>
        <item x="13"/>
        <item x="24"/>
        <item x="8"/>
        <item x="9"/>
        <item x="0"/>
        <item t="default"/>
      </items>
    </pivotField>
    <pivotField dataField="1" showAll="0">
      <items count="14">
        <item x="1"/>
        <item x="6"/>
        <item x="9"/>
        <item x="2"/>
        <item x="4"/>
        <item x="8"/>
        <item x="7"/>
        <item x="5"/>
        <item x="11"/>
        <item x="3"/>
        <item x="12"/>
        <item x="10"/>
        <item x="0"/>
        <item t="default"/>
      </items>
    </pivotField>
    <pivotField dataField="1" showAll="0">
      <items count="15">
        <item x="1"/>
        <item x="3"/>
        <item x="10"/>
        <item x="7"/>
        <item x="9"/>
        <item x="5"/>
        <item x="6"/>
        <item x="12"/>
        <item x="8"/>
        <item x="13"/>
        <item x="4"/>
        <item x="11"/>
        <item x="0"/>
        <item x="2"/>
        <item t="default"/>
      </items>
    </pivotField>
    <pivotField dataField="1" showAll="0">
      <items count="15">
        <item x="1"/>
        <item x="7"/>
        <item x="3"/>
        <item x="5"/>
        <item x="10"/>
        <item x="9"/>
        <item x="12"/>
        <item x="8"/>
        <item x="4"/>
        <item x="6"/>
        <item x="13"/>
        <item x="11"/>
        <item x="0"/>
        <item x="2"/>
        <item t="default"/>
      </items>
    </pivotField>
    <pivotField dataField="1" showAll="0">
      <items count="117">
        <item x="115"/>
        <item x="42"/>
        <item x="86"/>
        <item x="71"/>
        <item x="15"/>
        <item x="76"/>
        <item x="106"/>
        <item x="21"/>
        <item x="60"/>
        <item x="94"/>
        <item x="34"/>
        <item x="1"/>
        <item x="61"/>
        <item x="18"/>
        <item x="93"/>
        <item x="27"/>
        <item x="40"/>
        <item x="33"/>
        <item x="55"/>
        <item x="90"/>
        <item x="31"/>
        <item x="52"/>
        <item x="16"/>
        <item x="41"/>
        <item x="87"/>
        <item x="101"/>
        <item x="38"/>
        <item x="22"/>
        <item x="48"/>
        <item x="75"/>
        <item x="80"/>
        <item x="12"/>
        <item x="54"/>
        <item x="112"/>
        <item x="2"/>
        <item x="111"/>
        <item x="65"/>
        <item x="67"/>
        <item x="19"/>
        <item x="17"/>
        <item x="46"/>
        <item x="63"/>
        <item x="95"/>
        <item x="91"/>
        <item x="64"/>
        <item x="51"/>
        <item x="92"/>
        <item x="78"/>
        <item x="10"/>
        <item x="110"/>
        <item x="58"/>
        <item x="49"/>
        <item x="62"/>
        <item x="50"/>
        <item x="13"/>
        <item x="109"/>
        <item x="74"/>
        <item x="56"/>
        <item x="70"/>
        <item x="35"/>
        <item x="97"/>
        <item x="39"/>
        <item x="72"/>
        <item x="68"/>
        <item x="100"/>
        <item x="108"/>
        <item x="82"/>
        <item x="30"/>
        <item x="37"/>
        <item x="45"/>
        <item x="14"/>
        <item x="8"/>
        <item x="96"/>
        <item x="105"/>
        <item x="26"/>
        <item x="107"/>
        <item x="103"/>
        <item x="104"/>
        <item x="69"/>
        <item x="6"/>
        <item x="43"/>
        <item x="79"/>
        <item x="36"/>
        <item x="99"/>
        <item x="88"/>
        <item x="7"/>
        <item x="57"/>
        <item x="47"/>
        <item x="98"/>
        <item x="81"/>
        <item x="44"/>
        <item x="73"/>
        <item x="102"/>
        <item x="59"/>
        <item x="53"/>
        <item x="83"/>
        <item x="11"/>
        <item x="77"/>
        <item x="24"/>
        <item x="3"/>
        <item x="5"/>
        <item x="85"/>
        <item x="9"/>
        <item x="89"/>
        <item x="32"/>
        <item x="114"/>
        <item x="66"/>
        <item x="28"/>
        <item x="84"/>
        <item x="25"/>
        <item x="29"/>
        <item x="20"/>
        <item x="4"/>
        <item x="23"/>
        <item x="113"/>
        <item x="0"/>
        <item t="default"/>
      </items>
    </pivotField>
    <pivotField dataField="1" showAll="0">
      <items count="5">
        <item x="1"/>
        <item x="3"/>
        <item x="2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111">
        <item x="42"/>
        <item x="109"/>
        <item x="21"/>
        <item x="60"/>
        <item x="79"/>
        <item x="83"/>
        <item x="70"/>
        <item x="15"/>
        <item x="103"/>
        <item x="52"/>
        <item x="31"/>
        <item x="80"/>
        <item x="65"/>
        <item x="74"/>
        <item x="46"/>
        <item x="12"/>
        <item x="34"/>
        <item x="90"/>
        <item x="91"/>
        <item x="61"/>
        <item x="1"/>
        <item x="89"/>
        <item x="27"/>
        <item x="55"/>
        <item x="18"/>
        <item x="40"/>
        <item x="33"/>
        <item x="48"/>
        <item x="97"/>
        <item x="45"/>
        <item x="75"/>
        <item x="16"/>
        <item x="13"/>
        <item x="73"/>
        <item x="38"/>
        <item x="84"/>
        <item x="22"/>
        <item x="106"/>
        <item x="37"/>
        <item x="41"/>
        <item x="54"/>
        <item x="77"/>
        <item x="105"/>
        <item x="2"/>
        <item x="17"/>
        <item x="59"/>
        <item x="24"/>
        <item x="19"/>
        <item x="87"/>
        <item x="88"/>
        <item x="56"/>
        <item x="67"/>
        <item x="36"/>
        <item x="50"/>
        <item x="51"/>
        <item x="58"/>
        <item x="63"/>
        <item x="64"/>
        <item x="10"/>
        <item x="62"/>
        <item x="49"/>
        <item x="68"/>
        <item x="71"/>
        <item x="93"/>
        <item x="104"/>
        <item x="3"/>
        <item x="96"/>
        <item x="47"/>
        <item x="94"/>
        <item x="35"/>
        <item x="39"/>
        <item x="8"/>
        <item x="95"/>
        <item x="30"/>
        <item x="102"/>
        <item x="14"/>
        <item x="85"/>
        <item x="5"/>
        <item x="9"/>
        <item x="43"/>
        <item x="82"/>
        <item x="92"/>
        <item x="100"/>
        <item x="99"/>
        <item x="101"/>
        <item x="26"/>
        <item x="6"/>
        <item x="76"/>
        <item x="32"/>
        <item x="69"/>
        <item x="86"/>
        <item x="57"/>
        <item x="108"/>
        <item x="28"/>
        <item x="78"/>
        <item x="66"/>
        <item x="7"/>
        <item x="72"/>
        <item x="81"/>
        <item x="98"/>
        <item x="44"/>
        <item x="11"/>
        <item x="53"/>
        <item x="29"/>
        <item x="20"/>
        <item x="4"/>
        <item x="23"/>
        <item x="25"/>
        <item x="107"/>
        <item x="0"/>
        <item t="default"/>
      </items>
    </pivotField>
    <pivotField dataField="1" showAll="0">
      <items count="117">
        <item x="42"/>
        <item x="21"/>
        <item x="115"/>
        <item x="60"/>
        <item x="86"/>
        <item x="15"/>
        <item x="59"/>
        <item x="76"/>
        <item x="106"/>
        <item x="108"/>
        <item x="83"/>
        <item x="5"/>
        <item x="71"/>
        <item x="65"/>
        <item x="12"/>
        <item x="1"/>
        <item x="61"/>
        <item x="27"/>
        <item x="85"/>
        <item x="93"/>
        <item x="94"/>
        <item x="41"/>
        <item x="77"/>
        <item x="48"/>
        <item x="95"/>
        <item x="31"/>
        <item x="87"/>
        <item x="52"/>
        <item x="34"/>
        <item x="54"/>
        <item x="19"/>
        <item x="9"/>
        <item x="62"/>
        <item x="18"/>
        <item x="40"/>
        <item x="17"/>
        <item x="49"/>
        <item x="90"/>
        <item x="92"/>
        <item x="22"/>
        <item x="109"/>
        <item x="45"/>
        <item x="33"/>
        <item x="64"/>
        <item x="10"/>
        <item x="38"/>
        <item x="16"/>
        <item x="80"/>
        <item x="46"/>
        <item x="101"/>
        <item x="2"/>
        <item x="75"/>
        <item x="89"/>
        <item x="50"/>
        <item x="32"/>
        <item x="68"/>
        <item x="97"/>
        <item x="55"/>
        <item x="30"/>
        <item x="110"/>
        <item x="111"/>
        <item x="36"/>
        <item x="70"/>
        <item x="98"/>
        <item x="51"/>
        <item x="78"/>
        <item x="66"/>
        <item x="67"/>
        <item x="72"/>
        <item x="82"/>
        <item x="58"/>
        <item x="13"/>
        <item x="74"/>
        <item x="91"/>
        <item x="96"/>
        <item x="37"/>
        <item x="112"/>
        <item x="39"/>
        <item x="63"/>
        <item x="100"/>
        <item x="69"/>
        <item x="8"/>
        <item x="56"/>
        <item x="88"/>
        <item x="57"/>
        <item x="43"/>
        <item x="24"/>
        <item x="47"/>
        <item x="104"/>
        <item x="107"/>
        <item x="35"/>
        <item x="44"/>
        <item x="99"/>
        <item x="105"/>
        <item x="6"/>
        <item x="79"/>
        <item x="14"/>
        <item x="53"/>
        <item x="26"/>
        <item x="103"/>
        <item x="3"/>
        <item x="7"/>
        <item x="114"/>
        <item x="28"/>
        <item x="73"/>
        <item x="102"/>
        <item x="81"/>
        <item x="29"/>
        <item x="84"/>
        <item x="11"/>
        <item x="4"/>
        <item x="25"/>
        <item x="20"/>
        <item x="23"/>
        <item x="11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 t="grand">
      <x/>
    </i>
  </rowItems>
  <colFields count="1">
    <field x="-2"/>
  </colFields>
  <colItems count="7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</colItems>
  <dataFields count="78">
    <dataField name="Sum of Enrollment" fld="6" baseField="1" baseItem="0"/>
    <dataField name="Sum of Enrollment2" fld="7" baseField="1" baseItem="0"/>
    <dataField name="Sum of Enrollment3" fld="8" baseField="1" baseItem="0"/>
    <dataField name="Sum of Enrollment4" fld="9" baseField="1" baseItem="0"/>
    <dataField name="Sum of Enrollment26" fld="31" baseField="1" baseItem="0"/>
    <dataField name="Sum of Enrollment37" fld="42" baseField="1" baseItem="0"/>
    <dataField name="Sum of Enrollment36" fld="41" baseField="1" baseItem="0"/>
    <dataField name="Sum of Enrollment29" fld="34" baseField="1" baseItem="0"/>
    <dataField name="Sum of Enrollment6" fld="11" baseField="1" baseItem="0"/>
    <dataField name="Sum of Enrollment13" fld="18" baseField="1" baseItem="0"/>
    <dataField name="Sum of Enrollment8" fld="13" baseField="1" baseItem="0"/>
    <dataField name="Sum of Enrollment7" fld="12" baseField="1" baseItem="0"/>
    <dataField name="Sum of Enrollment10" fld="15" baseField="1" baseItem="0"/>
    <dataField name="Sum of Enrollment11" fld="16" baseField="1" baseItem="0"/>
    <dataField name="Sum of Enrollment9" fld="14" baseField="1" baseItem="0"/>
    <dataField name="Sum of Enrollment22" fld="27" baseField="1" baseItem="0"/>
    <dataField name="Sum of Enrollment12" fld="17" baseField="1" baseItem="0"/>
    <dataField name="Sum of Enrollment14" fld="19" baseField="1" baseItem="0"/>
    <dataField name="Sum of Enrollment19" fld="24" baseField="1" baseItem="0"/>
    <dataField name="Sum of Enrollment15" fld="20" baseField="1" baseItem="0"/>
    <dataField name="Sum of Enrollment18" fld="23" baseField="1" baseItem="0"/>
    <dataField name="Sum of Enrollment16" fld="21" baseField="1" baseItem="0"/>
    <dataField name="Sum of Enrollment17" fld="22" baseField="1" baseItem="0"/>
    <dataField name="Sum of Enrollment20" fld="25" baseField="1" baseItem="0"/>
    <dataField name="Sum of Enrollment21" fld="26" baseField="1" baseItem="0"/>
    <dataField name="Sum of Enrollment35" fld="40" baseField="1" baseItem="0"/>
    <dataField name="Sum of Enrollment27" fld="32" baseField="1" baseItem="0"/>
    <dataField name="Sum of Enrollment41" fld="46" baseField="1" baseItem="0"/>
    <dataField name="Sum of Enrollment40" fld="45" baseField="1" baseItem="0"/>
    <dataField name="Sum of Enrollment39" fld="44" baseField="1" baseItem="0"/>
    <dataField name="Sum of Enrollment38" fld="43" baseField="1" baseItem="0"/>
    <dataField name="Sum of Enrollment25" fld="30" baseField="1" baseItem="0"/>
    <dataField name="Sum of Enrollment28" fld="33" baseField="1" baseItem="0"/>
    <dataField name="Sum of Enrollment23" fld="28" baseField="1" baseItem="0"/>
    <dataField name="Sum of Enrollment30" fld="35" baseField="1" baseItem="0"/>
    <dataField name="Sum of Enrollment31" fld="36" baseField="1" baseItem="0"/>
    <dataField name="Sum of Enrollment5" fld="10" baseField="1" baseItem="0"/>
    <dataField name="Sum of Enrollment32" fld="37" baseField="1" baseItem="0"/>
    <dataField name="Sum of Enrollment33" fld="38" baseField="1" baseItem="0"/>
    <dataField name="Sum of Enrollment34" fld="39" baseField="1" baseItem="0"/>
    <dataField name="Sum of Enrollment42" fld="62" baseField="92" baseItem="0"/>
    <dataField name="Sum of Enrollment43" fld="63" baseField="1" baseItem="30"/>
    <dataField name="Sum of Enrollment45" fld="65" baseField="1" baseItem="30"/>
    <dataField name="Sum of Enrollment50" fld="70" baseField="1" baseItem="30"/>
    <dataField name="Sum of Enrollment49" fld="69" baseField="1" baseItem="30"/>
    <dataField name="Sum of Enrollment53" fld="73" baseField="1" baseItem="20"/>
    <dataField name="Sum of Enrollment56" fld="76" baseField="1" baseItem="20"/>
    <dataField name="Sum of Enrollment54" fld="74" baseField="1" baseItem="20"/>
    <dataField name="Sum of Enrollment55" fld="75" baseField="1" baseItem="20"/>
    <dataField name="Sum of Enrollment48" fld="68" baseField="1" baseItem="20"/>
    <dataField name="Sum of Enrollment44" fld="64" baseField="1" baseItem="20"/>
    <dataField name="Sum of Enrollment58" fld="78" baseField="1" baseItem="20"/>
    <dataField name="Sum of Enrollment57" fld="77" baseField="1" baseItem="20"/>
    <dataField name="Sum of Enrollment64" fld="84" baseField="1" baseItem="20"/>
    <dataField name="Sum of Enrollment62" fld="82" baseField="1" baseItem="20"/>
    <dataField name="Sum of Enrollment61" fld="81" baseField="1" baseItem="20"/>
    <dataField name="Sum of Enrollment76" fld="96" baseField="1" baseItem="20"/>
    <dataField name="Sum of Enrollment78" fld="98" baseField="1" baseItem="20"/>
    <dataField name="Sum of Enrollment77" fld="97" baseField="1" baseItem="20"/>
    <dataField name="Sum of Enrollment75" fld="95" baseField="1" baseItem="20"/>
    <dataField name="Sum of Enrollment74" fld="94" baseField="1" baseItem="20"/>
    <dataField name="Sum of Enrollment69" fld="89" baseField="1" baseItem="20"/>
    <dataField name="Sum of Enrollment73" fld="93" baseField="1" baseItem="20"/>
    <dataField name="Sum of Enrollment72" fld="92" baseField="1" baseItem="20"/>
    <dataField name="Sum of Enrollment71" fld="91" baseField="1" baseItem="20"/>
    <dataField name="Sum of Enrollment70" fld="90" baseField="1" baseItem="20"/>
    <dataField name="Sum of Enrollment68" fld="88" baseField="1" baseItem="20"/>
    <dataField name="Sum of Enrollment63" fld="83" baseField="1" baseItem="20"/>
    <dataField name="Sum of Enrollment67" fld="87" baseField="1" baseItem="20"/>
    <dataField name="Sum of Enrollment66" fld="86" baseField="1" baseItem="20"/>
    <dataField name="Sum of Enrollment60" fld="80" baseField="1" baseItem="20"/>
    <dataField name="Sum of Enrollment65" fld="85" baseField="1" baseItem="20"/>
    <dataField name="Sum of Enrollment52" fld="72" baseField="1" baseItem="20"/>
    <dataField name="Sum of Enrollment59" fld="79" baseField="1" baseItem="20"/>
    <dataField name="Sum of Enrollment24" fld="29" baseField="1" baseItem="23"/>
    <dataField name="Sum of Enrollment46" fld="66" baseField="1" baseItem="20"/>
    <dataField name="Sum of Enrollment51" fld="71" baseField="1" baseItem="20"/>
    <dataField name="Sum of Enrollment47" fld="67" baseField="1" baseItem="2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120" firstHeaderRow="0" firstDataRow="1" firstDataCol="1"/>
  <pivotFields count="114">
    <pivotField showAll="0"/>
    <pivotField axis="axisRow" showAll="0">
      <items count="11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0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pecial Education" fld="47" baseField="1" baseItem="0"/>
    <dataField name="Sum of Special Education2" fld="48" baseField="1" baseItem="0"/>
    <dataField name="Sum of Special Education3" fld="49" baseField="1" baseItem="0"/>
    <dataField name="Sum of Special Education4" fld="50" baseField="1" baseItem="0"/>
    <dataField name="Sum of Special Education5" fld="51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20" firstHeaderRow="0" firstDataRow="1" firstDataCol="1"/>
  <pivotFields count="114">
    <pivotField showAll="0"/>
    <pivotField axis="axisRow" showAll="0">
      <items count="11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0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8">
        <item x="1"/>
        <item x="3"/>
        <item x="4"/>
        <item x="10"/>
        <item x="2"/>
        <item x="18"/>
        <item x="20"/>
        <item x="16"/>
        <item x="19"/>
        <item x="7"/>
        <item x="21"/>
        <item x="26"/>
        <item x="9"/>
        <item x="12"/>
        <item x="23"/>
        <item x="14"/>
        <item x="24"/>
        <item x="17"/>
        <item x="15"/>
        <item x="6"/>
        <item x="5"/>
        <item x="22"/>
        <item x="25"/>
        <item x="11"/>
        <item x="8"/>
        <item x="13"/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nglish Language Learner" fld="52" baseField="1" baseItem="0"/>
    <dataField name="Sum of English Language Learner2" fld="53" baseField="1" baseItem="0"/>
    <dataField name="Sum of English Language Learner3" fld="5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20" firstHeaderRow="0" firstDataRow="1" firstDataCol="1"/>
  <pivotFields count="114">
    <pivotField showAll="0"/>
    <pivotField axis="axisRow" showAll="0">
      <items count="11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0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itle" fld="59" baseField="1" baseItem="0"/>
    <dataField name="Sum of Title2" fld="60" baseField="1" baseItem="0"/>
    <dataField name="Sum of Title3" fld="61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120" firstHeaderRow="0" firstDataRow="1" firstDataCol="1"/>
  <pivotFields count="114">
    <pivotField showAll="0"/>
    <pivotField axis="axisRow" showAll="0">
      <items count="11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0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SP/ECR" fld="55" baseField="1" baseItem="0"/>
    <dataField name="Sum of ASP/ECR2" fld="56" baseField="1" baseItem="0"/>
    <dataField name="Sum of ASP/ECR3" fld="57" baseField="1" baseItem="0"/>
    <dataField name="Sum of ASP/ECR4" fld="58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H120" firstHeaderRow="0" firstDataRow="1" firstDataCol="1"/>
  <pivotFields count="114">
    <pivotField showAll="0"/>
    <pivotField axis="axisRow" showAll="0">
      <items count="11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0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1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SIG" fld="105" baseField="1" baseItem="0"/>
    <dataField name="Sum of SIG2" fld="106" baseField="1" baseItem="0"/>
    <dataField name="Sum of SIG3" fld="107" baseField="1" baseItem="0"/>
    <dataField name="Sum of SIG4" fld="108" baseField="1" baseItem="0"/>
    <dataField name="Sum of SIG5" fld="109" baseField="1" baseItem="31"/>
    <dataField name="Sum of SIG6" fld="110" baseField="1" baseItem="31"/>
    <dataField name="Sum of SIG7" fld="111" baseField="1" baseItem="3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N116"/>
  <sheetViews>
    <sheetView zoomScale="89" zoomScaleNormal="89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9" sqref="B29"/>
    </sheetView>
  </sheetViews>
  <sheetFormatPr defaultColWidth="8.85546875" defaultRowHeight="15" x14ac:dyDescent="0.25"/>
  <cols>
    <col min="1" max="1" width="9" customWidth="1"/>
    <col min="2" max="2" width="42.42578125" bestFit="1" customWidth="1"/>
    <col min="3" max="3" width="15.28515625" bestFit="1" customWidth="1"/>
    <col min="4" max="4" width="18.5703125" bestFit="1" customWidth="1"/>
    <col min="5" max="5" width="20.28515625" customWidth="1"/>
    <col min="6" max="6" width="14.85546875" customWidth="1"/>
    <col min="7" max="7" width="12.7109375" customWidth="1"/>
    <col min="8" max="8" width="12.5703125" bestFit="1" customWidth="1"/>
    <col min="9" max="9" width="13.140625" customWidth="1"/>
    <col min="10" max="10" width="13.28515625" bestFit="1" customWidth="1"/>
    <col min="11" max="11" width="21.85546875" bestFit="1" customWidth="1"/>
    <col min="12" max="12" width="10.85546875" customWidth="1"/>
    <col min="13" max="13" width="32" bestFit="1" customWidth="1"/>
    <col min="14" max="14" width="14.42578125" customWidth="1"/>
  </cols>
  <sheetData>
    <row r="1" spans="1:14" ht="33.75" customHeight="1" x14ac:dyDescent="0.25">
      <c r="A1" s="36" t="s">
        <v>76</v>
      </c>
      <c r="B1" s="36" t="s">
        <v>77</v>
      </c>
      <c r="C1" s="36" t="s">
        <v>208</v>
      </c>
      <c r="D1" s="36" t="s">
        <v>210</v>
      </c>
      <c r="E1" s="36" t="s">
        <v>289</v>
      </c>
      <c r="F1" s="36" t="s">
        <v>242</v>
      </c>
      <c r="G1" s="36" t="s">
        <v>212</v>
      </c>
      <c r="H1" s="36" t="s">
        <v>243</v>
      </c>
      <c r="I1" s="36" t="s">
        <v>0</v>
      </c>
      <c r="J1" s="36" t="s">
        <v>241</v>
      </c>
      <c r="K1" s="36" t="s">
        <v>304</v>
      </c>
      <c r="L1" s="36" t="s">
        <v>240</v>
      </c>
      <c r="M1" s="36" t="s">
        <v>290</v>
      </c>
      <c r="N1" s="37" t="s">
        <v>292</v>
      </c>
    </row>
    <row r="2" spans="1:14" ht="15.75" x14ac:dyDescent="0.25">
      <c r="A2" s="4">
        <v>202</v>
      </c>
      <c r="B2" s="4" t="s">
        <v>79</v>
      </c>
      <c r="C2" s="24">
        <v>2626530.7820927603</v>
      </c>
      <c r="D2" s="38">
        <v>712710</v>
      </c>
      <c r="E2" s="39">
        <v>0</v>
      </c>
      <c r="F2" s="39">
        <v>0</v>
      </c>
      <c r="G2" s="38">
        <v>113176.64</v>
      </c>
      <c r="H2" s="38">
        <v>45258</v>
      </c>
      <c r="I2" s="38">
        <v>0</v>
      </c>
      <c r="J2" s="38">
        <v>78222.42090723943</v>
      </c>
      <c r="K2" s="38">
        <f>VLOOKUP(A2, 'Initial allocations'!A:DH, 103, 0)</f>
        <v>22689.5</v>
      </c>
      <c r="L2" s="38">
        <f>VLOOKUP(B2, SIg!A:I, 9, 0)</f>
        <v>0</v>
      </c>
      <c r="M2" s="40">
        <f>SUM(C2:L2)</f>
        <v>3598587.3429999999</v>
      </c>
      <c r="N2" s="38">
        <f>VLOOKUP(A2, [1]Sheet2!$A:$M, 12, 0)</f>
        <v>455195</v>
      </c>
    </row>
    <row r="3" spans="1:14" ht="15.75" x14ac:dyDescent="0.25">
      <c r="A3" s="4">
        <v>203</v>
      </c>
      <c r="B3" s="4" t="s">
        <v>80</v>
      </c>
      <c r="C3" s="38">
        <v>3168556.2071363637</v>
      </c>
      <c r="D3" s="38">
        <v>1034680</v>
      </c>
      <c r="E3" s="39">
        <v>17760.909090909092</v>
      </c>
      <c r="F3" s="39">
        <v>0</v>
      </c>
      <c r="G3" s="38">
        <v>154560.42000000001</v>
      </c>
      <c r="H3" s="38">
        <v>70198</v>
      </c>
      <c r="I3" s="38">
        <v>0</v>
      </c>
      <c r="J3" s="38">
        <v>0</v>
      </c>
      <c r="K3" s="38">
        <f>VLOOKUP(A3, 'Initial allocations'!A:DH, 103, 0)</f>
        <v>136316.5</v>
      </c>
      <c r="L3" s="38">
        <f>VLOOKUP(B3, SIg!A:I, 9, 0)</f>
        <v>0</v>
      </c>
      <c r="M3" s="40">
        <f t="shared" ref="M3:M66" si="0">SUM(C3:L3)</f>
        <v>4582072.0362272728</v>
      </c>
      <c r="N3" s="38">
        <f>VLOOKUP(A3, [1]Sheet2!$A:$M, 12, 0)</f>
        <v>490061</v>
      </c>
    </row>
    <row r="4" spans="1:14" ht="15.75" x14ac:dyDescent="0.25">
      <c r="A4" s="4">
        <v>450</v>
      </c>
      <c r="B4" s="4" t="s">
        <v>81</v>
      </c>
      <c r="C4" s="38">
        <v>4829675.8101713499</v>
      </c>
      <c r="D4" s="38">
        <v>3217826</v>
      </c>
      <c r="E4" s="39">
        <v>4440.227272727273</v>
      </c>
      <c r="F4" s="39">
        <v>0</v>
      </c>
      <c r="G4" s="38">
        <v>261577.22999999998</v>
      </c>
      <c r="H4" s="38">
        <v>72828</v>
      </c>
      <c r="I4" s="38">
        <v>0</v>
      </c>
      <c r="J4" s="38">
        <v>392085.30399706773</v>
      </c>
      <c r="K4" s="38">
        <f>VLOOKUP(A4, 'Initial allocations'!A:DH, 103, 0)</f>
        <v>11571.189558853162</v>
      </c>
      <c r="L4" s="38">
        <f>VLOOKUP(B4, SIg!A:I, 9, 0)</f>
        <v>0</v>
      </c>
      <c r="M4" s="40">
        <f t="shared" si="0"/>
        <v>8790003.7609999981</v>
      </c>
      <c r="N4" s="38">
        <f>VLOOKUP(A4, [1]Sheet2!$A:$M, 12, 0)</f>
        <v>772863</v>
      </c>
    </row>
    <row r="5" spans="1:14" ht="15.75" x14ac:dyDescent="0.25">
      <c r="A5" s="4">
        <v>452</v>
      </c>
      <c r="B5" s="4" t="s">
        <v>82</v>
      </c>
      <c r="C5" s="38">
        <v>7840665.0343530234</v>
      </c>
      <c r="D5" s="38">
        <v>3371673</v>
      </c>
      <c r="E5" s="39">
        <v>8880.454545454546</v>
      </c>
      <c r="F5" s="39">
        <v>0</v>
      </c>
      <c r="G5" s="38">
        <v>405577.96</v>
      </c>
      <c r="H5" s="38">
        <v>80920</v>
      </c>
      <c r="I5" s="38">
        <v>0</v>
      </c>
      <c r="J5" s="38">
        <v>305645.09439273551</v>
      </c>
      <c r="K5" s="38">
        <f>VLOOKUP(A5, 'Initial allocations'!A:DH, 103, 0)</f>
        <v>121407.406708783</v>
      </c>
      <c r="L5" s="38">
        <f>VLOOKUP(B5, SIg!A:I, 9, 0)</f>
        <v>0</v>
      </c>
      <c r="M5" s="40">
        <f t="shared" si="0"/>
        <v>12134768.949999997</v>
      </c>
      <c r="N5" s="38">
        <f>VLOOKUP(A5, [1]Sheet2!$A:$M, 12, 0)</f>
        <v>1584466</v>
      </c>
    </row>
    <row r="6" spans="1:14" ht="15.75" x14ac:dyDescent="0.25">
      <c r="A6" s="4">
        <v>462</v>
      </c>
      <c r="B6" s="4" t="s">
        <v>83</v>
      </c>
      <c r="C6" s="38">
        <v>2884838.6852398957</v>
      </c>
      <c r="D6" s="38">
        <v>786847</v>
      </c>
      <c r="E6" s="39">
        <v>0</v>
      </c>
      <c r="F6" s="39">
        <v>0</v>
      </c>
      <c r="G6" s="38">
        <v>12325</v>
      </c>
      <c r="H6" s="38">
        <v>0</v>
      </c>
      <c r="I6" s="38">
        <v>0</v>
      </c>
      <c r="J6" s="38">
        <v>50205.910760104656</v>
      </c>
      <c r="K6" s="38">
        <f>VLOOKUP(A6, 'Initial allocations'!A:DH, 103, 0)</f>
        <v>0</v>
      </c>
      <c r="L6" s="38">
        <f>VLOOKUP(B6, SIg!A:I, 9, 0)</f>
        <v>0</v>
      </c>
      <c r="M6" s="40">
        <f t="shared" si="0"/>
        <v>3734216.5960000004</v>
      </c>
      <c r="N6" s="38">
        <v>0</v>
      </c>
    </row>
    <row r="7" spans="1:14" ht="15.75" x14ac:dyDescent="0.25">
      <c r="A7" s="4">
        <v>204</v>
      </c>
      <c r="B7" s="4" t="s">
        <v>84</v>
      </c>
      <c r="C7" s="38">
        <v>4409944.6442272728</v>
      </c>
      <c r="D7" s="38">
        <v>712710</v>
      </c>
      <c r="E7" s="39">
        <v>1269905</v>
      </c>
      <c r="F7" s="39">
        <v>0</v>
      </c>
      <c r="G7" s="38">
        <v>225913.28999999998</v>
      </c>
      <c r="H7" s="38">
        <v>107608</v>
      </c>
      <c r="I7" s="38">
        <v>0</v>
      </c>
      <c r="J7" s="38">
        <v>0</v>
      </c>
      <c r="K7" s="38">
        <f>VLOOKUP(A7, 'Initial allocations'!A:DH, 103, 0)</f>
        <v>32500</v>
      </c>
      <c r="L7" s="38">
        <f>VLOOKUP(B7, SIg!A:I, 9, 0)</f>
        <v>0</v>
      </c>
      <c r="M7" s="40">
        <f t="shared" si="0"/>
        <v>6758580.9342272729</v>
      </c>
      <c r="N7" s="38">
        <f>VLOOKUP(A7, [1]Sheet2!$A:$M, 12, 0)</f>
        <v>389337</v>
      </c>
    </row>
    <row r="8" spans="1:14" ht="15.75" x14ac:dyDescent="0.25">
      <c r="A8" s="4">
        <v>205</v>
      </c>
      <c r="B8" s="4" t="s">
        <v>85</v>
      </c>
      <c r="C8" s="38">
        <v>5385726.0149540231</v>
      </c>
      <c r="D8" s="38">
        <v>1257012.5</v>
      </c>
      <c r="E8" s="39">
        <v>976850</v>
      </c>
      <c r="F8" s="39">
        <v>0</v>
      </c>
      <c r="G8" s="38">
        <v>276121.81</v>
      </c>
      <c r="H8" s="38">
        <v>282188</v>
      </c>
      <c r="I8" s="38">
        <v>0</v>
      </c>
      <c r="J8" s="38">
        <v>0</v>
      </c>
      <c r="K8" s="38">
        <f>VLOOKUP(A8, 'Initial allocations'!A:DH, 103, 0)</f>
        <v>25958.5</v>
      </c>
      <c r="L8" s="38">
        <f>VLOOKUP(B8, SIg!A:I, 9, 0)</f>
        <v>0</v>
      </c>
      <c r="M8" s="40">
        <f t="shared" si="0"/>
        <v>8203856.8249540227</v>
      </c>
      <c r="N8" s="38">
        <f>VLOOKUP(A8, [1]Sheet2!$A:$M, 12, 0)</f>
        <v>643084</v>
      </c>
    </row>
    <row r="9" spans="1:14" ht="15.75" x14ac:dyDescent="0.25">
      <c r="A9" s="4">
        <v>206</v>
      </c>
      <c r="B9" s="4" t="s">
        <v>86</v>
      </c>
      <c r="C9" s="38">
        <v>3951931.3640021142</v>
      </c>
      <c r="D9" s="38">
        <v>1656740</v>
      </c>
      <c r="E9" s="39">
        <v>4440.227272727273</v>
      </c>
      <c r="F9" s="39">
        <v>0</v>
      </c>
      <c r="G9" s="38">
        <v>190689.34</v>
      </c>
      <c r="H9" s="38">
        <v>120078</v>
      </c>
      <c r="I9" s="38">
        <v>0</v>
      </c>
      <c r="J9" s="38">
        <v>0</v>
      </c>
      <c r="K9" s="38">
        <f>VLOOKUP(A9, 'Initial allocations'!A:DH, 103, 0)</f>
        <v>189186.5</v>
      </c>
      <c r="L9" s="38">
        <f>VLOOKUP(B9, SIg!A:I, 9, 0)</f>
        <v>0</v>
      </c>
      <c r="M9" s="40">
        <f t="shared" si="0"/>
        <v>6113065.4312748415</v>
      </c>
      <c r="N9" s="38">
        <f>VLOOKUP(A9, [1]Sheet2!$A:$M, 12, 0)</f>
        <v>521053</v>
      </c>
    </row>
    <row r="10" spans="1:14" ht="15.75" x14ac:dyDescent="0.25">
      <c r="A10" s="4">
        <v>402</v>
      </c>
      <c r="B10" s="4" t="s">
        <v>87</v>
      </c>
      <c r="C10" s="38">
        <v>3700812.1108459928</v>
      </c>
      <c r="D10" s="38">
        <v>146527.5</v>
      </c>
      <c r="E10" s="39">
        <v>17760.909090909092</v>
      </c>
      <c r="F10" s="39">
        <v>690480</v>
      </c>
      <c r="G10" s="38">
        <v>196849.16</v>
      </c>
      <c r="H10" s="38">
        <v>0</v>
      </c>
      <c r="I10" s="38">
        <v>0</v>
      </c>
      <c r="J10" s="38">
        <v>0</v>
      </c>
      <c r="K10" s="38">
        <f>VLOOKUP(A10, 'Initial allocations'!A:DH, 103, 0)</f>
        <v>74392.935539511673</v>
      </c>
      <c r="L10" s="38">
        <f>VLOOKUP(B10, SIg!A:I, 9, 0)</f>
        <v>0</v>
      </c>
      <c r="M10" s="40">
        <f t="shared" si="0"/>
        <v>4826822.6154764146</v>
      </c>
      <c r="N10" s="38">
        <f>VLOOKUP(A10, [1]Sheet2!$A:$M, 12, 0)</f>
        <v>245999</v>
      </c>
    </row>
    <row r="11" spans="1:14" ht="15.75" x14ac:dyDescent="0.25">
      <c r="A11" s="4">
        <v>212</v>
      </c>
      <c r="B11" s="4" t="s">
        <v>88</v>
      </c>
      <c r="C11" s="38">
        <v>3557948.3440558021</v>
      </c>
      <c r="D11" s="38">
        <v>439582.5</v>
      </c>
      <c r="E11" s="39">
        <v>39962.045454545456</v>
      </c>
      <c r="F11" s="39">
        <v>0</v>
      </c>
      <c r="G11" s="38">
        <v>10100</v>
      </c>
      <c r="H11" s="38">
        <v>0</v>
      </c>
      <c r="I11" s="38">
        <v>0</v>
      </c>
      <c r="J11" s="38">
        <v>0</v>
      </c>
      <c r="K11" s="38">
        <f>VLOOKUP(A11, 'Initial allocations'!A:DH, 103, 0)</f>
        <v>3524.5</v>
      </c>
      <c r="L11" s="38">
        <f>VLOOKUP(B11, SIg!A:I, 9, 0)</f>
        <v>0</v>
      </c>
      <c r="M11" s="40">
        <f t="shared" si="0"/>
        <v>4051117.3895103475</v>
      </c>
      <c r="N11" s="38">
        <f>VLOOKUP(A11, [1]Sheet2!$A:$M, 12, 0)</f>
        <v>67795</v>
      </c>
    </row>
    <row r="12" spans="1:14" ht="15.75" x14ac:dyDescent="0.25">
      <c r="A12" s="4">
        <v>213</v>
      </c>
      <c r="B12" s="4" t="s">
        <v>89</v>
      </c>
      <c r="C12" s="38">
        <v>6426871.054623167</v>
      </c>
      <c r="D12" s="38">
        <v>830322.5</v>
      </c>
      <c r="E12" s="39">
        <v>2373355</v>
      </c>
      <c r="F12" s="39">
        <v>0</v>
      </c>
      <c r="G12" s="38">
        <v>309585.81</v>
      </c>
      <c r="H12" s="38">
        <v>107608</v>
      </c>
      <c r="I12" s="38">
        <v>0</v>
      </c>
      <c r="J12" s="38">
        <v>0</v>
      </c>
      <c r="K12" s="38">
        <f>VLOOKUP(A12, 'Initial allocations'!A:DH, 103, 0)</f>
        <v>25671.300000000047</v>
      </c>
      <c r="L12" s="38">
        <f>VLOOKUP(B12, SIg!A:I, 9, 0)</f>
        <v>0</v>
      </c>
      <c r="M12" s="40">
        <f t="shared" si="0"/>
        <v>10073413.664623169</v>
      </c>
      <c r="N12" s="38">
        <f>VLOOKUP(A12, [1]Sheet2!$A:$M, 12, 0)</f>
        <v>817414</v>
      </c>
    </row>
    <row r="13" spans="1:14" ht="15.75" x14ac:dyDescent="0.25">
      <c r="A13" s="4">
        <v>347</v>
      </c>
      <c r="B13" s="4" t="s">
        <v>90</v>
      </c>
      <c r="C13" s="38">
        <v>2328194.0960909091</v>
      </c>
      <c r="D13" s="38">
        <v>790467.5</v>
      </c>
      <c r="E13" s="39">
        <v>97685</v>
      </c>
      <c r="F13" s="39">
        <v>200000</v>
      </c>
      <c r="G13" s="38">
        <v>136960.93</v>
      </c>
      <c r="H13" s="38">
        <v>0</v>
      </c>
      <c r="I13" s="38">
        <v>0</v>
      </c>
      <c r="J13" s="38">
        <v>50666.799909090623</v>
      </c>
      <c r="K13" s="38">
        <f>VLOOKUP(A13, 'Initial allocations'!A:DH, 103, 0)</f>
        <v>3944</v>
      </c>
      <c r="L13" s="38">
        <f>VLOOKUP(B13, SIg!A:I, 9, 0)</f>
        <v>0</v>
      </c>
      <c r="M13" s="40">
        <f t="shared" si="0"/>
        <v>3607918.3259999999</v>
      </c>
      <c r="N13" s="38">
        <f>VLOOKUP(A13, [1]Sheet2!$A:$M, 12, 0)</f>
        <v>263432</v>
      </c>
    </row>
    <row r="14" spans="1:14" ht="15.75" x14ac:dyDescent="0.25">
      <c r="A14" s="4">
        <v>404</v>
      </c>
      <c r="B14" s="4" t="s">
        <v>91</v>
      </c>
      <c r="C14" s="38">
        <v>3900322.8411671217</v>
      </c>
      <c r="D14" s="38">
        <v>945982.5</v>
      </c>
      <c r="E14" s="39">
        <v>97685</v>
      </c>
      <c r="F14" s="39">
        <v>0</v>
      </c>
      <c r="G14" s="38">
        <v>145320.68</v>
      </c>
      <c r="H14" s="38">
        <v>32788</v>
      </c>
      <c r="I14" s="38">
        <v>0</v>
      </c>
      <c r="J14" s="38">
        <v>0</v>
      </c>
      <c r="K14" s="38">
        <f>VLOOKUP(A14, 'Initial allocations'!A:DH, 103, 0)</f>
        <v>6989</v>
      </c>
      <c r="L14" s="38">
        <f>VLOOKUP(B14, SIg!A:I, 9, 0)</f>
        <v>0</v>
      </c>
      <c r="M14" s="40">
        <f t="shared" si="0"/>
        <v>5129088.0211671218</v>
      </c>
      <c r="N14" s="38">
        <f>VLOOKUP(A14, [1]Sheet2!$A:$M, 12, 0)</f>
        <v>466817</v>
      </c>
    </row>
    <row r="15" spans="1:14" ht="15.75" x14ac:dyDescent="0.25">
      <c r="A15" s="4">
        <v>296</v>
      </c>
      <c r="B15" s="4" t="s">
        <v>92</v>
      </c>
      <c r="C15" s="38">
        <v>4434683.7261354681</v>
      </c>
      <c r="D15" s="38">
        <v>781480</v>
      </c>
      <c r="E15" s="39">
        <v>1269905</v>
      </c>
      <c r="F15" s="39">
        <v>0</v>
      </c>
      <c r="G15" s="38">
        <v>204768.92</v>
      </c>
      <c r="H15" s="38">
        <v>0</v>
      </c>
      <c r="I15" s="38">
        <v>0</v>
      </c>
      <c r="J15" s="38">
        <v>0</v>
      </c>
      <c r="K15" s="38">
        <f>VLOOKUP(A15, 'Initial allocations'!A:DH, 103, 0)</f>
        <v>7395</v>
      </c>
      <c r="L15" s="38">
        <f>VLOOKUP(B15, SIg!A:I, 9, 0)</f>
        <v>0</v>
      </c>
      <c r="M15" s="40">
        <f t="shared" si="0"/>
        <v>6698232.646135468</v>
      </c>
      <c r="N15" s="38">
        <f>VLOOKUP(A15, [1]Sheet2!$A:$M, 12, 0)</f>
        <v>493935</v>
      </c>
    </row>
    <row r="16" spans="1:14" ht="15.75" x14ac:dyDescent="0.25">
      <c r="A16" s="4">
        <v>219</v>
      </c>
      <c r="B16" s="4" t="s">
        <v>93</v>
      </c>
      <c r="C16" s="38">
        <v>2065316.7816666667</v>
      </c>
      <c r="D16" s="38">
        <v>293055</v>
      </c>
      <c r="E16" s="39">
        <v>97685</v>
      </c>
      <c r="F16" s="39">
        <v>0</v>
      </c>
      <c r="G16" s="38">
        <v>68247.97</v>
      </c>
      <c r="H16" s="38">
        <v>45258</v>
      </c>
      <c r="I16" s="38">
        <v>0</v>
      </c>
      <c r="J16" s="38">
        <v>0</v>
      </c>
      <c r="K16" s="38">
        <f>VLOOKUP(A16, 'Initial allocations'!A:DH, 103, 0)</f>
        <v>60781.5</v>
      </c>
      <c r="L16" s="38">
        <f>VLOOKUP(B16, SIg!A:I, 9, 0)</f>
        <v>0</v>
      </c>
      <c r="M16" s="40">
        <f t="shared" si="0"/>
        <v>2630344.2516666669</v>
      </c>
      <c r="N16" s="38">
        <f>VLOOKUP(A16, [1]Sheet2!$A:$M, 12, 0)</f>
        <v>201448</v>
      </c>
    </row>
    <row r="17" spans="1:14" ht="15.75" x14ac:dyDescent="0.25">
      <c r="A17" s="4">
        <v>220</v>
      </c>
      <c r="B17" s="4" t="s">
        <v>94</v>
      </c>
      <c r="C17" s="38">
        <v>3090640.7094999999</v>
      </c>
      <c r="D17" s="38">
        <v>906127.5</v>
      </c>
      <c r="E17" s="39">
        <v>97685</v>
      </c>
      <c r="F17" s="39">
        <v>0</v>
      </c>
      <c r="G17" s="38">
        <v>125056.29000000001</v>
      </c>
      <c r="H17" s="38">
        <v>82668</v>
      </c>
      <c r="I17" s="38">
        <v>0</v>
      </c>
      <c r="J17" s="38">
        <v>0</v>
      </c>
      <c r="K17" s="38">
        <f>VLOOKUP(A17, 'Initial allocations'!A:DH, 103, 0)</f>
        <v>128243.5</v>
      </c>
      <c r="L17" s="38">
        <f>VLOOKUP(B17, SIg!A:I, 9, 0)</f>
        <v>0</v>
      </c>
      <c r="M17" s="40">
        <f t="shared" si="0"/>
        <v>4430420.9994999999</v>
      </c>
      <c r="N17" s="38">
        <f>VLOOKUP(A17, [1]Sheet2!$A:$M, 12, 0)</f>
        <v>306046</v>
      </c>
    </row>
    <row r="18" spans="1:14" ht="15.75" x14ac:dyDescent="0.25">
      <c r="A18" s="4">
        <v>221</v>
      </c>
      <c r="B18" s="4" t="s">
        <v>95</v>
      </c>
      <c r="C18" s="38">
        <v>3525781.7519090907</v>
      </c>
      <c r="D18" s="38">
        <v>390740</v>
      </c>
      <c r="E18" s="39">
        <v>4440.227272727273</v>
      </c>
      <c r="F18" s="39">
        <v>0</v>
      </c>
      <c r="G18" s="38">
        <v>141800.78999999998</v>
      </c>
      <c r="H18" s="38">
        <v>20318</v>
      </c>
      <c r="I18" s="38">
        <v>0</v>
      </c>
      <c r="J18" s="38">
        <v>0</v>
      </c>
      <c r="K18" s="38">
        <f>VLOOKUP(A18, 'Initial allocations'!A:DH, 103, 0)</f>
        <v>151153</v>
      </c>
      <c r="L18" s="38">
        <f>VLOOKUP(B18, SIg!A:I, 9, 0)</f>
        <v>0</v>
      </c>
      <c r="M18" s="40">
        <f t="shared" si="0"/>
        <v>4234233.7691818178</v>
      </c>
      <c r="N18" s="38">
        <f>VLOOKUP(A18, [1]Sheet2!$A:$M, 12, 0)</f>
        <v>497809</v>
      </c>
    </row>
    <row r="19" spans="1:14" ht="15.75" x14ac:dyDescent="0.25">
      <c r="A19" s="4">
        <v>247</v>
      </c>
      <c r="B19" s="4" t="s">
        <v>96</v>
      </c>
      <c r="C19" s="38">
        <v>2669843.8503082194</v>
      </c>
      <c r="D19" s="38">
        <v>1235417</v>
      </c>
      <c r="E19" s="39">
        <v>0</v>
      </c>
      <c r="F19" s="39">
        <v>0</v>
      </c>
      <c r="G19" s="38">
        <v>128136.2</v>
      </c>
      <c r="H19" s="38">
        <v>0</v>
      </c>
      <c r="I19" s="38">
        <v>0</v>
      </c>
      <c r="J19" s="38">
        <v>60484.180191780441</v>
      </c>
      <c r="K19" s="38">
        <f>VLOOKUP(A19, 'Initial allocations'!A:DH, 103, 0)</f>
        <v>101075.5</v>
      </c>
      <c r="L19" s="38">
        <f>VLOOKUP(B19, SIg!A:I, 9, 0)</f>
        <v>0</v>
      </c>
      <c r="M19" s="40">
        <f t="shared" si="0"/>
        <v>4194956.7304999996</v>
      </c>
      <c r="N19" s="38">
        <f>VLOOKUP(A19, [1]Sheet2!$A:$M, 12, 0)</f>
        <v>414518</v>
      </c>
    </row>
    <row r="20" spans="1:14" ht="15.75" x14ac:dyDescent="0.25">
      <c r="A20" s="4">
        <v>360</v>
      </c>
      <c r="B20" s="4" t="s">
        <v>97</v>
      </c>
      <c r="C20" s="38">
        <v>3492723.0916161616</v>
      </c>
      <c r="D20" s="38">
        <v>293055</v>
      </c>
      <c r="E20" s="39">
        <v>13320.681818181818</v>
      </c>
      <c r="F20" s="39">
        <v>0</v>
      </c>
      <c r="G20" s="38">
        <v>8950</v>
      </c>
      <c r="H20" s="38">
        <v>0</v>
      </c>
      <c r="I20" s="38">
        <v>0</v>
      </c>
      <c r="J20" s="38">
        <v>0</v>
      </c>
      <c r="K20" s="38">
        <f>VLOOKUP(A20, 'Initial allocations'!A:DH, 103, 0)</f>
        <v>1305.1000000000058</v>
      </c>
      <c r="L20" s="38">
        <f>VLOOKUP(B20, SIg!A:I, 9, 0)</f>
        <v>0</v>
      </c>
      <c r="M20" s="40">
        <f t="shared" si="0"/>
        <v>3809353.8734343434</v>
      </c>
      <c r="N20" s="38">
        <f>VLOOKUP(A20, [1]Sheet2!$A:$M, 12, 0)</f>
        <v>87165</v>
      </c>
    </row>
    <row r="21" spans="1:14" ht="15.75" x14ac:dyDescent="0.25">
      <c r="A21" s="4">
        <v>454</v>
      </c>
      <c r="B21" s="4" t="s">
        <v>98</v>
      </c>
      <c r="C21" s="38">
        <v>8234748.3889228506</v>
      </c>
      <c r="D21" s="38">
        <v>3304571</v>
      </c>
      <c r="E21" s="39">
        <v>2259707</v>
      </c>
      <c r="F21" s="39">
        <v>0</v>
      </c>
      <c r="G21" s="38">
        <v>341729.85000000003</v>
      </c>
      <c r="H21" s="38">
        <v>56644</v>
      </c>
      <c r="I21" s="38">
        <v>0</v>
      </c>
      <c r="J21" s="38">
        <v>0</v>
      </c>
      <c r="K21" s="38">
        <f>VLOOKUP(A21, 'Initial allocations'!A:DH, 103, 0)</f>
        <v>21112.457891023485</v>
      </c>
      <c r="L21" s="38">
        <f>VLOOKUP(B21, SIg!A:I, 9, 0)</f>
        <v>0</v>
      </c>
      <c r="M21" s="40">
        <f t="shared" si="0"/>
        <v>14218512.696813874</v>
      </c>
      <c r="N21" s="38">
        <f>VLOOKUP(A21, [1]Sheet2!$A:$M, 12, 0)</f>
        <v>1410136</v>
      </c>
    </row>
    <row r="22" spans="1:14" ht="15.75" x14ac:dyDescent="0.25">
      <c r="A22" s="4">
        <v>947</v>
      </c>
      <c r="B22" s="4" t="s">
        <v>99</v>
      </c>
      <c r="C22" s="38">
        <v>833033.89249999996</v>
      </c>
      <c r="D22" s="38">
        <v>293055</v>
      </c>
      <c r="E22" s="39">
        <v>0</v>
      </c>
      <c r="F22" s="39">
        <v>0</v>
      </c>
      <c r="G22" s="38">
        <v>50</v>
      </c>
      <c r="H22" s="38">
        <v>0</v>
      </c>
      <c r="I22" s="38">
        <v>0</v>
      </c>
      <c r="J22" s="38">
        <v>0</v>
      </c>
      <c r="K22" s="38">
        <f>VLOOKUP(A22, 'Initial allocations'!A:DH, 103, 0)</f>
        <v>0</v>
      </c>
      <c r="L22" s="38">
        <f>VLOOKUP(B22, SIg!A:I, 9, 0)</f>
        <v>0</v>
      </c>
      <c r="M22" s="40">
        <f t="shared" si="0"/>
        <v>1126138.8925000001</v>
      </c>
      <c r="N22" s="38">
        <v>0</v>
      </c>
    </row>
    <row r="23" spans="1:14" ht="15.75" x14ac:dyDescent="0.25">
      <c r="A23" s="4">
        <v>224</v>
      </c>
      <c r="B23" s="4" t="s">
        <v>100</v>
      </c>
      <c r="C23" s="38">
        <v>3218726.1084062494</v>
      </c>
      <c r="D23" s="38">
        <v>562562</v>
      </c>
      <c r="E23" s="39">
        <v>195370</v>
      </c>
      <c r="F23" s="39">
        <v>0</v>
      </c>
      <c r="G23" s="38">
        <v>138720.89000000001</v>
      </c>
      <c r="H23" s="38">
        <v>82668</v>
      </c>
      <c r="I23" s="38">
        <v>0</v>
      </c>
      <c r="J23" s="38">
        <v>0</v>
      </c>
      <c r="K23" s="38">
        <f>VLOOKUP(A23, 'Initial allocations'!A:DH, 103, 0)</f>
        <v>4756</v>
      </c>
      <c r="L23" s="38">
        <f>VLOOKUP(B23, SIg!A:I, 9, 0)</f>
        <v>0</v>
      </c>
      <c r="M23" s="40">
        <f t="shared" si="0"/>
        <v>4202802.99840625</v>
      </c>
      <c r="N23" s="38">
        <f>VLOOKUP(A23, [1]Sheet2!$A:$M, 12, 0)</f>
        <v>317668</v>
      </c>
    </row>
    <row r="24" spans="1:14" ht="15.75" x14ac:dyDescent="0.25">
      <c r="A24" s="4">
        <v>442</v>
      </c>
      <c r="B24" s="4" t="s">
        <v>101</v>
      </c>
      <c r="C24" s="38">
        <v>10309106.514004791</v>
      </c>
      <c r="D24" s="38">
        <v>1718475</v>
      </c>
      <c r="E24" s="39">
        <v>2617652</v>
      </c>
      <c r="F24" s="39">
        <v>457685</v>
      </c>
      <c r="G24" s="38">
        <v>528676</v>
      </c>
      <c r="H24" s="38">
        <v>56644</v>
      </c>
      <c r="I24" s="38">
        <v>0</v>
      </c>
      <c r="J24" s="38">
        <v>0</v>
      </c>
      <c r="K24" s="38">
        <f>VLOOKUP(A24, 'Initial allocations'!A:DH, 103, 0)</f>
        <v>26216.421079023508</v>
      </c>
      <c r="L24" s="38">
        <f>VLOOKUP(B24, SIg!A:I, 9, 0)</f>
        <v>0</v>
      </c>
      <c r="M24" s="40">
        <f t="shared" si="0"/>
        <v>15714454.935083814</v>
      </c>
      <c r="N24" s="38">
        <f>VLOOKUP(A24, [1]Sheet2!$A:$M, 12, 0)</f>
        <v>1751048</v>
      </c>
    </row>
    <row r="25" spans="1:14" ht="15.75" x14ac:dyDescent="0.25">
      <c r="A25" s="4">
        <v>455</v>
      </c>
      <c r="B25" s="4" t="s">
        <v>102</v>
      </c>
      <c r="C25" s="38">
        <v>4589957.4156375565</v>
      </c>
      <c r="D25" s="38">
        <v>1631524</v>
      </c>
      <c r="E25" s="39">
        <v>390740</v>
      </c>
      <c r="F25" s="39">
        <v>0</v>
      </c>
      <c r="G25" s="38">
        <v>168225.01</v>
      </c>
      <c r="H25" s="38">
        <v>52598</v>
      </c>
      <c r="I25" s="38">
        <v>0</v>
      </c>
      <c r="J25" s="38">
        <v>0</v>
      </c>
      <c r="K25" s="38">
        <f>VLOOKUP(A25, 'Initial allocations'!A:DH, 103, 0)</f>
        <v>8903.4226962033426</v>
      </c>
      <c r="L25" s="38">
        <f>VLOOKUP(B25, SIg!A:I, 9, 0)</f>
        <v>119987</v>
      </c>
      <c r="M25" s="40">
        <f t="shared" si="0"/>
        <v>6961934.8483337592</v>
      </c>
      <c r="N25" s="38">
        <f>VLOOKUP(A25, [1]Sheet2!$A:$M, 12, 0)</f>
        <v>594659</v>
      </c>
    </row>
    <row r="26" spans="1:14" ht="15.75" x14ac:dyDescent="0.25">
      <c r="A26" s="4">
        <v>405</v>
      </c>
      <c r="B26" s="4" t="s">
        <v>103</v>
      </c>
      <c r="C26" s="38">
        <v>9841178.1199127957</v>
      </c>
      <c r="D26" s="38">
        <v>1562960</v>
      </c>
      <c r="E26" s="39">
        <v>195370</v>
      </c>
      <c r="F26" s="39">
        <v>0</v>
      </c>
      <c r="G26" s="38">
        <v>36925</v>
      </c>
      <c r="H26" s="38">
        <v>0</v>
      </c>
      <c r="I26" s="38">
        <v>2151570.8800872043</v>
      </c>
      <c r="J26" s="38">
        <v>0</v>
      </c>
      <c r="K26" s="38">
        <f>VLOOKUP(A26, 'Initial allocations'!A:DH, 103, 0)</f>
        <v>3699.6000000000058</v>
      </c>
      <c r="L26" s="38">
        <f>VLOOKUP(B26, SIg!A:I, 9, 0)</f>
        <v>0</v>
      </c>
      <c r="M26" s="40">
        <f t="shared" si="0"/>
        <v>13791703.6</v>
      </c>
      <c r="N26" s="38">
        <f>VLOOKUP(A26, [1]Sheet2!$A:$M, 12, 0)</f>
        <v>224692</v>
      </c>
    </row>
    <row r="27" spans="1:14" ht="15.75" x14ac:dyDescent="0.25">
      <c r="A27" s="4">
        <v>349</v>
      </c>
      <c r="B27" s="4" t="s">
        <v>104</v>
      </c>
      <c r="C27" s="38">
        <v>4954158.9756666673</v>
      </c>
      <c r="D27" s="38">
        <v>945982.5</v>
      </c>
      <c r="E27" s="39">
        <v>781480</v>
      </c>
      <c r="F27" s="39">
        <v>0</v>
      </c>
      <c r="G27" s="38">
        <v>216208.58</v>
      </c>
      <c r="H27" s="38">
        <v>0</v>
      </c>
      <c r="I27" s="38">
        <v>0</v>
      </c>
      <c r="J27" s="38">
        <v>0</v>
      </c>
      <c r="K27" s="38">
        <f>VLOOKUP(A27, 'Initial allocations'!A:DH, 103, 0)</f>
        <v>7105</v>
      </c>
      <c r="L27" s="38">
        <f>VLOOKUP(B27, SIg!A:I, 9, 0)</f>
        <v>0</v>
      </c>
      <c r="M27" s="40">
        <f t="shared" si="0"/>
        <v>6904935.0556666674</v>
      </c>
      <c r="N27" s="38">
        <f>VLOOKUP(A27, [1]Sheet2!$A:$M, 12, 0)</f>
        <v>474565</v>
      </c>
    </row>
    <row r="28" spans="1:14" ht="15.75" x14ac:dyDescent="0.25">
      <c r="A28" s="4">
        <v>231</v>
      </c>
      <c r="B28" s="4" t="s">
        <v>105</v>
      </c>
      <c r="C28" s="38">
        <v>2676196.4925251128</v>
      </c>
      <c r="D28" s="38">
        <v>692782.5</v>
      </c>
      <c r="E28" s="39">
        <v>4440.227272727273</v>
      </c>
      <c r="F28" s="39">
        <v>0</v>
      </c>
      <c r="G28" s="38">
        <v>107016.83</v>
      </c>
      <c r="H28" s="38">
        <v>45258</v>
      </c>
      <c r="I28" s="38">
        <v>0</v>
      </c>
      <c r="J28" s="38">
        <v>0</v>
      </c>
      <c r="K28" s="38">
        <f>VLOOKUP(A28, 'Initial allocations'!A:DH, 103, 0)</f>
        <v>6264</v>
      </c>
      <c r="L28" s="38">
        <f>VLOOKUP(B28, SIg!A:I, 9, 0)</f>
        <v>0</v>
      </c>
      <c r="M28" s="40">
        <f t="shared" si="0"/>
        <v>3531958.04979784</v>
      </c>
      <c r="N28" s="38">
        <f>VLOOKUP(A28, [1]Sheet2!$A:$M, 12, 0)</f>
        <v>418392</v>
      </c>
    </row>
    <row r="29" spans="1:14" ht="15.75" x14ac:dyDescent="0.25">
      <c r="A29" s="4">
        <v>467</v>
      </c>
      <c r="B29" s="4" t="s">
        <v>106</v>
      </c>
      <c r="C29" s="38">
        <v>6231614.9985502483</v>
      </c>
      <c r="D29" s="38">
        <v>2217634</v>
      </c>
      <c r="E29" s="39">
        <v>97685</v>
      </c>
      <c r="F29" s="39">
        <v>0</v>
      </c>
      <c r="G29" s="38">
        <v>283601.58999999997</v>
      </c>
      <c r="H29" s="38">
        <v>56644</v>
      </c>
      <c r="I29" s="38">
        <v>0</v>
      </c>
      <c r="J29" s="38">
        <v>0</v>
      </c>
      <c r="K29" s="38">
        <f>VLOOKUP(A29, 'Initial allocations'!A:DH, 103, 0)</f>
        <v>13630.49267328321</v>
      </c>
      <c r="L29" s="38">
        <f>VLOOKUP(B29, SIg!A:I, 9, 0)</f>
        <v>0</v>
      </c>
      <c r="M29" s="40">
        <f t="shared" si="0"/>
        <v>8900810.0812235307</v>
      </c>
      <c r="N29" s="38">
        <f>VLOOKUP(A29, [1]Sheet2!$A:$M, 12, 0)</f>
        <v>910390</v>
      </c>
    </row>
    <row r="30" spans="1:14" ht="15.75" x14ac:dyDescent="0.25">
      <c r="A30" s="4">
        <v>457</v>
      </c>
      <c r="B30" s="4" t="s">
        <v>107</v>
      </c>
      <c r="C30" s="38">
        <v>6737411.5511089545</v>
      </c>
      <c r="D30" s="38">
        <v>2951939.5</v>
      </c>
      <c r="E30" s="39">
        <v>31081.590909090908</v>
      </c>
      <c r="F30" s="39">
        <v>0</v>
      </c>
      <c r="G30" s="38">
        <v>422762.45</v>
      </c>
      <c r="H30" s="38">
        <v>68782</v>
      </c>
      <c r="I30" s="38">
        <v>0</v>
      </c>
      <c r="J30" s="38">
        <v>154011.04990293086</v>
      </c>
      <c r="K30" s="38">
        <f>VLOOKUP(A30, 'Initial allocations'!A:DH, 103, 0)</f>
        <v>56675.871079023229</v>
      </c>
      <c r="L30" s="38">
        <f>VLOOKUP(B30, SIg!A:I, 9, 0)</f>
        <v>0</v>
      </c>
      <c r="M30" s="40">
        <f t="shared" si="0"/>
        <v>10422664.013</v>
      </c>
      <c r="N30" s="38">
        <f>VLOOKUP(A30, [1]Sheet2!$A:$M, 12, 0)</f>
        <v>1179633</v>
      </c>
    </row>
    <row r="31" spans="1:14" ht="15.75" x14ac:dyDescent="0.25">
      <c r="A31" s="4">
        <v>232</v>
      </c>
      <c r="B31" s="4" t="s">
        <v>108</v>
      </c>
      <c r="C31" s="38">
        <v>3777428.4864216866</v>
      </c>
      <c r="D31" s="38">
        <v>439582.5</v>
      </c>
      <c r="E31" s="39">
        <v>195370</v>
      </c>
      <c r="F31" s="39">
        <v>0</v>
      </c>
      <c r="G31" s="38">
        <v>11925</v>
      </c>
      <c r="H31" s="38">
        <v>0</v>
      </c>
      <c r="I31" s="38">
        <v>0</v>
      </c>
      <c r="J31" s="38">
        <v>0</v>
      </c>
      <c r="K31" s="38">
        <f>VLOOKUP(A31, 'Initial allocations'!A:DH, 103, 0)</f>
        <v>870</v>
      </c>
      <c r="L31" s="38">
        <f>VLOOKUP(B31, SIg!A:I, 9, 0)</f>
        <v>0</v>
      </c>
      <c r="M31" s="40">
        <f t="shared" si="0"/>
        <v>4425175.9864216866</v>
      </c>
      <c r="N31" s="38">
        <f>VLOOKUP(A31, [1]Sheet2!$A:$M, 12, 0)</f>
        <v>58110</v>
      </c>
    </row>
    <row r="32" spans="1:14" ht="15.75" x14ac:dyDescent="0.25">
      <c r="A32" s="4">
        <v>407</v>
      </c>
      <c r="B32" s="4" t="s">
        <v>109</v>
      </c>
      <c r="C32" s="38">
        <v>2492604.9929403826</v>
      </c>
      <c r="D32" s="38">
        <v>1195562</v>
      </c>
      <c r="E32" s="39">
        <v>13320.681818181818</v>
      </c>
      <c r="F32" s="39">
        <v>0</v>
      </c>
      <c r="G32" s="38">
        <v>90712.31</v>
      </c>
      <c r="H32" s="38">
        <v>0</v>
      </c>
      <c r="I32" s="38">
        <v>0</v>
      </c>
      <c r="J32" s="38">
        <v>0</v>
      </c>
      <c r="K32" s="38">
        <f>VLOOKUP(A32, 'Initial allocations'!A:DH, 103, 0)</f>
        <v>4379</v>
      </c>
      <c r="L32" s="38">
        <f>VLOOKUP(B32, SIg!A:I, 9, 0)</f>
        <v>0</v>
      </c>
      <c r="M32" s="40">
        <f t="shared" si="0"/>
        <v>3796578.9847585643</v>
      </c>
      <c r="N32" s="38">
        <f>VLOOKUP(A32, [1]Sheet2!$A:$M, 12, 0)</f>
        <v>292487</v>
      </c>
    </row>
    <row r="33" spans="1:14" ht="15.75" x14ac:dyDescent="0.25">
      <c r="A33" s="4">
        <v>471</v>
      </c>
      <c r="B33" s="4" t="s">
        <v>110</v>
      </c>
      <c r="C33" s="38">
        <v>3940755.1170187164</v>
      </c>
      <c r="D33" s="38">
        <v>439582.5</v>
      </c>
      <c r="E33" s="39">
        <v>17760.909090909092</v>
      </c>
      <c r="F33" s="39">
        <v>3001098.610816732</v>
      </c>
      <c r="G33" s="38">
        <v>13125</v>
      </c>
      <c r="H33" s="38">
        <v>0</v>
      </c>
      <c r="I33" s="38">
        <v>0</v>
      </c>
      <c r="J33" s="38">
        <v>0</v>
      </c>
      <c r="K33" s="38">
        <f>VLOOKUP(A33, 'Initial allocations'!A:DH, 103, 0)</f>
        <v>5017</v>
      </c>
      <c r="L33" s="38">
        <f>VLOOKUP(B33, SIg!A:I, 9, 0)</f>
        <v>0</v>
      </c>
      <c r="M33" s="40">
        <f t="shared" si="0"/>
        <v>7417339.1369263576</v>
      </c>
      <c r="N33" s="38">
        <f>VLOOKUP(A33, [1]Sheet2!$A:$M, 12, 0)</f>
        <v>335101</v>
      </c>
    </row>
    <row r="34" spans="1:14" ht="15.75" x14ac:dyDescent="0.25">
      <c r="A34" s="4">
        <v>238</v>
      </c>
      <c r="B34" s="4" t="s">
        <v>111</v>
      </c>
      <c r="C34" s="38">
        <v>3063771.5129243461</v>
      </c>
      <c r="D34" s="38">
        <v>1003812.5</v>
      </c>
      <c r="E34" s="39">
        <v>4440.227272727273</v>
      </c>
      <c r="F34" s="39">
        <v>0</v>
      </c>
      <c r="G34" s="38">
        <v>140040.84</v>
      </c>
      <c r="H34" s="38">
        <v>70198</v>
      </c>
      <c r="I34" s="38">
        <v>0</v>
      </c>
      <c r="J34" s="38">
        <v>0</v>
      </c>
      <c r="K34" s="38">
        <f>VLOOKUP(A34, 'Initial allocations'!A:DH, 103, 0)</f>
        <v>7308</v>
      </c>
      <c r="L34" s="38">
        <f>VLOOKUP(B34, SIg!A:I, 9, 0)</f>
        <v>0</v>
      </c>
      <c r="M34" s="40">
        <f t="shared" si="0"/>
        <v>4289571.0801970735</v>
      </c>
      <c r="N34" s="38">
        <f>VLOOKUP(A34, [1]Sheet2!$A:$M, 12, 0)</f>
        <v>488124</v>
      </c>
    </row>
    <row r="35" spans="1:14" ht="15.75" x14ac:dyDescent="0.25">
      <c r="A35" s="4">
        <v>239</v>
      </c>
      <c r="B35" s="4" t="s">
        <v>112</v>
      </c>
      <c r="C35" s="38">
        <v>2532809.8166573034</v>
      </c>
      <c r="D35" s="38">
        <v>1081570</v>
      </c>
      <c r="E35" s="39">
        <v>195370</v>
      </c>
      <c r="F35" s="39">
        <v>0</v>
      </c>
      <c r="G35" s="38">
        <v>105696.86</v>
      </c>
      <c r="H35" s="38">
        <v>70198</v>
      </c>
      <c r="I35" s="38">
        <v>0</v>
      </c>
      <c r="J35" s="38">
        <v>0</v>
      </c>
      <c r="K35" s="38">
        <f>VLOOKUP(A35, 'Initial allocations'!A:DH, 103, 0)</f>
        <v>3509</v>
      </c>
      <c r="L35" s="38">
        <f>VLOOKUP(B35, SIg!A:I, 9, 0)</f>
        <v>0</v>
      </c>
      <c r="M35" s="40">
        <f t="shared" si="0"/>
        <v>3989153.6766573032</v>
      </c>
      <c r="N35" s="38">
        <f>VLOOKUP(A35, [1]Sheet2!$A:$M, 12, 0)</f>
        <v>234377</v>
      </c>
    </row>
    <row r="36" spans="1:14" ht="15.75" x14ac:dyDescent="0.25">
      <c r="A36" s="4">
        <v>227</v>
      </c>
      <c r="B36" s="4" t="s">
        <v>113</v>
      </c>
      <c r="C36" s="38">
        <v>4738192.8066854551</v>
      </c>
      <c r="D36" s="38">
        <v>586110</v>
      </c>
      <c r="E36" s="39">
        <v>781480</v>
      </c>
      <c r="F36" s="39">
        <v>0</v>
      </c>
      <c r="G36" s="38">
        <v>172184.89</v>
      </c>
      <c r="H36" s="38">
        <v>95138</v>
      </c>
      <c r="I36" s="38">
        <v>0</v>
      </c>
      <c r="J36" s="38">
        <v>0</v>
      </c>
      <c r="K36" s="38">
        <f>VLOOKUP(A36, 'Initial allocations'!A:DH, 103, 0)</f>
        <v>7192.3108599999687</v>
      </c>
      <c r="L36" s="38">
        <f>VLOOKUP(B36, SIg!A:I, 9, 0)</f>
        <v>0</v>
      </c>
      <c r="M36" s="40">
        <f t="shared" si="0"/>
        <v>6380298.0075454544</v>
      </c>
      <c r="N36" s="38">
        <f>VLOOKUP(A36, [1]Sheet2!$A:$M, 12, 0)</f>
        <v>480376</v>
      </c>
    </row>
    <row r="37" spans="1:14" ht="15.75" x14ac:dyDescent="0.25">
      <c r="A37" s="4">
        <v>246</v>
      </c>
      <c r="B37" s="4" t="s">
        <v>114</v>
      </c>
      <c r="C37" s="38">
        <v>3483411.8332371134</v>
      </c>
      <c r="D37" s="38">
        <v>945982.5</v>
      </c>
      <c r="E37" s="39">
        <v>97685</v>
      </c>
      <c r="F37" s="39">
        <v>0</v>
      </c>
      <c r="G37" s="38">
        <v>69133.119999999995</v>
      </c>
      <c r="H37" s="38">
        <v>0</v>
      </c>
      <c r="I37" s="38">
        <v>0</v>
      </c>
      <c r="J37" s="38">
        <v>0</v>
      </c>
      <c r="K37" s="38">
        <f>VLOOKUP(A37, 'Initial allocations'!A:DH, 103, 0)</f>
        <v>2773.8999999999942</v>
      </c>
      <c r="L37" s="38">
        <f>VLOOKUP(B37, SIg!A:I, 9, 0)</f>
        <v>0</v>
      </c>
      <c r="M37" s="40">
        <f t="shared" si="0"/>
        <v>4598986.3532371139</v>
      </c>
      <c r="N37" s="38">
        <f>VLOOKUP(A37, [1]Sheet2!$A:$M, 12, 0)</f>
        <v>176267</v>
      </c>
    </row>
    <row r="38" spans="1:14" ht="15.75" x14ac:dyDescent="0.25">
      <c r="A38" s="4">
        <v>413</v>
      </c>
      <c r="B38" s="4" t="s">
        <v>115</v>
      </c>
      <c r="C38" s="38">
        <v>3622953.9716475913</v>
      </c>
      <c r="D38" s="38">
        <v>1586302</v>
      </c>
      <c r="E38" s="39">
        <v>8880.454545454546</v>
      </c>
      <c r="F38" s="39">
        <v>0</v>
      </c>
      <c r="G38" s="38">
        <v>167345.04</v>
      </c>
      <c r="H38" s="38">
        <v>0</v>
      </c>
      <c r="I38" s="38">
        <v>0</v>
      </c>
      <c r="J38" s="38">
        <v>865637.75237240735</v>
      </c>
      <c r="K38" s="38">
        <f>VLOOKUP(A38, 'Initial allocations'!A:DH, 103, 0)</f>
        <v>8497.2679345457582</v>
      </c>
      <c r="L38" s="38">
        <f>VLOOKUP(B38, SIg!A:I, 9, 0)</f>
        <v>0</v>
      </c>
      <c r="M38" s="40">
        <f t="shared" si="0"/>
        <v>6259616.4864999987</v>
      </c>
      <c r="N38" s="38">
        <f>VLOOKUP(A38, [1]Sheet2!$A:$M, 12, 0)</f>
        <v>567541</v>
      </c>
    </row>
    <row r="39" spans="1:14" ht="15.75" x14ac:dyDescent="0.25">
      <c r="A39" s="4">
        <v>258</v>
      </c>
      <c r="B39" s="4" t="s">
        <v>116</v>
      </c>
      <c r="C39" s="38">
        <v>2957055.9904090911</v>
      </c>
      <c r="D39" s="38">
        <v>906127.5</v>
      </c>
      <c r="E39" s="39">
        <v>195370</v>
      </c>
      <c r="F39" s="39">
        <v>0</v>
      </c>
      <c r="G39" s="38">
        <v>7800</v>
      </c>
      <c r="H39" s="38">
        <v>0</v>
      </c>
      <c r="I39" s="38">
        <v>0</v>
      </c>
      <c r="J39" s="38">
        <v>0</v>
      </c>
      <c r="K39" s="38">
        <f>VLOOKUP(A39, 'Initial allocations'!A:DH, 103, 0)</f>
        <v>928</v>
      </c>
      <c r="L39" s="38">
        <f>VLOOKUP(B39, SIg!A:I, 9, 0)</f>
        <v>0</v>
      </c>
      <c r="M39" s="40">
        <f t="shared" si="0"/>
        <v>4067281.4904090911</v>
      </c>
      <c r="N39" s="38">
        <f>VLOOKUP(A39, [1]Sheet2!$A:$M, 12, 0)</f>
        <v>61984</v>
      </c>
    </row>
    <row r="40" spans="1:14" ht="15.75" x14ac:dyDescent="0.25">
      <c r="A40" s="4">
        <v>249</v>
      </c>
      <c r="B40" s="4" t="s">
        <v>117</v>
      </c>
      <c r="C40" s="38">
        <v>4452767.3542581815</v>
      </c>
      <c r="D40" s="38">
        <v>855617</v>
      </c>
      <c r="E40" s="39">
        <v>4440.227272727273</v>
      </c>
      <c r="F40" s="39">
        <v>0</v>
      </c>
      <c r="G40" s="38">
        <v>204768.92</v>
      </c>
      <c r="H40" s="38">
        <v>95138</v>
      </c>
      <c r="I40" s="38">
        <v>0</v>
      </c>
      <c r="J40" s="38">
        <v>0</v>
      </c>
      <c r="K40" s="38">
        <f>VLOOKUP(A40, 'Initial allocations'!A:DH, 103, 0)</f>
        <v>13205.898287272663</v>
      </c>
      <c r="L40" s="38">
        <f>VLOOKUP(B40, SIg!A:I, 9, 0)</f>
        <v>0</v>
      </c>
      <c r="M40" s="40">
        <f t="shared" si="0"/>
        <v>5625937.399818182</v>
      </c>
      <c r="N40" s="38">
        <f>VLOOKUP(A40, [1]Sheet2!$A:$M, 12, 0)</f>
        <v>784485</v>
      </c>
    </row>
    <row r="41" spans="1:14" ht="15.75" x14ac:dyDescent="0.25">
      <c r="A41" s="4">
        <v>251</v>
      </c>
      <c r="B41" s="4" t="s">
        <v>118</v>
      </c>
      <c r="C41" s="38">
        <v>2767894.1729454086</v>
      </c>
      <c r="D41" s="38">
        <v>1081570</v>
      </c>
      <c r="E41" s="39">
        <v>17760.909090909092</v>
      </c>
      <c r="F41" s="39">
        <v>0</v>
      </c>
      <c r="G41" s="38">
        <v>119336.46</v>
      </c>
      <c r="H41" s="38">
        <v>70198</v>
      </c>
      <c r="I41" s="38">
        <v>0</v>
      </c>
      <c r="J41" s="38">
        <v>0</v>
      </c>
      <c r="K41" s="38">
        <f>VLOOKUP(A41, 'Initial allocations'!A:DH, 103, 0)</f>
        <v>55905.5</v>
      </c>
      <c r="L41" s="38">
        <f>VLOOKUP(B41, SIg!A:I, 9, 0)</f>
        <v>0</v>
      </c>
      <c r="M41" s="40">
        <f t="shared" si="0"/>
        <v>4112665.0420363178</v>
      </c>
      <c r="N41" s="38">
        <f>VLOOKUP(A41, [1]Sheet2!$A:$M, 12, 0)</f>
        <v>457132</v>
      </c>
    </row>
    <row r="42" spans="1:14" ht="15.75" x14ac:dyDescent="0.25">
      <c r="A42" s="4">
        <v>252</v>
      </c>
      <c r="B42" s="4" t="s">
        <v>119</v>
      </c>
      <c r="C42" s="38">
        <v>3003594.5557499998</v>
      </c>
      <c r="D42" s="38">
        <v>370812.5</v>
      </c>
      <c r="E42" s="39">
        <v>97685</v>
      </c>
      <c r="F42" s="39">
        <v>35000</v>
      </c>
      <c r="G42" s="38">
        <v>8225</v>
      </c>
      <c r="H42" s="38">
        <v>0</v>
      </c>
      <c r="I42" s="38">
        <v>0</v>
      </c>
      <c r="J42" s="38">
        <v>0</v>
      </c>
      <c r="K42" s="38">
        <f>VLOOKUP(A42, 'Initial allocations'!A:DH, 103, 0)</f>
        <v>580</v>
      </c>
      <c r="L42" s="38">
        <f>VLOOKUP(B42, SIg!A:I, 9, 0)</f>
        <v>0</v>
      </c>
      <c r="M42" s="40">
        <f t="shared" si="0"/>
        <v>3515897.0557499998</v>
      </c>
      <c r="N42" s="38">
        <f>VLOOKUP(A42, [1]Sheet2!$A:$M, 12, 0)</f>
        <v>38740</v>
      </c>
    </row>
    <row r="43" spans="1:14" ht="15.75" x14ac:dyDescent="0.25">
      <c r="A43" s="4">
        <v>950</v>
      </c>
      <c r="B43" s="4" t="s">
        <v>121</v>
      </c>
      <c r="C43" s="38">
        <v>589298.0675</v>
      </c>
      <c r="D43" s="38">
        <v>488425</v>
      </c>
      <c r="E43" s="39">
        <v>0</v>
      </c>
      <c r="F43" s="39">
        <v>116943</v>
      </c>
      <c r="G43" s="38">
        <v>1200</v>
      </c>
      <c r="H43" s="38">
        <v>12138</v>
      </c>
      <c r="I43" s="38">
        <v>0</v>
      </c>
      <c r="J43" s="38">
        <v>0</v>
      </c>
      <c r="K43" s="38">
        <f>VLOOKUP(A43, 'Initial allocations'!A:DH, 103, 0)</f>
        <v>0</v>
      </c>
      <c r="L43" s="38">
        <f>VLOOKUP(B43, SIg!A:I, 9, 0)</f>
        <v>0</v>
      </c>
      <c r="M43" s="40">
        <f t="shared" si="0"/>
        <v>1208004.0674999999</v>
      </c>
      <c r="N43" s="38">
        <v>0</v>
      </c>
    </row>
    <row r="44" spans="1:14" ht="15.75" x14ac:dyDescent="0.25">
      <c r="A44" s="4">
        <v>339</v>
      </c>
      <c r="B44" s="4" t="s">
        <v>123</v>
      </c>
      <c r="C44" s="38">
        <v>4712836.638015151</v>
      </c>
      <c r="D44" s="38">
        <v>1112437.5</v>
      </c>
      <c r="E44" s="39">
        <v>39962.045454545456</v>
      </c>
      <c r="F44" s="39">
        <v>0</v>
      </c>
      <c r="G44" s="38">
        <v>218873.51</v>
      </c>
      <c r="H44" s="38">
        <v>95138</v>
      </c>
      <c r="I44" s="38">
        <v>0</v>
      </c>
      <c r="J44" s="38">
        <v>0</v>
      </c>
      <c r="K44" s="38">
        <f>VLOOKUP(A44, 'Initial allocations'!A:DH, 103, 0)</f>
        <v>22422</v>
      </c>
      <c r="L44" s="38">
        <f>VLOOKUP(B44, SIg!A:I, 9, 0)</f>
        <v>0</v>
      </c>
      <c r="M44" s="40">
        <f t="shared" si="0"/>
        <v>6201669.6934696967</v>
      </c>
      <c r="N44" s="38">
        <f>VLOOKUP(A44, [1]Sheet2!$A:$M, 12, 0)</f>
        <v>480376</v>
      </c>
    </row>
    <row r="45" spans="1:14" ht="15.75" x14ac:dyDescent="0.25">
      <c r="A45" s="4">
        <v>254</v>
      </c>
      <c r="B45" s="4" t="s">
        <v>124</v>
      </c>
      <c r="C45" s="38">
        <v>5252034.1949999994</v>
      </c>
      <c r="D45" s="38">
        <v>634952.5</v>
      </c>
      <c r="E45" s="39">
        <v>97685</v>
      </c>
      <c r="F45" s="39">
        <v>0</v>
      </c>
      <c r="G45" s="38">
        <v>18050</v>
      </c>
      <c r="H45" s="38">
        <v>0</v>
      </c>
      <c r="I45" s="38">
        <v>549280.30500000063</v>
      </c>
      <c r="J45" s="38">
        <v>0</v>
      </c>
      <c r="K45" s="38">
        <f>VLOOKUP(A45, 'Initial allocations'!A:DH, 103, 0)</f>
        <v>2717</v>
      </c>
      <c r="L45" s="38">
        <f>VLOOKUP(B45, SIg!A:I, 9, 0)</f>
        <v>0</v>
      </c>
      <c r="M45" s="40">
        <f t="shared" si="0"/>
        <v>6554719</v>
      </c>
      <c r="N45" s="38">
        <f>VLOOKUP(A45, [1]Sheet2!$A:$M, 12, 0)</f>
        <v>32929</v>
      </c>
    </row>
    <row r="46" spans="1:14" ht="15.75" x14ac:dyDescent="0.25">
      <c r="A46" s="4">
        <v>433</v>
      </c>
      <c r="B46" s="4" t="s">
        <v>125</v>
      </c>
      <c r="C46" s="38">
        <v>3022570.3785254993</v>
      </c>
      <c r="D46" s="38">
        <v>1063595</v>
      </c>
      <c r="E46" s="39">
        <v>8880.454545454546</v>
      </c>
      <c r="F46" s="39">
        <v>0</v>
      </c>
      <c r="G46" s="38">
        <v>119336.46</v>
      </c>
      <c r="H46" s="38">
        <v>0</v>
      </c>
      <c r="I46" s="38">
        <v>0</v>
      </c>
      <c r="J46" s="38">
        <v>0</v>
      </c>
      <c r="K46" s="38">
        <f>VLOOKUP(A46, 'Initial allocations'!A:DH, 103, 0)</f>
        <v>5655</v>
      </c>
      <c r="L46" s="38">
        <f>VLOOKUP(B46, SIg!A:I, 9, 0)</f>
        <v>0</v>
      </c>
      <c r="M46" s="40">
        <f t="shared" si="0"/>
        <v>4220037.2930709543</v>
      </c>
      <c r="N46" s="38">
        <f>VLOOKUP(A46, [1]Sheet2!$A:$M, 12, 0)</f>
        <v>377715</v>
      </c>
    </row>
    <row r="47" spans="1:14" ht="15.75" x14ac:dyDescent="0.25">
      <c r="A47" s="4">
        <v>416</v>
      </c>
      <c r="B47" s="4" t="s">
        <v>126</v>
      </c>
      <c r="C47" s="38">
        <v>2965391.5954690911</v>
      </c>
      <c r="D47" s="38">
        <v>1177587</v>
      </c>
      <c r="E47" s="39">
        <v>0</v>
      </c>
      <c r="F47" s="39">
        <v>0</v>
      </c>
      <c r="G47" s="38">
        <v>126376.25</v>
      </c>
      <c r="H47" s="38">
        <v>0</v>
      </c>
      <c r="I47" s="38">
        <v>0</v>
      </c>
      <c r="J47" s="38">
        <v>0</v>
      </c>
      <c r="K47" s="38">
        <f>VLOOKUP(A47, 'Initial allocations'!A:DH, 103, 0)</f>
        <v>6322</v>
      </c>
      <c r="L47" s="38">
        <f>VLOOKUP(B47, SIg!A:I, 9, 0)</f>
        <v>0</v>
      </c>
      <c r="M47" s="40">
        <f t="shared" si="0"/>
        <v>4275676.8454690911</v>
      </c>
      <c r="N47" s="38">
        <f>VLOOKUP(A47, [1]Sheet2!$A:$M, 12, 0)</f>
        <v>422266</v>
      </c>
    </row>
    <row r="48" spans="1:14" ht="15.75" x14ac:dyDescent="0.25">
      <c r="A48" s="4">
        <v>421</v>
      </c>
      <c r="B48" s="4" t="s">
        <v>127</v>
      </c>
      <c r="C48" s="38">
        <v>4346513.7102272715</v>
      </c>
      <c r="D48" s="38">
        <v>1504924</v>
      </c>
      <c r="E48" s="39">
        <v>31081.590909090908</v>
      </c>
      <c r="F48" s="39">
        <v>0</v>
      </c>
      <c r="G48" s="38">
        <v>195529.19999999998</v>
      </c>
      <c r="H48" s="38">
        <v>0</v>
      </c>
      <c r="I48" s="38">
        <v>0</v>
      </c>
      <c r="J48" s="38">
        <v>0</v>
      </c>
      <c r="K48" s="38">
        <f>VLOOKUP(A48, 'Initial allocations'!A:DH, 103, 0)</f>
        <v>8903.3465909094084</v>
      </c>
      <c r="L48" s="38">
        <f>VLOOKUP(B48, SIg!A:I, 9, 0)</f>
        <v>0</v>
      </c>
      <c r="M48" s="40">
        <f t="shared" si="0"/>
        <v>6086951.8477272717</v>
      </c>
      <c r="N48" s="38">
        <f>VLOOKUP(A48, [1]Sheet2!$A:$M, 12, 0)</f>
        <v>594659</v>
      </c>
    </row>
    <row r="49" spans="1:14" ht="15.75" x14ac:dyDescent="0.25">
      <c r="A49" s="4">
        <v>257</v>
      </c>
      <c r="B49" s="4" t="s">
        <v>128</v>
      </c>
      <c r="C49" s="38">
        <v>3135935.2347797202</v>
      </c>
      <c r="D49" s="38">
        <v>488425</v>
      </c>
      <c r="E49" s="39">
        <v>8880.454545454546</v>
      </c>
      <c r="F49" s="39">
        <v>0</v>
      </c>
      <c r="G49" s="38">
        <v>135640.97999999998</v>
      </c>
      <c r="H49" s="38">
        <v>57728</v>
      </c>
      <c r="I49" s="38">
        <v>0</v>
      </c>
      <c r="J49" s="38">
        <v>0</v>
      </c>
      <c r="K49" s="38">
        <f>VLOOKUP(A49, 'Initial allocations'!A:DH, 103, 0)</f>
        <v>49102</v>
      </c>
      <c r="L49" s="38">
        <f>VLOOKUP(B49, SIg!A:I, 9, 0)</f>
        <v>0</v>
      </c>
      <c r="M49" s="40">
        <f t="shared" si="0"/>
        <v>3875711.6693251748</v>
      </c>
      <c r="N49" s="38">
        <f>VLOOKUP(A49, [1]Sheet2!$A:$M, 12, 0)</f>
        <v>519116</v>
      </c>
    </row>
    <row r="50" spans="1:14" ht="15.75" x14ac:dyDescent="0.25">
      <c r="A50" s="4">
        <v>272</v>
      </c>
      <c r="B50" s="4" t="s">
        <v>129</v>
      </c>
      <c r="C50" s="38">
        <v>3401769.5404901961</v>
      </c>
      <c r="D50" s="38">
        <v>439582.5</v>
      </c>
      <c r="E50" s="39">
        <v>97685</v>
      </c>
      <c r="F50" s="39">
        <v>0</v>
      </c>
      <c r="G50" s="38">
        <v>9925</v>
      </c>
      <c r="H50" s="38">
        <v>0</v>
      </c>
      <c r="I50" s="38">
        <v>0</v>
      </c>
      <c r="J50" s="38">
        <v>0</v>
      </c>
      <c r="K50" s="38">
        <f>VLOOKUP(A50, 'Initial allocations'!A:DH, 103, 0)</f>
        <v>8415</v>
      </c>
      <c r="L50" s="38">
        <f>VLOOKUP(B50, SIg!A:I, 9, 0)</f>
        <v>0</v>
      </c>
      <c r="M50" s="40">
        <f t="shared" si="0"/>
        <v>3957377.0404901961</v>
      </c>
      <c r="N50" s="38">
        <f>VLOOKUP(A50, [1]Sheet2!$A:$M, 12, 0)</f>
        <v>25181</v>
      </c>
    </row>
    <row r="51" spans="1:14" ht="15.75" x14ac:dyDescent="0.25">
      <c r="A51" s="4">
        <v>259</v>
      </c>
      <c r="B51" s="4" t="s">
        <v>130</v>
      </c>
      <c r="C51" s="38">
        <v>3540043.9563567839</v>
      </c>
      <c r="D51" s="38">
        <v>712710</v>
      </c>
      <c r="E51" s="39">
        <v>0</v>
      </c>
      <c r="F51" s="39">
        <v>0</v>
      </c>
      <c r="G51" s="38">
        <v>154560.42000000001</v>
      </c>
      <c r="H51" s="38">
        <v>82668</v>
      </c>
      <c r="I51" s="38">
        <v>0</v>
      </c>
      <c r="J51" s="38">
        <v>0</v>
      </c>
      <c r="K51" s="38">
        <f>VLOOKUP(A51, 'Initial allocations'!A:DH, 103, 0)</f>
        <v>42299</v>
      </c>
      <c r="L51" s="38">
        <f>VLOOKUP(B51, SIg!A:I, 9, 0)</f>
        <v>0</v>
      </c>
      <c r="M51" s="40">
        <f t="shared" si="0"/>
        <v>4532281.3763567843</v>
      </c>
      <c r="N51" s="38">
        <f>VLOOKUP(A51, [1]Sheet2!$A:$M, 12, 0)</f>
        <v>612092</v>
      </c>
    </row>
    <row r="52" spans="1:14" ht="15.75" x14ac:dyDescent="0.25">
      <c r="A52" s="4">
        <v>344</v>
      </c>
      <c r="B52" s="4" t="s">
        <v>131</v>
      </c>
      <c r="C52" s="38">
        <v>4091002.9813937345</v>
      </c>
      <c r="D52" s="38">
        <v>586110</v>
      </c>
      <c r="E52" s="39">
        <v>13320.681818181818</v>
      </c>
      <c r="F52" s="39">
        <v>0</v>
      </c>
      <c r="G52" s="38">
        <v>172624.87999999998</v>
      </c>
      <c r="H52" s="38">
        <v>57728</v>
      </c>
      <c r="I52" s="38">
        <v>0</v>
      </c>
      <c r="J52" s="38">
        <v>0</v>
      </c>
      <c r="K52" s="38">
        <f>VLOOKUP(A52, 'Initial allocations'!A:DH, 103, 0)</f>
        <v>37093.858931818395</v>
      </c>
      <c r="L52" s="38">
        <f>VLOOKUP(B52, SIg!A:I, 9, 0)</f>
        <v>0</v>
      </c>
      <c r="M52" s="40">
        <f t="shared" si="0"/>
        <v>4957880.4021437336</v>
      </c>
      <c r="N52" s="38">
        <f>VLOOKUP(A52, [1]Sheet2!$A:$M, 12, 0)</f>
        <v>674076</v>
      </c>
    </row>
    <row r="53" spans="1:14" ht="15.75" x14ac:dyDescent="0.25">
      <c r="A53" s="4">
        <v>417</v>
      </c>
      <c r="B53" s="4" t="s">
        <v>132</v>
      </c>
      <c r="C53" s="38">
        <v>2403353.1664848486</v>
      </c>
      <c r="D53" s="38">
        <v>1320494</v>
      </c>
      <c r="E53" s="39">
        <v>8880.454545454546</v>
      </c>
      <c r="F53" s="39">
        <v>0</v>
      </c>
      <c r="G53" s="38">
        <v>107896.8</v>
      </c>
      <c r="H53" s="38">
        <v>0</v>
      </c>
      <c r="I53" s="38">
        <v>0</v>
      </c>
      <c r="J53" s="38">
        <v>275229.68146969704</v>
      </c>
      <c r="K53" s="38">
        <f>VLOOKUP(A53, 'Initial allocations'!A:DH, 103, 0)</f>
        <v>5423</v>
      </c>
      <c r="L53" s="38">
        <f>VLOOKUP(B53, SIg!A:I, 9, 0)</f>
        <v>0</v>
      </c>
      <c r="M53" s="40">
        <f t="shared" si="0"/>
        <v>4121277.1025</v>
      </c>
      <c r="N53" s="38">
        <f>VLOOKUP(A53, [1]Sheet2!$A:$M, 12, 0)</f>
        <v>362219</v>
      </c>
    </row>
    <row r="54" spans="1:14" ht="15.75" x14ac:dyDescent="0.25">
      <c r="A54" s="4">
        <v>261</v>
      </c>
      <c r="B54" s="4" t="s">
        <v>133</v>
      </c>
      <c r="C54" s="38">
        <v>5785893.3884782605</v>
      </c>
      <c r="D54" s="38">
        <v>692782.5</v>
      </c>
      <c r="E54" s="39">
        <v>97685</v>
      </c>
      <c r="F54" s="39">
        <v>0</v>
      </c>
      <c r="G54" s="38">
        <v>19000</v>
      </c>
      <c r="H54" s="38">
        <v>0</v>
      </c>
      <c r="I54" s="38">
        <v>568643.11152173951</v>
      </c>
      <c r="J54" s="38">
        <v>0</v>
      </c>
      <c r="K54" s="38">
        <f>VLOOKUP(A54, 'Initial allocations'!A:DH, 103, 0)</f>
        <v>9580</v>
      </c>
      <c r="L54" s="38">
        <f>VLOOKUP(B54, SIg!A:I, 9, 0)</f>
        <v>0</v>
      </c>
      <c r="M54" s="40">
        <f t="shared" si="0"/>
        <v>7173584</v>
      </c>
      <c r="N54" s="38">
        <f>VLOOKUP(A54, [1]Sheet2!$A:$M, 12, 0)</f>
        <v>42614</v>
      </c>
    </row>
    <row r="55" spans="1:14" ht="15.75" x14ac:dyDescent="0.25">
      <c r="A55" s="4">
        <v>262</v>
      </c>
      <c r="B55" s="4" t="s">
        <v>134</v>
      </c>
      <c r="C55" s="38">
        <v>3073520.2194999997</v>
      </c>
      <c r="D55" s="38">
        <v>595097.5</v>
      </c>
      <c r="E55" s="39">
        <v>97685</v>
      </c>
      <c r="F55" s="39">
        <v>0</v>
      </c>
      <c r="G55" s="38">
        <v>131681.09</v>
      </c>
      <c r="H55" s="38">
        <v>82668</v>
      </c>
      <c r="I55" s="38">
        <v>0</v>
      </c>
      <c r="J55" s="38">
        <v>0</v>
      </c>
      <c r="K55" s="38">
        <f>VLOOKUP(A55, 'Initial allocations'!A:DH, 103, 0)</f>
        <v>10851.5</v>
      </c>
      <c r="L55" s="38">
        <f>VLOOKUP(B55, SIg!A:I, 9, 0)</f>
        <v>0</v>
      </c>
      <c r="M55" s="40">
        <f t="shared" si="0"/>
        <v>3991503.3094999995</v>
      </c>
      <c r="N55" s="38">
        <f>VLOOKUP(A55, [1]Sheet2!$A:$M, 12, 0)</f>
        <v>379652</v>
      </c>
    </row>
    <row r="56" spans="1:14" ht="15.75" x14ac:dyDescent="0.25">
      <c r="A56" s="4">
        <v>370</v>
      </c>
      <c r="B56" s="4" t="s">
        <v>135</v>
      </c>
      <c r="C56" s="38">
        <v>2709879.0015566037</v>
      </c>
      <c r="D56" s="38">
        <v>1551814</v>
      </c>
      <c r="E56" s="39">
        <v>97685</v>
      </c>
      <c r="F56" s="39">
        <v>0</v>
      </c>
      <c r="G56" s="38">
        <v>124616.3</v>
      </c>
      <c r="H56" s="38">
        <v>45258</v>
      </c>
      <c r="I56" s="38">
        <v>0</v>
      </c>
      <c r="J56" s="38">
        <v>0</v>
      </c>
      <c r="K56" s="38">
        <f>VLOOKUP(A56, 'Initial allocations'!A:DH, 103, 0)</f>
        <v>94691</v>
      </c>
      <c r="L56" s="38">
        <f>VLOOKUP(B56, SIg!A:I, 9, 0)</f>
        <v>0</v>
      </c>
      <c r="M56" s="40">
        <f t="shared" si="0"/>
        <v>4623943.3015566031</v>
      </c>
      <c r="N56" s="38">
        <f>VLOOKUP(A56, [1]Sheet2!$A:$M, 12, 0)</f>
        <v>337038</v>
      </c>
    </row>
    <row r="57" spans="1:14" ht="15.75" x14ac:dyDescent="0.25">
      <c r="A57" s="4">
        <v>264</v>
      </c>
      <c r="B57" s="4" t="s">
        <v>136</v>
      </c>
      <c r="C57" s="38">
        <v>3648718.4709999999</v>
      </c>
      <c r="D57" s="38">
        <v>1202881.5</v>
      </c>
      <c r="E57" s="39">
        <v>683795</v>
      </c>
      <c r="F57" s="39">
        <v>0</v>
      </c>
      <c r="G57" s="38">
        <v>149280.57</v>
      </c>
      <c r="H57" s="38">
        <v>70198</v>
      </c>
      <c r="I57" s="38">
        <v>0</v>
      </c>
      <c r="J57" s="38">
        <v>0</v>
      </c>
      <c r="K57" s="38">
        <f>VLOOKUP(A57, 'Initial allocations'!A:DH, 103, 0)</f>
        <v>30143.799999999988</v>
      </c>
      <c r="L57" s="38">
        <f>VLOOKUP(B57, SIg!A:I, 9, 0)</f>
        <v>0</v>
      </c>
      <c r="M57" s="40">
        <f t="shared" si="0"/>
        <v>5785017.341</v>
      </c>
      <c r="N57" s="38">
        <f>VLOOKUP(A57, [1]Sheet2!$A:$M, 12, 0)</f>
        <v>414518</v>
      </c>
    </row>
    <row r="58" spans="1:14" ht="15.75" x14ac:dyDescent="0.25">
      <c r="A58" s="4">
        <v>266</v>
      </c>
      <c r="B58" s="4" t="s">
        <v>137</v>
      </c>
      <c r="C58" s="38">
        <v>5120640.6517121205</v>
      </c>
      <c r="D58" s="38">
        <v>683795</v>
      </c>
      <c r="E58" s="39">
        <v>22201.136363636364</v>
      </c>
      <c r="F58" s="39">
        <v>0</v>
      </c>
      <c r="G58" s="38">
        <v>241752.81999999998</v>
      </c>
      <c r="H58" s="38">
        <v>120078</v>
      </c>
      <c r="I58" s="38">
        <v>0</v>
      </c>
      <c r="J58" s="38">
        <v>0</v>
      </c>
      <c r="K58" s="38">
        <f>VLOOKUP(A58, 'Initial allocations'!A:DH, 103, 0)</f>
        <v>7250.2999999999884</v>
      </c>
      <c r="L58" s="38">
        <f>VLOOKUP(B58, SIg!A:I, 9, 0)</f>
        <v>0</v>
      </c>
      <c r="M58" s="40">
        <f t="shared" si="0"/>
        <v>6195717.9080757573</v>
      </c>
      <c r="N58" s="38">
        <f>VLOOKUP(A58, [1]Sheet2!$A:$M, 12, 0)</f>
        <v>484250</v>
      </c>
    </row>
    <row r="59" spans="1:14" ht="15.75" x14ac:dyDescent="0.25">
      <c r="A59" s="4">
        <v>271</v>
      </c>
      <c r="B59" s="4" t="s">
        <v>138</v>
      </c>
      <c r="C59" s="38">
        <v>3529789.0560811153</v>
      </c>
      <c r="D59" s="38">
        <v>1257012.5</v>
      </c>
      <c r="E59" s="39">
        <v>17760.909090909092</v>
      </c>
      <c r="F59" s="39">
        <v>0</v>
      </c>
      <c r="G59" s="38">
        <v>161185.21</v>
      </c>
      <c r="H59" s="38">
        <v>145018</v>
      </c>
      <c r="I59" s="38">
        <v>0</v>
      </c>
      <c r="J59" s="38">
        <v>0</v>
      </c>
      <c r="K59" s="38">
        <f>VLOOKUP(A59, 'Initial allocations'!A:DH, 103, 0)</f>
        <v>3364</v>
      </c>
      <c r="L59" s="38">
        <f>VLOOKUP(B59, SIg!A:I, 9, 0)</f>
        <v>0</v>
      </c>
      <c r="M59" s="40">
        <f t="shared" si="0"/>
        <v>5114129.6751720244</v>
      </c>
      <c r="N59" s="38">
        <f>VLOOKUP(A59, [1]Sheet2!$A:$M, 12, 0)</f>
        <v>224692</v>
      </c>
    </row>
    <row r="60" spans="1:14" ht="15.75" x14ac:dyDescent="0.25">
      <c r="A60" s="4">
        <v>884</v>
      </c>
      <c r="B60" s="4" t="s">
        <v>139</v>
      </c>
      <c r="C60" s="38">
        <v>2251998.1899837595</v>
      </c>
      <c r="D60" s="38">
        <v>537267.5</v>
      </c>
      <c r="E60" s="39">
        <v>17760.909090909092</v>
      </c>
      <c r="F60" s="39">
        <v>0</v>
      </c>
      <c r="G60" s="38">
        <v>131681.09</v>
      </c>
      <c r="H60" s="38">
        <v>64736</v>
      </c>
      <c r="I60" s="38">
        <v>0</v>
      </c>
      <c r="J60" s="38">
        <v>434326.31992533198</v>
      </c>
      <c r="K60" s="38">
        <f>VLOOKUP(A60, 'Initial allocations'!A:DH, 103, 0)</f>
        <v>0</v>
      </c>
      <c r="L60" s="38">
        <f>VLOOKUP(B60, SIg!A:I, 9, 0)</f>
        <v>0</v>
      </c>
      <c r="M60" s="40">
        <f t="shared" si="0"/>
        <v>3437770.0090000005</v>
      </c>
      <c r="N60" s="38">
        <v>0</v>
      </c>
    </row>
    <row r="61" spans="1:14" ht="15.75" x14ac:dyDescent="0.25">
      <c r="A61" s="4">
        <v>420</v>
      </c>
      <c r="B61" s="4" t="s">
        <v>140</v>
      </c>
      <c r="C61" s="38">
        <v>1846941.0982407408</v>
      </c>
      <c r="D61" s="38">
        <v>293055</v>
      </c>
      <c r="E61" s="39">
        <v>195370</v>
      </c>
      <c r="F61" s="39">
        <v>0</v>
      </c>
      <c r="G61" s="38">
        <v>28184.16</v>
      </c>
      <c r="H61" s="38">
        <v>0</v>
      </c>
      <c r="I61" s="38">
        <v>0</v>
      </c>
      <c r="J61" s="38">
        <v>0</v>
      </c>
      <c r="K61" s="38">
        <f>VLOOKUP(A61, 'Initial allocations'!A:DH, 103, 0)</f>
        <v>2842.1000000000058</v>
      </c>
      <c r="L61" s="38">
        <f>VLOOKUP(B61, SIg!A:I, 9, 0)</f>
        <v>0</v>
      </c>
      <c r="M61" s="40">
        <f t="shared" si="0"/>
        <v>2366392.3582407408</v>
      </c>
      <c r="N61" s="38">
        <f>VLOOKUP(A61, [1]Sheet2!$A:$M, 12, 0)</f>
        <v>189826</v>
      </c>
    </row>
    <row r="62" spans="1:14" ht="15.75" x14ac:dyDescent="0.25">
      <c r="A62" s="4">
        <v>308</v>
      </c>
      <c r="B62" s="4" t="s">
        <v>141</v>
      </c>
      <c r="C62" s="38">
        <v>2587798.303653846</v>
      </c>
      <c r="D62" s="38">
        <v>660247</v>
      </c>
      <c r="E62" s="39">
        <v>0</v>
      </c>
      <c r="F62" s="39">
        <v>0</v>
      </c>
      <c r="G62" s="38">
        <v>103496.93000000001</v>
      </c>
      <c r="H62" s="38">
        <v>0</v>
      </c>
      <c r="I62" s="38">
        <v>0</v>
      </c>
      <c r="J62" s="38">
        <v>0</v>
      </c>
      <c r="K62" s="38">
        <f>VLOOKUP(A62, 'Initial allocations'!A:DH, 103, 0)</f>
        <v>87520.5</v>
      </c>
      <c r="L62" s="38">
        <f>VLOOKUP(B62, SIg!A:I, 9, 0)</f>
        <v>0</v>
      </c>
      <c r="M62" s="40">
        <f t="shared" si="0"/>
        <v>3439062.7336538462</v>
      </c>
      <c r="N62" s="38">
        <f>VLOOKUP(A62, [1]Sheet2!$A:$M, 12, 0)</f>
        <v>447447</v>
      </c>
    </row>
    <row r="63" spans="1:14" ht="15.75" x14ac:dyDescent="0.25">
      <c r="A63" s="4">
        <v>273</v>
      </c>
      <c r="B63" s="4" t="s">
        <v>142</v>
      </c>
      <c r="C63" s="38">
        <v>3472932.2312837839</v>
      </c>
      <c r="D63" s="38">
        <v>293055</v>
      </c>
      <c r="E63" s="39">
        <v>97685</v>
      </c>
      <c r="F63" s="39">
        <v>0</v>
      </c>
      <c r="G63" s="38">
        <v>9475</v>
      </c>
      <c r="H63" s="38">
        <v>0</v>
      </c>
      <c r="I63" s="38">
        <v>0</v>
      </c>
      <c r="J63" s="38">
        <v>0</v>
      </c>
      <c r="K63" s="38">
        <f>VLOOKUP(A63, 'Initial allocations'!A:DH, 103, 0)</f>
        <v>708.5</v>
      </c>
      <c r="L63" s="38">
        <f>VLOOKUP(B63, SIg!A:I, 9, 0)</f>
        <v>0</v>
      </c>
      <c r="M63" s="40">
        <f t="shared" si="0"/>
        <v>3873855.7312837839</v>
      </c>
      <c r="N63" s="38">
        <f>VLOOKUP(A63, [1]Sheet2!$A:$M, 12, 0)</f>
        <v>17433</v>
      </c>
    </row>
    <row r="64" spans="1:14" ht="15.75" x14ac:dyDescent="0.25">
      <c r="A64" s="4">
        <v>284</v>
      </c>
      <c r="B64" s="4" t="s">
        <v>143</v>
      </c>
      <c r="C64" s="38">
        <v>3905759.4371808511</v>
      </c>
      <c r="D64" s="38">
        <v>880911.5</v>
      </c>
      <c r="E64" s="39">
        <v>781480</v>
      </c>
      <c r="F64" s="39">
        <v>35000</v>
      </c>
      <c r="G64" s="38">
        <v>173064.86000000002</v>
      </c>
      <c r="H64" s="38">
        <v>145018</v>
      </c>
      <c r="I64" s="38">
        <v>0</v>
      </c>
      <c r="J64" s="38">
        <v>0</v>
      </c>
      <c r="K64" s="38">
        <f>VLOOKUP(A64, 'Initial allocations'!A:DH, 103, 0)</f>
        <v>15550.5</v>
      </c>
      <c r="L64" s="38">
        <f>VLOOKUP(B64, SIg!A:I, 9, 0)</f>
        <v>0</v>
      </c>
      <c r="M64" s="40">
        <f t="shared" si="0"/>
        <v>5936784.297180851</v>
      </c>
      <c r="N64" s="38">
        <f>VLOOKUP(A64, [1]Sheet2!$A:$M, 12, 0)</f>
        <v>275054</v>
      </c>
    </row>
    <row r="65" spans="1:14" ht="15.75" x14ac:dyDescent="0.25">
      <c r="A65" s="4">
        <v>274</v>
      </c>
      <c r="B65" s="4" t="s">
        <v>144</v>
      </c>
      <c r="C65" s="38">
        <v>3586466.7454709467</v>
      </c>
      <c r="D65" s="38">
        <v>439582.5</v>
      </c>
      <c r="E65" s="39">
        <v>4440.227272727273</v>
      </c>
      <c r="F65" s="39">
        <v>0</v>
      </c>
      <c r="G65" s="38">
        <v>9725</v>
      </c>
      <c r="H65" s="38">
        <v>0</v>
      </c>
      <c r="I65" s="38">
        <v>0</v>
      </c>
      <c r="J65" s="38">
        <v>0</v>
      </c>
      <c r="K65" s="38">
        <f>VLOOKUP(A65, 'Initial allocations'!A:DH, 103, 0)</f>
        <v>1682</v>
      </c>
      <c r="L65" s="38">
        <f>VLOOKUP(B65, SIg!A:I, 9, 0)</f>
        <v>0</v>
      </c>
      <c r="M65" s="40">
        <f t="shared" si="0"/>
        <v>4041896.4727436737</v>
      </c>
      <c r="N65" s="38">
        <f>VLOOKUP(A65, [1]Sheet2!$A:$M, 12, 0)</f>
        <v>112346</v>
      </c>
    </row>
    <row r="66" spans="1:14" ht="15.75" x14ac:dyDescent="0.25">
      <c r="A66" s="4">
        <v>435</v>
      </c>
      <c r="B66" s="4" t="s">
        <v>145</v>
      </c>
      <c r="C66" s="38">
        <v>2267994.3088838384</v>
      </c>
      <c r="D66" s="38">
        <v>909826.5</v>
      </c>
      <c r="E66" s="39">
        <v>35521.818181818184</v>
      </c>
      <c r="F66" s="39">
        <v>0</v>
      </c>
      <c r="G66" s="38">
        <v>98632.08</v>
      </c>
      <c r="H66" s="38">
        <v>0</v>
      </c>
      <c r="I66" s="38">
        <v>0</v>
      </c>
      <c r="J66" s="38">
        <v>0</v>
      </c>
      <c r="K66" s="38">
        <f>VLOOKUP(A66, 'Initial allocations'!A:DH, 103, 0)</f>
        <v>3915.2999999999884</v>
      </c>
      <c r="L66" s="38">
        <f>VLOOKUP(B66, SIg!A:I, 9, 0)</f>
        <v>0</v>
      </c>
      <c r="M66" s="40">
        <f t="shared" si="0"/>
        <v>3315890.0070656566</v>
      </c>
      <c r="N66" s="38">
        <f>VLOOKUP(A66, [1]Sheet2!$A:$M, 12, 0)</f>
        <v>261495</v>
      </c>
    </row>
    <row r="67" spans="1:14" ht="15.75" x14ac:dyDescent="0.25">
      <c r="A67" s="4">
        <v>458</v>
      </c>
      <c r="B67" s="4" t="s">
        <v>146</v>
      </c>
      <c r="C67" s="38">
        <v>5063672.0634501232</v>
      </c>
      <c r="D67" s="38">
        <v>341897.5</v>
      </c>
      <c r="E67" s="39">
        <v>35521.818181818184</v>
      </c>
      <c r="F67" s="39">
        <v>1680585.0389999999</v>
      </c>
      <c r="G67" s="38">
        <v>284481.56</v>
      </c>
      <c r="H67" s="38">
        <v>0</v>
      </c>
      <c r="I67" s="38">
        <v>0</v>
      </c>
      <c r="J67" s="38">
        <v>0</v>
      </c>
      <c r="K67" s="38">
        <f>VLOOKUP(A67, 'Initial allocations'!A:DH, 103, 0)</f>
        <v>32643.25</v>
      </c>
      <c r="L67" s="38">
        <f>VLOOKUP(B67, SIg!A:I, 9, 0)</f>
        <v>0</v>
      </c>
      <c r="M67" s="40">
        <f t="shared" ref="M67:M116" si="1">SUM(C67:L67)</f>
        <v>7438801.230631941</v>
      </c>
      <c r="N67" s="38">
        <f>VLOOKUP(A67, [1]Sheet2!$A:$M, 12, 0)</f>
        <v>490061</v>
      </c>
    </row>
    <row r="68" spans="1:14" ht="15.75" x14ac:dyDescent="0.25">
      <c r="A68" s="4">
        <v>280</v>
      </c>
      <c r="B68" s="4" t="s">
        <v>147</v>
      </c>
      <c r="C68" s="38">
        <v>3695187.2697727275</v>
      </c>
      <c r="D68" s="38">
        <v>965910</v>
      </c>
      <c r="E68" s="39">
        <v>39962.045454545456</v>
      </c>
      <c r="F68" s="39">
        <v>0</v>
      </c>
      <c r="G68" s="38">
        <v>173064.86000000002</v>
      </c>
      <c r="H68" s="38">
        <v>82668</v>
      </c>
      <c r="I68" s="38">
        <v>0</v>
      </c>
      <c r="J68" s="38">
        <v>0</v>
      </c>
      <c r="K68" s="38">
        <f>VLOOKUP(A68, 'Initial allocations'!A:DH, 103, 0)</f>
        <v>97667.5</v>
      </c>
      <c r="L68" s="38">
        <f>VLOOKUP(B68, SIg!A:I, 9, 0)</f>
        <v>0</v>
      </c>
      <c r="M68" s="40">
        <f t="shared" si="1"/>
        <v>5054459.6752272733</v>
      </c>
      <c r="N68" s="38">
        <f>VLOOKUP(A68, [1]Sheet2!$A:$M, 12, 0)</f>
        <v>524927</v>
      </c>
    </row>
    <row r="69" spans="1:14" ht="15.75" x14ac:dyDescent="0.25">
      <c r="A69" s="4">
        <v>285</v>
      </c>
      <c r="B69" s="4" t="s">
        <v>148</v>
      </c>
      <c r="C69" s="38">
        <v>3836364.4866666663</v>
      </c>
      <c r="D69" s="38">
        <v>615025</v>
      </c>
      <c r="E69" s="39">
        <v>0</v>
      </c>
      <c r="F69" s="39">
        <v>0</v>
      </c>
      <c r="G69" s="38">
        <v>183624.55</v>
      </c>
      <c r="H69" s="38">
        <v>70198</v>
      </c>
      <c r="I69" s="38">
        <v>0</v>
      </c>
      <c r="J69" s="38">
        <v>0</v>
      </c>
      <c r="K69" s="38">
        <f>VLOOKUP(A69, 'Initial allocations'!A:DH, 103, 0)</f>
        <v>120963.5</v>
      </c>
      <c r="L69" s="38">
        <f>VLOOKUP(B69, SIg!A:I, 9, 0)</f>
        <v>0</v>
      </c>
      <c r="M69" s="40">
        <f t="shared" si="1"/>
        <v>4826175.5366666662</v>
      </c>
      <c r="N69" s="38">
        <f>VLOOKUP(A69, [1]Sheet2!$A:$M, 12, 0)</f>
        <v>718627</v>
      </c>
    </row>
    <row r="70" spans="1:14" ht="15.75" x14ac:dyDescent="0.25">
      <c r="A70" s="4">
        <v>287</v>
      </c>
      <c r="B70" s="4" t="s">
        <v>149</v>
      </c>
      <c r="C70" s="38">
        <v>4731248.1907209307</v>
      </c>
      <c r="D70" s="38">
        <v>566182.5</v>
      </c>
      <c r="E70" s="39">
        <v>195370</v>
      </c>
      <c r="F70" s="39">
        <v>0</v>
      </c>
      <c r="G70" s="38">
        <v>14325</v>
      </c>
      <c r="H70" s="38">
        <v>0</v>
      </c>
      <c r="I70" s="38">
        <v>0</v>
      </c>
      <c r="J70" s="38">
        <v>0</v>
      </c>
      <c r="K70" s="38">
        <f>VLOOKUP(A70, 'Initial allocations'!A:DH, 103, 0)</f>
        <v>2345.6666666666715</v>
      </c>
      <c r="L70" s="38">
        <f>VLOOKUP(B70, SIg!A:I, 9, 0)</f>
        <v>0</v>
      </c>
      <c r="M70" s="40">
        <f t="shared" si="1"/>
        <v>5509471.3573875977</v>
      </c>
      <c r="N70" s="38">
        <f>VLOOKUP(A70, [1]Sheet2!$A:$M, 12, 0)</f>
        <v>52299</v>
      </c>
    </row>
    <row r="71" spans="1:14" ht="15.75" x14ac:dyDescent="0.25">
      <c r="A71" s="4">
        <v>288</v>
      </c>
      <c r="B71" s="4" t="s">
        <v>150</v>
      </c>
      <c r="C71" s="38">
        <v>4119800.6311363638</v>
      </c>
      <c r="D71" s="38">
        <v>488425</v>
      </c>
      <c r="E71" s="39">
        <v>17760.909090909092</v>
      </c>
      <c r="F71" s="39">
        <v>0</v>
      </c>
      <c r="G71" s="38">
        <v>169984.95</v>
      </c>
      <c r="H71" s="38">
        <v>0</v>
      </c>
      <c r="I71" s="38">
        <v>0</v>
      </c>
      <c r="J71" s="38">
        <v>0</v>
      </c>
      <c r="K71" s="38">
        <f>VLOOKUP(A71, 'Initial allocations'!A:DH, 103, 0)</f>
        <v>33240.5</v>
      </c>
      <c r="L71" s="38">
        <f>VLOOKUP(B71, SIg!A:I, 9, 0)</f>
        <v>0</v>
      </c>
      <c r="M71" s="40">
        <f t="shared" si="1"/>
        <v>4829211.9902272727</v>
      </c>
      <c r="N71" s="38">
        <f>VLOOKUP(A71, [1]Sheet2!$A:$M, 12, 0)</f>
        <v>614029</v>
      </c>
    </row>
    <row r="72" spans="1:14" ht="15.75" x14ac:dyDescent="0.25">
      <c r="A72" s="4">
        <v>290</v>
      </c>
      <c r="B72" s="4" t="s">
        <v>151</v>
      </c>
      <c r="C72" s="38">
        <v>2111125.8777621482</v>
      </c>
      <c r="D72" s="38">
        <v>945982.5</v>
      </c>
      <c r="E72" s="39">
        <v>97685</v>
      </c>
      <c r="F72" s="39">
        <v>0</v>
      </c>
      <c r="G72" s="38">
        <v>84112.5</v>
      </c>
      <c r="H72" s="38">
        <v>57728</v>
      </c>
      <c r="I72" s="38">
        <v>0</v>
      </c>
      <c r="J72" s="38">
        <v>0</v>
      </c>
      <c r="K72" s="38">
        <f>VLOOKUP(A72, 'Initial allocations'!A:DH, 103, 0)</f>
        <v>78072</v>
      </c>
      <c r="L72" s="38">
        <f>VLOOKUP(B72, SIg!A:I, 9, 0)</f>
        <v>0</v>
      </c>
      <c r="M72" s="40">
        <f t="shared" si="1"/>
        <v>3374705.8777621482</v>
      </c>
      <c r="N72" s="38">
        <f>VLOOKUP(A72, [1]Sheet2!$A:$M, 12, 0)</f>
        <v>257621</v>
      </c>
    </row>
    <row r="73" spans="1:14" ht="15.75" x14ac:dyDescent="0.25">
      <c r="A73" s="4">
        <v>291</v>
      </c>
      <c r="B73" s="4" t="s">
        <v>152</v>
      </c>
      <c r="C73" s="38">
        <v>4229053.3914090907</v>
      </c>
      <c r="D73" s="38">
        <v>586110</v>
      </c>
      <c r="E73" s="39">
        <v>4440.227272727273</v>
      </c>
      <c r="F73" s="39">
        <v>0</v>
      </c>
      <c r="G73" s="38">
        <v>182744.58</v>
      </c>
      <c r="H73" s="38">
        <v>0</v>
      </c>
      <c r="I73" s="38">
        <v>0</v>
      </c>
      <c r="J73" s="38">
        <v>0</v>
      </c>
      <c r="K73" s="38">
        <f>VLOOKUP(A73, 'Initial allocations'!A:DH, 103, 0)</f>
        <v>123835</v>
      </c>
      <c r="L73" s="38">
        <f>VLOOKUP(B73, SIg!A:I, 9, 0)</f>
        <v>0</v>
      </c>
      <c r="M73" s="40">
        <f t="shared" si="1"/>
        <v>5126183.1986818183</v>
      </c>
      <c r="N73" s="38">
        <f>VLOOKUP(A73, [1]Sheet2!$A:$M, 12, 0)</f>
        <v>643084</v>
      </c>
    </row>
    <row r="74" spans="1:14" ht="15.75" x14ac:dyDescent="0.25">
      <c r="A74" s="4">
        <v>292</v>
      </c>
      <c r="B74" s="4" t="s">
        <v>153</v>
      </c>
      <c r="C74" s="38">
        <v>6293424.1858768538</v>
      </c>
      <c r="D74" s="38">
        <v>1054607.5</v>
      </c>
      <c r="E74" s="39">
        <v>488425</v>
      </c>
      <c r="F74" s="39">
        <v>500000</v>
      </c>
      <c r="G74" s="38">
        <v>16850</v>
      </c>
      <c r="H74" s="38">
        <v>0</v>
      </c>
      <c r="I74" s="38">
        <v>0</v>
      </c>
      <c r="J74" s="38">
        <v>0</v>
      </c>
      <c r="K74" s="38">
        <f>VLOOKUP(A74, 'Initial allocations'!A:DH, 103, 0)</f>
        <v>2233</v>
      </c>
      <c r="L74" s="38">
        <f>VLOOKUP(B74, SIg!A:I, 9, 0)</f>
        <v>0</v>
      </c>
      <c r="M74" s="40">
        <f t="shared" si="1"/>
        <v>8355539.6858768538</v>
      </c>
      <c r="N74" s="38">
        <f>VLOOKUP(A74, [1]Sheet2!$A:$M, 12, 0)</f>
        <v>149149</v>
      </c>
    </row>
    <row r="75" spans="1:14" ht="15.75" x14ac:dyDescent="0.25">
      <c r="A75" s="4">
        <v>294</v>
      </c>
      <c r="B75" s="4" t="s">
        <v>154</v>
      </c>
      <c r="C75" s="38">
        <v>3584977.1745287958</v>
      </c>
      <c r="D75" s="38">
        <v>1354697.5</v>
      </c>
      <c r="E75" s="39">
        <v>0</v>
      </c>
      <c r="F75" s="39">
        <v>0</v>
      </c>
      <c r="G75" s="38">
        <v>175264.8</v>
      </c>
      <c r="H75" s="38">
        <v>107608</v>
      </c>
      <c r="I75" s="38">
        <v>0</v>
      </c>
      <c r="J75" s="38">
        <v>0</v>
      </c>
      <c r="K75" s="38">
        <f>VLOOKUP(A75, 'Initial allocations'!A:DH, 103, 0)</f>
        <v>55752.5</v>
      </c>
      <c r="L75" s="38">
        <f>VLOOKUP(B75, SIg!A:I, 9, 0)</f>
        <v>0</v>
      </c>
      <c r="M75" s="40">
        <f t="shared" si="1"/>
        <v>5278299.974528796</v>
      </c>
      <c r="N75" s="38">
        <f>VLOOKUP(A75, [1]Sheet2!$A:$M, 12, 0)</f>
        <v>646958</v>
      </c>
    </row>
    <row r="76" spans="1:14" ht="15.75" x14ac:dyDescent="0.25">
      <c r="A76" s="4">
        <v>295</v>
      </c>
      <c r="B76" s="4" t="s">
        <v>155</v>
      </c>
      <c r="C76" s="38">
        <v>2910054.6178281084</v>
      </c>
      <c r="D76" s="38">
        <v>1260711.5</v>
      </c>
      <c r="E76" s="39">
        <v>26641.363636363636</v>
      </c>
      <c r="F76" s="39">
        <v>0</v>
      </c>
      <c r="G76" s="38">
        <v>133441.04</v>
      </c>
      <c r="H76" s="38">
        <v>145018</v>
      </c>
      <c r="I76" s="38">
        <v>0</v>
      </c>
      <c r="J76" s="38">
        <v>0</v>
      </c>
      <c r="K76" s="38">
        <f>VLOOKUP(A76, 'Initial allocations'!A:DH, 103, 0)</f>
        <v>185106.5</v>
      </c>
      <c r="L76" s="38">
        <f>VLOOKUP(B76, SIg!A:I, 9, 0)</f>
        <v>0</v>
      </c>
      <c r="M76" s="40">
        <f t="shared" si="1"/>
        <v>4660973.0214644717</v>
      </c>
      <c r="N76" s="38">
        <f>VLOOKUP(A76, [1]Sheet2!$A:$M, 12, 0)</f>
        <v>356408</v>
      </c>
    </row>
    <row r="77" spans="1:14" ht="15.75" x14ac:dyDescent="0.25">
      <c r="A77" s="4">
        <v>301</v>
      </c>
      <c r="B77" s="4" t="s">
        <v>156</v>
      </c>
      <c r="C77" s="38">
        <v>2432210.2290789476</v>
      </c>
      <c r="D77" s="38">
        <v>195370</v>
      </c>
      <c r="E77" s="39">
        <v>0</v>
      </c>
      <c r="F77" s="39">
        <v>0</v>
      </c>
      <c r="G77" s="38">
        <v>5725</v>
      </c>
      <c r="H77" s="38">
        <v>0</v>
      </c>
      <c r="I77" s="38">
        <v>0</v>
      </c>
      <c r="J77" s="38">
        <v>0</v>
      </c>
      <c r="K77" s="38">
        <f>VLOOKUP(A77, 'Initial allocations'!A:DH, 103, 0)</f>
        <v>42961.5</v>
      </c>
      <c r="L77" s="38">
        <f>VLOOKUP(B77, SIg!A:I, 9, 0)</f>
        <v>0</v>
      </c>
      <c r="M77" s="40">
        <f t="shared" si="1"/>
        <v>2676266.7290789476</v>
      </c>
      <c r="N77" s="38">
        <f>VLOOKUP(A77, [1]Sheet2!$A:$M, 12, 0)</f>
        <v>52299</v>
      </c>
    </row>
    <row r="78" spans="1:14" ht="15.75" x14ac:dyDescent="0.25">
      <c r="A78" s="4">
        <v>478</v>
      </c>
      <c r="B78" s="4" t="s">
        <v>157</v>
      </c>
      <c r="C78" s="38">
        <v>3501069.7325183046</v>
      </c>
      <c r="D78" s="38">
        <v>488425</v>
      </c>
      <c r="E78" s="39">
        <v>44402.272727272728</v>
      </c>
      <c r="F78" s="39">
        <v>0</v>
      </c>
      <c r="G78" s="38">
        <v>132561.07</v>
      </c>
      <c r="H78" s="38">
        <v>24276</v>
      </c>
      <c r="I78" s="38">
        <v>0</v>
      </c>
      <c r="J78" s="38">
        <v>0</v>
      </c>
      <c r="K78" s="38">
        <f>VLOOKUP(A78, 'Initial allocations'!A:DH, 103, 0)</f>
        <v>6119</v>
      </c>
      <c r="L78" s="38">
        <f>VLOOKUP(B78, SIg!A:I, 9, 0)</f>
        <v>0</v>
      </c>
      <c r="M78" s="40">
        <f t="shared" si="1"/>
        <v>4196853.0752455778</v>
      </c>
      <c r="N78" s="38">
        <f>VLOOKUP(A78, [1]Sheet2!$A:$M, 12, 0)</f>
        <v>408707</v>
      </c>
    </row>
    <row r="79" spans="1:14" ht="15.75" x14ac:dyDescent="0.25">
      <c r="A79" s="4">
        <v>299</v>
      </c>
      <c r="B79" s="4" t="s">
        <v>158</v>
      </c>
      <c r="C79" s="38">
        <v>3666766.1639285712</v>
      </c>
      <c r="D79" s="38">
        <v>954970</v>
      </c>
      <c r="E79" s="39">
        <v>97685</v>
      </c>
      <c r="F79" s="39">
        <v>0</v>
      </c>
      <c r="G79" s="38">
        <v>177464.72999999998</v>
      </c>
      <c r="H79" s="38">
        <v>107608</v>
      </c>
      <c r="I79" s="38">
        <v>0</v>
      </c>
      <c r="J79" s="38">
        <v>0</v>
      </c>
      <c r="K79" s="38">
        <f>VLOOKUP(A79, 'Initial allocations'!A:DH, 103, 0)</f>
        <v>168628</v>
      </c>
      <c r="L79" s="38">
        <f>VLOOKUP(B79, SIg!A:I, 9, 0)</f>
        <v>0</v>
      </c>
      <c r="M79" s="40">
        <f t="shared" si="1"/>
        <v>5173121.8939285707</v>
      </c>
      <c r="N79" s="38">
        <f>VLOOKUP(A79, [1]Sheet2!$A:$M, 12, 0)</f>
        <v>602407</v>
      </c>
    </row>
    <row r="80" spans="1:14" ht="15.75" x14ac:dyDescent="0.25">
      <c r="A80" s="4">
        <v>300</v>
      </c>
      <c r="B80" s="4" t="s">
        <v>159</v>
      </c>
      <c r="C80" s="38">
        <v>4583999.3839999996</v>
      </c>
      <c r="D80" s="38">
        <v>634952.5</v>
      </c>
      <c r="E80" s="39">
        <v>1269905</v>
      </c>
      <c r="F80" s="39">
        <v>0</v>
      </c>
      <c r="G80" s="38">
        <v>221953.41</v>
      </c>
      <c r="H80" s="38">
        <v>207368</v>
      </c>
      <c r="I80" s="38">
        <v>0</v>
      </c>
      <c r="J80" s="38">
        <v>0</v>
      </c>
      <c r="K80" s="38">
        <f>VLOOKUP(A80, 'Initial allocations'!A:DH, 103, 0)</f>
        <v>7714</v>
      </c>
      <c r="L80" s="38">
        <f>VLOOKUP(B80, SIg!A:I, 9, 0)</f>
        <v>0</v>
      </c>
      <c r="M80" s="40">
        <f t="shared" si="1"/>
        <v>6925892.2939999998</v>
      </c>
      <c r="N80" s="38">
        <f>VLOOKUP(A80, [1]Sheet2!$A:$M, 12, 0)</f>
        <v>515242</v>
      </c>
    </row>
    <row r="81" spans="1:14" ht="15.75" x14ac:dyDescent="0.25">
      <c r="A81" s="4">
        <v>316</v>
      </c>
      <c r="B81" s="4" t="s">
        <v>160</v>
      </c>
      <c r="C81" s="38">
        <v>3618853.2818870707</v>
      </c>
      <c r="D81" s="38">
        <v>488425</v>
      </c>
      <c r="E81" s="39">
        <v>4440.227272727273</v>
      </c>
      <c r="F81" s="39">
        <v>0</v>
      </c>
      <c r="G81" s="38">
        <v>147960.60999999999</v>
      </c>
      <c r="H81" s="38">
        <v>70198</v>
      </c>
      <c r="I81" s="38">
        <v>0</v>
      </c>
      <c r="J81" s="38">
        <v>0</v>
      </c>
      <c r="K81" s="38">
        <f>VLOOKUP(A81, 'Initial allocations'!A:DH, 103, 0)</f>
        <v>6206</v>
      </c>
      <c r="L81" s="38">
        <f>VLOOKUP(B81, SIg!A:I, 9, 0)</f>
        <v>0</v>
      </c>
      <c r="M81" s="40">
        <f t="shared" si="1"/>
        <v>4336083.1191597981</v>
      </c>
      <c r="N81" s="38">
        <f>VLOOKUP(A81, [1]Sheet2!$A:$M, 12, 0)</f>
        <v>414518</v>
      </c>
    </row>
    <row r="82" spans="1:14" ht="15.75" x14ac:dyDescent="0.25">
      <c r="A82" s="4">
        <v>302</v>
      </c>
      <c r="B82" s="4" t="s">
        <v>161</v>
      </c>
      <c r="C82" s="38">
        <v>6324455.6473177234</v>
      </c>
      <c r="D82" s="38">
        <v>781480</v>
      </c>
      <c r="E82" s="39">
        <v>1396505</v>
      </c>
      <c r="F82" s="39">
        <v>0</v>
      </c>
      <c r="G82" s="38">
        <v>247937.63999999998</v>
      </c>
      <c r="H82" s="38">
        <v>82668</v>
      </c>
      <c r="I82" s="38">
        <v>0</v>
      </c>
      <c r="J82" s="38">
        <v>0</v>
      </c>
      <c r="K82" s="38">
        <f>VLOOKUP(A82, 'Initial allocations'!A:DH, 103, 0)</f>
        <v>10875</v>
      </c>
      <c r="L82" s="38">
        <f>VLOOKUP(B82, SIg!A:I, 9, 0)</f>
        <v>0</v>
      </c>
      <c r="M82" s="40">
        <f t="shared" si="1"/>
        <v>8843921.287317723</v>
      </c>
      <c r="N82" s="38">
        <f>VLOOKUP(A82, [1]Sheet2!$A:$M, 12, 0)</f>
        <v>726375</v>
      </c>
    </row>
    <row r="83" spans="1:14" ht="15.75" x14ac:dyDescent="0.25">
      <c r="A83" s="4">
        <v>304</v>
      </c>
      <c r="B83" s="4" t="s">
        <v>162</v>
      </c>
      <c r="C83" s="38">
        <v>1795251.2029545456</v>
      </c>
      <c r="D83" s="38">
        <v>2928107</v>
      </c>
      <c r="E83" s="39">
        <v>26641.363636363636</v>
      </c>
      <c r="F83" s="39">
        <v>0</v>
      </c>
      <c r="G83" s="38">
        <v>54168.4</v>
      </c>
      <c r="H83" s="38">
        <v>32788</v>
      </c>
      <c r="I83" s="38">
        <v>0</v>
      </c>
      <c r="J83" s="38">
        <v>0</v>
      </c>
      <c r="K83" s="38">
        <f>VLOOKUP(A83, 'Initial allocations'!A:DH, 103, 0)</f>
        <v>79585.149999999994</v>
      </c>
      <c r="L83" s="38">
        <f>VLOOKUP(B83, SIg!A:I, 9, 0)</f>
        <v>0</v>
      </c>
      <c r="M83" s="40">
        <f t="shared" si="1"/>
        <v>4916541.1165909097</v>
      </c>
      <c r="N83" s="38">
        <f>VLOOKUP(A83, [1]Sheet2!$A:$M, 12, 0)</f>
        <v>135590</v>
      </c>
    </row>
    <row r="84" spans="1:14" ht="15.75" x14ac:dyDescent="0.25">
      <c r="A84" s="4">
        <v>436</v>
      </c>
      <c r="B84" s="4" t="s">
        <v>163</v>
      </c>
      <c r="C84" s="38">
        <v>2670258.421336486</v>
      </c>
      <c r="D84" s="38">
        <v>586110</v>
      </c>
      <c r="E84" s="39">
        <v>4440.227272727273</v>
      </c>
      <c r="F84" s="39">
        <v>172500</v>
      </c>
      <c r="G84" s="38">
        <v>51968.46</v>
      </c>
      <c r="H84" s="38">
        <v>24276</v>
      </c>
      <c r="I84" s="38">
        <v>0</v>
      </c>
      <c r="J84" s="38">
        <v>0</v>
      </c>
      <c r="K84" s="38">
        <f>VLOOKUP(A84, 'Initial allocations'!A:DH, 103, 0)</f>
        <v>5771</v>
      </c>
      <c r="L84" s="38">
        <f>VLOOKUP(B84, SIg!A:I, 9, 0)</f>
        <v>0</v>
      </c>
      <c r="M84" s="40">
        <f t="shared" si="1"/>
        <v>3515324.108609213</v>
      </c>
      <c r="N84" s="38">
        <f>VLOOKUP(A84, [1]Sheet2!$A:$M, 12, 0)</f>
        <v>385463</v>
      </c>
    </row>
    <row r="85" spans="1:14" ht="15.75" x14ac:dyDescent="0.25">
      <c r="A85" s="4">
        <v>459</v>
      </c>
      <c r="B85" s="4" t="s">
        <v>165</v>
      </c>
      <c r="C85" s="38">
        <v>6280326.564456732</v>
      </c>
      <c r="D85" s="38">
        <v>2177779</v>
      </c>
      <c r="E85" s="39">
        <v>1355507</v>
      </c>
      <c r="F85" s="39">
        <v>150000</v>
      </c>
      <c r="G85" s="38">
        <v>215768.6</v>
      </c>
      <c r="H85" s="38">
        <v>64736</v>
      </c>
      <c r="I85" s="38">
        <v>0</v>
      </c>
      <c r="J85" s="38">
        <v>0</v>
      </c>
      <c r="K85" s="38">
        <f>VLOOKUP(A85, 'Initial allocations'!A:DH, 103, 0)</f>
        <v>16965</v>
      </c>
      <c r="L85" s="38">
        <f>VLOOKUP(B85, SIg!A:I, 9, 0)</f>
        <v>0</v>
      </c>
      <c r="M85" s="40">
        <f t="shared" si="1"/>
        <v>10261082.164456731</v>
      </c>
      <c r="N85" s="38">
        <f>VLOOKUP(A85, [1]Sheet2!$A:$M, 12, 0)</f>
        <v>1133145</v>
      </c>
    </row>
    <row r="86" spans="1:14" ht="15.75" x14ac:dyDescent="0.25">
      <c r="A86" s="4">
        <v>456</v>
      </c>
      <c r="B86" s="4" t="s">
        <v>167</v>
      </c>
      <c r="C86" s="38">
        <v>3082836.5622577523</v>
      </c>
      <c r="D86" s="38">
        <v>537267.5</v>
      </c>
      <c r="E86" s="39">
        <v>293055</v>
      </c>
      <c r="F86" s="39">
        <v>0</v>
      </c>
      <c r="G86" s="38">
        <v>16250</v>
      </c>
      <c r="H86" s="38">
        <v>0</v>
      </c>
      <c r="I86" s="38">
        <v>0</v>
      </c>
      <c r="J86" s="38">
        <v>72026.698742247652</v>
      </c>
      <c r="K86" s="38">
        <f>VLOOKUP(A86, 'Initial allocations'!A:DH, 103, 0)</f>
        <v>0</v>
      </c>
      <c r="L86" s="38">
        <f>VLOOKUP(B86, SIg!A:I, 9, 0)</f>
        <v>0</v>
      </c>
      <c r="M86" s="40">
        <f t="shared" si="1"/>
        <v>4001435.7609999999</v>
      </c>
      <c r="N86" s="38">
        <v>0</v>
      </c>
    </row>
    <row r="87" spans="1:14" ht="15.75" x14ac:dyDescent="0.25">
      <c r="A87" s="4">
        <v>305</v>
      </c>
      <c r="B87" s="4" t="s">
        <v>168</v>
      </c>
      <c r="C87" s="38">
        <v>1973856.1540909093</v>
      </c>
      <c r="D87" s="38">
        <v>146527.5</v>
      </c>
      <c r="E87" s="39">
        <v>97685</v>
      </c>
      <c r="F87" s="39">
        <v>0</v>
      </c>
      <c r="G87" s="38">
        <v>4275</v>
      </c>
      <c r="H87" s="38">
        <v>0</v>
      </c>
      <c r="I87" s="38">
        <v>0</v>
      </c>
      <c r="J87" s="38">
        <v>0</v>
      </c>
      <c r="K87" s="38">
        <f>VLOOKUP(A87, 'Initial allocations'!A:DH, 103, 0)</f>
        <v>6379.5</v>
      </c>
      <c r="L87" s="38">
        <f>VLOOKUP(B87, SIg!A:I, 9, 0)</f>
        <v>0</v>
      </c>
      <c r="M87" s="40">
        <f t="shared" si="1"/>
        <v>2228723.1540909093</v>
      </c>
      <c r="N87" s="38">
        <f>VLOOKUP(A87, [1]Sheet2!$A:$M, 12, 0)</f>
        <v>13559</v>
      </c>
    </row>
    <row r="88" spans="1:14" ht="15.75" x14ac:dyDescent="0.25">
      <c r="A88" s="4">
        <v>307</v>
      </c>
      <c r="B88" s="4" t="s">
        <v>169</v>
      </c>
      <c r="C88" s="38">
        <v>3181719.5446744184</v>
      </c>
      <c r="D88" s="38">
        <v>586110</v>
      </c>
      <c r="E88" s="39">
        <v>0</v>
      </c>
      <c r="F88" s="39">
        <v>0</v>
      </c>
      <c r="G88" s="38">
        <v>152800.46</v>
      </c>
      <c r="H88" s="38">
        <v>45258</v>
      </c>
      <c r="I88" s="38">
        <v>0</v>
      </c>
      <c r="J88" s="38">
        <v>162895.31282558199</v>
      </c>
      <c r="K88" s="38">
        <f>VLOOKUP(A88, 'Initial allocations'!A:DH, 103, 0)</f>
        <v>63278.5</v>
      </c>
      <c r="L88" s="38">
        <f>VLOOKUP(B88, SIg!A:I, 9, 0)</f>
        <v>0</v>
      </c>
      <c r="M88" s="40">
        <f t="shared" si="1"/>
        <v>4192061.8175000004</v>
      </c>
      <c r="N88" s="38">
        <f>VLOOKUP(A88, [1]Sheet2!$A:$M, 12, 0)</f>
        <v>511368</v>
      </c>
    </row>
    <row r="89" spans="1:14" ht="15.75" x14ac:dyDescent="0.25">
      <c r="A89" s="4">
        <v>409</v>
      </c>
      <c r="B89" s="4" t="s">
        <v>170</v>
      </c>
      <c r="C89" s="38">
        <v>4409600.6048226543</v>
      </c>
      <c r="D89" s="38">
        <v>974897.5</v>
      </c>
      <c r="E89" s="39">
        <v>195370</v>
      </c>
      <c r="F89" s="39">
        <v>0</v>
      </c>
      <c r="G89" s="38">
        <v>11800</v>
      </c>
      <c r="H89" s="38">
        <v>0</v>
      </c>
      <c r="I89" s="38">
        <v>0</v>
      </c>
      <c r="J89" s="38">
        <v>0</v>
      </c>
      <c r="K89" s="38">
        <f>VLOOKUP(A89, 'Initial allocations'!A:DH, 103, 0)</f>
        <v>3538</v>
      </c>
      <c r="L89" s="38">
        <f>VLOOKUP(B89, SIg!A:I, 9, 0)</f>
        <v>0</v>
      </c>
      <c r="M89" s="40">
        <f t="shared" si="1"/>
        <v>5595206.1048226543</v>
      </c>
      <c r="N89" s="38">
        <f>VLOOKUP(A89, [1]Sheet2!$A:$M, 12, 0)</f>
        <v>236314</v>
      </c>
    </row>
    <row r="90" spans="1:14" ht="15.75" x14ac:dyDescent="0.25">
      <c r="A90" s="4">
        <v>466</v>
      </c>
      <c r="B90" s="4" t="s">
        <v>171</v>
      </c>
      <c r="C90" s="38">
        <v>4063383.5999273951</v>
      </c>
      <c r="D90" s="38">
        <v>244212.5</v>
      </c>
      <c r="E90" s="39">
        <v>0</v>
      </c>
      <c r="F90" s="39">
        <v>495436</v>
      </c>
      <c r="G90" s="38">
        <v>15025</v>
      </c>
      <c r="H90" s="38">
        <v>0</v>
      </c>
      <c r="I90" s="38">
        <v>446943.90007260442</v>
      </c>
      <c r="J90" s="38">
        <v>0</v>
      </c>
      <c r="K90" s="38">
        <f>VLOOKUP(A90, 'Initial allocations'!A:DH, 103, 0)</f>
        <v>2900</v>
      </c>
      <c r="L90" s="38">
        <f>VLOOKUP(B90, SIg!A:I, 9, 0)</f>
        <v>0</v>
      </c>
      <c r="M90" s="40">
        <f t="shared" si="1"/>
        <v>5267901</v>
      </c>
      <c r="N90" s="38">
        <f>VLOOKUP(A90, [1]Sheet2!$A:$M, 12, 0)</f>
        <v>193700</v>
      </c>
    </row>
    <row r="91" spans="1:14" ht="15.75" x14ac:dyDescent="0.25">
      <c r="A91" s="4">
        <v>175</v>
      </c>
      <c r="B91" s="4" t="s">
        <v>172</v>
      </c>
      <c r="C91" s="38">
        <v>2802558.6115202019</v>
      </c>
      <c r="D91" s="38">
        <v>1150340</v>
      </c>
      <c r="E91" s="39">
        <v>4440.227272727273</v>
      </c>
      <c r="F91" s="39">
        <v>0</v>
      </c>
      <c r="G91" s="38">
        <v>7650</v>
      </c>
      <c r="H91" s="38">
        <v>0</v>
      </c>
      <c r="I91" s="38">
        <v>0</v>
      </c>
      <c r="J91" s="38">
        <v>0</v>
      </c>
      <c r="K91" s="38">
        <f>VLOOKUP(A91, 'Initial allocations'!A:DH, 103, 0)</f>
        <v>31686</v>
      </c>
      <c r="L91" s="38">
        <f>VLOOKUP(B91, SIg!A:I, 9, 0)</f>
        <v>0</v>
      </c>
      <c r="M91" s="40">
        <f t="shared" si="1"/>
        <v>3996674.838792929</v>
      </c>
      <c r="N91" s="38">
        <f>VLOOKUP(A91, [1]Sheet2!$A:$M, 12, 0)</f>
        <v>44551</v>
      </c>
    </row>
    <row r="92" spans="1:14" ht="15.75" x14ac:dyDescent="0.25">
      <c r="A92" s="4">
        <v>309</v>
      </c>
      <c r="B92" s="4" t="s">
        <v>173</v>
      </c>
      <c r="C92" s="38">
        <v>3429958.3635</v>
      </c>
      <c r="D92" s="38">
        <v>983885</v>
      </c>
      <c r="E92" s="39">
        <v>586110</v>
      </c>
      <c r="F92" s="39">
        <v>0</v>
      </c>
      <c r="G92" s="38">
        <v>134761</v>
      </c>
      <c r="H92" s="38">
        <v>82668</v>
      </c>
      <c r="I92" s="38">
        <v>0</v>
      </c>
      <c r="J92" s="38">
        <v>0</v>
      </c>
      <c r="K92" s="38">
        <f>VLOOKUP(A92, 'Initial allocations'!A:DH, 103, 0)</f>
        <v>190499</v>
      </c>
      <c r="L92" s="38">
        <f>VLOOKUP(B92, SIg!A:I, 9, 0)</f>
        <v>0</v>
      </c>
      <c r="M92" s="40">
        <f t="shared" si="1"/>
        <v>5407881.3635</v>
      </c>
      <c r="N92" s="38">
        <f>VLOOKUP(A92, [1]Sheet2!$A:$M, 12, 0)</f>
        <v>366093</v>
      </c>
    </row>
    <row r="93" spans="1:14" ht="15.75" x14ac:dyDescent="0.25">
      <c r="A93" s="4">
        <v>313</v>
      </c>
      <c r="B93" s="4" t="s">
        <v>174</v>
      </c>
      <c r="C93" s="38">
        <v>3486015.6464273953</v>
      </c>
      <c r="D93" s="38">
        <v>390740</v>
      </c>
      <c r="E93" s="39">
        <v>97685</v>
      </c>
      <c r="F93" s="39">
        <v>0</v>
      </c>
      <c r="G93" s="38">
        <v>9025</v>
      </c>
      <c r="H93" s="38">
        <v>0</v>
      </c>
      <c r="I93" s="38">
        <v>0</v>
      </c>
      <c r="J93" s="38">
        <v>0</v>
      </c>
      <c r="K93" s="38">
        <f>VLOOKUP(A93, 'Initial allocations'!A:DH, 103, 0)</f>
        <v>7012.5</v>
      </c>
      <c r="L93" s="38">
        <f>VLOOKUP(B93, SIg!A:I, 9, 0)</f>
        <v>0</v>
      </c>
      <c r="M93" s="40">
        <f t="shared" si="1"/>
        <v>3990478.1464273953</v>
      </c>
      <c r="N93" s="38">
        <f>VLOOKUP(A93, [1]Sheet2!$A:$M, 12, 0)</f>
        <v>120094</v>
      </c>
    </row>
    <row r="94" spans="1:14" ht="15.75" x14ac:dyDescent="0.25">
      <c r="A94" s="4">
        <v>315</v>
      </c>
      <c r="B94" s="4" t="s">
        <v>175</v>
      </c>
      <c r="C94" s="38">
        <v>2733277.5633041956</v>
      </c>
      <c r="D94" s="38">
        <v>595097.5</v>
      </c>
      <c r="E94" s="39">
        <v>13320.681818181818</v>
      </c>
      <c r="F94" s="39">
        <v>0</v>
      </c>
      <c r="G94" s="38">
        <v>131681.09</v>
      </c>
      <c r="H94" s="38">
        <v>0</v>
      </c>
      <c r="I94" s="38">
        <v>0</v>
      </c>
      <c r="J94" s="38">
        <v>0</v>
      </c>
      <c r="K94" s="38">
        <f>VLOOKUP(A94, 'Initial allocations'!A:DH, 103, 0)</f>
        <v>115225.5</v>
      </c>
      <c r="L94" s="38">
        <f>VLOOKUP(B94, SIg!A:I, 9, 0)</f>
        <v>0</v>
      </c>
      <c r="M94" s="40">
        <f t="shared" si="1"/>
        <v>3588602.3351223771</v>
      </c>
      <c r="N94" s="38">
        <f>VLOOKUP(A94, [1]Sheet2!$A:$M, 12, 0)</f>
        <v>395148</v>
      </c>
    </row>
    <row r="95" spans="1:14" ht="15.75" x14ac:dyDescent="0.25">
      <c r="A95" s="4">
        <v>322</v>
      </c>
      <c r="B95" s="4" t="s">
        <v>176</v>
      </c>
      <c r="C95" s="38">
        <v>2642360.3224999998</v>
      </c>
      <c r="D95" s="38">
        <v>741625</v>
      </c>
      <c r="E95" s="39">
        <v>97685</v>
      </c>
      <c r="F95" s="39">
        <v>0</v>
      </c>
      <c r="G95" s="38">
        <v>123296.34</v>
      </c>
      <c r="H95" s="38">
        <v>70198</v>
      </c>
      <c r="I95" s="38">
        <v>0</v>
      </c>
      <c r="J95" s="38">
        <v>0</v>
      </c>
      <c r="K95" s="38">
        <f>VLOOKUP(A95, 'Initial allocations'!A:DH, 103, 0)</f>
        <v>116328.5</v>
      </c>
      <c r="L95" s="38">
        <f>VLOOKUP(B95, SIg!A:I, 9, 0)</f>
        <v>0</v>
      </c>
      <c r="M95" s="40">
        <f t="shared" si="1"/>
        <v>3791493.1624999996</v>
      </c>
      <c r="N95" s="38">
        <f>VLOOKUP(A95, [1]Sheet2!$A:$M, 12, 0)</f>
        <v>393211</v>
      </c>
    </row>
    <row r="96" spans="1:14" ht="15.75" x14ac:dyDescent="0.25">
      <c r="A96" s="4">
        <v>427</v>
      </c>
      <c r="B96" s="4" t="s">
        <v>177</v>
      </c>
      <c r="C96" s="38">
        <v>2646437.4562515724</v>
      </c>
      <c r="D96" s="38">
        <v>965910</v>
      </c>
      <c r="E96" s="39">
        <v>0</v>
      </c>
      <c r="F96" s="39">
        <v>0</v>
      </c>
      <c r="G96" s="38">
        <v>110976.71</v>
      </c>
      <c r="H96" s="38">
        <v>0</v>
      </c>
      <c r="I96" s="38">
        <v>0</v>
      </c>
      <c r="J96" s="38">
        <v>0</v>
      </c>
      <c r="K96" s="38">
        <f>VLOOKUP(A96, 'Initial allocations'!A:DH, 103, 0)</f>
        <v>8020</v>
      </c>
      <c r="L96" s="38">
        <f>VLOOKUP(B96, SIg!A:I, 9, 0)</f>
        <v>0</v>
      </c>
      <c r="M96" s="40">
        <f t="shared" si="1"/>
        <v>3731344.1662515723</v>
      </c>
      <c r="N96" s="38">
        <f>VLOOKUP(A96, [1]Sheet2!$A:$M, 12, 0)</f>
        <v>366093</v>
      </c>
    </row>
    <row r="97" spans="1:14" ht="15.75" x14ac:dyDescent="0.25">
      <c r="A97" s="4">
        <v>319</v>
      </c>
      <c r="B97" s="4" t="s">
        <v>178</v>
      </c>
      <c r="C97" s="38">
        <v>4457062.9787013652</v>
      </c>
      <c r="D97" s="38">
        <v>683795</v>
      </c>
      <c r="E97" s="39">
        <v>0</v>
      </c>
      <c r="F97" s="39">
        <v>0</v>
      </c>
      <c r="G97" s="38">
        <v>228993.19999999998</v>
      </c>
      <c r="H97" s="38">
        <v>95138</v>
      </c>
      <c r="I97" s="38">
        <v>0</v>
      </c>
      <c r="J97" s="38">
        <v>0</v>
      </c>
      <c r="K97" s="38">
        <f>VLOOKUP(A97, 'Initial allocations'!A:DH, 103, 0)</f>
        <v>199388</v>
      </c>
      <c r="L97" s="38">
        <f>VLOOKUP(B97, SIg!A:I, 9, 0)</f>
        <v>0</v>
      </c>
      <c r="M97" s="40">
        <f t="shared" si="1"/>
        <v>5664377.1787013654</v>
      </c>
      <c r="N97" s="38">
        <f>VLOOKUP(A97, [1]Sheet2!$A:$M, 12, 0)</f>
        <v>873587</v>
      </c>
    </row>
    <row r="98" spans="1:14" ht="15.75" x14ac:dyDescent="0.25">
      <c r="A98" s="4">
        <v>321</v>
      </c>
      <c r="B98" s="4" t="s">
        <v>179</v>
      </c>
      <c r="C98" s="38">
        <v>3734253.6597721521</v>
      </c>
      <c r="D98" s="38">
        <v>341897.5</v>
      </c>
      <c r="E98" s="39">
        <v>293055</v>
      </c>
      <c r="F98" s="39">
        <v>0</v>
      </c>
      <c r="G98" s="38">
        <v>10875</v>
      </c>
      <c r="H98" s="38">
        <v>0</v>
      </c>
      <c r="I98" s="38">
        <v>0</v>
      </c>
      <c r="J98" s="38">
        <v>0</v>
      </c>
      <c r="K98" s="38">
        <f>VLOOKUP(A98, 'Initial allocations'!A:DH, 103, 0)</f>
        <v>928</v>
      </c>
      <c r="L98" s="38">
        <f>VLOOKUP(B98, SIg!A:I, 9, 0)</f>
        <v>0</v>
      </c>
      <c r="M98" s="40">
        <f t="shared" si="1"/>
        <v>4381009.1597721521</v>
      </c>
      <c r="N98" s="38">
        <f>VLOOKUP(A98, [1]Sheet2!$A:$M, 12, 0)</f>
        <v>61984</v>
      </c>
    </row>
    <row r="99" spans="1:14" ht="15.75" x14ac:dyDescent="0.25">
      <c r="A99" s="4">
        <v>428</v>
      </c>
      <c r="B99" s="4" t="s">
        <v>180</v>
      </c>
      <c r="C99" s="38">
        <v>3786139.6210606061</v>
      </c>
      <c r="D99" s="38">
        <v>761552.5</v>
      </c>
      <c r="E99" s="39">
        <v>13320.681818181818</v>
      </c>
      <c r="F99" s="39">
        <v>0</v>
      </c>
      <c r="G99" s="38">
        <v>83057.72</v>
      </c>
      <c r="H99" s="38">
        <v>0</v>
      </c>
      <c r="I99" s="38">
        <v>0</v>
      </c>
      <c r="J99" s="38">
        <v>0</v>
      </c>
      <c r="K99" s="38">
        <f>VLOOKUP(A99, 'Initial allocations'!A:DH, 103, 0)</f>
        <v>4234.2000000000116</v>
      </c>
      <c r="L99" s="38">
        <f>VLOOKUP(B99, SIg!A:I, 9, 0)</f>
        <v>0</v>
      </c>
      <c r="M99" s="40">
        <f t="shared" si="1"/>
        <v>4648304.7228787877</v>
      </c>
      <c r="N99" s="38">
        <f>VLOOKUP(A99, [1]Sheet2!$A:$M, 12, 0)</f>
        <v>282802</v>
      </c>
    </row>
    <row r="100" spans="1:14" ht="15.75" x14ac:dyDescent="0.25">
      <c r="A100" s="4">
        <v>324</v>
      </c>
      <c r="B100" s="4" t="s">
        <v>181</v>
      </c>
      <c r="C100" s="38">
        <v>4244307.0002777781</v>
      </c>
      <c r="D100" s="38">
        <v>1305855</v>
      </c>
      <c r="E100" s="39">
        <v>586110</v>
      </c>
      <c r="F100" s="39">
        <v>0</v>
      </c>
      <c r="G100" s="38">
        <v>204328.94</v>
      </c>
      <c r="H100" s="38">
        <v>120078</v>
      </c>
      <c r="I100" s="38">
        <v>0</v>
      </c>
      <c r="J100" s="38">
        <v>0</v>
      </c>
      <c r="K100" s="38">
        <f>VLOOKUP(A100, 'Initial allocations'!A:DH, 103, 0)</f>
        <v>17939.099999999977</v>
      </c>
      <c r="L100" s="38">
        <f>VLOOKUP(B100, SIg!A:I, 9, 0)</f>
        <v>0</v>
      </c>
      <c r="M100" s="40">
        <f t="shared" si="1"/>
        <v>6478618.0402777782</v>
      </c>
      <c r="N100" s="38">
        <f>VLOOKUP(A100, [1]Sheet2!$A:$M, 12, 0)</f>
        <v>441636</v>
      </c>
    </row>
    <row r="101" spans="1:14" ht="15.75" x14ac:dyDescent="0.25">
      <c r="A101" s="4">
        <v>325</v>
      </c>
      <c r="B101" s="4" t="s">
        <v>182</v>
      </c>
      <c r="C101" s="38">
        <v>4368309.0935397707</v>
      </c>
      <c r="D101" s="38">
        <v>1092510</v>
      </c>
      <c r="E101" s="39">
        <v>22201.136363636364</v>
      </c>
      <c r="F101" s="39">
        <v>0</v>
      </c>
      <c r="G101" s="38">
        <v>179664.66999999998</v>
      </c>
      <c r="H101" s="38">
        <v>107608</v>
      </c>
      <c r="I101" s="38">
        <v>0</v>
      </c>
      <c r="J101" s="38">
        <v>0</v>
      </c>
      <c r="K101" s="38">
        <f>VLOOKUP(A101, 'Initial allocations'!A:DH, 103, 0)</f>
        <v>9135</v>
      </c>
      <c r="L101" s="38">
        <f>VLOOKUP(B101, SIg!A:I, 9, 0)</f>
        <v>0</v>
      </c>
      <c r="M101" s="40">
        <f t="shared" si="1"/>
        <v>5779427.8999034073</v>
      </c>
      <c r="N101" s="38">
        <f>VLOOKUP(A101, [1]Sheet2!$A:$M, 12, 0)</f>
        <v>610155</v>
      </c>
    </row>
    <row r="102" spans="1:14" ht="15.75" x14ac:dyDescent="0.25">
      <c r="A102" s="4">
        <v>326</v>
      </c>
      <c r="B102" s="4" t="s">
        <v>183</v>
      </c>
      <c r="C102" s="38">
        <v>3056295.4624273954</v>
      </c>
      <c r="D102" s="38">
        <v>390740</v>
      </c>
      <c r="E102" s="39">
        <v>683795</v>
      </c>
      <c r="F102" s="39">
        <v>0</v>
      </c>
      <c r="G102" s="38">
        <v>124616.3</v>
      </c>
      <c r="H102" s="38">
        <v>120078</v>
      </c>
      <c r="I102" s="38">
        <v>0</v>
      </c>
      <c r="J102" s="38">
        <v>0</v>
      </c>
      <c r="K102" s="38">
        <f>VLOOKUP(A102, 'Initial allocations'!A:DH, 103, 0)</f>
        <v>3828</v>
      </c>
      <c r="L102" s="38">
        <f>VLOOKUP(B102, SIg!A:I, 9, 0)</f>
        <v>0</v>
      </c>
      <c r="M102" s="40">
        <f t="shared" si="1"/>
        <v>4379352.7624273952</v>
      </c>
      <c r="N102" s="38">
        <f>VLOOKUP(A102, [1]Sheet2!$A:$M, 12, 0)</f>
        <v>255684</v>
      </c>
    </row>
    <row r="103" spans="1:14" ht="15.75" x14ac:dyDescent="0.25">
      <c r="A103" s="4">
        <v>327</v>
      </c>
      <c r="B103" s="4" t="s">
        <v>184</v>
      </c>
      <c r="C103" s="38">
        <v>5945202.3622214021</v>
      </c>
      <c r="D103" s="38">
        <v>976850</v>
      </c>
      <c r="E103" s="39">
        <v>1494190</v>
      </c>
      <c r="F103" s="39">
        <v>0</v>
      </c>
      <c r="G103" s="38">
        <v>255417.42</v>
      </c>
      <c r="H103" s="38">
        <v>107608</v>
      </c>
      <c r="I103" s="38">
        <v>0</v>
      </c>
      <c r="J103" s="38">
        <v>0</v>
      </c>
      <c r="K103" s="38">
        <f>VLOOKUP(A103, 'Initial allocations'!A:DH, 103, 0)</f>
        <v>13514</v>
      </c>
      <c r="L103" s="38">
        <f>VLOOKUP(B103, SIg!A:I, 9, 0)</f>
        <v>0</v>
      </c>
      <c r="M103" s="40">
        <f t="shared" si="1"/>
        <v>8792781.7822214011</v>
      </c>
      <c r="N103" s="38">
        <f>VLOOKUP(A103, [1]Sheet2!$A:$M, 12, 0)</f>
        <v>902642</v>
      </c>
    </row>
    <row r="104" spans="1:14" ht="15.75" x14ac:dyDescent="0.25">
      <c r="A104" s="4">
        <v>328</v>
      </c>
      <c r="B104" s="4" t="s">
        <v>185</v>
      </c>
      <c r="C104" s="38">
        <v>4454499.2464999994</v>
      </c>
      <c r="D104" s="38">
        <v>1161280</v>
      </c>
      <c r="E104" s="39">
        <v>1269905</v>
      </c>
      <c r="F104" s="39">
        <v>0</v>
      </c>
      <c r="G104" s="38">
        <v>237352.95</v>
      </c>
      <c r="H104" s="38">
        <v>70198</v>
      </c>
      <c r="I104" s="38">
        <v>0</v>
      </c>
      <c r="J104" s="38">
        <v>0</v>
      </c>
      <c r="K104" s="38">
        <f>VLOOKUP(A104, 'Initial allocations'!A:DH, 103, 0)</f>
        <v>9483.25</v>
      </c>
      <c r="L104" s="38">
        <f>VLOOKUP(B104, SIg!A:I, 9, 0)</f>
        <v>0</v>
      </c>
      <c r="M104" s="40">
        <f t="shared" si="1"/>
        <v>7202718.4464999996</v>
      </c>
      <c r="N104" s="38">
        <f>VLOOKUP(A104, [1]Sheet2!$A:$M, 12, 0)</f>
        <v>633399</v>
      </c>
    </row>
    <row r="105" spans="1:14" ht="15.75" x14ac:dyDescent="0.25">
      <c r="A105" s="4">
        <v>329</v>
      </c>
      <c r="B105" s="4" t="s">
        <v>186</v>
      </c>
      <c r="C105" s="38">
        <v>5040562.6752794487</v>
      </c>
      <c r="D105" s="38">
        <v>888152.5</v>
      </c>
      <c r="E105" s="39">
        <v>13320.681818181818</v>
      </c>
      <c r="F105" s="39">
        <v>0</v>
      </c>
      <c r="G105" s="38">
        <v>202568.99</v>
      </c>
      <c r="H105" s="38">
        <v>82668</v>
      </c>
      <c r="I105" s="38">
        <v>0</v>
      </c>
      <c r="J105" s="38">
        <v>0</v>
      </c>
      <c r="K105" s="38">
        <f>VLOOKUP(A105, 'Initial allocations'!A:DH, 103, 0)</f>
        <v>46341.561652235105</v>
      </c>
      <c r="L105" s="38">
        <f>VLOOKUP(B105, SIg!A:I, 9, 0)</f>
        <v>0</v>
      </c>
      <c r="M105" s="40">
        <f t="shared" si="1"/>
        <v>6273614.4087498654</v>
      </c>
      <c r="N105" s="38">
        <f>VLOOKUP(A105, [1]Sheet2!$A:$M, 12, 0)</f>
        <v>865839</v>
      </c>
    </row>
    <row r="106" spans="1:14" ht="15.75" x14ac:dyDescent="0.25">
      <c r="A106" s="4">
        <v>330</v>
      </c>
      <c r="B106" s="4" t="s">
        <v>187</v>
      </c>
      <c r="C106" s="38">
        <v>4637949.7850638302</v>
      </c>
      <c r="D106" s="38">
        <v>1334770</v>
      </c>
      <c r="E106" s="39">
        <v>48842.5</v>
      </c>
      <c r="F106" s="39">
        <v>0</v>
      </c>
      <c r="G106" s="38">
        <v>225913.28999999998</v>
      </c>
      <c r="H106" s="38">
        <v>70198</v>
      </c>
      <c r="I106" s="38">
        <v>0</v>
      </c>
      <c r="J106" s="38">
        <v>0</v>
      </c>
      <c r="K106" s="38">
        <f>VLOOKUP(A106, 'Initial allocations'!A:DH, 103, 0)</f>
        <v>26188</v>
      </c>
      <c r="L106" s="38">
        <f>VLOOKUP(B106, SIg!A:I, 9, 0)</f>
        <v>0</v>
      </c>
      <c r="M106" s="40">
        <f t="shared" si="1"/>
        <v>6343861.5750638302</v>
      </c>
      <c r="N106" s="38">
        <f>VLOOKUP(A106, [1]Sheet2!$A:$M, 12, 0)</f>
        <v>397085</v>
      </c>
    </row>
    <row r="107" spans="1:14" ht="15.75" x14ac:dyDescent="0.25">
      <c r="A107" s="4">
        <v>331</v>
      </c>
      <c r="B107" s="4" t="s">
        <v>188</v>
      </c>
      <c r="C107" s="38">
        <v>2212892.9149090908</v>
      </c>
      <c r="D107" s="38">
        <v>435962</v>
      </c>
      <c r="E107" s="39">
        <v>4440.227272727273</v>
      </c>
      <c r="F107" s="39">
        <v>0</v>
      </c>
      <c r="G107" s="38">
        <v>4275</v>
      </c>
      <c r="H107" s="38">
        <v>0</v>
      </c>
      <c r="I107" s="38">
        <v>0</v>
      </c>
      <c r="J107" s="38">
        <v>0</v>
      </c>
      <c r="K107" s="38">
        <f>VLOOKUP(A107, 'Initial allocations'!A:DH, 103, 0)</f>
        <v>36940.5</v>
      </c>
      <c r="L107" s="38">
        <f>VLOOKUP(B107, SIg!A:I, 9, 0)</f>
        <v>0</v>
      </c>
      <c r="M107" s="40">
        <f t="shared" si="1"/>
        <v>2694510.6421818179</v>
      </c>
      <c r="N107" s="38">
        <f>VLOOKUP(A107, [1]Sheet2!$A:$M, 12, 0)</f>
        <v>94913</v>
      </c>
    </row>
    <row r="108" spans="1:14" ht="15.75" x14ac:dyDescent="0.25">
      <c r="A108" s="4">
        <v>332</v>
      </c>
      <c r="B108" s="4" t="s">
        <v>189</v>
      </c>
      <c r="C108" s="38">
        <v>4308934.0888961032</v>
      </c>
      <c r="D108" s="38">
        <v>1541080</v>
      </c>
      <c r="E108" s="39">
        <v>39962.045454545456</v>
      </c>
      <c r="F108" s="39">
        <v>0</v>
      </c>
      <c r="G108" s="38">
        <v>197729.13</v>
      </c>
      <c r="H108" s="38">
        <v>95138</v>
      </c>
      <c r="I108" s="38">
        <v>0</v>
      </c>
      <c r="J108" s="38">
        <v>0</v>
      </c>
      <c r="K108" s="38">
        <f>VLOOKUP(A108, 'Initial allocations'!A:DH, 103, 0)</f>
        <v>57007.400000000023</v>
      </c>
      <c r="L108" s="38">
        <f>VLOOKUP(B108, SIg!A:I, 9, 0)</f>
        <v>0</v>
      </c>
      <c r="M108" s="40">
        <f t="shared" si="1"/>
        <v>6239850.6643506493</v>
      </c>
      <c r="N108" s="38">
        <f>VLOOKUP(A108, [1]Sheet2!$A:$M, 12, 0)</f>
        <v>745745</v>
      </c>
    </row>
    <row r="109" spans="1:14" ht="15.75" x14ac:dyDescent="0.25">
      <c r="A109" s="4">
        <v>474</v>
      </c>
      <c r="B109" s="4" t="s">
        <v>190</v>
      </c>
      <c r="C109" s="38">
        <v>2250855.554909091</v>
      </c>
      <c r="D109" s="38">
        <v>933374.5</v>
      </c>
      <c r="E109" s="39">
        <v>4440.227272727273</v>
      </c>
      <c r="F109" s="39">
        <v>0</v>
      </c>
      <c r="G109" s="38">
        <v>66048.03</v>
      </c>
      <c r="H109" s="38">
        <v>48552</v>
      </c>
      <c r="I109" s="38">
        <v>0</v>
      </c>
      <c r="J109" s="38">
        <v>115831.46781818196</v>
      </c>
      <c r="K109" s="38">
        <f>VLOOKUP(A109, 'Initial allocations'!A:DH, 103, 0)</f>
        <v>0</v>
      </c>
      <c r="L109" s="38">
        <f>VLOOKUP(B109, SIg!A:I, 9, 0)</f>
        <v>0</v>
      </c>
      <c r="M109" s="40">
        <f t="shared" si="1"/>
        <v>3419101.78</v>
      </c>
      <c r="N109" s="38">
        <v>0</v>
      </c>
    </row>
    <row r="110" spans="1:14" ht="15.75" x14ac:dyDescent="0.25">
      <c r="A110" s="4">
        <v>333</v>
      </c>
      <c r="B110" s="4" t="s">
        <v>192</v>
      </c>
      <c r="C110" s="38">
        <v>3429024.674802308</v>
      </c>
      <c r="D110" s="38">
        <v>537267.5</v>
      </c>
      <c r="E110" s="39">
        <v>31081.590909090908</v>
      </c>
      <c r="F110" s="39">
        <v>0</v>
      </c>
      <c r="G110" s="38">
        <v>10875</v>
      </c>
      <c r="H110" s="38">
        <v>107608</v>
      </c>
      <c r="I110" s="38">
        <v>0</v>
      </c>
      <c r="J110" s="38">
        <v>43566.243788600899</v>
      </c>
      <c r="K110" s="38">
        <f>VLOOKUP(A110, 'Initial allocations'!A:DH, 103, 0)</f>
        <v>3422</v>
      </c>
      <c r="L110" s="38">
        <f>VLOOKUP(B110, SIg!A:I, 9, 0)</f>
        <v>0</v>
      </c>
      <c r="M110" s="40">
        <f t="shared" si="1"/>
        <v>4162845.0094999997</v>
      </c>
      <c r="N110" s="38">
        <f>VLOOKUP(A110, [1]Sheet2!$A:$M, 12, 0)</f>
        <v>228566</v>
      </c>
    </row>
    <row r="111" spans="1:14" ht="15.75" x14ac:dyDescent="0.25">
      <c r="A111" s="4">
        <v>336</v>
      </c>
      <c r="B111" s="4" t="s">
        <v>193</v>
      </c>
      <c r="C111" s="38">
        <v>3607734.8425503597</v>
      </c>
      <c r="D111" s="38">
        <v>537267.5</v>
      </c>
      <c r="E111" s="39">
        <v>293055</v>
      </c>
      <c r="F111" s="39">
        <v>0</v>
      </c>
      <c r="G111" s="38">
        <v>131241.10999999999</v>
      </c>
      <c r="H111" s="38">
        <v>70198</v>
      </c>
      <c r="I111" s="38">
        <v>0</v>
      </c>
      <c r="J111" s="38">
        <v>0</v>
      </c>
      <c r="K111" s="38">
        <f>VLOOKUP(A111, 'Initial allocations'!A:DH, 103, 0)</f>
        <v>26713.200000000012</v>
      </c>
      <c r="L111" s="38">
        <f>VLOOKUP(B111, SIg!A:I, 9, 0)</f>
        <v>0</v>
      </c>
      <c r="M111" s="40">
        <f t="shared" si="1"/>
        <v>4666209.6525503602</v>
      </c>
      <c r="N111" s="38">
        <f>VLOOKUP(A111, [1]Sheet2!$A:$M, 12, 0)</f>
        <v>325416</v>
      </c>
    </row>
    <row r="112" spans="1:14" ht="15.75" x14ac:dyDescent="0.25">
      <c r="A112" s="4">
        <v>335</v>
      </c>
      <c r="B112" s="4" t="s">
        <v>194</v>
      </c>
      <c r="C112" s="38">
        <v>3581725.4544999995</v>
      </c>
      <c r="D112" s="38">
        <v>781480</v>
      </c>
      <c r="E112" s="39">
        <v>97685</v>
      </c>
      <c r="F112" s="39">
        <v>0</v>
      </c>
      <c r="G112" s="38">
        <v>156320.36000000002</v>
      </c>
      <c r="H112" s="38">
        <v>57728</v>
      </c>
      <c r="I112" s="38">
        <v>0</v>
      </c>
      <c r="J112" s="38">
        <v>250006.3479999993</v>
      </c>
      <c r="K112" s="38">
        <f>VLOOKUP(A112, 'Initial allocations'!A:DH, 103, 0)</f>
        <v>7627</v>
      </c>
      <c r="L112" s="38">
        <f>VLOOKUP(B112, SIg!A:I, 9, 0)</f>
        <v>0</v>
      </c>
      <c r="M112" s="40">
        <f t="shared" si="1"/>
        <v>4932572.1624999987</v>
      </c>
      <c r="N112" s="38">
        <f>VLOOKUP(A112, [1]Sheet2!$A:$M, 12, 0)</f>
        <v>509431</v>
      </c>
    </row>
    <row r="113" spans="1:14" ht="15.75" x14ac:dyDescent="0.25">
      <c r="A113" s="4">
        <v>338</v>
      </c>
      <c r="B113" s="4" t="s">
        <v>195</v>
      </c>
      <c r="C113" s="38">
        <v>3632527.256269231</v>
      </c>
      <c r="D113" s="38">
        <v>1383612.5</v>
      </c>
      <c r="E113" s="39">
        <v>195370</v>
      </c>
      <c r="F113" s="39">
        <v>0</v>
      </c>
      <c r="G113" s="38">
        <v>158520.29999999999</v>
      </c>
      <c r="H113" s="38">
        <v>82668</v>
      </c>
      <c r="I113" s="38">
        <v>0</v>
      </c>
      <c r="J113" s="38">
        <v>0</v>
      </c>
      <c r="K113" s="38">
        <f>VLOOKUP(A113, 'Initial allocations'!A:DH, 103, 0)</f>
        <v>6293</v>
      </c>
      <c r="L113" s="38">
        <f>VLOOKUP(B113, SIg!A:I, 9, 0)</f>
        <v>0</v>
      </c>
      <c r="M113" s="40">
        <f t="shared" si="1"/>
        <v>5458991.0562692313</v>
      </c>
      <c r="N113" s="38">
        <f>VLOOKUP(A113, [1]Sheet2!$A:$M, 12, 0)</f>
        <v>420329</v>
      </c>
    </row>
    <row r="114" spans="1:14" ht="15.75" x14ac:dyDescent="0.25">
      <c r="A114" s="4">
        <v>463</v>
      </c>
      <c r="B114" s="4" t="s">
        <v>196</v>
      </c>
      <c r="C114" s="38">
        <v>12388218.076795967</v>
      </c>
      <c r="D114" s="38">
        <v>2460100</v>
      </c>
      <c r="E114" s="39">
        <v>586110</v>
      </c>
      <c r="F114" s="39">
        <v>0</v>
      </c>
      <c r="G114" s="38">
        <v>43875</v>
      </c>
      <c r="H114" s="38">
        <v>72828</v>
      </c>
      <c r="I114" s="38">
        <v>153875.92320403457</v>
      </c>
      <c r="J114" s="38">
        <v>0</v>
      </c>
      <c r="K114" s="38">
        <f>VLOOKUP(A114, 'Initial allocations'!A:DH, 103, 0)</f>
        <v>17400</v>
      </c>
      <c r="L114" s="38">
        <f>VLOOKUP(B114, SIg!A:I, 9, 0)</f>
        <v>0</v>
      </c>
      <c r="M114" s="40">
        <f t="shared" si="1"/>
        <v>15722407.000000002</v>
      </c>
      <c r="N114" s="38">
        <f>VLOOKUP(A114, [1]Sheet2!$A:$M, 12, 0)</f>
        <v>1162200</v>
      </c>
    </row>
    <row r="115" spans="1:14" ht="15.75" x14ac:dyDescent="0.25">
      <c r="A115" s="4">
        <v>464</v>
      </c>
      <c r="B115" s="4" t="s">
        <v>197</v>
      </c>
      <c r="C115" s="38">
        <v>6544767.6904251371</v>
      </c>
      <c r="D115" s="38">
        <v>2286404</v>
      </c>
      <c r="E115" s="39">
        <v>13320.681818181818</v>
      </c>
      <c r="F115" s="39">
        <v>0</v>
      </c>
      <c r="G115" s="38">
        <v>288441.44</v>
      </c>
      <c r="H115" s="38">
        <v>80920</v>
      </c>
      <c r="I115" s="38">
        <v>0</v>
      </c>
      <c r="J115" s="38">
        <v>0</v>
      </c>
      <c r="K115" s="38">
        <f>VLOOKUP(A115, 'Initial allocations'!A:DH, 103, 0)</f>
        <v>14065</v>
      </c>
      <c r="L115" s="38">
        <f>VLOOKUP(B115, SIg!A:I, 9, 0)</f>
        <v>220854</v>
      </c>
      <c r="M115" s="40">
        <f t="shared" si="1"/>
        <v>9448772.8122433182</v>
      </c>
      <c r="N115" s="38">
        <f>VLOOKUP(A115, [1]Sheet2!$A:$M, 12, 0)</f>
        <v>939445</v>
      </c>
    </row>
    <row r="116" spans="1:14" ht="15.75" x14ac:dyDescent="0.25">
      <c r="A116" s="4">
        <v>861</v>
      </c>
      <c r="B116" s="13" t="s">
        <v>198</v>
      </c>
      <c r="C116" s="38">
        <v>1260477.5193181818</v>
      </c>
      <c r="D116" s="38">
        <v>634952.5</v>
      </c>
      <c r="E116" s="39">
        <v>8880.454545454546</v>
      </c>
      <c r="F116" s="39">
        <v>1030650</v>
      </c>
      <c r="G116" s="38">
        <v>2400</v>
      </c>
      <c r="H116" s="38">
        <v>0</v>
      </c>
      <c r="I116" s="38">
        <v>0</v>
      </c>
      <c r="J116" s="38">
        <v>0</v>
      </c>
      <c r="K116" s="38">
        <f>VLOOKUP(A116, 'Initial allocations'!A:DH, 103, 0)</f>
        <v>0</v>
      </c>
      <c r="L116" s="38">
        <f>VLOOKUP(B116, SIg!A:I, 9, 0)</f>
        <v>0</v>
      </c>
      <c r="M116" s="40">
        <f t="shared" si="1"/>
        <v>2937360.4738636361</v>
      </c>
      <c r="N116" s="38">
        <v>0</v>
      </c>
    </row>
  </sheetData>
  <conditionalFormatting sqref="N1">
    <cfRule type="containsText" dxfId="12" priority="3" operator="containsText" text="Positions">
      <formula>NOT(ISERROR(SEARCH("Positions",N1)))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10"/>
  <sheetViews>
    <sheetView showGridLines="0" zoomScale="90" zoomScaleNormal="90" workbookViewId="0">
      <pane xSplit="4" ySplit="2" topLeftCell="E49" activePane="bottomRight" state="frozen"/>
      <selection activeCell="AE23" sqref="AE23"/>
      <selection pane="topRight" activeCell="AE23" sqref="AE23"/>
      <selection pane="bottomLeft" activeCell="AE23" sqref="AE23"/>
      <selection pane="bottomRight" activeCell="A111" sqref="A111:XFD115"/>
    </sheetView>
  </sheetViews>
  <sheetFormatPr defaultColWidth="12.28515625" defaultRowHeight="15.75" x14ac:dyDescent="0.25"/>
  <cols>
    <col min="1" max="1" width="10.28515625" style="42" customWidth="1"/>
    <col min="2" max="2" width="31.140625" style="42" bestFit="1" customWidth="1"/>
    <col min="3" max="4" width="7.7109375" style="41" customWidth="1"/>
    <col min="5" max="5" width="12.85546875" style="42" customWidth="1"/>
    <col min="6" max="6" width="11.7109375" style="42" customWidth="1"/>
    <col min="7" max="7" width="12.28515625" style="42" customWidth="1"/>
    <col min="8" max="8" width="13" style="42" customWidth="1"/>
    <col min="9" max="9" width="11.7109375" style="42" bestFit="1" customWidth="1"/>
    <col min="10" max="10" width="13.42578125" style="42" bestFit="1" customWidth="1"/>
    <col min="11" max="11" width="12.28515625" style="42"/>
    <col min="12" max="12" width="10" style="42" bestFit="1" customWidth="1"/>
    <col min="13" max="13" width="11.7109375" style="42" customWidth="1"/>
    <col min="14" max="14" width="12.28515625" style="42" customWidth="1"/>
    <col min="15" max="15" width="11.7109375" style="42" customWidth="1"/>
    <col min="16" max="16" width="12.28515625" style="42" customWidth="1"/>
    <col min="17" max="17" width="10.28515625" style="42" customWidth="1"/>
    <col min="18" max="18" width="12.28515625" style="42" customWidth="1"/>
    <col min="19" max="19" width="14" style="42" customWidth="1"/>
    <col min="20" max="20" width="11.7109375" style="42" customWidth="1"/>
    <col min="21" max="22" width="13.42578125" style="42" customWidth="1"/>
    <col min="23" max="23" width="10.85546875" style="42" customWidth="1"/>
    <col min="24" max="26" width="11.7109375" style="42" customWidth="1"/>
    <col min="27" max="27" width="12.85546875" style="42" customWidth="1"/>
    <col min="28" max="28" width="12.28515625" style="42" customWidth="1"/>
    <col min="29" max="29" width="11.7109375" style="42" bestFit="1" customWidth="1"/>
    <col min="30" max="30" width="12.85546875" style="42" bestFit="1" customWidth="1"/>
    <col min="31" max="31" width="15" style="42" customWidth="1"/>
    <col min="32" max="32" width="12.85546875" style="42" bestFit="1" customWidth="1"/>
    <col min="33" max="33" width="13.42578125" style="42" bestFit="1" customWidth="1"/>
    <col min="34" max="16384" width="12.28515625" style="42"/>
  </cols>
  <sheetData>
    <row r="1" spans="1:34" ht="16.5" thickBot="1" x14ac:dyDescent="0.3">
      <c r="A1" s="41">
        <f>COLUMN()</f>
        <v>1</v>
      </c>
      <c r="B1" s="41">
        <f>COLUMN()</f>
        <v>2</v>
      </c>
      <c r="C1" s="41">
        <f>COLUMN()</f>
        <v>3</v>
      </c>
      <c r="D1" s="41">
        <f>COLUMN()</f>
        <v>4</v>
      </c>
      <c r="E1" s="41"/>
      <c r="F1" s="41">
        <f>COLUMN()</f>
        <v>6</v>
      </c>
      <c r="G1" s="41">
        <f>COLUMN()</f>
        <v>7</v>
      </c>
      <c r="H1" s="41">
        <f>COLUMN()</f>
        <v>8</v>
      </c>
      <c r="I1" s="41">
        <f>COLUMN()</f>
        <v>9</v>
      </c>
      <c r="J1" s="41">
        <f>COLUMN()</f>
        <v>10</v>
      </c>
      <c r="K1" s="41">
        <f>COLUMN()</f>
        <v>11</v>
      </c>
      <c r="L1" s="41">
        <f>COLUMN()</f>
        <v>12</v>
      </c>
      <c r="M1" s="41">
        <f>COLUMN()</f>
        <v>13</v>
      </c>
      <c r="N1" s="41">
        <f>COLUMN()</f>
        <v>14</v>
      </c>
      <c r="O1" s="41">
        <f>COLUMN()</f>
        <v>15</v>
      </c>
      <c r="P1" s="41">
        <f>COLUMN()</f>
        <v>16</v>
      </c>
      <c r="Q1" s="41">
        <f>COLUMN()</f>
        <v>17</v>
      </c>
      <c r="R1" s="41">
        <f>COLUMN()</f>
        <v>18</v>
      </c>
      <c r="S1" s="41">
        <f>COLUMN()</f>
        <v>19</v>
      </c>
      <c r="T1" s="41">
        <f>COLUMN()</f>
        <v>20</v>
      </c>
      <c r="U1" s="41">
        <f>COLUMN()</f>
        <v>21</v>
      </c>
      <c r="V1" s="41">
        <f>COLUMN()</f>
        <v>22</v>
      </c>
      <c r="W1" s="41">
        <f>COLUMN()</f>
        <v>23</v>
      </c>
      <c r="X1" s="41">
        <f>COLUMN()</f>
        <v>24</v>
      </c>
      <c r="Y1" s="41">
        <f>COLUMN()</f>
        <v>25</v>
      </c>
      <c r="Z1" s="41">
        <f>COLUMN()</f>
        <v>26</v>
      </c>
      <c r="AA1" s="41">
        <f>COLUMN()</f>
        <v>27</v>
      </c>
      <c r="AB1" s="41">
        <f>COLUMN()</f>
        <v>28</v>
      </c>
      <c r="AC1" s="41">
        <f>COLUMN()</f>
        <v>29</v>
      </c>
      <c r="AD1" s="41">
        <f>COLUMN()</f>
        <v>30</v>
      </c>
      <c r="AE1" s="41"/>
      <c r="AF1" s="41"/>
    </row>
    <row r="2" spans="1:34" ht="94.5" x14ac:dyDescent="0.25">
      <c r="A2" s="60" t="s">
        <v>76</v>
      </c>
      <c r="B2" s="61" t="s">
        <v>77</v>
      </c>
      <c r="C2" s="61" t="s">
        <v>356</v>
      </c>
      <c r="D2" s="62" t="s">
        <v>357</v>
      </c>
      <c r="E2" s="63" t="s">
        <v>385</v>
      </c>
      <c r="F2" s="61" t="s">
        <v>358</v>
      </c>
      <c r="G2" s="61" t="s">
        <v>63</v>
      </c>
      <c r="H2" s="61" t="s">
        <v>359</v>
      </c>
      <c r="I2" s="61" t="s">
        <v>360</v>
      </c>
      <c r="J2" s="61" t="s">
        <v>361</v>
      </c>
      <c r="K2" s="61" t="s">
        <v>362</v>
      </c>
      <c r="L2" s="61" t="s">
        <v>52</v>
      </c>
      <c r="M2" s="61" t="s">
        <v>363</v>
      </c>
      <c r="N2" s="61" t="s">
        <v>364</v>
      </c>
      <c r="O2" s="61" t="s">
        <v>365</v>
      </c>
      <c r="P2" s="61" t="s">
        <v>366</v>
      </c>
      <c r="Q2" s="64" t="s">
        <v>367</v>
      </c>
      <c r="R2" s="61" t="s">
        <v>368</v>
      </c>
      <c r="S2" s="61" t="s">
        <v>369</v>
      </c>
      <c r="T2" s="61" t="s">
        <v>370</v>
      </c>
      <c r="U2" s="61" t="s">
        <v>371</v>
      </c>
      <c r="V2" s="61" t="s">
        <v>372</v>
      </c>
      <c r="W2" s="61" t="s">
        <v>373</v>
      </c>
      <c r="X2" s="61" t="s">
        <v>374</v>
      </c>
      <c r="Y2" s="61" t="s">
        <v>375</v>
      </c>
      <c r="Z2" s="61" t="s">
        <v>376</v>
      </c>
      <c r="AA2" s="61" t="s">
        <v>377</v>
      </c>
      <c r="AB2" s="61" t="s">
        <v>378</v>
      </c>
      <c r="AC2" s="62" t="s">
        <v>379</v>
      </c>
      <c r="AD2" s="61" t="s">
        <v>380</v>
      </c>
      <c r="AE2" s="43"/>
      <c r="AF2" s="44"/>
      <c r="AG2" s="44"/>
      <c r="AH2" s="44"/>
    </row>
    <row r="3" spans="1:34" x14ac:dyDescent="0.25">
      <c r="A3" s="45">
        <v>202</v>
      </c>
      <c r="B3" s="46" t="s">
        <v>79</v>
      </c>
      <c r="C3" s="45" t="s">
        <v>201</v>
      </c>
      <c r="D3" s="45" t="s">
        <v>381</v>
      </c>
      <c r="E3" s="47">
        <v>455195</v>
      </c>
      <c r="F3" s="48">
        <v>10914.5</v>
      </c>
      <c r="G3" s="48">
        <v>9400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146527.5</v>
      </c>
      <c r="N3" s="48">
        <v>0</v>
      </c>
      <c r="O3" s="48">
        <v>0</v>
      </c>
      <c r="P3" s="48">
        <v>0</v>
      </c>
      <c r="Q3" s="48">
        <v>0</v>
      </c>
      <c r="R3" s="48">
        <v>0</v>
      </c>
      <c r="S3" s="48">
        <v>0</v>
      </c>
      <c r="T3" s="48">
        <v>0</v>
      </c>
      <c r="U3" s="48">
        <v>0</v>
      </c>
      <c r="V3" s="48">
        <v>0</v>
      </c>
      <c r="W3" s="48">
        <v>0</v>
      </c>
      <c r="X3" s="48">
        <v>0</v>
      </c>
      <c r="Y3" s="48">
        <v>0</v>
      </c>
      <c r="Z3" s="48">
        <v>21451</v>
      </c>
      <c r="AA3" s="48">
        <v>48842.5</v>
      </c>
      <c r="AB3" s="48">
        <f>'[2]CSM Control Sheet'!C45*2</f>
        <v>195370</v>
      </c>
      <c r="AC3" s="48">
        <v>0</v>
      </c>
      <c r="AD3" s="49">
        <v>22689.5</v>
      </c>
      <c r="AE3" s="65"/>
      <c r="AF3" s="50"/>
      <c r="AG3" s="50"/>
      <c r="AH3" s="50"/>
    </row>
    <row r="4" spans="1:34" x14ac:dyDescent="0.25">
      <c r="A4" s="45">
        <v>203</v>
      </c>
      <c r="B4" s="46" t="s">
        <v>80</v>
      </c>
      <c r="C4" s="45" t="s">
        <v>201</v>
      </c>
      <c r="D4" s="45" t="s">
        <v>381</v>
      </c>
      <c r="E4" s="47">
        <v>490061</v>
      </c>
      <c r="F4" s="48">
        <v>14400.5</v>
      </c>
      <c r="G4" s="48">
        <v>5060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195370</v>
      </c>
      <c r="N4" s="48">
        <v>0</v>
      </c>
      <c r="O4" s="48">
        <v>0</v>
      </c>
      <c r="P4" s="48">
        <v>0</v>
      </c>
      <c r="Q4" s="48">
        <v>0</v>
      </c>
      <c r="R4" s="48">
        <v>0</v>
      </c>
      <c r="S4" s="48">
        <v>0</v>
      </c>
      <c r="T4" s="48">
        <v>0</v>
      </c>
      <c r="U4" s="48">
        <v>0</v>
      </c>
      <c r="V4" s="48">
        <v>0</v>
      </c>
      <c r="W4" s="48">
        <v>0</v>
      </c>
      <c r="X4" s="48">
        <v>0</v>
      </c>
      <c r="Y4" s="48">
        <v>0</v>
      </c>
      <c r="Z4" s="48">
        <v>41229</v>
      </c>
      <c r="AA4" s="48">
        <v>97685</v>
      </c>
      <c r="AB4" s="48">
        <v>0</v>
      </c>
      <c r="AC4" s="48">
        <v>0</v>
      </c>
      <c r="AD4" s="49">
        <v>136316.5</v>
      </c>
      <c r="AE4" s="65"/>
      <c r="AF4" s="50"/>
      <c r="AG4" s="50"/>
      <c r="AH4" s="50"/>
    </row>
    <row r="5" spans="1:34" x14ac:dyDescent="0.25">
      <c r="A5" s="45">
        <v>450</v>
      </c>
      <c r="B5" s="46" t="s">
        <v>81</v>
      </c>
      <c r="C5" s="45" t="s">
        <v>191</v>
      </c>
      <c r="D5" s="45" t="s">
        <v>381</v>
      </c>
      <c r="E5" s="47">
        <v>772863</v>
      </c>
      <c r="F5" s="48">
        <v>48131.25</v>
      </c>
      <c r="G5" s="48">
        <v>15960</v>
      </c>
      <c r="H5" s="48">
        <v>0</v>
      </c>
      <c r="I5" s="48">
        <v>0</v>
      </c>
      <c r="J5" s="48">
        <v>0</v>
      </c>
      <c r="K5" s="48">
        <v>0</v>
      </c>
      <c r="L5" s="48">
        <v>72828</v>
      </c>
      <c r="M5" s="48">
        <v>0</v>
      </c>
      <c r="N5" s="48">
        <v>0</v>
      </c>
      <c r="O5" s="48">
        <v>0</v>
      </c>
      <c r="P5" s="48">
        <v>0</v>
      </c>
      <c r="Q5" s="48">
        <v>0</v>
      </c>
      <c r="R5" s="48">
        <f>2396119.43152017-1987107</f>
        <v>409012.43152017007</v>
      </c>
      <c r="S5" s="48">
        <v>101560.06446048834</v>
      </c>
      <c r="T5" s="48">
        <v>0</v>
      </c>
      <c r="U5" s="48">
        <v>101560.06446048834</v>
      </c>
      <c r="V5" s="48">
        <v>0</v>
      </c>
      <c r="W5" s="48">
        <v>12240</v>
      </c>
      <c r="X5" s="48">
        <v>0</v>
      </c>
      <c r="Y5" s="48">
        <v>0</v>
      </c>
      <c r="Z5" s="48" t="s">
        <v>382</v>
      </c>
      <c r="AA5" s="48">
        <v>0</v>
      </c>
      <c r="AB5" s="48">
        <v>0</v>
      </c>
      <c r="AC5" s="48">
        <v>0</v>
      </c>
      <c r="AD5" s="49">
        <v>11571.189558853162</v>
      </c>
      <c r="AE5" s="65"/>
      <c r="AF5" s="50"/>
      <c r="AG5" s="50"/>
      <c r="AH5" s="50"/>
    </row>
    <row r="6" spans="1:34" x14ac:dyDescent="0.25">
      <c r="A6" s="45">
        <v>452</v>
      </c>
      <c r="B6" s="46" t="s">
        <v>82</v>
      </c>
      <c r="C6" s="45" t="s">
        <v>191</v>
      </c>
      <c r="D6" s="45" t="s">
        <v>381</v>
      </c>
      <c r="E6" s="47">
        <v>1584466</v>
      </c>
      <c r="F6" s="48">
        <v>103057.5</v>
      </c>
      <c r="G6" s="48">
        <v>32720</v>
      </c>
      <c r="H6" s="48">
        <v>0</v>
      </c>
      <c r="I6" s="48">
        <v>0</v>
      </c>
      <c r="J6" s="48">
        <v>0</v>
      </c>
      <c r="K6" s="48">
        <v>0</v>
      </c>
      <c r="L6" s="48">
        <v>80920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f>4314625.96437024 - 3517349</f>
        <v>797276.96437024046</v>
      </c>
      <c r="S6" s="48">
        <v>101560.06446048834</v>
      </c>
      <c r="T6" s="48">
        <v>233724</v>
      </c>
      <c r="U6" s="48">
        <v>101560.06446048834</v>
      </c>
      <c r="V6" s="48">
        <v>0</v>
      </c>
      <c r="W6" s="48">
        <v>12240</v>
      </c>
      <c r="X6" s="48">
        <v>0</v>
      </c>
      <c r="Y6" s="48">
        <v>0</v>
      </c>
      <c r="Z6" s="48" t="s">
        <v>382</v>
      </c>
      <c r="AA6" s="48">
        <v>0</v>
      </c>
      <c r="AB6" s="48">
        <v>0</v>
      </c>
      <c r="AC6" s="48">
        <v>0</v>
      </c>
      <c r="AD6" s="49">
        <v>121407.406708783</v>
      </c>
      <c r="AE6" s="65"/>
      <c r="AF6" s="50"/>
      <c r="AG6" s="50"/>
      <c r="AH6" s="50"/>
    </row>
    <row r="7" spans="1:34" x14ac:dyDescent="0.25">
      <c r="A7" s="45">
        <v>204</v>
      </c>
      <c r="B7" s="46" t="s">
        <v>84</v>
      </c>
      <c r="C7" s="45" t="s">
        <v>201</v>
      </c>
      <c r="D7" s="45" t="s">
        <v>383</v>
      </c>
      <c r="E7" s="47">
        <v>389337</v>
      </c>
      <c r="F7" s="48">
        <v>22119.5</v>
      </c>
      <c r="G7" s="48">
        <v>4020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146527.5</v>
      </c>
      <c r="Z7" s="48">
        <v>86485</v>
      </c>
      <c r="AA7" s="48">
        <v>0</v>
      </c>
      <c r="AB7" s="48">
        <v>0</v>
      </c>
      <c r="AC7" s="48">
        <f>'[2]CSM Control Sheet'!C63</f>
        <v>97685</v>
      </c>
      <c r="AD7" s="49">
        <v>32500</v>
      </c>
      <c r="AE7" s="65"/>
      <c r="AF7" s="50"/>
      <c r="AG7" s="50"/>
      <c r="AH7" s="50"/>
    </row>
    <row r="8" spans="1:34" x14ac:dyDescent="0.25">
      <c r="A8" s="45">
        <v>205</v>
      </c>
      <c r="B8" s="46" t="s">
        <v>85</v>
      </c>
      <c r="C8" s="45" t="s">
        <v>201</v>
      </c>
      <c r="D8" s="45" t="s">
        <v>383</v>
      </c>
      <c r="E8" s="47">
        <v>643084</v>
      </c>
      <c r="F8" s="48">
        <v>26975</v>
      </c>
      <c r="G8" s="48">
        <v>6640</v>
      </c>
      <c r="H8" s="48">
        <v>122400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244212.5</v>
      </c>
      <c r="Z8" s="48">
        <v>119213</v>
      </c>
      <c r="AA8" s="48">
        <v>0</v>
      </c>
      <c r="AB8" s="48">
        <v>0</v>
      </c>
      <c r="AC8" s="48">
        <v>97685</v>
      </c>
      <c r="AD8" s="49">
        <v>25958.5</v>
      </c>
      <c r="AE8" s="65"/>
      <c r="AF8" s="50"/>
      <c r="AG8" s="50"/>
      <c r="AH8" s="50"/>
    </row>
    <row r="9" spans="1:34" x14ac:dyDescent="0.25">
      <c r="A9" s="45">
        <v>206</v>
      </c>
      <c r="B9" s="46" t="s">
        <v>86</v>
      </c>
      <c r="C9" s="45" t="s">
        <v>201</v>
      </c>
      <c r="D9" s="45" t="s">
        <v>383</v>
      </c>
      <c r="E9" s="47">
        <v>521053</v>
      </c>
      <c r="F9" s="48">
        <v>19173</v>
      </c>
      <c r="G9" s="48">
        <v>5380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146527.5</v>
      </c>
      <c r="Z9" s="48">
        <v>63101</v>
      </c>
      <c r="AA9" s="48">
        <v>0</v>
      </c>
      <c r="AB9" s="48">
        <f>'[2]CSM Control Sheet'!C45</f>
        <v>97685</v>
      </c>
      <c r="AC9" s="48">
        <v>0</v>
      </c>
      <c r="AD9" s="49">
        <v>189186.5</v>
      </c>
      <c r="AE9" s="65"/>
      <c r="AF9" s="50"/>
      <c r="AG9" s="50"/>
      <c r="AH9" s="50"/>
    </row>
    <row r="10" spans="1:34" x14ac:dyDescent="0.25">
      <c r="A10" s="45">
        <v>402</v>
      </c>
      <c r="B10" s="46" t="s">
        <v>87</v>
      </c>
      <c r="C10" s="45" t="s">
        <v>191</v>
      </c>
      <c r="D10" s="45" t="s">
        <v>383</v>
      </c>
      <c r="E10" s="47">
        <v>245999</v>
      </c>
      <c r="F10" s="48">
        <v>55266</v>
      </c>
      <c r="G10" s="48">
        <v>2540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101560.06446048834</v>
      </c>
      <c r="T10" s="48">
        <v>0</v>
      </c>
      <c r="U10" s="48">
        <v>0</v>
      </c>
      <c r="V10" s="48">
        <v>0</v>
      </c>
      <c r="W10" s="48">
        <v>12240</v>
      </c>
      <c r="X10" s="48">
        <v>0</v>
      </c>
      <c r="Y10" s="48">
        <v>0</v>
      </c>
      <c r="Z10" s="48" t="s">
        <v>382</v>
      </c>
      <c r="AA10" s="48">
        <v>0</v>
      </c>
      <c r="AB10" s="48">
        <v>0</v>
      </c>
      <c r="AC10" s="48">
        <v>0</v>
      </c>
      <c r="AD10" s="49">
        <v>74392.935539511673</v>
      </c>
      <c r="AE10" s="65"/>
      <c r="AF10" s="50"/>
      <c r="AG10" s="50"/>
      <c r="AH10" s="51"/>
    </row>
    <row r="11" spans="1:34" x14ac:dyDescent="0.25">
      <c r="A11" s="45">
        <v>212</v>
      </c>
      <c r="B11" s="46" t="s">
        <v>88</v>
      </c>
      <c r="C11" s="45" t="s">
        <v>201</v>
      </c>
      <c r="D11" s="45" t="s">
        <v>383</v>
      </c>
      <c r="E11" s="47">
        <v>67795</v>
      </c>
      <c r="F11" s="48">
        <f>16683-1255</f>
        <v>15428</v>
      </c>
      <c r="G11" s="48">
        <v>0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8">
        <f>'[2]CSM Control Sheet'!C67/2</f>
        <v>48842.5</v>
      </c>
      <c r="Z11" s="48" t="s">
        <v>382</v>
      </c>
      <c r="AA11" s="48">
        <v>0</v>
      </c>
      <c r="AB11" s="48">
        <v>0</v>
      </c>
      <c r="AC11" s="48">
        <v>0</v>
      </c>
      <c r="AD11" s="49">
        <v>3524.5</v>
      </c>
      <c r="AE11" s="65"/>
      <c r="AF11" s="50"/>
      <c r="AG11" s="50"/>
      <c r="AH11" s="50"/>
    </row>
    <row r="12" spans="1:34" x14ac:dyDescent="0.25">
      <c r="A12" s="45">
        <v>213</v>
      </c>
      <c r="B12" s="46" t="s">
        <v>89</v>
      </c>
      <c r="C12" s="45" t="s">
        <v>203</v>
      </c>
      <c r="D12" s="45" t="s">
        <v>383</v>
      </c>
      <c r="E12" s="47">
        <v>817414</v>
      </c>
      <c r="F12" s="48">
        <v>35985.199999999997</v>
      </c>
      <c r="G12" s="48">
        <v>8440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195370</v>
      </c>
      <c r="O12" s="48">
        <v>100000</v>
      </c>
      <c r="P12" s="48">
        <v>23000</v>
      </c>
      <c r="Q12" s="48">
        <v>5000</v>
      </c>
      <c r="R12" s="48">
        <v>0</v>
      </c>
      <c r="S12" s="48">
        <v>0</v>
      </c>
      <c r="T12" s="48">
        <v>0</v>
      </c>
      <c r="U12" s="48">
        <v>0</v>
      </c>
      <c r="V12" s="48">
        <v>0</v>
      </c>
      <c r="W12" s="48">
        <v>0</v>
      </c>
      <c r="X12" s="48">
        <v>0</v>
      </c>
      <c r="Y12" s="48">
        <v>341897.5</v>
      </c>
      <c r="Z12" s="48">
        <v>82050</v>
      </c>
      <c r="AA12" s="48">
        <v>0</v>
      </c>
      <c r="AB12" s="48">
        <v>0</v>
      </c>
      <c r="AC12" s="48">
        <v>0</v>
      </c>
      <c r="AD12" s="49">
        <v>25671.300000000047</v>
      </c>
      <c r="AE12" s="65"/>
      <c r="AF12" s="50"/>
      <c r="AG12" s="50"/>
      <c r="AH12" s="50"/>
    </row>
    <row r="13" spans="1:34" x14ac:dyDescent="0.25">
      <c r="A13" s="45">
        <v>347</v>
      </c>
      <c r="B13" s="46" t="s">
        <v>90</v>
      </c>
      <c r="C13" s="45" t="s">
        <v>204</v>
      </c>
      <c r="D13" s="45" t="s">
        <v>383</v>
      </c>
      <c r="E13" s="47">
        <v>263432</v>
      </c>
      <c r="F13" s="48">
        <v>14932.2</v>
      </c>
      <c r="G13" s="48">
        <v>2720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195370</v>
      </c>
      <c r="O13" s="48">
        <f>100000-81534</f>
        <v>18466</v>
      </c>
      <c r="P13" s="48">
        <v>23000</v>
      </c>
      <c r="Q13" s="48">
        <v>5000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0</v>
      </c>
      <c r="Z13" s="48" t="s">
        <v>382</v>
      </c>
      <c r="AA13" s="48">
        <v>0</v>
      </c>
      <c r="AB13" s="48">
        <v>0</v>
      </c>
      <c r="AC13" s="48">
        <v>0</v>
      </c>
      <c r="AD13" s="49">
        <v>3943.7999999999884</v>
      </c>
      <c r="AE13" s="65"/>
      <c r="AF13" s="50"/>
      <c r="AG13" s="50"/>
      <c r="AH13" s="50"/>
    </row>
    <row r="14" spans="1:34" x14ac:dyDescent="0.25">
      <c r="A14" s="45">
        <v>404</v>
      </c>
      <c r="B14" s="46" t="s">
        <v>91</v>
      </c>
      <c r="C14" s="45" t="s">
        <v>203</v>
      </c>
      <c r="D14" s="45" t="s">
        <v>381</v>
      </c>
      <c r="E14" s="47">
        <v>466817</v>
      </c>
      <c r="F14" s="48">
        <f>14266-4936</f>
        <v>9330</v>
      </c>
      <c r="G14" s="48">
        <v>9640</v>
      </c>
      <c r="H14" s="48">
        <v>119880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195370</v>
      </c>
      <c r="O14" s="48">
        <v>100000</v>
      </c>
      <c r="P14" s="48">
        <v>0</v>
      </c>
      <c r="Q14" s="48">
        <v>5000</v>
      </c>
      <c r="R14" s="48">
        <v>0</v>
      </c>
      <c r="S14" s="48">
        <v>0</v>
      </c>
      <c r="T14" s="48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48">
        <v>20608</v>
      </c>
      <c r="AA14" s="48">
        <v>0</v>
      </c>
      <c r="AB14" s="48">
        <v>0</v>
      </c>
      <c r="AC14" s="48">
        <v>0</v>
      </c>
      <c r="AD14" s="49">
        <v>6989</v>
      </c>
      <c r="AE14" s="65"/>
      <c r="AF14" s="50"/>
      <c r="AG14" s="50"/>
      <c r="AH14" s="50"/>
    </row>
    <row r="15" spans="1:34" x14ac:dyDescent="0.25">
      <c r="A15" s="45">
        <v>296</v>
      </c>
      <c r="B15" s="46" t="s">
        <v>92</v>
      </c>
      <c r="C15" s="45" t="s">
        <v>201</v>
      </c>
      <c r="D15" s="45" t="s">
        <v>383</v>
      </c>
      <c r="E15" s="47">
        <v>493935</v>
      </c>
      <c r="F15" s="48">
        <v>19961.5</v>
      </c>
      <c r="G15" s="48">
        <v>5100</v>
      </c>
      <c r="H15" s="48">
        <v>42840</v>
      </c>
      <c r="I15" s="48">
        <v>0</v>
      </c>
      <c r="J15" s="48">
        <v>0</v>
      </c>
      <c r="K15" s="48">
        <v>0</v>
      </c>
      <c r="L15" s="48">
        <v>0</v>
      </c>
      <c r="M15" s="48">
        <v>0</v>
      </c>
      <c r="N15" s="48">
        <v>0</v>
      </c>
      <c r="O15" s="48">
        <v>0</v>
      </c>
      <c r="P15" s="48">
        <v>0</v>
      </c>
      <c r="Q15" s="48">
        <v>0</v>
      </c>
      <c r="R15" s="48">
        <v>0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  <c r="X15" s="48">
        <v>0</v>
      </c>
      <c r="Y15" s="48">
        <v>146527.5</v>
      </c>
      <c r="Z15" s="48" t="s">
        <v>382</v>
      </c>
      <c r="AA15" s="48">
        <v>0</v>
      </c>
      <c r="AB15" s="48">
        <f>'[2]CSM Control Sheet'!C45-20944</f>
        <v>76741</v>
      </c>
      <c r="AC15" s="48">
        <v>195370</v>
      </c>
      <c r="AD15" s="49">
        <v>7395</v>
      </c>
      <c r="AE15" s="65"/>
      <c r="AF15" s="50"/>
      <c r="AG15" s="50"/>
      <c r="AH15" s="50"/>
    </row>
    <row r="16" spans="1:34" x14ac:dyDescent="0.25">
      <c r="A16" s="45">
        <v>219</v>
      </c>
      <c r="B16" s="52" t="s">
        <v>93</v>
      </c>
      <c r="C16" s="45" t="s">
        <v>201</v>
      </c>
      <c r="D16" s="45" t="s">
        <v>383</v>
      </c>
      <c r="E16" s="47">
        <v>201448</v>
      </c>
      <c r="F16" s="48">
        <v>8258.5</v>
      </c>
      <c r="G16" s="48">
        <v>2080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32643</v>
      </c>
      <c r="AA16" s="48">
        <v>0</v>
      </c>
      <c r="AB16" s="48">
        <f>'[2]CSM Control Sheet'!C45</f>
        <v>97685</v>
      </c>
      <c r="AC16" s="48">
        <v>0</v>
      </c>
      <c r="AD16" s="49">
        <v>60781.5</v>
      </c>
      <c r="AE16" s="65"/>
      <c r="AF16" s="50"/>
      <c r="AG16" s="50"/>
      <c r="AH16" s="50"/>
    </row>
    <row r="17" spans="1:34" x14ac:dyDescent="0.25">
      <c r="A17" s="45">
        <v>220</v>
      </c>
      <c r="B17" s="46" t="s">
        <v>94</v>
      </c>
      <c r="C17" s="45" t="s">
        <v>201</v>
      </c>
      <c r="D17" s="45" t="s">
        <v>383</v>
      </c>
      <c r="E17" s="47">
        <v>306046</v>
      </c>
      <c r="F17" s="48">
        <v>13072.5</v>
      </c>
      <c r="G17" s="48">
        <v>3160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63885</v>
      </c>
      <c r="AA17" s="48">
        <v>0</v>
      </c>
      <c r="AB17" s="48">
        <f>'[2]CSM Control Sheet'!C45</f>
        <v>97685</v>
      </c>
      <c r="AC17" s="48">
        <v>0</v>
      </c>
      <c r="AD17" s="49">
        <v>128243.5</v>
      </c>
      <c r="AE17" s="65"/>
      <c r="AF17" s="50"/>
      <c r="AG17" s="50"/>
      <c r="AH17" s="50"/>
    </row>
    <row r="18" spans="1:34" x14ac:dyDescent="0.25">
      <c r="A18" s="45">
        <v>221</v>
      </c>
      <c r="B18" s="46" t="s">
        <v>95</v>
      </c>
      <c r="C18" s="45" t="s">
        <v>201</v>
      </c>
      <c r="D18" s="45" t="s">
        <v>383</v>
      </c>
      <c r="E18" s="47">
        <v>497809</v>
      </c>
      <c r="F18" s="48">
        <v>14483.5</v>
      </c>
      <c r="G18" s="48">
        <v>5140</v>
      </c>
      <c r="H18" s="48">
        <v>169200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 s="48">
        <v>0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11305</v>
      </c>
      <c r="AA18" s="48">
        <v>0</v>
      </c>
      <c r="AB18" s="48">
        <f>'[2]CSM Control Sheet'!C45*1.5</f>
        <v>146527.5</v>
      </c>
      <c r="AC18" s="48">
        <v>0</v>
      </c>
      <c r="AD18" s="49">
        <v>151153</v>
      </c>
      <c r="AE18" s="65"/>
      <c r="AF18" s="50"/>
      <c r="AG18" s="50"/>
      <c r="AH18" s="50"/>
    </row>
    <row r="19" spans="1:34" x14ac:dyDescent="0.25">
      <c r="A19" s="45">
        <v>247</v>
      </c>
      <c r="B19" s="46" t="s">
        <v>96</v>
      </c>
      <c r="C19" s="45" t="s">
        <v>201</v>
      </c>
      <c r="D19" s="45" t="s">
        <v>381</v>
      </c>
      <c r="E19" s="47">
        <v>414518</v>
      </c>
      <c r="F19" s="48">
        <v>11827.5</v>
      </c>
      <c r="G19" s="48">
        <v>8560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195370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 t="s">
        <v>382</v>
      </c>
      <c r="AA19" s="48">
        <v>97685</v>
      </c>
      <c r="AB19" s="48">
        <v>0</v>
      </c>
      <c r="AC19" s="48">
        <v>0</v>
      </c>
      <c r="AD19" s="49">
        <v>101075.5</v>
      </c>
      <c r="AE19" s="65"/>
      <c r="AF19" s="50"/>
      <c r="AG19" s="50"/>
      <c r="AH19" s="50"/>
    </row>
    <row r="20" spans="1:34" x14ac:dyDescent="0.25">
      <c r="A20" s="45">
        <v>360</v>
      </c>
      <c r="B20" s="46" t="s">
        <v>97</v>
      </c>
      <c r="C20" s="45" t="s">
        <v>203</v>
      </c>
      <c r="D20" s="45" t="s">
        <v>383</v>
      </c>
      <c r="E20" s="47">
        <v>87165</v>
      </c>
      <c r="F20" s="48">
        <v>16036.9</v>
      </c>
      <c r="G20" s="48">
        <v>0</v>
      </c>
      <c r="H20" s="48">
        <v>61200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f>23000-19377</f>
        <v>3623</v>
      </c>
      <c r="Q20" s="48">
        <v>5000</v>
      </c>
      <c r="R20" s="48">
        <v>0</v>
      </c>
      <c r="S20" s="48">
        <v>0</v>
      </c>
      <c r="T20" s="48">
        <v>0</v>
      </c>
      <c r="U20" s="48">
        <v>0</v>
      </c>
      <c r="V20" s="48">
        <v>0</v>
      </c>
      <c r="W20" s="48">
        <v>0</v>
      </c>
      <c r="X20" s="48">
        <v>0</v>
      </c>
      <c r="Y20" s="48">
        <v>0</v>
      </c>
      <c r="Z20" s="48" t="s">
        <v>382</v>
      </c>
      <c r="AA20" s="48">
        <v>0</v>
      </c>
      <c r="AB20" s="48">
        <v>0</v>
      </c>
      <c r="AC20" s="48">
        <v>0</v>
      </c>
      <c r="AD20" s="49">
        <v>1305.1000000000058</v>
      </c>
      <c r="AE20" s="65"/>
      <c r="AF20" s="50"/>
      <c r="AG20" s="50"/>
      <c r="AH20" s="50"/>
    </row>
    <row r="21" spans="1:34" x14ac:dyDescent="0.25">
      <c r="A21" s="45">
        <v>454</v>
      </c>
      <c r="B21" s="46" t="s">
        <v>98</v>
      </c>
      <c r="C21" s="45" t="s">
        <v>205</v>
      </c>
      <c r="D21" s="45" t="s">
        <v>381</v>
      </c>
      <c r="E21" s="47">
        <v>1410136</v>
      </c>
      <c r="F21" s="48">
        <v>92468.800000000003</v>
      </c>
      <c r="G21" s="48">
        <v>29120</v>
      </c>
      <c r="H21" s="48">
        <v>49320</v>
      </c>
      <c r="I21" s="48">
        <v>0</v>
      </c>
      <c r="J21" s="48">
        <v>0</v>
      </c>
      <c r="K21" s="48">
        <v>0</v>
      </c>
      <c r="L21" s="48">
        <v>56644</v>
      </c>
      <c r="M21" s="48">
        <v>0</v>
      </c>
      <c r="N21" s="48">
        <v>195370</v>
      </c>
      <c r="O21" s="48">
        <v>100000</v>
      </c>
      <c r="P21" s="48">
        <v>23000</v>
      </c>
      <c r="Q21" s="48">
        <v>5000</v>
      </c>
      <c r="R21" s="48">
        <f>3787437.613188-3536562</f>
        <v>250875.61318799993</v>
      </c>
      <c r="S21" s="48">
        <v>101560.06446048834</v>
      </c>
      <c r="T21" s="48">
        <v>233724</v>
      </c>
      <c r="U21" s="48">
        <v>101560.06446048834</v>
      </c>
      <c r="V21" s="48">
        <v>138141</v>
      </c>
      <c r="W21" s="48">
        <v>12240</v>
      </c>
      <c r="X21" s="48">
        <v>0</v>
      </c>
      <c r="Y21" s="48">
        <v>0</v>
      </c>
      <c r="Z21" s="48" t="s">
        <v>382</v>
      </c>
      <c r="AA21" s="48">
        <v>0</v>
      </c>
      <c r="AB21" s="48">
        <v>0</v>
      </c>
      <c r="AC21" s="48">
        <v>0</v>
      </c>
      <c r="AD21" s="49">
        <v>21112.457891023485</v>
      </c>
      <c r="AE21" s="65"/>
      <c r="AF21" s="50"/>
      <c r="AG21" s="50"/>
      <c r="AH21" s="50"/>
    </row>
    <row r="22" spans="1:34" x14ac:dyDescent="0.25">
      <c r="A22" s="45">
        <v>224</v>
      </c>
      <c r="B22" s="46" t="s">
        <v>100</v>
      </c>
      <c r="C22" s="45" t="s">
        <v>201</v>
      </c>
      <c r="D22" s="45" t="s">
        <v>383</v>
      </c>
      <c r="E22" s="47">
        <v>317668</v>
      </c>
      <c r="F22" s="48">
        <f>13570.5-3518</f>
        <v>10052.5</v>
      </c>
      <c r="G22" s="48">
        <v>3280</v>
      </c>
      <c r="H22" s="48">
        <v>0</v>
      </c>
      <c r="I22" s="48">
        <v>0</v>
      </c>
      <c r="J22" s="48">
        <v>0</v>
      </c>
      <c r="K22" s="48">
        <v>0</v>
      </c>
      <c r="L22" s="48">
        <v>0</v>
      </c>
      <c r="M22" s="48">
        <v>0</v>
      </c>
      <c r="N22" s="48">
        <v>0</v>
      </c>
      <c r="O22" s="48">
        <v>0</v>
      </c>
      <c r="P22" s="48">
        <v>0</v>
      </c>
      <c r="Q22" s="48">
        <v>0</v>
      </c>
      <c r="R22" s="48">
        <v>0</v>
      </c>
      <c r="S22" s="48">
        <v>0</v>
      </c>
      <c r="T22" s="48">
        <v>0</v>
      </c>
      <c r="U22" s="48">
        <v>0</v>
      </c>
      <c r="V22" s="48">
        <v>0</v>
      </c>
      <c r="W22" s="48">
        <v>0</v>
      </c>
      <c r="X22" s="48">
        <v>0</v>
      </c>
      <c r="Y22" s="48">
        <v>146527.5</v>
      </c>
      <c r="Z22" s="48">
        <v>55367</v>
      </c>
      <c r="AA22" s="48">
        <v>0</v>
      </c>
      <c r="AB22" s="48">
        <f>'[2]CSM Control Sheet'!C45</f>
        <v>97685</v>
      </c>
      <c r="AC22" s="48">
        <v>0</v>
      </c>
      <c r="AD22" s="49">
        <v>4756</v>
      </c>
      <c r="AE22" s="65"/>
      <c r="AF22" s="50"/>
      <c r="AG22" s="50"/>
      <c r="AH22" s="50"/>
    </row>
    <row r="23" spans="1:34" x14ac:dyDescent="0.25">
      <c r="A23" s="45">
        <v>442</v>
      </c>
      <c r="B23" s="46" t="s">
        <v>101</v>
      </c>
      <c r="C23" s="45" t="s">
        <v>205</v>
      </c>
      <c r="D23" s="45" t="s">
        <v>383</v>
      </c>
      <c r="E23" s="47">
        <v>1751048</v>
      </c>
      <c r="F23" s="48">
        <v>142356.45000000001</v>
      </c>
      <c r="G23" s="48">
        <v>18080</v>
      </c>
      <c r="H23" s="48">
        <v>261000</v>
      </c>
      <c r="I23" s="48">
        <v>0</v>
      </c>
      <c r="J23" s="48">
        <v>0</v>
      </c>
      <c r="K23" s="48">
        <v>0</v>
      </c>
      <c r="L23" s="48">
        <v>56644</v>
      </c>
      <c r="M23" s="48">
        <v>0</v>
      </c>
      <c r="N23" s="48">
        <v>195370</v>
      </c>
      <c r="O23" s="48">
        <v>100000</v>
      </c>
      <c r="P23" s="48">
        <v>23000</v>
      </c>
      <c r="Q23" s="48">
        <v>5000</v>
      </c>
      <c r="R23" s="48">
        <v>0</v>
      </c>
      <c r="S23" s="48">
        <v>101560.06446048834</v>
      </c>
      <c r="T23" s="48">
        <v>233724</v>
      </c>
      <c r="U23" s="48">
        <v>101560.06446048834</v>
      </c>
      <c r="V23" s="48">
        <v>0</v>
      </c>
      <c r="W23" s="48">
        <v>12240</v>
      </c>
      <c r="X23" s="48">
        <f>457685-81073</f>
        <v>376612</v>
      </c>
      <c r="Y23" s="48">
        <v>0</v>
      </c>
      <c r="Z23" s="48" t="s">
        <v>382</v>
      </c>
      <c r="AA23" s="48">
        <v>0</v>
      </c>
      <c r="AB23" s="48">
        <v>0</v>
      </c>
      <c r="AC23" s="48">
        <f>'[2]CSM Control Sheet'!C63</f>
        <v>97685</v>
      </c>
      <c r="AD23" s="49">
        <v>26216.421079023508</v>
      </c>
      <c r="AE23" s="65"/>
      <c r="AF23" s="50"/>
      <c r="AG23" s="50"/>
      <c r="AH23" s="50"/>
    </row>
    <row r="24" spans="1:34" x14ac:dyDescent="0.25">
      <c r="A24" s="45">
        <v>455</v>
      </c>
      <c r="B24" s="46" t="s">
        <v>102</v>
      </c>
      <c r="C24" s="45" t="s">
        <v>191</v>
      </c>
      <c r="D24" s="45" t="s">
        <v>381</v>
      </c>
      <c r="E24" s="47">
        <v>594659</v>
      </c>
      <c r="F24" s="48">
        <v>41449.5</v>
      </c>
      <c r="G24" s="48">
        <v>12280</v>
      </c>
      <c r="H24" s="48">
        <v>0</v>
      </c>
      <c r="I24" s="48">
        <v>0</v>
      </c>
      <c r="J24" s="48">
        <v>0</v>
      </c>
      <c r="K24" s="48">
        <v>0</v>
      </c>
      <c r="L24" s="48">
        <v>52598</v>
      </c>
      <c r="M24" s="48">
        <v>0</v>
      </c>
      <c r="N24" s="48">
        <v>0</v>
      </c>
      <c r="O24" s="48">
        <v>0</v>
      </c>
      <c r="P24" s="48">
        <v>0</v>
      </c>
      <c r="Q24" s="48">
        <v>0</v>
      </c>
      <c r="R24" s="48">
        <f>2189211.94838282-1925144</f>
        <v>264067.94838282</v>
      </c>
      <c r="S24" s="48">
        <v>101560.06446048834</v>
      </c>
      <c r="T24" s="53">
        <v>0</v>
      </c>
      <c r="U24" s="48">
        <v>101560.06446048834</v>
      </c>
      <c r="V24" s="48">
        <v>0</v>
      </c>
      <c r="W24" s="48">
        <v>12240</v>
      </c>
      <c r="X24" s="48">
        <v>0</v>
      </c>
      <c r="Y24" s="48">
        <v>0</v>
      </c>
      <c r="Z24" s="48" t="s">
        <v>382</v>
      </c>
      <c r="AA24" s="48">
        <v>0</v>
      </c>
      <c r="AB24" s="48">
        <v>0</v>
      </c>
      <c r="AC24" s="48">
        <v>0</v>
      </c>
      <c r="AD24" s="49">
        <v>8903.4226962033426</v>
      </c>
      <c r="AE24" s="65"/>
      <c r="AF24" s="50"/>
      <c r="AG24" s="50"/>
      <c r="AH24" s="50"/>
    </row>
    <row r="25" spans="1:34" x14ac:dyDescent="0.25">
      <c r="A25" s="45">
        <v>405</v>
      </c>
      <c r="B25" s="46" t="s">
        <v>103</v>
      </c>
      <c r="C25" s="45" t="s">
        <v>204</v>
      </c>
      <c r="D25" s="45" t="s">
        <v>383</v>
      </c>
      <c r="E25" s="47">
        <v>224692</v>
      </c>
      <c r="F25" s="48">
        <v>92992.4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100000</v>
      </c>
      <c r="P25" s="48">
        <v>23000</v>
      </c>
      <c r="Q25" s="48">
        <v>5000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 t="s">
        <v>382</v>
      </c>
      <c r="AA25" s="48">
        <v>0</v>
      </c>
      <c r="AB25" s="48">
        <v>0</v>
      </c>
      <c r="AC25" s="48">
        <v>0</v>
      </c>
      <c r="AD25" s="49">
        <v>3699.6000000000058</v>
      </c>
      <c r="AE25" s="65"/>
      <c r="AF25" s="50"/>
      <c r="AG25" s="50"/>
      <c r="AH25" s="50"/>
    </row>
    <row r="26" spans="1:34" x14ac:dyDescent="0.25">
      <c r="A26" s="45">
        <v>349</v>
      </c>
      <c r="B26" s="46" t="s">
        <v>104</v>
      </c>
      <c r="C26" s="45" t="s">
        <v>201</v>
      </c>
      <c r="D26" s="45" t="s">
        <v>383</v>
      </c>
      <c r="E26" s="47">
        <v>474565</v>
      </c>
      <c r="F26" s="48">
        <v>21870.5</v>
      </c>
      <c r="G26" s="48">
        <v>4900</v>
      </c>
      <c r="H26" s="48">
        <v>324000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f>146527.5-29838</f>
        <v>116689.5</v>
      </c>
      <c r="Z26" s="48" t="s">
        <v>382</v>
      </c>
      <c r="AA26" s="48">
        <v>0</v>
      </c>
      <c r="AB26" s="48">
        <v>0</v>
      </c>
      <c r="AC26" s="48">
        <v>0</v>
      </c>
      <c r="AD26" s="49">
        <v>7105</v>
      </c>
      <c r="AE26" s="65"/>
      <c r="AF26" s="50"/>
      <c r="AG26" s="50"/>
      <c r="AH26" s="50"/>
    </row>
    <row r="27" spans="1:34" x14ac:dyDescent="0.25">
      <c r="A27" s="45">
        <v>231</v>
      </c>
      <c r="B27" s="46" t="s">
        <v>105</v>
      </c>
      <c r="C27" s="45" t="s">
        <v>201</v>
      </c>
      <c r="D27" s="45" t="s">
        <v>381</v>
      </c>
      <c r="E27" s="47">
        <v>418392</v>
      </c>
      <c r="F27" s="48">
        <v>11537</v>
      </c>
      <c r="G27" s="48">
        <v>8640</v>
      </c>
      <c r="H27" s="48">
        <v>104760</v>
      </c>
      <c r="I27" s="48">
        <v>0</v>
      </c>
      <c r="J27" s="48">
        <v>0</v>
      </c>
      <c r="K27" s="48">
        <v>0</v>
      </c>
      <c r="L27" s="48">
        <v>0</v>
      </c>
      <c r="M27" s="48">
        <v>48842.5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20518</v>
      </c>
      <c r="AA27" s="48">
        <v>97685</v>
      </c>
      <c r="AB27" s="48">
        <f>'[2]CSM Control Sheet'!C45*1.5-26382</f>
        <v>120145.5</v>
      </c>
      <c r="AC27" s="48">
        <v>0</v>
      </c>
      <c r="AD27" s="49">
        <v>6264</v>
      </c>
      <c r="AE27" s="65"/>
      <c r="AF27" s="50"/>
      <c r="AG27" s="50"/>
      <c r="AH27" s="50"/>
    </row>
    <row r="28" spans="1:34" x14ac:dyDescent="0.25">
      <c r="A28" s="45">
        <v>467</v>
      </c>
      <c r="B28" s="46" t="s">
        <v>106</v>
      </c>
      <c r="C28" s="45" t="s">
        <v>191</v>
      </c>
      <c r="D28" s="45" t="s">
        <v>381</v>
      </c>
      <c r="E28" s="47">
        <v>910390</v>
      </c>
      <c r="F28" s="48">
        <v>69195.75</v>
      </c>
      <c r="G28" s="48">
        <v>18800</v>
      </c>
      <c r="H28" s="48">
        <v>0</v>
      </c>
      <c r="I28" s="48">
        <v>0</v>
      </c>
      <c r="J28" s="48">
        <v>0</v>
      </c>
      <c r="K28" s="48">
        <v>0</v>
      </c>
      <c r="L28" s="48">
        <v>56644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f>3254966.62840574-2951931</f>
        <v>303035.62840574002</v>
      </c>
      <c r="S28" s="48">
        <v>101560.06446048834</v>
      </c>
      <c r="T28" s="48">
        <v>233724</v>
      </c>
      <c r="U28" s="48">
        <v>101560.06446048834</v>
      </c>
      <c r="V28" s="48">
        <v>0</v>
      </c>
      <c r="W28" s="48">
        <v>12240</v>
      </c>
      <c r="X28" s="48">
        <v>0</v>
      </c>
      <c r="Y28" s="48">
        <v>0</v>
      </c>
      <c r="Z28" s="48" t="s">
        <v>382</v>
      </c>
      <c r="AA28" s="48">
        <v>0</v>
      </c>
      <c r="AB28" s="48">
        <v>0</v>
      </c>
      <c r="AC28" s="48">
        <v>0</v>
      </c>
      <c r="AD28" s="49">
        <v>13630.49267328321</v>
      </c>
      <c r="AE28" s="65"/>
      <c r="AF28" s="50"/>
      <c r="AG28" s="50"/>
      <c r="AH28" s="50"/>
    </row>
    <row r="29" spans="1:34" x14ac:dyDescent="0.25">
      <c r="A29" s="45">
        <v>457</v>
      </c>
      <c r="B29" s="46" t="s">
        <v>107</v>
      </c>
      <c r="C29" s="45" t="s">
        <v>191</v>
      </c>
      <c r="D29" s="45" t="s">
        <v>383</v>
      </c>
      <c r="E29" s="47">
        <v>1179633</v>
      </c>
      <c r="F29" s="48">
        <v>93997.5</v>
      </c>
      <c r="G29" s="48">
        <v>12180</v>
      </c>
      <c r="H29" s="48">
        <v>0</v>
      </c>
      <c r="I29" s="48">
        <v>0</v>
      </c>
      <c r="J29" s="48">
        <v>97685</v>
      </c>
      <c r="K29" s="48">
        <v>0</v>
      </c>
      <c r="L29" s="48">
        <v>68782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f>'[2]CSM Control Sheet'!C67*6.5</f>
        <v>634952.5</v>
      </c>
      <c r="S29" s="48">
        <v>101560.06446048834</v>
      </c>
      <c r="T29" s="48">
        <v>0</v>
      </c>
      <c r="U29" s="48">
        <v>101560.06446048834</v>
      </c>
      <c r="V29" s="48">
        <v>0</v>
      </c>
      <c r="W29" s="48">
        <v>12240</v>
      </c>
      <c r="X29" s="48">
        <v>0</v>
      </c>
      <c r="Y29" s="48">
        <v>0</v>
      </c>
      <c r="Z29" s="48" t="s">
        <v>382</v>
      </c>
      <c r="AA29" s="48">
        <v>0</v>
      </c>
      <c r="AB29" s="48">
        <v>0</v>
      </c>
      <c r="AC29" s="48">
        <v>0</v>
      </c>
      <c r="AD29" s="49">
        <v>56675.871079023229</v>
      </c>
      <c r="AE29" s="65"/>
      <c r="AF29" s="50"/>
      <c r="AG29" s="50"/>
      <c r="AH29" s="50"/>
    </row>
    <row r="30" spans="1:34" x14ac:dyDescent="0.25">
      <c r="A30" s="45">
        <v>232</v>
      </c>
      <c r="B30" s="46" t="s">
        <v>108</v>
      </c>
      <c r="C30" s="45" t="s">
        <v>201</v>
      </c>
      <c r="D30" s="45" t="s">
        <v>383</v>
      </c>
      <c r="E30" s="47">
        <v>58110</v>
      </c>
      <c r="F30" s="48">
        <f>19754-11357</f>
        <v>8397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f>'[2]CSM Control Sheet'!C67/2</f>
        <v>48842.5</v>
      </c>
      <c r="Z30" s="48" t="s">
        <v>382</v>
      </c>
      <c r="AA30" s="48">
        <v>0</v>
      </c>
      <c r="AB30" s="48">
        <v>0</v>
      </c>
      <c r="AC30" s="48">
        <v>0</v>
      </c>
      <c r="AD30" s="49">
        <v>870.5</v>
      </c>
      <c r="AE30" s="65"/>
      <c r="AF30" s="50"/>
      <c r="AG30" s="50"/>
      <c r="AH30" s="50"/>
    </row>
    <row r="31" spans="1:34" x14ac:dyDescent="0.25">
      <c r="A31" s="45">
        <v>407</v>
      </c>
      <c r="B31" s="46" t="s">
        <v>109</v>
      </c>
      <c r="C31" s="45" t="s">
        <v>204</v>
      </c>
      <c r="D31" s="45" t="s">
        <v>381</v>
      </c>
      <c r="E31" s="47">
        <v>292487</v>
      </c>
      <c r="F31" s="48">
        <v>12868.4</v>
      </c>
      <c r="G31" s="48">
        <v>3020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195370</v>
      </c>
      <c r="O31" s="48">
        <f>100000-51150</f>
        <v>48850</v>
      </c>
      <c r="P31" s="48">
        <v>23000</v>
      </c>
      <c r="Q31" s="48">
        <v>5000</v>
      </c>
      <c r="R31" s="48">
        <v>0</v>
      </c>
      <c r="S31" s="48">
        <v>0</v>
      </c>
      <c r="T31" s="48">
        <v>0</v>
      </c>
      <c r="U31" s="48">
        <v>0</v>
      </c>
      <c r="V31" s="48">
        <v>0</v>
      </c>
      <c r="W31" s="48">
        <v>0</v>
      </c>
      <c r="X31" s="48">
        <v>0</v>
      </c>
      <c r="Y31" s="48">
        <v>0</v>
      </c>
      <c r="Z31" s="48" t="s">
        <v>382</v>
      </c>
      <c r="AA31" s="48">
        <v>0</v>
      </c>
      <c r="AB31" s="48">
        <v>0</v>
      </c>
      <c r="AC31" s="48">
        <v>0</v>
      </c>
      <c r="AD31" s="49">
        <v>4378.5999999999767</v>
      </c>
      <c r="AE31" s="65"/>
      <c r="AF31" s="50"/>
      <c r="AG31" s="50"/>
      <c r="AH31" s="50"/>
    </row>
    <row r="32" spans="1:34" x14ac:dyDescent="0.25">
      <c r="A32" s="45">
        <v>471</v>
      </c>
      <c r="B32" s="46" t="s">
        <v>110</v>
      </c>
      <c r="C32" s="45" t="s">
        <v>191</v>
      </c>
      <c r="D32" s="45" t="s">
        <v>383</v>
      </c>
      <c r="E32" s="47">
        <v>335101</v>
      </c>
      <c r="F32" s="48">
        <v>63306.75</v>
      </c>
      <c r="G32" s="48">
        <v>3460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8">
        <v>0</v>
      </c>
      <c r="R32" s="48">
        <v>0</v>
      </c>
      <c r="S32" s="48">
        <v>0</v>
      </c>
      <c r="T32" s="48">
        <v>0</v>
      </c>
      <c r="U32" s="48">
        <v>0</v>
      </c>
      <c r="V32" s="48">
        <v>0</v>
      </c>
      <c r="W32" s="48">
        <v>12240</v>
      </c>
      <c r="X32" s="48">
        <f>3001098.61081673-2750021</f>
        <v>251077.61081673019</v>
      </c>
      <c r="Y32" s="48">
        <v>0</v>
      </c>
      <c r="Z32" s="48" t="s">
        <v>382</v>
      </c>
      <c r="AA32" s="48">
        <v>0</v>
      </c>
      <c r="AB32" s="48">
        <v>0</v>
      </c>
      <c r="AC32" s="48">
        <v>0</v>
      </c>
      <c r="AD32" s="49">
        <v>5016.6391832698137</v>
      </c>
      <c r="AE32" s="65"/>
      <c r="AF32" s="50"/>
      <c r="AG32" s="50"/>
      <c r="AH32" s="50"/>
    </row>
    <row r="33" spans="1:34" x14ac:dyDescent="0.25">
      <c r="A33" s="45">
        <v>238</v>
      </c>
      <c r="B33" s="46" t="s">
        <v>111</v>
      </c>
      <c r="C33" s="45" t="s">
        <v>201</v>
      </c>
      <c r="D33" s="45" t="s">
        <v>381</v>
      </c>
      <c r="E33" s="47">
        <v>488124</v>
      </c>
      <c r="F33" s="48">
        <f>12284-1717</f>
        <v>10567</v>
      </c>
      <c r="G33" s="48">
        <v>10080</v>
      </c>
      <c r="H33" s="48">
        <v>419240.47252272733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</v>
      </c>
      <c r="P33" s="48">
        <v>0</v>
      </c>
      <c r="Q33" s="48">
        <v>0</v>
      </c>
      <c r="R33" s="48">
        <v>0</v>
      </c>
      <c r="S33" s="48">
        <v>0</v>
      </c>
      <c r="T33" s="48">
        <v>0</v>
      </c>
      <c r="U33" s="48">
        <v>0</v>
      </c>
      <c r="V33" s="48">
        <v>0</v>
      </c>
      <c r="W33" s="48">
        <v>0</v>
      </c>
      <c r="X33" s="48">
        <v>0</v>
      </c>
      <c r="Y33" s="48">
        <v>0</v>
      </c>
      <c r="Z33" s="48">
        <v>40929</v>
      </c>
      <c r="AA33" s="48">
        <v>0</v>
      </c>
      <c r="AB33" s="48">
        <v>0</v>
      </c>
      <c r="AC33" s="48">
        <v>0</v>
      </c>
      <c r="AD33" s="49">
        <v>7307.5274772726698</v>
      </c>
      <c r="AE33" s="65"/>
      <c r="AF33" s="50"/>
      <c r="AG33" s="50"/>
      <c r="AH33" s="50"/>
    </row>
    <row r="34" spans="1:34" x14ac:dyDescent="0.25">
      <c r="A34" s="45">
        <v>239</v>
      </c>
      <c r="B34" s="46" t="s">
        <v>112</v>
      </c>
      <c r="C34" s="45" t="s">
        <v>201</v>
      </c>
      <c r="D34" s="45" t="s">
        <v>383</v>
      </c>
      <c r="E34" s="47">
        <v>234377</v>
      </c>
      <c r="F34" s="48">
        <v>10458</v>
      </c>
      <c r="G34" s="48">
        <v>2420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8">
        <v>0</v>
      </c>
      <c r="R34" s="48">
        <v>0</v>
      </c>
      <c r="S34" s="48">
        <v>0</v>
      </c>
      <c r="T34" s="48">
        <v>0</v>
      </c>
      <c r="U34" s="48">
        <v>0</v>
      </c>
      <c r="V34" s="48">
        <v>0</v>
      </c>
      <c r="W34" s="48">
        <v>0</v>
      </c>
      <c r="X34" s="48">
        <v>0</v>
      </c>
      <c r="Y34" s="48">
        <v>0</v>
      </c>
      <c r="Z34" s="48">
        <v>52079</v>
      </c>
      <c r="AA34" s="48">
        <v>0</v>
      </c>
      <c r="AB34" s="48">
        <f>'[2]CSM Control Sheet'!C45*1.5+19384</f>
        <v>165911.5</v>
      </c>
      <c r="AC34" s="48">
        <v>0</v>
      </c>
      <c r="AD34" s="49">
        <v>3508.5</v>
      </c>
      <c r="AE34" s="65"/>
      <c r="AF34" s="50"/>
      <c r="AG34" s="50"/>
      <c r="AH34" s="50"/>
    </row>
    <row r="35" spans="1:34" x14ac:dyDescent="0.25">
      <c r="A35" s="45">
        <v>227</v>
      </c>
      <c r="B35" s="46" t="s">
        <v>113</v>
      </c>
      <c r="C35" s="45" t="s">
        <v>201</v>
      </c>
      <c r="D35" s="45" t="s">
        <v>381</v>
      </c>
      <c r="E35" s="47">
        <v>480376</v>
      </c>
      <c r="F35" s="48">
        <v>18177</v>
      </c>
      <c r="G35" s="48">
        <v>4960</v>
      </c>
      <c r="H35" s="48">
        <f>561866.68914-173690</f>
        <v>388176.68914000003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</v>
      </c>
      <c r="P35" s="48">
        <v>0</v>
      </c>
      <c r="Q35" s="48">
        <v>0</v>
      </c>
      <c r="R35" s="48">
        <v>0</v>
      </c>
      <c r="S35" s="48">
        <v>0</v>
      </c>
      <c r="T35" s="48">
        <v>0</v>
      </c>
      <c r="U35" s="48">
        <v>0</v>
      </c>
      <c r="V35" s="48">
        <v>0</v>
      </c>
      <c r="W35" s="48">
        <v>0</v>
      </c>
      <c r="X35" s="48">
        <v>0</v>
      </c>
      <c r="Y35" s="48">
        <v>0</v>
      </c>
      <c r="Z35" s="48">
        <v>61870</v>
      </c>
      <c r="AA35" s="48">
        <v>0</v>
      </c>
      <c r="AB35" s="48">
        <v>0</v>
      </c>
      <c r="AC35" s="48">
        <v>0</v>
      </c>
      <c r="AD35" s="49">
        <v>7192.3108599999687</v>
      </c>
      <c r="AE35" s="65"/>
      <c r="AF35" s="50"/>
      <c r="AG35" s="50"/>
      <c r="AH35" s="50"/>
    </row>
    <row r="36" spans="1:34" x14ac:dyDescent="0.25">
      <c r="A36" s="45">
        <v>246</v>
      </c>
      <c r="B36" s="46" t="s">
        <v>114</v>
      </c>
      <c r="C36" s="45" t="s">
        <v>204</v>
      </c>
      <c r="D36" s="45" t="s">
        <v>383</v>
      </c>
      <c r="E36" s="47">
        <v>176267</v>
      </c>
      <c r="F36" s="48">
        <v>23248.1</v>
      </c>
      <c r="G36" s="48">
        <v>0</v>
      </c>
      <c r="H36" s="48">
        <v>52560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f>'[2]CSM Control Sheet'!C67</f>
        <v>97685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0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 t="s">
        <v>382</v>
      </c>
      <c r="AA36" s="48">
        <v>0</v>
      </c>
      <c r="AB36" s="48">
        <v>0</v>
      </c>
      <c r="AC36" s="48">
        <v>0</v>
      </c>
      <c r="AD36" s="49">
        <v>2773.8999999999942</v>
      </c>
      <c r="AE36" s="65"/>
      <c r="AF36" s="50"/>
      <c r="AG36" s="50"/>
      <c r="AH36" s="50"/>
    </row>
    <row r="37" spans="1:34" x14ac:dyDescent="0.25">
      <c r="A37" s="45">
        <v>413</v>
      </c>
      <c r="B37" s="46" t="s">
        <v>115</v>
      </c>
      <c r="C37" s="45" t="s">
        <v>204</v>
      </c>
      <c r="D37" s="45" t="s">
        <v>381</v>
      </c>
      <c r="E37" s="47">
        <v>567541</v>
      </c>
      <c r="F37" s="48">
        <f>20152.4-5732</f>
        <v>14420.400000000001</v>
      </c>
      <c r="G37" s="48">
        <v>11720</v>
      </c>
      <c r="H37" s="48">
        <v>435218.33206545422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f>'[2]CSM Control Sheet'!C67</f>
        <v>97685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 t="s">
        <v>382</v>
      </c>
      <c r="AA37" s="48">
        <v>0</v>
      </c>
      <c r="AB37" s="48">
        <v>0</v>
      </c>
      <c r="AC37" s="48">
        <v>0</v>
      </c>
      <c r="AD37" s="49">
        <v>8497.2679345457582</v>
      </c>
      <c r="AE37" s="65"/>
      <c r="AF37" s="50"/>
      <c r="AG37" s="50"/>
    </row>
    <row r="38" spans="1:34" x14ac:dyDescent="0.25">
      <c r="A38" s="45">
        <v>258</v>
      </c>
      <c r="B38" s="46" t="s">
        <v>116</v>
      </c>
      <c r="C38" s="45" t="s">
        <v>201</v>
      </c>
      <c r="D38" s="45" t="s">
        <v>383</v>
      </c>
      <c r="E38" s="47">
        <v>61984</v>
      </c>
      <c r="F38" s="48">
        <f>13197-984</f>
        <v>12213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 t="s">
        <v>382</v>
      </c>
      <c r="AA38" s="48">
        <v>0</v>
      </c>
      <c r="AB38" s="48">
        <f>'[2]CSM Control Sheet'!C45/2</f>
        <v>48842.5</v>
      </c>
      <c r="AC38" s="48">
        <v>0</v>
      </c>
      <c r="AD38" s="49">
        <v>928.5</v>
      </c>
      <c r="AE38" s="65"/>
      <c r="AF38" s="50"/>
      <c r="AG38" s="50"/>
      <c r="AH38" s="54"/>
    </row>
    <row r="39" spans="1:34" x14ac:dyDescent="0.25">
      <c r="A39" s="45">
        <v>249</v>
      </c>
      <c r="B39" s="46" t="s">
        <v>117</v>
      </c>
      <c r="C39" s="45" t="s">
        <v>201</v>
      </c>
      <c r="D39" s="45" t="s">
        <v>383</v>
      </c>
      <c r="E39" s="47">
        <v>784485</v>
      </c>
      <c r="F39" s="48">
        <v>18343</v>
      </c>
      <c r="G39" s="48">
        <v>16200</v>
      </c>
      <c r="H39" s="48">
        <v>492523.60171272734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146527.5</v>
      </c>
      <c r="Z39" s="48" t="s">
        <v>382</v>
      </c>
      <c r="AA39" s="48">
        <v>0</v>
      </c>
      <c r="AB39" s="48">
        <f>'[2]CSM Control Sheet'!C45</f>
        <v>97685</v>
      </c>
      <c r="AC39" s="48">
        <v>0</v>
      </c>
      <c r="AD39" s="49">
        <v>13205.898287272663</v>
      </c>
      <c r="AE39" s="65"/>
      <c r="AF39" s="50"/>
      <c r="AG39" s="50"/>
      <c r="AH39" s="50"/>
    </row>
    <row r="40" spans="1:34" x14ac:dyDescent="0.25">
      <c r="A40" s="45">
        <v>251</v>
      </c>
      <c r="B40" s="46" t="s">
        <v>118</v>
      </c>
      <c r="C40" s="45" t="s">
        <v>201</v>
      </c>
      <c r="D40" s="45" t="s">
        <v>383</v>
      </c>
      <c r="E40" s="47">
        <v>457132</v>
      </c>
      <c r="F40" s="48">
        <v>12159.5</v>
      </c>
      <c r="G40" s="48">
        <v>9440</v>
      </c>
      <c r="H40" s="48">
        <v>48960</v>
      </c>
      <c r="I40" s="48">
        <v>0</v>
      </c>
      <c r="J40" s="48">
        <v>0</v>
      </c>
      <c r="K40" s="48">
        <v>0</v>
      </c>
      <c r="L40" s="48">
        <v>0</v>
      </c>
      <c r="M40" s="48">
        <v>97685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37612</v>
      </c>
      <c r="AA40" s="48">
        <v>97685</v>
      </c>
      <c r="AB40" s="48">
        <f>'[2]CSM Control Sheet'!C45</f>
        <v>97685</v>
      </c>
      <c r="AC40" s="48">
        <v>0</v>
      </c>
      <c r="AD40" s="49">
        <v>55905.5</v>
      </c>
      <c r="AE40" s="65"/>
      <c r="AF40" s="50"/>
      <c r="AG40" s="50"/>
    </row>
    <row r="41" spans="1:34" x14ac:dyDescent="0.25">
      <c r="A41" s="45">
        <v>252</v>
      </c>
      <c r="B41" s="46" t="s">
        <v>119</v>
      </c>
      <c r="C41" s="45" t="s">
        <v>201</v>
      </c>
      <c r="D41" s="45" t="s">
        <v>383</v>
      </c>
      <c r="E41" s="47">
        <v>38740</v>
      </c>
      <c r="F41" s="48">
        <v>13819.5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48">
        <v>0</v>
      </c>
      <c r="N41" s="48">
        <v>0</v>
      </c>
      <c r="O41" s="48">
        <v>0</v>
      </c>
      <c r="P41" s="48">
        <v>0</v>
      </c>
      <c r="Q41" s="48">
        <v>0</v>
      </c>
      <c r="R41" s="48">
        <v>0</v>
      </c>
      <c r="S41" s="48">
        <v>0</v>
      </c>
      <c r="T41" s="48">
        <v>0</v>
      </c>
      <c r="U41" s="48">
        <v>0</v>
      </c>
      <c r="V41" s="48">
        <v>0</v>
      </c>
      <c r="W41" s="48">
        <v>0</v>
      </c>
      <c r="X41" s="48">
        <f>35000-10660</f>
        <v>24340</v>
      </c>
      <c r="Y41" s="48">
        <v>0</v>
      </c>
      <c r="Z41" s="48" t="s">
        <v>382</v>
      </c>
      <c r="AA41" s="48">
        <v>0</v>
      </c>
      <c r="AB41" s="48">
        <v>0</v>
      </c>
      <c r="AC41" s="48">
        <v>0</v>
      </c>
      <c r="AD41" s="49">
        <v>580.5</v>
      </c>
      <c r="AE41" s="65"/>
      <c r="AF41" s="50"/>
      <c r="AG41" s="50"/>
    </row>
    <row r="42" spans="1:34" x14ac:dyDescent="0.25">
      <c r="A42" s="45">
        <v>339</v>
      </c>
      <c r="B42" s="46" t="s">
        <v>123</v>
      </c>
      <c r="C42" s="45" t="s">
        <v>201</v>
      </c>
      <c r="D42" s="45" t="s">
        <v>383</v>
      </c>
      <c r="E42" s="47">
        <v>480376</v>
      </c>
      <c r="F42" s="48">
        <v>21082</v>
      </c>
      <c r="G42" s="48">
        <v>4960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48">
        <v>146527.5</v>
      </c>
      <c r="N42" s="48">
        <v>0</v>
      </c>
      <c r="O42" s="48">
        <v>0</v>
      </c>
      <c r="P42" s="48">
        <v>0</v>
      </c>
      <c r="Q42" s="48">
        <v>0</v>
      </c>
      <c r="R42" s="48">
        <v>0</v>
      </c>
      <c r="S42" s="48">
        <v>0</v>
      </c>
      <c r="T42" s="48">
        <v>0</v>
      </c>
      <c r="U42" s="48">
        <v>0</v>
      </c>
      <c r="V42" s="48">
        <v>0</v>
      </c>
      <c r="W42" s="48">
        <v>0</v>
      </c>
      <c r="X42" s="48">
        <v>0</v>
      </c>
      <c r="Y42" s="48">
        <v>146527.5</v>
      </c>
      <c r="Z42" s="48">
        <v>41172</v>
      </c>
      <c r="AA42" s="48">
        <v>0</v>
      </c>
      <c r="AB42" s="48">
        <f>'[2]CSM Control Sheet'!C45</f>
        <v>97685</v>
      </c>
      <c r="AC42" s="48">
        <v>0</v>
      </c>
      <c r="AD42" s="49">
        <v>22422</v>
      </c>
      <c r="AE42" s="65"/>
      <c r="AF42" s="50"/>
      <c r="AG42" s="50"/>
      <c r="AH42" s="55"/>
    </row>
    <row r="43" spans="1:34" ht="16.5" thickBot="1" x14ac:dyDescent="0.3">
      <c r="A43" s="45">
        <v>254</v>
      </c>
      <c r="B43" s="46" t="s">
        <v>124</v>
      </c>
      <c r="C43" s="45" t="s">
        <v>201</v>
      </c>
      <c r="D43" s="45" t="s">
        <v>383</v>
      </c>
      <c r="E43" s="47">
        <v>32929</v>
      </c>
      <c r="F43" s="48">
        <v>30212</v>
      </c>
      <c r="G43" s="48">
        <v>0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48">
        <v>0</v>
      </c>
      <c r="N43" s="48">
        <v>0</v>
      </c>
      <c r="O43" s="48">
        <v>0</v>
      </c>
      <c r="P43" s="48">
        <v>0</v>
      </c>
      <c r="Q43" s="48">
        <v>0</v>
      </c>
      <c r="R43" s="48">
        <v>0</v>
      </c>
      <c r="S43" s="48">
        <v>0</v>
      </c>
      <c r="T43" s="48">
        <v>0</v>
      </c>
      <c r="U43" s="48">
        <v>0</v>
      </c>
      <c r="V43" s="48">
        <v>0</v>
      </c>
      <c r="W43" s="48">
        <v>0</v>
      </c>
      <c r="X43" s="48">
        <v>0</v>
      </c>
      <c r="Y43" s="48">
        <v>0</v>
      </c>
      <c r="Z43" s="48" t="s">
        <v>382</v>
      </c>
      <c r="AA43" s="48">
        <v>0</v>
      </c>
      <c r="AB43" s="48">
        <v>0</v>
      </c>
      <c r="AC43" s="48">
        <v>0</v>
      </c>
      <c r="AD43" s="49">
        <v>2717</v>
      </c>
      <c r="AE43" s="65"/>
      <c r="AF43" s="50"/>
      <c r="AG43" s="50"/>
    </row>
    <row r="44" spans="1:34" ht="16.5" thickBot="1" x14ac:dyDescent="0.3">
      <c r="A44" s="45">
        <v>433</v>
      </c>
      <c r="B44" s="46" t="s">
        <v>125</v>
      </c>
      <c r="C44" s="45" t="s">
        <v>204</v>
      </c>
      <c r="D44" s="45" t="s">
        <v>383</v>
      </c>
      <c r="E44" s="47">
        <v>377715</v>
      </c>
      <c r="F44" s="48">
        <f>18817-12168</f>
        <v>6649</v>
      </c>
      <c r="G44" s="48">
        <v>3900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195370</v>
      </c>
      <c r="O44" s="48">
        <v>0</v>
      </c>
      <c r="P44" s="48">
        <v>23000</v>
      </c>
      <c r="Q44" s="48">
        <v>5000</v>
      </c>
      <c r="R44" s="48">
        <v>0</v>
      </c>
      <c r="S44" s="48">
        <v>0</v>
      </c>
      <c r="T44" s="48">
        <v>0</v>
      </c>
      <c r="U44" s="48">
        <v>0</v>
      </c>
      <c r="V44" s="48">
        <v>138141</v>
      </c>
      <c r="W44" s="48">
        <v>0</v>
      </c>
      <c r="X44" s="48">
        <v>0</v>
      </c>
      <c r="Y44" s="48">
        <v>0</v>
      </c>
      <c r="Z44" s="48" t="s">
        <v>382</v>
      </c>
      <c r="AA44" s="48">
        <v>0</v>
      </c>
      <c r="AB44" s="48">
        <v>0</v>
      </c>
      <c r="AC44" s="48">
        <v>0</v>
      </c>
      <c r="AD44" s="49">
        <v>5655</v>
      </c>
      <c r="AE44" s="65"/>
      <c r="AF44" s="50"/>
      <c r="AG44" s="50"/>
      <c r="AH44" s="56"/>
    </row>
    <row r="45" spans="1:34" x14ac:dyDescent="0.25">
      <c r="A45" s="45">
        <v>416</v>
      </c>
      <c r="B45" s="46" t="s">
        <v>126</v>
      </c>
      <c r="C45" s="45" t="s">
        <v>204</v>
      </c>
      <c r="D45" s="45" t="s">
        <v>381</v>
      </c>
      <c r="E45" s="47">
        <v>422266</v>
      </c>
      <c r="F45" s="48">
        <v>14750.1</v>
      </c>
      <c r="G45" s="48">
        <v>8720</v>
      </c>
      <c r="H45" s="48">
        <v>321761.05255999998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8">
        <v>0</v>
      </c>
      <c r="O45" s="48">
        <f>100000-57287</f>
        <v>42713</v>
      </c>
      <c r="P45" s="48">
        <v>23000</v>
      </c>
      <c r="Q45" s="48">
        <v>5000</v>
      </c>
      <c r="R45" s="48">
        <v>0</v>
      </c>
      <c r="S45" s="48">
        <v>0</v>
      </c>
      <c r="T45" s="48">
        <v>0</v>
      </c>
      <c r="U45" s="48">
        <v>0</v>
      </c>
      <c r="V45" s="48">
        <v>0</v>
      </c>
      <c r="W45" s="48">
        <v>0</v>
      </c>
      <c r="X45" s="48">
        <v>0</v>
      </c>
      <c r="Y45" s="48">
        <v>0</v>
      </c>
      <c r="Z45" s="48" t="s">
        <v>382</v>
      </c>
      <c r="AA45" s="48">
        <v>0</v>
      </c>
      <c r="AB45" s="48">
        <v>0</v>
      </c>
      <c r="AC45" s="48">
        <v>0</v>
      </c>
      <c r="AD45" s="49">
        <v>6321.8474400000414</v>
      </c>
      <c r="AE45" s="65"/>
      <c r="AF45" s="50"/>
      <c r="AG45" s="50"/>
    </row>
    <row r="46" spans="1:34" x14ac:dyDescent="0.25">
      <c r="A46" s="45">
        <v>421</v>
      </c>
      <c r="B46" s="46" t="s">
        <v>127</v>
      </c>
      <c r="C46" s="45" t="s">
        <v>204</v>
      </c>
      <c r="D46" s="45" t="s">
        <v>381</v>
      </c>
      <c r="E46" s="47">
        <v>594659</v>
      </c>
      <c r="F46" s="48">
        <v>26222.400000000001</v>
      </c>
      <c r="G46" s="48">
        <v>6140</v>
      </c>
      <c r="H46" s="48">
        <v>489753.25340909057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f>100000-64360</f>
        <v>35640</v>
      </c>
      <c r="P46" s="48">
        <v>23000</v>
      </c>
      <c r="Q46" s="48">
        <v>5000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 t="s">
        <v>382</v>
      </c>
      <c r="AA46" s="48">
        <v>0</v>
      </c>
      <c r="AB46" s="48">
        <v>0</v>
      </c>
      <c r="AC46" s="48">
        <v>0</v>
      </c>
      <c r="AD46" s="49">
        <v>8903.3465909094084</v>
      </c>
      <c r="AE46" s="65"/>
      <c r="AF46" s="50"/>
      <c r="AG46" s="50"/>
    </row>
    <row r="47" spans="1:34" x14ac:dyDescent="0.25">
      <c r="A47" s="45">
        <v>257</v>
      </c>
      <c r="B47" s="46" t="s">
        <v>128</v>
      </c>
      <c r="C47" s="45" t="s">
        <v>201</v>
      </c>
      <c r="D47" s="45" t="s">
        <v>381</v>
      </c>
      <c r="E47" s="47">
        <v>519116</v>
      </c>
      <c r="F47" s="48">
        <v>12574.5</v>
      </c>
      <c r="G47" s="48">
        <v>10720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97685</v>
      </c>
      <c r="N47" s="48">
        <v>0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146527.5</v>
      </c>
      <c r="Z47" s="48">
        <v>7137</v>
      </c>
      <c r="AA47" s="48">
        <v>97685</v>
      </c>
      <c r="AB47" s="48">
        <v>97685</v>
      </c>
      <c r="AC47" s="48">
        <v>0</v>
      </c>
      <c r="AD47" s="49">
        <v>49102</v>
      </c>
      <c r="AE47" s="65"/>
      <c r="AF47" s="50"/>
      <c r="AG47" s="50"/>
    </row>
    <row r="48" spans="1:34" x14ac:dyDescent="0.25">
      <c r="A48" s="45">
        <v>272</v>
      </c>
      <c r="B48" s="46" t="s">
        <v>129</v>
      </c>
      <c r="C48" s="45" t="s">
        <v>201</v>
      </c>
      <c r="D48" s="45" t="s">
        <v>383</v>
      </c>
      <c r="E48" s="47">
        <v>25181</v>
      </c>
      <c r="F48" s="48">
        <v>16766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 t="s">
        <v>382</v>
      </c>
      <c r="AA48" s="48">
        <v>0</v>
      </c>
      <c r="AB48" s="48">
        <v>0</v>
      </c>
      <c r="AC48" s="48">
        <v>0</v>
      </c>
      <c r="AD48" s="49">
        <v>8415</v>
      </c>
      <c r="AE48" s="65"/>
      <c r="AF48" s="50"/>
      <c r="AG48" s="50"/>
    </row>
    <row r="49" spans="1:34" x14ac:dyDescent="0.25">
      <c r="A49" s="45">
        <v>259</v>
      </c>
      <c r="B49" s="46" t="s">
        <v>130</v>
      </c>
      <c r="C49" s="45" t="s">
        <v>201</v>
      </c>
      <c r="D49" s="45" t="s">
        <v>381</v>
      </c>
      <c r="E49" s="47">
        <v>612092</v>
      </c>
      <c r="F49" s="48">
        <v>16019</v>
      </c>
      <c r="G49" s="48">
        <v>12640</v>
      </c>
      <c r="H49" s="48">
        <v>210600</v>
      </c>
      <c r="I49" s="48">
        <v>0</v>
      </c>
      <c r="J49" s="48">
        <v>0</v>
      </c>
      <c r="K49" s="48">
        <v>0</v>
      </c>
      <c r="L49" s="48">
        <v>0</v>
      </c>
      <c r="M49" s="48">
        <v>97685</v>
      </c>
      <c r="N49" s="48">
        <v>0</v>
      </c>
      <c r="O49" s="48">
        <v>0</v>
      </c>
      <c r="P49" s="48">
        <v>0</v>
      </c>
      <c r="Q49" s="48">
        <v>0</v>
      </c>
      <c r="R49" s="48">
        <v>0</v>
      </c>
      <c r="S49" s="48">
        <v>0</v>
      </c>
      <c r="T49" s="48">
        <v>0</v>
      </c>
      <c r="U49" s="48">
        <v>0</v>
      </c>
      <c r="V49" s="48">
        <v>0</v>
      </c>
      <c r="W49" s="48">
        <v>0</v>
      </c>
      <c r="X49" s="48">
        <v>0</v>
      </c>
      <c r="Y49" s="48">
        <v>0</v>
      </c>
      <c r="Z49" s="48">
        <v>37479</v>
      </c>
      <c r="AA49" s="48">
        <v>97685</v>
      </c>
      <c r="AB49" s="48">
        <f>'[2]CSM Control Sheet'!C45</f>
        <v>97685</v>
      </c>
      <c r="AC49" s="48">
        <v>0</v>
      </c>
      <c r="AD49" s="49">
        <v>42299</v>
      </c>
      <c r="AE49" s="65"/>
      <c r="AF49" s="50"/>
      <c r="AG49" s="50"/>
    </row>
    <row r="50" spans="1:34" x14ac:dyDescent="0.25">
      <c r="A50" s="45">
        <v>344</v>
      </c>
      <c r="B50" s="46" t="s">
        <v>131</v>
      </c>
      <c r="C50" s="45" t="s">
        <v>201</v>
      </c>
      <c r="D50" s="45" t="s">
        <v>381</v>
      </c>
      <c r="E50" s="47">
        <v>674076</v>
      </c>
      <c r="F50" s="48">
        <v>16185</v>
      </c>
      <c r="G50" s="48">
        <v>13920</v>
      </c>
      <c r="H50" s="48">
        <v>444167.64106818161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8">
        <v>0</v>
      </c>
      <c r="R50" s="48">
        <v>0</v>
      </c>
      <c r="S50" s="48">
        <v>0</v>
      </c>
      <c r="T50" s="48">
        <v>0</v>
      </c>
      <c r="U50" s="48">
        <v>0</v>
      </c>
      <c r="V50" s="48">
        <v>0</v>
      </c>
      <c r="W50" s="48">
        <v>0</v>
      </c>
      <c r="X50" s="48">
        <v>0</v>
      </c>
      <c r="Y50" s="48">
        <v>0</v>
      </c>
      <c r="Z50" s="48">
        <v>16182</v>
      </c>
      <c r="AA50" s="48">
        <v>97685</v>
      </c>
      <c r="AB50" s="48">
        <f>'[2]CSM Control Sheet'!C45/2</f>
        <v>48842.5</v>
      </c>
      <c r="AC50" s="48">
        <v>0</v>
      </c>
      <c r="AD50" s="49">
        <v>37093.858931818395</v>
      </c>
      <c r="AE50" s="65"/>
      <c r="AF50" s="50"/>
      <c r="AG50" s="50"/>
    </row>
    <row r="51" spans="1:34" x14ac:dyDescent="0.25">
      <c r="A51" s="45">
        <v>417</v>
      </c>
      <c r="B51" s="46" t="s">
        <v>132</v>
      </c>
      <c r="C51" s="45" t="s">
        <v>204</v>
      </c>
      <c r="D51" s="45" t="s">
        <v>381</v>
      </c>
      <c r="E51" s="47">
        <v>362219</v>
      </c>
      <c r="F51" s="48">
        <f>12504.2-1699</f>
        <v>10805.2</v>
      </c>
      <c r="G51" s="48">
        <v>7480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v>195370</v>
      </c>
      <c r="O51" s="48">
        <v>0</v>
      </c>
      <c r="P51" s="48">
        <v>0</v>
      </c>
      <c r="Q51" s="48">
        <v>5000</v>
      </c>
      <c r="R51" s="48">
        <v>0</v>
      </c>
      <c r="S51" s="48">
        <v>0</v>
      </c>
      <c r="T51" s="48">
        <v>0</v>
      </c>
      <c r="U51" s="48">
        <v>0</v>
      </c>
      <c r="V51" s="48">
        <v>138141</v>
      </c>
      <c r="W51" s="48">
        <v>0</v>
      </c>
      <c r="X51" s="48">
        <v>0</v>
      </c>
      <c r="Y51" s="48">
        <v>0</v>
      </c>
      <c r="Z51" s="48" t="s">
        <v>382</v>
      </c>
      <c r="AA51" s="48">
        <v>0</v>
      </c>
      <c r="AB51" s="48">
        <v>0</v>
      </c>
      <c r="AC51" s="48">
        <v>0</v>
      </c>
      <c r="AD51" s="49">
        <v>5422.7999999999884</v>
      </c>
      <c r="AE51" s="65"/>
      <c r="AF51" s="50"/>
      <c r="AG51" s="50"/>
    </row>
    <row r="52" spans="1:34" x14ac:dyDescent="0.25">
      <c r="A52" s="45">
        <v>261</v>
      </c>
      <c r="B52" s="46" t="s">
        <v>133</v>
      </c>
      <c r="C52" s="45" t="s">
        <v>201</v>
      </c>
      <c r="D52" s="45" t="s">
        <v>383</v>
      </c>
      <c r="E52" s="47">
        <v>42614</v>
      </c>
      <c r="F52" s="48">
        <v>33034</v>
      </c>
      <c r="G52" s="48">
        <v>0</v>
      </c>
      <c r="H52" s="48">
        <v>0</v>
      </c>
      <c r="I52" s="48">
        <v>0</v>
      </c>
      <c r="J52" s="48">
        <v>0</v>
      </c>
      <c r="K52" s="48">
        <v>0</v>
      </c>
      <c r="L52" s="48">
        <v>0</v>
      </c>
      <c r="M52" s="48">
        <v>0</v>
      </c>
      <c r="N52" s="48">
        <v>0</v>
      </c>
      <c r="O52" s="48">
        <v>0</v>
      </c>
      <c r="P52" s="48">
        <v>0</v>
      </c>
      <c r="Q52" s="48">
        <v>0</v>
      </c>
      <c r="R52" s="48">
        <v>0</v>
      </c>
      <c r="S52" s="48">
        <v>0</v>
      </c>
      <c r="T52" s="48">
        <v>0</v>
      </c>
      <c r="U52" s="48">
        <v>0</v>
      </c>
      <c r="V52" s="48">
        <v>0</v>
      </c>
      <c r="W52" s="48">
        <v>0</v>
      </c>
      <c r="X52" s="48">
        <v>0</v>
      </c>
      <c r="Y52" s="48">
        <v>0</v>
      </c>
      <c r="Z52" s="48" t="s">
        <v>382</v>
      </c>
      <c r="AA52" s="48">
        <v>0</v>
      </c>
      <c r="AB52" s="48">
        <v>0</v>
      </c>
      <c r="AC52" s="48">
        <v>0</v>
      </c>
      <c r="AD52" s="49">
        <v>9580</v>
      </c>
      <c r="AE52" s="65"/>
      <c r="AF52" s="50"/>
      <c r="AG52" s="50"/>
    </row>
    <row r="53" spans="1:34" x14ac:dyDescent="0.25">
      <c r="A53" s="45">
        <v>262</v>
      </c>
      <c r="B53" s="46" t="s">
        <v>134</v>
      </c>
      <c r="C53" s="45" t="s">
        <v>201</v>
      </c>
      <c r="D53" s="45" t="s">
        <v>383</v>
      </c>
      <c r="E53" s="47">
        <v>379652</v>
      </c>
      <c r="F53" s="48">
        <v>13902.5</v>
      </c>
      <c r="G53" s="48">
        <v>3920</v>
      </c>
      <c r="H53" s="48">
        <v>0</v>
      </c>
      <c r="I53" s="48">
        <v>0</v>
      </c>
      <c r="J53" s="48">
        <v>0</v>
      </c>
      <c r="K53" s="48">
        <v>0</v>
      </c>
      <c r="L53" s="48">
        <v>0</v>
      </c>
      <c r="M53" s="48">
        <v>97685</v>
      </c>
      <c r="N53" s="48">
        <v>0</v>
      </c>
      <c r="O53" s="48">
        <v>0</v>
      </c>
      <c r="P53" s="48">
        <v>0</v>
      </c>
      <c r="Q53" s="48">
        <v>0</v>
      </c>
      <c r="R53" s="48">
        <v>0</v>
      </c>
      <c r="S53" s="48">
        <v>0</v>
      </c>
      <c r="T53" s="48">
        <v>0</v>
      </c>
      <c r="U53" s="48">
        <v>0</v>
      </c>
      <c r="V53" s="48">
        <v>0</v>
      </c>
      <c r="W53" s="48">
        <v>0</v>
      </c>
      <c r="X53" s="48">
        <v>0</v>
      </c>
      <c r="Y53" s="48">
        <v>0</v>
      </c>
      <c r="Z53" s="48">
        <v>57923</v>
      </c>
      <c r="AA53" s="48">
        <v>48842.5</v>
      </c>
      <c r="AB53" s="48">
        <f>'[2]CSM Control Sheet'!C45*1.5</f>
        <v>146527.5</v>
      </c>
      <c r="AC53" s="48">
        <v>0</v>
      </c>
      <c r="AD53" s="49">
        <v>10851.5</v>
      </c>
      <c r="AE53" s="65"/>
      <c r="AF53" s="50"/>
      <c r="AG53" s="50"/>
    </row>
    <row r="54" spans="1:34" x14ac:dyDescent="0.25">
      <c r="A54" s="45">
        <v>370</v>
      </c>
      <c r="B54" s="46" t="s">
        <v>135</v>
      </c>
      <c r="C54" s="45" t="s">
        <v>201</v>
      </c>
      <c r="D54" s="45" t="s">
        <v>383</v>
      </c>
      <c r="E54" s="47">
        <v>337038</v>
      </c>
      <c r="F54" s="48">
        <v>11786</v>
      </c>
      <c r="G54" s="48">
        <v>3480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8">
        <v>0</v>
      </c>
      <c r="R54" s="48">
        <v>0</v>
      </c>
      <c r="S54" s="48">
        <v>0</v>
      </c>
      <c r="T54" s="48">
        <v>0</v>
      </c>
      <c r="U54" s="48">
        <v>0</v>
      </c>
      <c r="V54" s="48">
        <v>0</v>
      </c>
      <c r="W54" s="48">
        <v>0</v>
      </c>
      <c r="X54" s="48">
        <v>0</v>
      </c>
      <c r="Y54" s="48">
        <v>0</v>
      </c>
      <c r="Z54" s="48">
        <v>31711</v>
      </c>
      <c r="AA54" s="48">
        <v>0</v>
      </c>
      <c r="AB54" s="48">
        <f>'[2]CSM Control Sheet'!C45*2</f>
        <v>195370</v>
      </c>
      <c r="AC54" s="48">
        <v>0</v>
      </c>
      <c r="AD54" s="49">
        <v>94691</v>
      </c>
      <c r="AE54" s="65"/>
      <c r="AF54" s="50"/>
      <c r="AG54" s="50"/>
    </row>
    <row r="55" spans="1:34" x14ac:dyDescent="0.25">
      <c r="A55" s="45">
        <v>264</v>
      </c>
      <c r="B55" s="46" t="s">
        <v>136</v>
      </c>
      <c r="C55" s="45" t="s">
        <v>203</v>
      </c>
      <c r="D55" s="45" t="s">
        <v>381</v>
      </c>
      <c r="E55" s="47">
        <v>414518</v>
      </c>
      <c r="F55" s="48">
        <v>17665.2</v>
      </c>
      <c r="G55" s="48">
        <v>4280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195370</v>
      </c>
      <c r="O55" s="48">
        <v>100000</v>
      </c>
      <c r="P55" s="48">
        <v>23000</v>
      </c>
      <c r="Q55" s="48">
        <v>5000</v>
      </c>
      <c r="R55" s="48">
        <v>0</v>
      </c>
      <c r="S55" s="48">
        <v>0</v>
      </c>
      <c r="T55" s="48">
        <v>0</v>
      </c>
      <c r="U55" s="48">
        <v>0</v>
      </c>
      <c r="V55" s="48">
        <v>0</v>
      </c>
      <c r="W55" s="48">
        <v>0</v>
      </c>
      <c r="X55" s="48">
        <v>0</v>
      </c>
      <c r="Y55" s="48">
        <v>0</v>
      </c>
      <c r="Z55" s="48">
        <v>39059</v>
      </c>
      <c r="AA55" s="48">
        <v>0</v>
      </c>
      <c r="AB55" s="48">
        <v>0</v>
      </c>
      <c r="AC55" s="48">
        <v>0</v>
      </c>
      <c r="AD55" s="49">
        <v>30143.799999999988</v>
      </c>
      <c r="AE55" s="65"/>
      <c r="AF55" s="50"/>
      <c r="AG55" s="50"/>
    </row>
    <row r="56" spans="1:34" x14ac:dyDescent="0.25">
      <c r="A56" s="45">
        <v>266</v>
      </c>
      <c r="B56" s="46" t="s">
        <v>137</v>
      </c>
      <c r="C56" s="45" t="s">
        <v>201</v>
      </c>
      <c r="D56" s="45" t="s">
        <v>383</v>
      </c>
      <c r="E56" s="47">
        <v>484250</v>
      </c>
      <c r="F56" s="48">
        <f>26797.7-2096</f>
        <v>24701.7</v>
      </c>
      <c r="G56" s="48">
        <v>5000</v>
      </c>
      <c r="H56" s="48">
        <v>154800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f>'[2]CSM Control Sheet'!C67</f>
        <v>97685</v>
      </c>
      <c r="O56" s="48">
        <v>100000</v>
      </c>
      <c r="P56" s="48">
        <v>23000</v>
      </c>
      <c r="Q56" s="48">
        <v>5000</v>
      </c>
      <c r="R56" s="48">
        <v>0</v>
      </c>
      <c r="S56" s="48">
        <v>0</v>
      </c>
      <c r="T56" s="48">
        <v>0</v>
      </c>
      <c r="U56" s="48">
        <v>0</v>
      </c>
      <c r="V56" s="48">
        <v>0</v>
      </c>
      <c r="W56" s="48">
        <v>0</v>
      </c>
      <c r="X56" s="48">
        <v>0</v>
      </c>
      <c r="Y56" s="48">
        <v>0</v>
      </c>
      <c r="Z56" s="48">
        <v>66813</v>
      </c>
      <c r="AA56" s="48">
        <v>0</v>
      </c>
      <c r="AB56" s="48">
        <v>0</v>
      </c>
      <c r="AC56" s="48">
        <v>0</v>
      </c>
      <c r="AD56" s="49">
        <v>7250.2999999999884</v>
      </c>
      <c r="AE56" s="65"/>
      <c r="AF56" s="50"/>
      <c r="AG56" s="50"/>
    </row>
    <row r="57" spans="1:34" x14ac:dyDescent="0.25">
      <c r="A57" s="45">
        <v>271</v>
      </c>
      <c r="B57" s="46" t="s">
        <v>138</v>
      </c>
      <c r="C57" s="45" t="s">
        <v>201</v>
      </c>
      <c r="D57" s="45" t="s">
        <v>383</v>
      </c>
      <c r="E57" s="47">
        <v>224692</v>
      </c>
      <c r="F57" s="48">
        <f>16268-1037</f>
        <v>15231</v>
      </c>
      <c r="G57" s="48">
        <v>2320</v>
      </c>
      <c r="H57" s="48">
        <v>0</v>
      </c>
      <c r="I57" s="48">
        <v>0</v>
      </c>
      <c r="J57" s="48">
        <v>0</v>
      </c>
      <c r="K57" s="48">
        <v>0</v>
      </c>
      <c r="L57" s="48">
        <v>0</v>
      </c>
      <c r="M57" s="48">
        <v>0</v>
      </c>
      <c r="N57" s="48">
        <v>0</v>
      </c>
      <c r="O57" s="48">
        <v>0</v>
      </c>
      <c r="P57" s="48">
        <v>0</v>
      </c>
      <c r="Q57" s="48">
        <v>0</v>
      </c>
      <c r="R57" s="48">
        <v>0</v>
      </c>
      <c r="S57" s="48">
        <v>0</v>
      </c>
      <c r="T57" s="48">
        <v>0</v>
      </c>
      <c r="U57" s="48">
        <v>0</v>
      </c>
      <c r="V57" s="48">
        <v>0</v>
      </c>
      <c r="W57" s="48">
        <v>0</v>
      </c>
      <c r="X57" s="48">
        <v>0</v>
      </c>
      <c r="Y57" s="48">
        <v>0</v>
      </c>
      <c r="Z57" s="48">
        <v>106092</v>
      </c>
      <c r="AA57" s="48">
        <v>0</v>
      </c>
      <c r="AB57" s="48">
        <f>'[2]CSM Control Sheet'!C45</f>
        <v>97685</v>
      </c>
      <c r="AC57" s="48">
        <v>0</v>
      </c>
      <c r="AD57" s="49">
        <v>3364</v>
      </c>
      <c r="AE57" s="65"/>
      <c r="AF57" s="50"/>
      <c r="AG57" s="50"/>
    </row>
    <row r="58" spans="1:34" x14ac:dyDescent="0.25">
      <c r="A58" s="45">
        <v>420</v>
      </c>
      <c r="B58" s="46" t="s">
        <v>140</v>
      </c>
      <c r="C58" s="45" t="s">
        <v>204</v>
      </c>
      <c r="D58" s="45" t="s">
        <v>383</v>
      </c>
      <c r="E58" s="47">
        <v>189826</v>
      </c>
      <c r="F58" s="48">
        <f>8619.4-438</f>
        <v>8181.4</v>
      </c>
      <c r="G58" s="48">
        <v>1960</v>
      </c>
      <c r="H58" s="48">
        <v>0</v>
      </c>
      <c r="I58" s="48">
        <v>0</v>
      </c>
      <c r="J58" s="48">
        <v>0</v>
      </c>
      <c r="K58" s="48">
        <v>0</v>
      </c>
      <c r="L58" s="48">
        <v>0</v>
      </c>
      <c r="M58" s="48">
        <v>0</v>
      </c>
      <c r="N58" s="48">
        <f>'[2]CSM Control Sheet'!C67/2</f>
        <v>48842.5</v>
      </c>
      <c r="O58" s="48">
        <v>100000</v>
      </c>
      <c r="P58" s="48">
        <v>23000</v>
      </c>
      <c r="Q58" s="48">
        <v>5000</v>
      </c>
      <c r="R58" s="48">
        <v>0</v>
      </c>
      <c r="S58" s="48">
        <v>0</v>
      </c>
      <c r="T58" s="48">
        <v>0</v>
      </c>
      <c r="U58" s="48">
        <v>0</v>
      </c>
      <c r="V58" s="48">
        <v>0</v>
      </c>
      <c r="W58" s="48">
        <v>0</v>
      </c>
      <c r="X58" s="48">
        <v>0</v>
      </c>
      <c r="Y58" s="48">
        <v>0</v>
      </c>
      <c r="Z58" s="48" t="s">
        <v>382</v>
      </c>
      <c r="AA58" s="48">
        <v>0</v>
      </c>
      <c r="AB58" s="48">
        <v>0</v>
      </c>
      <c r="AC58" s="48">
        <v>0</v>
      </c>
      <c r="AD58" s="49">
        <v>2842.1000000000058</v>
      </c>
      <c r="AE58" s="65"/>
      <c r="AF58" s="50"/>
      <c r="AG58" s="50"/>
    </row>
    <row r="59" spans="1:34" x14ac:dyDescent="0.25">
      <c r="A59" s="45">
        <v>308</v>
      </c>
      <c r="B59" s="46" t="s">
        <v>141</v>
      </c>
      <c r="C59" s="45" t="s">
        <v>201</v>
      </c>
      <c r="D59" s="45" t="s">
        <v>381</v>
      </c>
      <c r="E59" s="47">
        <v>447447</v>
      </c>
      <c r="F59" s="48">
        <v>10831.5</v>
      </c>
      <c r="G59" s="48">
        <v>9240</v>
      </c>
      <c r="H59" s="48">
        <v>46800</v>
      </c>
      <c r="I59" s="48">
        <v>0</v>
      </c>
      <c r="J59" s="48">
        <v>0</v>
      </c>
      <c r="K59" s="48">
        <v>0</v>
      </c>
      <c r="L59" s="48">
        <v>0</v>
      </c>
      <c r="M59" s="48">
        <v>97685</v>
      </c>
      <c r="N59" s="48">
        <v>0</v>
      </c>
      <c r="O59" s="48">
        <v>0</v>
      </c>
      <c r="P59" s="48">
        <v>0</v>
      </c>
      <c r="Q59" s="48">
        <v>0</v>
      </c>
      <c r="R59" s="48">
        <v>0</v>
      </c>
      <c r="S59" s="48">
        <v>0</v>
      </c>
      <c r="T59" s="48">
        <v>0</v>
      </c>
      <c r="U59" s="48">
        <v>0</v>
      </c>
      <c r="V59" s="48">
        <v>0</v>
      </c>
      <c r="W59" s="48">
        <v>0</v>
      </c>
      <c r="X59" s="48">
        <v>0</v>
      </c>
      <c r="Y59" s="48">
        <v>0</v>
      </c>
      <c r="Z59" s="48" t="s">
        <v>382</v>
      </c>
      <c r="AA59" s="48">
        <v>97685</v>
      </c>
      <c r="AB59" s="48">
        <f>'[2]CSM Control Sheet'!C45</f>
        <v>97685</v>
      </c>
      <c r="AC59" s="48">
        <v>0</v>
      </c>
      <c r="AD59" s="49">
        <v>87520.5</v>
      </c>
      <c r="AE59" s="65"/>
      <c r="AF59" s="50"/>
      <c r="AG59" s="50"/>
    </row>
    <row r="60" spans="1:34" x14ac:dyDescent="0.25">
      <c r="A60" s="45">
        <v>273</v>
      </c>
      <c r="B60" s="46" t="s">
        <v>142</v>
      </c>
      <c r="C60" s="45" t="s">
        <v>201</v>
      </c>
      <c r="D60" s="45" t="s">
        <v>383</v>
      </c>
      <c r="E60" s="47">
        <v>17433</v>
      </c>
      <c r="F60" s="48">
        <v>16724.5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0</v>
      </c>
      <c r="U60" s="48">
        <v>0</v>
      </c>
      <c r="V60" s="48">
        <v>0</v>
      </c>
      <c r="W60" s="48">
        <v>0</v>
      </c>
      <c r="X60" s="48">
        <v>0</v>
      </c>
      <c r="Y60" s="48">
        <v>0</v>
      </c>
      <c r="Z60" s="48" t="s">
        <v>382</v>
      </c>
      <c r="AA60" s="48">
        <v>0</v>
      </c>
      <c r="AB60" s="48">
        <v>0</v>
      </c>
      <c r="AC60" s="48">
        <v>0</v>
      </c>
      <c r="AD60" s="49">
        <v>708.5</v>
      </c>
      <c r="AE60" s="65"/>
      <c r="AF60" s="50"/>
      <c r="AG60" s="50"/>
      <c r="AH60" s="50"/>
    </row>
    <row r="61" spans="1:34" x14ac:dyDescent="0.25">
      <c r="A61" s="45">
        <v>284</v>
      </c>
      <c r="B61" s="46" t="s">
        <v>143</v>
      </c>
      <c r="C61" s="45" t="s">
        <v>201</v>
      </c>
      <c r="D61" s="45" t="s">
        <v>383</v>
      </c>
      <c r="E61" s="47">
        <v>275054</v>
      </c>
      <c r="F61" s="48">
        <v>16392.5</v>
      </c>
      <c r="G61" s="48">
        <v>2840</v>
      </c>
      <c r="H61" s="48">
        <v>0</v>
      </c>
      <c r="I61" s="48">
        <v>0</v>
      </c>
      <c r="J61" s="48">
        <v>0</v>
      </c>
      <c r="K61" s="48">
        <v>0</v>
      </c>
      <c r="L61" s="48">
        <v>0</v>
      </c>
      <c r="M61" s="48">
        <v>0</v>
      </c>
      <c r="N61" s="48">
        <v>0</v>
      </c>
      <c r="O61" s="48">
        <v>0</v>
      </c>
      <c r="P61" s="48">
        <v>0</v>
      </c>
      <c r="Q61" s="48">
        <v>0</v>
      </c>
      <c r="R61" s="48">
        <v>0</v>
      </c>
      <c r="S61" s="48">
        <v>0</v>
      </c>
      <c r="T61" s="48">
        <v>0</v>
      </c>
      <c r="U61" s="48">
        <v>0</v>
      </c>
      <c r="V61" s="48">
        <v>0</v>
      </c>
      <c r="W61" s="48">
        <v>0</v>
      </c>
      <c r="X61" s="48">
        <v>35000</v>
      </c>
      <c r="Y61" s="48">
        <v>0</v>
      </c>
      <c r="Z61" s="48">
        <v>107586</v>
      </c>
      <c r="AA61" s="48">
        <v>0</v>
      </c>
      <c r="AB61" s="48">
        <v>0</v>
      </c>
      <c r="AC61" s="48">
        <v>97685</v>
      </c>
      <c r="AD61" s="49">
        <v>15550.5</v>
      </c>
      <c r="AE61" s="65"/>
      <c r="AF61" s="50"/>
      <c r="AG61" s="50"/>
    </row>
    <row r="62" spans="1:34" x14ac:dyDescent="0.25">
      <c r="A62" s="45">
        <v>274</v>
      </c>
      <c r="B62" s="46" t="s">
        <v>144</v>
      </c>
      <c r="C62" s="45" t="s">
        <v>201</v>
      </c>
      <c r="D62" s="45" t="s">
        <v>383</v>
      </c>
      <c r="E62" s="47">
        <v>112346</v>
      </c>
      <c r="F62" s="48">
        <f>16641.5-3663</f>
        <v>12978.5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0</v>
      </c>
      <c r="M62" s="48">
        <v>0</v>
      </c>
      <c r="N62" s="48">
        <v>0</v>
      </c>
      <c r="O62" s="48">
        <v>0</v>
      </c>
      <c r="P62" s="48">
        <v>0</v>
      </c>
      <c r="Q62" s="48">
        <v>0</v>
      </c>
      <c r="R62" s="48">
        <v>0</v>
      </c>
      <c r="S62" s="48">
        <v>0</v>
      </c>
      <c r="T62" s="48">
        <v>0</v>
      </c>
      <c r="U62" s="48">
        <v>0</v>
      </c>
      <c r="V62" s="48">
        <v>0</v>
      </c>
      <c r="W62" s="48">
        <v>0</v>
      </c>
      <c r="X62" s="48">
        <v>0</v>
      </c>
      <c r="Y62" s="48">
        <f>'[2]CSM Control Sheet'!C67</f>
        <v>97685</v>
      </c>
      <c r="Z62" s="48" t="s">
        <v>382</v>
      </c>
      <c r="AA62" s="48">
        <v>0</v>
      </c>
      <c r="AB62" s="48">
        <v>0</v>
      </c>
      <c r="AC62" s="48">
        <v>0</v>
      </c>
      <c r="AD62" s="49">
        <v>1682.5</v>
      </c>
      <c r="AE62" s="65"/>
      <c r="AF62" s="50"/>
      <c r="AG62" s="50"/>
    </row>
    <row r="63" spans="1:34" x14ac:dyDescent="0.25">
      <c r="A63" s="45">
        <v>435</v>
      </c>
      <c r="B63" s="46" t="s">
        <v>145</v>
      </c>
      <c r="C63" s="45" t="s">
        <v>204</v>
      </c>
      <c r="D63" s="45" t="s">
        <v>383</v>
      </c>
      <c r="E63" s="47">
        <v>261495</v>
      </c>
      <c r="F63" s="48">
        <v>13414.7</v>
      </c>
      <c r="G63" s="48">
        <v>2700</v>
      </c>
      <c r="H63" s="48">
        <v>0</v>
      </c>
      <c r="I63" s="48">
        <v>0</v>
      </c>
      <c r="J63" s="48">
        <v>0</v>
      </c>
      <c r="K63" s="48">
        <v>0</v>
      </c>
      <c r="L63" s="48">
        <v>0</v>
      </c>
      <c r="M63" s="48">
        <v>0</v>
      </c>
      <c r="N63" s="48">
        <v>195370</v>
      </c>
      <c r="O63" s="48">
        <f>100000-81905</f>
        <v>18095</v>
      </c>
      <c r="P63" s="48">
        <v>23000</v>
      </c>
      <c r="Q63" s="48">
        <v>5000</v>
      </c>
      <c r="R63" s="48">
        <v>0</v>
      </c>
      <c r="S63" s="48">
        <v>0</v>
      </c>
      <c r="T63" s="48">
        <v>0</v>
      </c>
      <c r="U63" s="48">
        <v>0</v>
      </c>
      <c r="V63" s="48">
        <v>0</v>
      </c>
      <c r="W63" s="48">
        <v>0</v>
      </c>
      <c r="X63" s="48">
        <v>0</v>
      </c>
      <c r="Y63" s="48">
        <v>0</v>
      </c>
      <c r="Z63" s="48" t="s">
        <v>382</v>
      </c>
      <c r="AA63" s="48">
        <v>0</v>
      </c>
      <c r="AB63" s="48">
        <v>0</v>
      </c>
      <c r="AC63" s="48">
        <v>0</v>
      </c>
      <c r="AD63" s="49">
        <v>3915.2999999999884</v>
      </c>
      <c r="AE63" s="65"/>
      <c r="AF63" s="50"/>
      <c r="AG63" s="50"/>
    </row>
    <row r="64" spans="1:34" x14ac:dyDescent="0.25">
      <c r="A64" s="45">
        <v>458</v>
      </c>
      <c r="B64" s="46" t="s">
        <v>146</v>
      </c>
      <c r="C64" s="45" t="s">
        <v>191</v>
      </c>
      <c r="D64" s="45" t="s">
        <v>383</v>
      </c>
      <c r="E64" s="47">
        <v>490061</v>
      </c>
      <c r="F64" s="48">
        <v>72366.75</v>
      </c>
      <c r="G64" s="48">
        <v>5060</v>
      </c>
      <c r="H64" s="48">
        <v>0</v>
      </c>
      <c r="I64" s="48">
        <v>0</v>
      </c>
      <c r="J64" s="48">
        <v>0</v>
      </c>
      <c r="K64" s="48">
        <v>0</v>
      </c>
      <c r="L64" s="48">
        <v>0</v>
      </c>
      <c r="M64" s="48">
        <v>0</v>
      </c>
      <c r="N64" s="48">
        <v>0</v>
      </c>
      <c r="O64" s="48">
        <v>0</v>
      </c>
      <c r="P64" s="48">
        <v>0</v>
      </c>
      <c r="Q64" s="48">
        <v>0</v>
      </c>
      <c r="R64" s="48">
        <v>0</v>
      </c>
      <c r="S64" s="48">
        <v>0</v>
      </c>
      <c r="T64" s="48">
        <v>367751</v>
      </c>
      <c r="U64" s="48">
        <v>0</v>
      </c>
      <c r="V64" s="48">
        <v>0</v>
      </c>
      <c r="W64" s="48">
        <v>12240</v>
      </c>
      <c r="X64" s="48">
        <v>0</v>
      </c>
      <c r="Y64" s="48">
        <v>0</v>
      </c>
      <c r="Z64" s="48" t="s">
        <v>382</v>
      </c>
      <c r="AA64" s="48">
        <v>0</v>
      </c>
      <c r="AB64" s="48">
        <v>0</v>
      </c>
      <c r="AC64" s="48">
        <v>0</v>
      </c>
      <c r="AD64" s="49">
        <v>32643.25</v>
      </c>
      <c r="AE64" s="65"/>
      <c r="AF64" s="50"/>
      <c r="AG64" s="50"/>
      <c r="AH64" s="50"/>
    </row>
    <row r="65" spans="1:34" x14ac:dyDescent="0.25">
      <c r="A65" s="45">
        <v>280</v>
      </c>
      <c r="B65" s="46" t="s">
        <v>147</v>
      </c>
      <c r="C65" s="45" t="s">
        <v>201</v>
      </c>
      <c r="D65" s="45" t="s">
        <v>383</v>
      </c>
      <c r="E65" s="47">
        <v>524927</v>
      </c>
      <c r="F65" s="48">
        <v>15811.5</v>
      </c>
      <c r="G65" s="48">
        <v>5420</v>
      </c>
      <c r="H65" s="48">
        <v>83160</v>
      </c>
      <c r="I65" s="48">
        <v>0</v>
      </c>
      <c r="J65" s="48">
        <v>0</v>
      </c>
      <c r="K65" s="48">
        <v>0</v>
      </c>
      <c r="L65" s="48">
        <v>0</v>
      </c>
      <c r="M65" s="48">
        <v>0</v>
      </c>
      <c r="N65" s="48">
        <v>0</v>
      </c>
      <c r="O65" s="48">
        <v>0</v>
      </c>
      <c r="P65" s="48">
        <v>0</v>
      </c>
      <c r="Q65" s="48">
        <v>0</v>
      </c>
      <c r="R65" s="48">
        <v>0</v>
      </c>
      <c r="S65" s="48">
        <v>0</v>
      </c>
      <c r="T65" s="48">
        <v>0</v>
      </c>
      <c r="U65" s="48">
        <v>0</v>
      </c>
      <c r="V65" s="48">
        <v>0</v>
      </c>
      <c r="W65" s="48">
        <v>0</v>
      </c>
      <c r="X65" s="48">
        <v>0</v>
      </c>
      <c r="Y65" s="48">
        <v>293055</v>
      </c>
      <c r="Z65" s="48">
        <v>29813</v>
      </c>
      <c r="AA65" s="48">
        <v>0</v>
      </c>
      <c r="AB65" s="48">
        <v>0</v>
      </c>
      <c r="AC65" s="48">
        <v>0</v>
      </c>
      <c r="AD65" s="49">
        <v>97667.5</v>
      </c>
      <c r="AE65" s="65"/>
      <c r="AF65" s="50"/>
      <c r="AG65" s="50"/>
    </row>
    <row r="66" spans="1:34" x14ac:dyDescent="0.25">
      <c r="A66" s="45">
        <v>285</v>
      </c>
      <c r="B66" s="46" t="s">
        <v>148</v>
      </c>
      <c r="C66" s="45" t="s">
        <v>201</v>
      </c>
      <c r="D66" s="45" t="s">
        <v>381</v>
      </c>
      <c r="E66" s="47">
        <v>718627</v>
      </c>
      <c r="F66" s="48">
        <v>17347</v>
      </c>
      <c r="G66" s="48">
        <v>14840</v>
      </c>
      <c r="H66" s="48">
        <v>0</v>
      </c>
      <c r="I66" s="48">
        <v>97685</v>
      </c>
      <c r="J66" s="48">
        <v>0</v>
      </c>
      <c r="K66" s="48">
        <v>0</v>
      </c>
      <c r="L66" s="48">
        <v>0</v>
      </c>
      <c r="M66" s="48">
        <v>97685</v>
      </c>
      <c r="N66" s="48">
        <v>0</v>
      </c>
      <c r="O66" s="48">
        <v>0</v>
      </c>
      <c r="P66" s="48">
        <v>0</v>
      </c>
      <c r="Q66" s="48">
        <v>0</v>
      </c>
      <c r="R66" s="48">
        <v>0</v>
      </c>
      <c r="S66" s="48">
        <v>0</v>
      </c>
      <c r="T66" s="48">
        <v>0</v>
      </c>
      <c r="U66" s="48">
        <v>0</v>
      </c>
      <c r="V66" s="48">
        <v>0</v>
      </c>
      <c r="W66" s="48">
        <v>0</v>
      </c>
      <c r="X66" s="48">
        <v>0</v>
      </c>
      <c r="Y66" s="48">
        <v>146527.5</v>
      </c>
      <c r="Z66" s="48">
        <v>28209</v>
      </c>
      <c r="AA66" s="48">
        <v>97685</v>
      </c>
      <c r="AB66" s="48">
        <f>'[2]CSM Control Sheet'!C45</f>
        <v>97685</v>
      </c>
      <c r="AC66" s="48">
        <v>0</v>
      </c>
      <c r="AD66" s="49">
        <v>120963.5</v>
      </c>
      <c r="AE66" s="65"/>
      <c r="AF66" s="50"/>
      <c r="AG66" s="50"/>
    </row>
    <row r="67" spans="1:34" x14ac:dyDescent="0.25">
      <c r="A67" s="45">
        <v>287</v>
      </c>
      <c r="B67" s="46" t="s">
        <v>149</v>
      </c>
      <c r="C67" s="45" t="s">
        <v>201</v>
      </c>
      <c r="D67" s="45" t="s">
        <v>383</v>
      </c>
      <c r="E67" s="47">
        <v>52299</v>
      </c>
      <c r="F67" s="48">
        <v>23904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48">
        <v>0</v>
      </c>
      <c r="N67" s="48">
        <v>0</v>
      </c>
      <c r="O67" s="48">
        <v>0</v>
      </c>
      <c r="P67" s="48">
        <v>0</v>
      </c>
      <c r="Q67" s="48">
        <v>0</v>
      </c>
      <c r="R67" s="48">
        <v>0</v>
      </c>
      <c r="S67" s="48">
        <v>0</v>
      </c>
      <c r="T67" s="48">
        <v>0</v>
      </c>
      <c r="U67" s="48">
        <v>0</v>
      </c>
      <c r="V67" s="48">
        <v>0</v>
      </c>
      <c r="W67" s="48">
        <v>0</v>
      </c>
      <c r="X67" s="48">
        <v>0</v>
      </c>
      <c r="Y67" s="48">
        <f>'[2]CSM Control Sheet'!C67/3.75</f>
        <v>26049.333333333332</v>
      </c>
      <c r="Z67" s="48" t="s">
        <v>382</v>
      </c>
      <c r="AA67" s="48">
        <v>0</v>
      </c>
      <c r="AB67" s="48">
        <v>0</v>
      </c>
      <c r="AC67" s="48">
        <v>0</v>
      </c>
      <c r="AD67" s="49">
        <v>2345.6666666666715</v>
      </c>
      <c r="AE67" s="65"/>
      <c r="AF67" s="50"/>
      <c r="AG67" s="50"/>
    </row>
    <row r="68" spans="1:34" x14ac:dyDescent="0.25">
      <c r="A68" s="45">
        <v>288</v>
      </c>
      <c r="B68" s="46" t="s">
        <v>150</v>
      </c>
      <c r="C68" s="45" t="s">
        <v>201</v>
      </c>
      <c r="D68" s="45" t="s">
        <v>381</v>
      </c>
      <c r="E68" s="47">
        <v>614029</v>
      </c>
      <c r="F68" s="48">
        <v>16766</v>
      </c>
      <c r="G68" s="48">
        <v>12680</v>
      </c>
      <c r="H68" s="48">
        <v>111760</v>
      </c>
      <c r="I68" s="48">
        <v>0</v>
      </c>
      <c r="J68" s="48">
        <v>0</v>
      </c>
      <c r="K68" s="48">
        <v>0</v>
      </c>
      <c r="L68" s="48">
        <v>0</v>
      </c>
      <c r="M68" s="48">
        <v>0</v>
      </c>
      <c r="N68" s="48">
        <v>0</v>
      </c>
      <c r="O68" s="48">
        <v>0</v>
      </c>
      <c r="P68" s="48">
        <v>0</v>
      </c>
      <c r="Q68" s="48">
        <v>0</v>
      </c>
      <c r="R68" s="48">
        <v>0</v>
      </c>
      <c r="S68" s="48">
        <v>0</v>
      </c>
      <c r="T68" s="48">
        <v>0</v>
      </c>
      <c r="U68" s="48">
        <v>0</v>
      </c>
      <c r="V68" s="48">
        <v>0</v>
      </c>
      <c r="W68" s="48">
        <v>0</v>
      </c>
      <c r="X68" s="48">
        <v>0</v>
      </c>
      <c r="Y68" s="48">
        <v>244212.5</v>
      </c>
      <c r="Z68" s="48" t="s">
        <v>382</v>
      </c>
      <c r="AA68" s="48">
        <v>97685</v>
      </c>
      <c r="AB68" s="48">
        <f>'[2]CSM Control Sheet'!C45</f>
        <v>97685</v>
      </c>
      <c r="AC68" s="48">
        <v>0</v>
      </c>
      <c r="AD68" s="49">
        <v>33240.5</v>
      </c>
      <c r="AE68" s="65"/>
      <c r="AF68" s="50"/>
      <c r="AG68" s="50"/>
    </row>
    <row r="69" spans="1:34" x14ac:dyDescent="0.25">
      <c r="A69" s="45">
        <v>290</v>
      </c>
      <c r="B69" s="46" t="s">
        <v>384</v>
      </c>
      <c r="C69" s="45" t="s">
        <v>201</v>
      </c>
      <c r="D69" s="45" t="s">
        <v>381</v>
      </c>
      <c r="E69" s="47">
        <v>257621</v>
      </c>
      <c r="F69" s="48">
        <v>7719</v>
      </c>
      <c r="G69" s="48">
        <v>2660</v>
      </c>
      <c r="H69" s="48">
        <v>39960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0</v>
      </c>
      <c r="O69" s="48">
        <v>0</v>
      </c>
      <c r="P69" s="48">
        <v>0</v>
      </c>
      <c r="Q69" s="48">
        <v>0</v>
      </c>
      <c r="R69" s="48">
        <v>0</v>
      </c>
      <c r="S69" s="48">
        <v>0</v>
      </c>
      <c r="T69" s="48">
        <v>0</v>
      </c>
      <c r="U69" s="48">
        <v>0</v>
      </c>
      <c r="V69" s="48">
        <v>0</v>
      </c>
      <c r="W69" s="48">
        <v>0</v>
      </c>
      <c r="X69" s="48">
        <v>0</v>
      </c>
      <c r="Y69" s="48">
        <v>0</v>
      </c>
      <c r="Z69" s="48">
        <v>31525</v>
      </c>
      <c r="AA69" s="48">
        <v>0</v>
      </c>
      <c r="AB69" s="48">
        <f>'[2]CSM Control Sheet'!C45</f>
        <v>97685</v>
      </c>
      <c r="AC69" s="48">
        <v>0</v>
      </c>
      <c r="AD69" s="49">
        <v>78072</v>
      </c>
      <c r="AE69" s="65"/>
      <c r="AF69" s="50"/>
      <c r="AG69" s="50"/>
    </row>
    <row r="70" spans="1:34" x14ac:dyDescent="0.25">
      <c r="A70" s="45">
        <v>291</v>
      </c>
      <c r="B70" s="46" t="s">
        <v>152</v>
      </c>
      <c r="C70" s="45" t="s">
        <v>201</v>
      </c>
      <c r="D70" s="45" t="s">
        <v>381</v>
      </c>
      <c r="E70" s="47">
        <v>643084</v>
      </c>
      <c r="F70" s="48">
        <v>17471.5</v>
      </c>
      <c r="G70" s="48">
        <v>13280</v>
      </c>
      <c r="H70" s="48">
        <v>146600</v>
      </c>
      <c r="I70" s="48">
        <v>0</v>
      </c>
      <c r="J70" s="48">
        <v>0</v>
      </c>
      <c r="K70" s="48">
        <v>0</v>
      </c>
      <c r="L70" s="48">
        <v>0</v>
      </c>
      <c r="M70" s="48">
        <v>0</v>
      </c>
      <c r="N70" s="48">
        <v>0</v>
      </c>
      <c r="O70" s="48">
        <v>0</v>
      </c>
      <c r="P70" s="48">
        <v>0</v>
      </c>
      <c r="Q70" s="48">
        <v>0</v>
      </c>
      <c r="R70" s="48">
        <v>0</v>
      </c>
      <c r="S70" s="48">
        <v>0</v>
      </c>
      <c r="T70" s="48">
        <v>0</v>
      </c>
      <c r="U70" s="48">
        <v>0</v>
      </c>
      <c r="V70" s="48">
        <v>0</v>
      </c>
      <c r="W70" s="48">
        <v>0</v>
      </c>
      <c r="X70" s="48">
        <v>0</v>
      </c>
      <c r="Y70" s="48">
        <v>146527.5</v>
      </c>
      <c r="Z70" s="48" t="s">
        <v>382</v>
      </c>
      <c r="AA70" s="48">
        <v>97685</v>
      </c>
      <c r="AB70" s="48">
        <f>'[2]CSM Control Sheet'!C45</f>
        <v>97685</v>
      </c>
      <c r="AC70" s="48">
        <v>0</v>
      </c>
      <c r="AD70" s="49">
        <v>123835</v>
      </c>
      <c r="AE70" s="65"/>
      <c r="AF70" s="50"/>
      <c r="AG70" s="50"/>
    </row>
    <row r="71" spans="1:34" x14ac:dyDescent="0.25">
      <c r="A71" s="45">
        <v>292</v>
      </c>
      <c r="B71" s="46" t="s">
        <v>153</v>
      </c>
      <c r="C71" s="45" t="s">
        <v>203</v>
      </c>
      <c r="D71" s="45" t="s">
        <v>383</v>
      </c>
      <c r="E71" s="47">
        <v>149149</v>
      </c>
      <c r="F71" s="48">
        <v>31897.1</v>
      </c>
      <c r="G71" s="48">
        <v>0</v>
      </c>
      <c r="H71" s="48">
        <v>0</v>
      </c>
      <c r="I71" s="48">
        <v>0</v>
      </c>
      <c r="J71" s="48">
        <v>0</v>
      </c>
      <c r="K71" s="48">
        <v>0</v>
      </c>
      <c r="L71" s="48">
        <v>0</v>
      </c>
      <c r="M71" s="48">
        <v>0</v>
      </c>
      <c r="N71" s="48">
        <v>0</v>
      </c>
      <c r="O71" s="48">
        <f>100000-12981</f>
        <v>87019</v>
      </c>
      <c r="P71" s="48">
        <v>23000</v>
      </c>
      <c r="Q71" s="48">
        <v>5000</v>
      </c>
      <c r="R71" s="48">
        <v>0</v>
      </c>
      <c r="S71" s="48">
        <v>0</v>
      </c>
      <c r="T71" s="48">
        <v>0</v>
      </c>
      <c r="U71" s="48">
        <v>0</v>
      </c>
      <c r="V71" s="48">
        <v>0</v>
      </c>
      <c r="W71" s="48">
        <v>0</v>
      </c>
      <c r="X71" s="48">
        <v>0</v>
      </c>
      <c r="Y71" s="48">
        <v>0</v>
      </c>
      <c r="Z71" s="48" t="s">
        <v>382</v>
      </c>
      <c r="AA71" s="48">
        <v>0</v>
      </c>
      <c r="AB71" s="48">
        <v>0</v>
      </c>
      <c r="AC71" s="48">
        <v>0</v>
      </c>
      <c r="AD71" s="49">
        <v>2232.8999999999942</v>
      </c>
      <c r="AE71" s="65"/>
      <c r="AF71" s="50"/>
      <c r="AG71" s="50"/>
    </row>
    <row r="72" spans="1:34" x14ac:dyDescent="0.25">
      <c r="A72" s="45">
        <v>294</v>
      </c>
      <c r="B72" s="46" t="s">
        <v>154</v>
      </c>
      <c r="C72" s="45" t="s">
        <v>201</v>
      </c>
      <c r="D72" s="45" t="s">
        <v>381</v>
      </c>
      <c r="E72" s="47">
        <v>646958</v>
      </c>
      <c r="F72" s="48">
        <v>16185</v>
      </c>
      <c r="G72" s="48">
        <v>13360</v>
      </c>
      <c r="H72" s="48">
        <v>0</v>
      </c>
      <c r="I72" s="48">
        <v>0</v>
      </c>
      <c r="J72" s="48">
        <v>0</v>
      </c>
      <c r="K72" s="48">
        <v>0</v>
      </c>
      <c r="L72" s="48">
        <v>0</v>
      </c>
      <c r="M72" s="48">
        <v>97685</v>
      </c>
      <c r="N72" s="48">
        <v>0</v>
      </c>
      <c r="O72" s="48">
        <v>0</v>
      </c>
      <c r="P72" s="48">
        <v>0</v>
      </c>
      <c r="Q72" s="48">
        <v>0</v>
      </c>
      <c r="R72" s="48">
        <v>0</v>
      </c>
      <c r="S72" s="48">
        <v>0</v>
      </c>
      <c r="T72" s="48">
        <v>0</v>
      </c>
      <c r="U72" s="48">
        <v>0</v>
      </c>
      <c r="V72" s="48">
        <v>0</v>
      </c>
      <c r="W72" s="48">
        <v>0</v>
      </c>
      <c r="X72" s="48">
        <v>0</v>
      </c>
      <c r="Y72" s="48">
        <v>146527.5</v>
      </c>
      <c r="Z72" s="48">
        <v>24393</v>
      </c>
      <c r="AA72" s="48">
        <v>97685</v>
      </c>
      <c r="AB72" s="48">
        <f>'[2]CSM Control Sheet'!C45*2</f>
        <v>195370</v>
      </c>
      <c r="AC72" s="48">
        <v>0</v>
      </c>
      <c r="AD72" s="49">
        <v>55752.5</v>
      </c>
      <c r="AE72" s="65"/>
      <c r="AF72" s="50"/>
      <c r="AG72" s="50"/>
    </row>
    <row r="73" spans="1:34" x14ac:dyDescent="0.25">
      <c r="A73" s="45">
        <v>295</v>
      </c>
      <c r="B73" s="46" t="s">
        <v>155</v>
      </c>
      <c r="C73" s="45" t="s">
        <v>201</v>
      </c>
      <c r="D73" s="45" t="s">
        <v>383</v>
      </c>
      <c r="E73" s="47">
        <v>356408</v>
      </c>
      <c r="F73" s="48">
        <v>13155.5</v>
      </c>
      <c r="G73" s="48">
        <v>3680</v>
      </c>
      <c r="H73" s="48">
        <v>0</v>
      </c>
      <c r="I73" s="48">
        <v>0</v>
      </c>
      <c r="J73" s="48">
        <v>0</v>
      </c>
      <c r="K73" s="48">
        <v>0</v>
      </c>
      <c r="L73" s="48">
        <v>0</v>
      </c>
      <c r="M73" s="48">
        <v>0</v>
      </c>
      <c r="N73" s="48">
        <v>0</v>
      </c>
      <c r="O73" s="48">
        <v>0</v>
      </c>
      <c r="P73" s="48">
        <v>0</v>
      </c>
      <c r="Q73" s="48">
        <v>0</v>
      </c>
      <c r="R73" s="48">
        <v>0</v>
      </c>
      <c r="S73" s="48">
        <v>0</v>
      </c>
      <c r="T73" s="48">
        <v>0</v>
      </c>
      <c r="U73" s="48">
        <v>0</v>
      </c>
      <c r="V73" s="48">
        <v>0</v>
      </c>
      <c r="W73" s="48">
        <v>0</v>
      </c>
      <c r="X73" s="48">
        <v>0</v>
      </c>
      <c r="Y73" s="48">
        <v>0</v>
      </c>
      <c r="Z73" s="48">
        <v>56781</v>
      </c>
      <c r="AA73" s="48">
        <v>0</v>
      </c>
      <c r="AB73" s="48">
        <f>'[2]CSM Control Sheet'!C45</f>
        <v>97685</v>
      </c>
      <c r="AC73" s="48">
        <v>0</v>
      </c>
      <c r="AD73" s="49">
        <v>185106.5</v>
      </c>
      <c r="AE73" s="65"/>
      <c r="AF73" s="50"/>
      <c r="AG73" s="50"/>
    </row>
    <row r="74" spans="1:34" x14ac:dyDescent="0.25">
      <c r="A74" s="45">
        <v>301</v>
      </c>
      <c r="B74" s="46" t="s">
        <v>156</v>
      </c>
      <c r="C74" s="45" t="s">
        <v>201</v>
      </c>
      <c r="D74" s="45" t="s">
        <v>383</v>
      </c>
      <c r="E74" s="47">
        <v>52299</v>
      </c>
      <c r="F74" s="48">
        <v>9337.5</v>
      </c>
      <c r="G74" s="48">
        <v>0</v>
      </c>
      <c r="H74" s="48">
        <v>0</v>
      </c>
      <c r="I74" s="48">
        <v>0</v>
      </c>
      <c r="J74" s="48">
        <v>0</v>
      </c>
      <c r="K74" s="48">
        <v>0</v>
      </c>
      <c r="L74" s="48">
        <v>0</v>
      </c>
      <c r="M74" s="48">
        <v>0</v>
      </c>
      <c r="N74" s="48">
        <v>0</v>
      </c>
      <c r="O74" s="48">
        <v>0</v>
      </c>
      <c r="P74" s="48">
        <v>0</v>
      </c>
      <c r="Q74" s="48">
        <v>0</v>
      </c>
      <c r="R74" s="48">
        <v>0</v>
      </c>
      <c r="S74" s="48">
        <v>0</v>
      </c>
      <c r="T74" s="48">
        <v>0</v>
      </c>
      <c r="U74" s="48">
        <v>0</v>
      </c>
      <c r="V74" s="48">
        <v>0</v>
      </c>
      <c r="W74" s="48">
        <v>0</v>
      </c>
      <c r="X74" s="48">
        <v>0</v>
      </c>
      <c r="Y74" s="48">
        <v>0</v>
      </c>
      <c r="Z74" s="48" t="s">
        <v>382</v>
      </c>
      <c r="AA74" s="48">
        <v>0</v>
      </c>
      <c r="AB74" s="48">
        <v>0</v>
      </c>
      <c r="AC74" s="48">
        <v>0</v>
      </c>
      <c r="AD74" s="49">
        <v>42961.5</v>
      </c>
      <c r="AE74" s="65"/>
      <c r="AF74" s="50"/>
      <c r="AG74" s="50"/>
    </row>
    <row r="75" spans="1:34" x14ac:dyDescent="0.25">
      <c r="A75" s="45">
        <v>478</v>
      </c>
      <c r="B75" s="46" t="s">
        <v>157</v>
      </c>
      <c r="C75" s="45" t="s">
        <v>191</v>
      </c>
      <c r="D75" s="45" t="s">
        <v>383</v>
      </c>
      <c r="E75" s="47">
        <v>408707</v>
      </c>
      <c r="F75" s="48">
        <f>35334-8766</f>
        <v>26568</v>
      </c>
      <c r="G75" s="48">
        <v>4220</v>
      </c>
      <c r="H75" s="48">
        <v>0</v>
      </c>
      <c r="I75" s="48">
        <v>0</v>
      </c>
      <c r="J75" s="48">
        <v>0</v>
      </c>
      <c r="K75" s="48">
        <v>0</v>
      </c>
      <c r="L75" s="48">
        <v>24276</v>
      </c>
      <c r="M75" s="48">
        <v>0</v>
      </c>
      <c r="N75" s="48">
        <v>0</v>
      </c>
      <c r="O75" s="48">
        <v>0</v>
      </c>
      <c r="P75" s="48">
        <v>0</v>
      </c>
      <c r="Q75" s="48">
        <v>0</v>
      </c>
      <c r="R75" s="48">
        <v>0</v>
      </c>
      <c r="S75" s="48">
        <v>101560.06446048834</v>
      </c>
      <c r="T75" s="48">
        <v>233724</v>
      </c>
      <c r="U75" s="48">
        <v>0</v>
      </c>
      <c r="V75" s="48">
        <v>0</v>
      </c>
      <c r="W75" s="48">
        <v>12240</v>
      </c>
      <c r="X75" s="48">
        <v>0</v>
      </c>
      <c r="Y75" s="48">
        <v>0</v>
      </c>
      <c r="Z75" s="48" t="s">
        <v>382</v>
      </c>
      <c r="AA75" s="48">
        <v>0</v>
      </c>
      <c r="AB75" s="48">
        <v>0</v>
      </c>
      <c r="AC75" s="48">
        <v>0</v>
      </c>
      <c r="AD75" s="49">
        <v>6118.9355395116727</v>
      </c>
      <c r="AE75" s="65"/>
      <c r="AF75" s="50"/>
      <c r="AG75" s="50"/>
    </row>
    <row r="76" spans="1:34" x14ac:dyDescent="0.25">
      <c r="A76" s="45">
        <v>299</v>
      </c>
      <c r="B76" s="46" t="s">
        <v>158</v>
      </c>
      <c r="C76" s="45" t="s">
        <v>201</v>
      </c>
      <c r="D76" s="45" t="s">
        <v>383</v>
      </c>
      <c r="E76" s="47">
        <v>602407</v>
      </c>
      <c r="F76" s="48">
        <v>16185</v>
      </c>
      <c r="G76" s="48">
        <v>12440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97685</v>
      </c>
      <c r="N76" s="48">
        <v>0</v>
      </c>
      <c r="O76" s="48">
        <v>0</v>
      </c>
      <c r="P76" s="48">
        <v>0</v>
      </c>
      <c r="Q76" s="48">
        <v>0</v>
      </c>
      <c r="R76" s="48">
        <v>0</v>
      </c>
      <c r="S76" s="48">
        <v>0</v>
      </c>
      <c r="T76" s="48">
        <v>0</v>
      </c>
      <c r="U76" s="48">
        <v>0</v>
      </c>
      <c r="V76" s="48">
        <v>0</v>
      </c>
      <c r="W76" s="48">
        <v>0</v>
      </c>
      <c r="X76" s="48">
        <v>0</v>
      </c>
      <c r="Y76" s="48">
        <v>97685</v>
      </c>
      <c r="Z76" s="48">
        <v>14414</v>
      </c>
      <c r="AA76" s="48">
        <v>97685</v>
      </c>
      <c r="AB76" s="48">
        <f>'[2]CSM Control Sheet'!C45</f>
        <v>97685</v>
      </c>
      <c r="AC76" s="48">
        <v>0</v>
      </c>
      <c r="AD76" s="49">
        <v>168628</v>
      </c>
      <c r="AE76" s="65"/>
      <c r="AF76" s="50"/>
      <c r="AG76" s="50"/>
    </row>
    <row r="77" spans="1:34" x14ac:dyDescent="0.25">
      <c r="A77" s="45">
        <v>300</v>
      </c>
      <c r="B77" s="46" t="s">
        <v>159</v>
      </c>
      <c r="C77" s="45" t="s">
        <v>201</v>
      </c>
      <c r="D77" s="45" t="s">
        <v>383</v>
      </c>
      <c r="E77" s="47">
        <v>515242</v>
      </c>
      <c r="F77" s="48">
        <f>22244-6699</f>
        <v>15545</v>
      </c>
      <c r="G77" s="48">
        <v>5320</v>
      </c>
      <c r="H77" s="48">
        <v>131040</v>
      </c>
      <c r="I77" s="48">
        <v>0</v>
      </c>
      <c r="J77" s="48">
        <v>0</v>
      </c>
      <c r="K77" s="48">
        <v>0</v>
      </c>
      <c r="L77" s="48">
        <v>0</v>
      </c>
      <c r="M77" s="48">
        <v>0</v>
      </c>
      <c r="N77" s="48">
        <v>0</v>
      </c>
      <c r="O77" s="48">
        <v>0</v>
      </c>
      <c r="P77" s="48">
        <v>0</v>
      </c>
      <c r="Q77" s="48">
        <v>0</v>
      </c>
      <c r="R77" s="48">
        <v>0</v>
      </c>
      <c r="S77" s="48">
        <v>0</v>
      </c>
      <c r="T77" s="48">
        <v>0</v>
      </c>
      <c r="U77" s="48">
        <v>0</v>
      </c>
      <c r="V77" s="48">
        <v>0</v>
      </c>
      <c r="W77" s="48">
        <v>0</v>
      </c>
      <c r="X77" s="48">
        <v>0</v>
      </c>
      <c r="Y77" s="48">
        <v>146527.5</v>
      </c>
      <c r="Z77" s="48">
        <v>160253</v>
      </c>
      <c r="AA77" s="48">
        <v>0</v>
      </c>
      <c r="AB77" s="48">
        <v>0</v>
      </c>
      <c r="AC77" s="48">
        <f>'[2]CSM Control Sheet'!C93/2</f>
        <v>48842.5</v>
      </c>
      <c r="AD77" s="49">
        <v>7714</v>
      </c>
      <c r="AE77" s="65"/>
      <c r="AF77" s="50"/>
      <c r="AG77" s="50"/>
    </row>
    <row r="78" spans="1:34" x14ac:dyDescent="0.25">
      <c r="A78" s="45">
        <v>316</v>
      </c>
      <c r="B78" s="46" t="s">
        <v>160</v>
      </c>
      <c r="C78" s="45" t="s">
        <v>201</v>
      </c>
      <c r="D78" s="45" t="s">
        <v>383</v>
      </c>
      <c r="E78" s="47">
        <v>414518</v>
      </c>
      <c r="F78" s="48">
        <v>14234.5</v>
      </c>
      <c r="G78" s="48">
        <v>4280</v>
      </c>
      <c r="H78" s="48">
        <f>389058.507452727-48848</f>
        <v>340210.507452727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>
        <v>0</v>
      </c>
      <c r="W78" s="48">
        <v>0</v>
      </c>
      <c r="X78" s="48">
        <v>0</v>
      </c>
      <c r="Y78" s="48">
        <v>0</v>
      </c>
      <c r="Z78" s="48">
        <v>49587</v>
      </c>
      <c r="AA78" s="48">
        <v>0</v>
      </c>
      <c r="AB78" s="48">
        <v>0</v>
      </c>
      <c r="AC78" s="48">
        <v>0</v>
      </c>
      <c r="AD78" s="49">
        <v>6205.9925472729956</v>
      </c>
      <c r="AE78" s="65"/>
      <c r="AF78" s="50"/>
      <c r="AG78" s="50"/>
      <c r="AH78" s="50"/>
    </row>
    <row r="79" spans="1:34" x14ac:dyDescent="0.25">
      <c r="A79" s="45">
        <v>302</v>
      </c>
      <c r="B79" s="46" t="s">
        <v>161</v>
      </c>
      <c r="C79" s="45" t="s">
        <v>203</v>
      </c>
      <c r="D79" s="45" t="s">
        <v>383</v>
      </c>
      <c r="E79" s="47">
        <v>726375</v>
      </c>
      <c r="F79" s="48">
        <v>29367.5</v>
      </c>
      <c r="G79" s="48">
        <v>7500</v>
      </c>
      <c r="H79" s="48">
        <f>796891.84296-182216</f>
        <v>614675.84296000004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8">
        <v>0</v>
      </c>
      <c r="R79" s="48">
        <v>0</v>
      </c>
      <c r="S79" s="48">
        <v>0</v>
      </c>
      <c r="T79" s="48">
        <v>0</v>
      </c>
      <c r="U79" s="48">
        <v>0</v>
      </c>
      <c r="V79" s="48">
        <v>0</v>
      </c>
      <c r="W79" s="48">
        <v>0</v>
      </c>
      <c r="X79" s="48">
        <v>0</v>
      </c>
      <c r="Y79" s="48">
        <v>0</v>
      </c>
      <c r="Z79" s="48">
        <v>63957</v>
      </c>
      <c r="AA79" s="48">
        <v>0</v>
      </c>
      <c r="AB79" s="48">
        <v>0</v>
      </c>
      <c r="AC79" s="48">
        <v>0</v>
      </c>
      <c r="AD79" s="49">
        <v>10874.657039999962</v>
      </c>
      <c r="AE79" s="65"/>
      <c r="AF79" s="50"/>
      <c r="AG79" s="50"/>
    </row>
    <row r="80" spans="1:34" x14ac:dyDescent="0.25">
      <c r="A80" s="45">
        <v>304</v>
      </c>
      <c r="B80" s="46" t="s">
        <v>162</v>
      </c>
      <c r="C80" s="45" t="s">
        <v>207</v>
      </c>
      <c r="D80" s="45" t="s">
        <v>383</v>
      </c>
      <c r="E80" s="47">
        <v>135590</v>
      </c>
      <c r="F80" s="48">
        <v>24874.85</v>
      </c>
      <c r="G80" s="48">
        <v>1400</v>
      </c>
      <c r="H80" s="48">
        <v>0</v>
      </c>
      <c r="I80" s="48">
        <v>0</v>
      </c>
      <c r="J80" s="48">
        <v>0</v>
      </c>
      <c r="K80" s="48">
        <v>0</v>
      </c>
      <c r="L80" s="48">
        <v>0</v>
      </c>
      <c r="M80" s="48">
        <v>0</v>
      </c>
      <c r="N80" s="48">
        <v>0</v>
      </c>
      <c r="O80" s="48">
        <v>0</v>
      </c>
      <c r="P80" s="48">
        <v>0</v>
      </c>
      <c r="Q80" s="48">
        <v>0</v>
      </c>
      <c r="R80" s="48">
        <v>0</v>
      </c>
      <c r="S80" s="48">
        <v>0</v>
      </c>
      <c r="T80" s="48">
        <v>0</v>
      </c>
      <c r="U80" s="48">
        <v>0</v>
      </c>
      <c r="V80" s="48">
        <v>0</v>
      </c>
      <c r="W80" s="48">
        <v>0</v>
      </c>
      <c r="X80" s="48">
        <v>0</v>
      </c>
      <c r="Y80" s="48">
        <v>0</v>
      </c>
      <c r="Z80" s="48">
        <v>29730</v>
      </c>
      <c r="AA80" s="48">
        <v>0</v>
      </c>
      <c r="AB80" s="48">
        <v>0</v>
      </c>
      <c r="AC80" s="48">
        <v>0</v>
      </c>
      <c r="AD80" s="49">
        <v>79585.149999999994</v>
      </c>
      <c r="AE80" s="65"/>
      <c r="AF80" s="50"/>
      <c r="AG80" s="50"/>
    </row>
    <row r="81" spans="1:34" x14ac:dyDescent="0.25">
      <c r="A81" s="45">
        <v>436</v>
      </c>
      <c r="B81" s="46" t="s">
        <v>163</v>
      </c>
      <c r="C81" s="45" t="s">
        <v>191</v>
      </c>
      <c r="D81" s="45" t="s">
        <v>383</v>
      </c>
      <c r="E81" s="47">
        <v>385463</v>
      </c>
      <c r="F81" s="48">
        <v>24915</v>
      </c>
      <c r="G81" s="48">
        <v>7960</v>
      </c>
      <c r="H81" s="48">
        <v>0</v>
      </c>
      <c r="I81" s="48">
        <v>0</v>
      </c>
      <c r="J81" s="48">
        <v>97685</v>
      </c>
      <c r="K81" s="48">
        <v>0</v>
      </c>
      <c r="L81" s="48">
        <v>24276</v>
      </c>
      <c r="M81" s="48">
        <v>0</v>
      </c>
      <c r="N81" s="48">
        <v>0</v>
      </c>
      <c r="O81" s="48">
        <v>0</v>
      </c>
      <c r="P81" s="48">
        <v>0</v>
      </c>
      <c r="Q81" s="48">
        <v>0</v>
      </c>
      <c r="R81" s="48">
        <v>0</v>
      </c>
      <c r="S81" s="48">
        <v>101560.06446048834</v>
      </c>
      <c r="T81" s="48">
        <v>0</v>
      </c>
      <c r="U81" s="48">
        <v>0</v>
      </c>
      <c r="V81" s="48">
        <v>0</v>
      </c>
      <c r="W81" s="48">
        <v>12240</v>
      </c>
      <c r="X81" s="48">
        <f>172500-159129</f>
        <v>13371</v>
      </c>
      <c r="Y81" s="48">
        <v>97685</v>
      </c>
      <c r="Z81" s="48" t="s">
        <v>382</v>
      </c>
      <c r="AA81" s="48">
        <v>0</v>
      </c>
      <c r="AB81" s="48">
        <v>0</v>
      </c>
      <c r="AC81" s="48">
        <v>0</v>
      </c>
      <c r="AD81" s="49">
        <v>5770.9355395116727</v>
      </c>
      <c r="AE81" s="65"/>
      <c r="AF81" s="50"/>
      <c r="AG81" s="50"/>
    </row>
    <row r="82" spans="1:34" x14ac:dyDescent="0.25">
      <c r="A82" s="45">
        <v>459</v>
      </c>
      <c r="B82" s="46" t="s">
        <v>165</v>
      </c>
      <c r="C82" s="45" t="s">
        <v>191</v>
      </c>
      <c r="D82" s="45" t="s">
        <v>381</v>
      </c>
      <c r="E82" s="47">
        <v>1133145</v>
      </c>
      <c r="F82" s="48">
        <v>77236.5</v>
      </c>
      <c r="G82" s="48">
        <v>23400</v>
      </c>
      <c r="H82" s="48">
        <v>0</v>
      </c>
      <c r="I82" s="48">
        <v>0</v>
      </c>
      <c r="J82" s="48">
        <v>0</v>
      </c>
      <c r="K82" s="48">
        <v>0</v>
      </c>
      <c r="L82" s="48">
        <v>64736</v>
      </c>
      <c r="M82" s="48">
        <v>0</v>
      </c>
      <c r="N82" s="48">
        <v>0</v>
      </c>
      <c r="O82" s="48">
        <v>0</v>
      </c>
      <c r="P82" s="48">
        <v>0</v>
      </c>
      <c r="Q82" s="48">
        <v>0</v>
      </c>
      <c r="R82" s="48">
        <f>3415230.4794931-2829783</f>
        <v>585447.4794931002</v>
      </c>
      <c r="S82" s="48">
        <v>101560.06446048834</v>
      </c>
      <c r="T82" s="48">
        <v>0</v>
      </c>
      <c r="U82" s="48">
        <v>101560.06446048834</v>
      </c>
      <c r="V82" s="48">
        <v>0</v>
      </c>
      <c r="W82" s="48">
        <v>12240</v>
      </c>
      <c r="X82" s="48">
        <v>150000</v>
      </c>
      <c r="Y82" s="48">
        <v>0</v>
      </c>
      <c r="Z82" s="48" t="s">
        <v>382</v>
      </c>
      <c r="AA82" s="48">
        <v>0</v>
      </c>
      <c r="AB82" s="48">
        <v>0</v>
      </c>
      <c r="AC82" s="48">
        <v>0</v>
      </c>
      <c r="AD82" s="49">
        <v>16964.891585923033</v>
      </c>
      <c r="AE82" s="65"/>
      <c r="AF82" s="50"/>
      <c r="AG82" s="50"/>
    </row>
    <row r="83" spans="1:34" x14ac:dyDescent="0.25">
      <c r="A83" s="45">
        <v>305</v>
      </c>
      <c r="B83" s="46" t="s">
        <v>168</v>
      </c>
      <c r="C83" s="45" t="s">
        <v>201</v>
      </c>
      <c r="D83" s="45" t="s">
        <v>383</v>
      </c>
      <c r="E83" s="47">
        <v>13559</v>
      </c>
      <c r="F83" s="48">
        <v>7179.5</v>
      </c>
      <c r="G83" s="48">
        <v>0</v>
      </c>
      <c r="H83" s="48">
        <v>0</v>
      </c>
      <c r="I83" s="48">
        <v>0</v>
      </c>
      <c r="J83" s="48">
        <v>0</v>
      </c>
      <c r="K83" s="48">
        <v>0</v>
      </c>
      <c r="L83" s="48">
        <v>0</v>
      </c>
      <c r="M83" s="48">
        <v>0</v>
      </c>
      <c r="N83" s="48">
        <v>0</v>
      </c>
      <c r="O83" s="48">
        <v>0</v>
      </c>
      <c r="P83" s="48">
        <v>0</v>
      </c>
      <c r="Q83" s="48">
        <v>0</v>
      </c>
      <c r="R83" s="48">
        <v>0</v>
      </c>
      <c r="S83" s="48">
        <v>0</v>
      </c>
      <c r="T83" s="48">
        <v>0</v>
      </c>
      <c r="U83" s="48">
        <v>0</v>
      </c>
      <c r="V83" s="48">
        <v>0</v>
      </c>
      <c r="W83" s="48">
        <v>0</v>
      </c>
      <c r="X83" s="48">
        <v>0</v>
      </c>
      <c r="Y83" s="48">
        <v>0</v>
      </c>
      <c r="Z83" s="48" t="s">
        <v>382</v>
      </c>
      <c r="AA83" s="48">
        <v>0</v>
      </c>
      <c r="AB83" s="48">
        <v>0</v>
      </c>
      <c r="AC83" s="48">
        <v>0</v>
      </c>
      <c r="AD83" s="49">
        <v>6379.5</v>
      </c>
      <c r="AE83" s="65"/>
      <c r="AF83" s="50"/>
      <c r="AG83" s="50"/>
      <c r="AH83" s="50"/>
    </row>
    <row r="84" spans="1:34" x14ac:dyDescent="0.25">
      <c r="A84" s="45">
        <v>307</v>
      </c>
      <c r="B84" s="46" t="s">
        <v>169</v>
      </c>
      <c r="C84" s="45" t="s">
        <v>201</v>
      </c>
      <c r="D84" s="45" t="s">
        <v>381</v>
      </c>
      <c r="E84" s="47">
        <v>511368</v>
      </c>
      <c r="F84" s="48">
        <v>13321.5</v>
      </c>
      <c r="G84" s="48">
        <v>10560</v>
      </c>
      <c r="H84" s="48">
        <v>102240</v>
      </c>
      <c r="I84" s="48">
        <v>0</v>
      </c>
      <c r="J84" s="48">
        <v>0</v>
      </c>
      <c r="K84" s="48">
        <v>0</v>
      </c>
      <c r="L84" s="48">
        <v>0</v>
      </c>
      <c r="M84" s="48">
        <v>195370</v>
      </c>
      <c r="N84" s="48">
        <v>0</v>
      </c>
      <c r="O84" s="48">
        <v>0</v>
      </c>
      <c r="P84" s="48">
        <v>0</v>
      </c>
      <c r="Q84" s="48">
        <v>0</v>
      </c>
      <c r="R84" s="48">
        <v>0</v>
      </c>
      <c r="S84" s="48">
        <v>0</v>
      </c>
      <c r="T84" s="48">
        <v>0</v>
      </c>
      <c r="U84" s="48">
        <v>0</v>
      </c>
      <c r="V84" s="48">
        <v>0</v>
      </c>
      <c r="W84" s="48">
        <v>0</v>
      </c>
      <c r="X84" s="48">
        <v>0</v>
      </c>
      <c r="Y84" s="48">
        <v>0</v>
      </c>
      <c r="Z84" s="48">
        <v>28913</v>
      </c>
      <c r="AA84" s="48">
        <v>97685</v>
      </c>
      <c r="AB84" s="48">
        <v>0</v>
      </c>
      <c r="AC84" s="48">
        <v>0</v>
      </c>
      <c r="AD84" s="49">
        <v>63278.5</v>
      </c>
      <c r="AE84" s="65"/>
      <c r="AF84" s="50"/>
      <c r="AG84" s="50"/>
    </row>
    <row r="85" spans="1:34" x14ac:dyDescent="0.25">
      <c r="A85" s="45">
        <v>409</v>
      </c>
      <c r="B85" s="46" t="s">
        <v>170</v>
      </c>
      <c r="C85" s="45" t="s">
        <v>203</v>
      </c>
      <c r="D85" s="45" t="s">
        <v>383</v>
      </c>
      <c r="E85" s="47">
        <v>236314</v>
      </c>
      <c r="F85" s="48">
        <v>22793.200000000001</v>
      </c>
      <c r="G85" s="48">
        <v>2440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f>'[2]CSM Control Sheet'!C67</f>
        <v>97685</v>
      </c>
      <c r="O85" s="48">
        <f>100000-18142</f>
        <v>81858</v>
      </c>
      <c r="P85" s="48">
        <v>23000</v>
      </c>
      <c r="Q85" s="48">
        <v>5000</v>
      </c>
      <c r="R85" s="48">
        <v>0</v>
      </c>
      <c r="S85" s="48">
        <v>0</v>
      </c>
      <c r="T85" s="48">
        <v>0</v>
      </c>
      <c r="U85" s="48">
        <v>0</v>
      </c>
      <c r="V85" s="48">
        <v>0</v>
      </c>
      <c r="W85" s="48">
        <v>0</v>
      </c>
      <c r="X85" s="48">
        <v>0</v>
      </c>
      <c r="Y85" s="48">
        <v>0</v>
      </c>
      <c r="Z85" s="48" t="s">
        <v>382</v>
      </c>
      <c r="AA85" s="48">
        <v>0</v>
      </c>
      <c r="AB85" s="48">
        <v>0</v>
      </c>
      <c r="AC85" s="48">
        <v>0</v>
      </c>
      <c r="AD85" s="49">
        <v>3537.7999999999884</v>
      </c>
      <c r="AE85" s="65"/>
      <c r="AF85" s="50"/>
      <c r="AG85" s="50"/>
    </row>
    <row r="86" spans="1:34" x14ac:dyDescent="0.25">
      <c r="A86" s="45">
        <v>466</v>
      </c>
      <c r="B86" s="46" t="s">
        <v>171</v>
      </c>
      <c r="C86" s="45" t="s">
        <v>191</v>
      </c>
      <c r="D86" s="45" t="s">
        <v>383</v>
      </c>
      <c r="E86" s="47">
        <v>193700</v>
      </c>
      <c r="F86" s="48">
        <v>63986.25</v>
      </c>
      <c r="G86" s="48">
        <v>0</v>
      </c>
      <c r="H86" s="48">
        <v>0</v>
      </c>
      <c r="I86" s="48">
        <v>0</v>
      </c>
      <c r="J86" s="48">
        <v>0</v>
      </c>
      <c r="K86" s="48">
        <v>0</v>
      </c>
      <c r="L86" s="48">
        <v>0</v>
      </c>
      <c r="M86" s="48">
        <v>0</v>
      </c>
      <c r="N86" s="48">
        <v>0</v>
      </c>
      <c r="O86" s="48">
        <v>0</v>
      </c>
      <c r="P86" s="48">
        <v>0</v>
      </c>
      <c r="Q86" s="48">
        <v>0</v>
      </c>
      <c r="R86" s="48">
        <v>0</v>
      </c>
      <c r="S86" s="48">
        <v>101560.06446048834</v>
      </c>
      <c r="T86" s="48">
        <v>0</v>
      </c>
      <c r="U86" s="48">
        <v>0</v>
      </c>
      <c r="V86" s="48">
        <v>0</v>
      </c>
      <c r="W86" s="48">
        <v>12240</v>
      </c>
      <c r="X86" s="48">
        <f>495436-482422</f>
        <v>13014</v>
      </c>
      <c r="Y86" s="48">
        <v>0</v>
      </c>
      <c r="Z86" s="48" t="s">
        <v>382</v>
      </c>
      <c r="AA86" s="48">
        <v>0</v>
      </c>
      <c r="AB86" s="48">
        <v>0</v>
      </c>
      <c r="AC86" s="48">
        <v>0</v>
      </c>
      <c r="AD86" s="49">
        <v>2899.6855395116727</v>
      </c>
      <c r="AE86" s="65"/>
      <c r="AF86" s="50"/>
      <c r="AG86" s="50"/>
    </row>
    <row r="87" spans="1:34" x14ac:dyDescent="0.25">
      <c r="A87" s="45">
        <v>175</v>
      </c>
      <c r="B87" s="46" t="s">
        <v>172</v>
      </c>
      <c r="C87" s="45" t="s">
        <v>201</v>
      </c>
      <c r="D87" s="45" t="s">
        <v>383</v>
      </c>
      <c r="E87" s="47">
        <v>44551</v>
      </c>
      <c r="F87" s="48">
        <v>12865</v>
      </c>
      <c r="G87" s="48">
        <v>0</v>
      </c>
      <c r="H87" s="48">
        <v>0</v>
      </c>
      <c r="I87" s="48">
        <v>0</v>
      </c>
      <c r="J87" s="48">
        <v>0</v>
      </c>
      <c r="K87" s="48">
        <v>0</v>
      </c>
      <c r="L87" s="48">
        <v>0</v>
      </c>
      <c r="M87" s="48">
        <v>0</v>
      </c>
      <c r="N87" s="48">
        <v>0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  <c r="T87" s="48">
        <v>0</v>
      </c>
      <c r="U87" s="48">
        <v>0</v>
      </c>
      <c r="V87" s="48">
        <v>0</v>
      </c>
      <c r="W87" s="48">
        <v>0</v>
      </c>
      <c r="X87" s="48">
        <v>0</v>
      </c>
      <c r="Y87" s="48">
        <v>0</v>
      </c>
      <c r="Z87" s="48" t="s">
        <v>382</v>
      </c>
      <c r="AA87" s="48">
        <v>0</v>
      </c>
      <c r="AB87" s="48">
        <v>0</v>
      </c>
      <c r="AC87" s="48">
        <v>0</v>
      </c>
      <c r="AD87" s="49">
        <v>31686</v>
      </c>
      <c r="AE87" s="65"/>
      <c r="AF87" s="50"/>
      <c r="AG87" s="50"/>
    </row>
    <row r="88" spans="1:34" x14ac:dyDescent="0.25">
      <c r="A88" s="45">
        <v>309</v>
      </c>
      <c r="B88" s="46" t="s">
        <v>173</v>
      </c>
      <c r="C88" s="45" t="s">
        <v>201</v>
      </c>
      <c r="D88" s="45" t="s">
        <v>383</v>
      </c>
      <c r="E88" s="47">
        <v>366093</v>
      </c>
      <c r="F88" s="48">
        <v>15355</v>
      </c>
      <c r="G88" s="48">
        <v>3780</v>
      </c>
      <c r="H88" s="48">
        <v>0</v>
      </c>
      <c r="I88" s="48">
        <v>0</v>
      </c>
      <c r="J88" s="48">
        <v>0</v>
      </c>
      <c r="K88" s="48">
        <v>0</v>
      </c>
      <c r="L88" s="48">
        <v>0</v>
      </c>
      <c r="M88" s="48">
        <v>0</v>
      </c>
      <c r="N88" s="48">
        <v>0</v>
      </c>
      <c r="O88" s="48">
        <v>0</v>
      </c>
      <c r="P88" s="48">
        <v>0</v>
      </c>
      <c r="Q88" s="48">
        <v>0</v>
      </c>
      <c r="R88" s="48">
        <v>0</v>
      </c>
      <c r="S88" s="48">
        <v>0</v>
      </c>
      <c r="T88" s="48">
        <v>0</v>
      </c>
      <c r="U88" s="48">
        <v>0</v>
      </c>
      <c r="V88" s="48">
        <v>0</v>
      </c>
      <c r="W88" s="48">
        <v>0</v>
      </c>
      <c r="X88" s="48">
        <v>0</v>
      </c>
      <c r="Y88" s="48">
        <v>97685</v>
      </c>
      <c r="Z88" s="48">
        <v>58774</v>
      </c>
      <c r="AA88" s="48">
        <v>0</v>
      </c>
      <c r="AB88" s="48">
        <v>0</v>
      </c>
      <c r="AC88" s="48">
        <v>0</v>
      </c>
      <c r="AD88" s="49">
        <v>190499</v>
      </c>
      <c r="AE88" s="65"/>
      <c r="AF88" s="50"/>
      <c r="AG88" s="50"/>
    </row>
    <row r="89" spans="1:34" x14ac:dyDescent="0.25">
      <c r="A89" s="45">
        <v>313</v>
      </c>
      <c r="B89" s="46" t="s">
        <v>174</v>
      </c>
      <c r="C89" s="45" t="s">
        <v>201</v>
      </c>
      <c r="D89" s="45" t="s">
        <v>383</v>
      </c>
      <c r="E89" s="47">
        <v>120094</v>
      </c>
      <c r="F89" s="48">
        <v>15396.5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48">
        <v>0</v>
      </c>
      <c r="O89" s="48">
        <v>0</v>
      </c>
      <c r="P89" s="48">
        <v>0</v>
      </c>
      <c r="Q89" s="48">
        <v>0</v>
      </c>
      <c r="R89" s="48">
        <v>0</v>
      </c>
      <c r="S89" s="48">
        <v>0</v>
      </c>
      <c r="T89" s="48">
        <v>0</v>
      </c>
      <c r="U89" s="48">
        <v>0</v>
      </c>
      <c r="V89" s="48">
        <v>0</v>
      </c>
      <c r="W89" s="48">
        <v>0</v>
      </c>
      <c r="X89" s="48">
        <v>0</v>
      </c>
      <c r="Y89" s="48">
        <v>97685</v>
      </c>
      <c r="Z89" s="48" t="s">
        <v>382</v>
      </c>
      <c r="AA89" s="48">
        <v>0</v>
      </c>
      <c r="AB89" s="48">
        <v>0</v>
      </c>
      <c r="AC89" s="48">
        <v>0</v>
      </c>
      <c r="AD89" s="49">
        <v>7012.5</v>
      </c>
      <c r="AE89" s="65"/>
      <c r="AF89" s="50"/>
      <c r="AG89" s="50"/>
    </row>
    <row r="90" spans="1:34" x14ac:dyDescent="0.25">
      <c r="A90" s="45">
        <v>315</v>
      </c>
      <c r="B90" s="46" t="s">
        <v>175</v>
      </c>
      <c r="C90" s="45" t="s">
        <v>201</v>
      </c>
      <c r="D90" s="45" t="s">
        <v>381</v>
      </c>
      <c r="E90" s="47">
        <v>395148</v>
      </c>
      <c r="F90" s="48">
        <v>10997.5</v>
      </c>
      <c r="G90" s="48">
        <v>8160</v>
      </c>
      <c r="H90" s="48">
        <v>163080</v>
      </c>
      <c r="I90" s="48">
        <v>0</v>
      </c>
      <c r="J90" s="48">
        <v>0</v>
      </c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8">
        <v>0</v>
      </c>
      <c r="V90" s="48">
        <v>0</v>
      </c>
      <c r="W90" s="48">
        <v>0</v>
      </c>
      <c r="X90" s="48">
        <v>0</v>
      </c>
      <c r="Y90" s="48">
        <v>0</v>
      </c>
      <c r="Z90" s="48" t="s">
        <v>382</v>
      </c>
      <c r="AA90" s="48">
        <v>0</v>
      </c>
      <c r="AB90" s="48">
        <f>'[2]CSM Control Sheet'!C45</f>
        <v>97685</v>
      </c>
      <c r="AC90" s="48">
        <v>0</v>
      </c>
      <c r="AD90" s="49">
        <v>115225.5</v>
      </c>
      <c r="AE90" s="65"/>
      <c r="AF90" s="50"/>
      <c r="AG90" s="50"/>
      <c r="AH90" s="50"/>
    </row>
    <row r="91" spans="1:34" x14ac:dyDescent="0.25">
      <c r="A91" s="45">
        <v>322</v>
      </c>
      <c r="B91" s="46" t="s">
        <v>176</v>
      </c>
      <c r="C91" s="45" t="s">
        <v>201</v>
      </c>
      <c r="D91" s="45" t="s">
        <v>381</v>
      </c>
      <c r="E91" s="47">
        <v>393211</v>
      </c>
      <c r="F91" s="48">
        <v>10748.5</v>
      </c>
      <c r="G91" s="48">
        <v>8120</v>
      </c>
      <c r="H91" s="48">
        <v>132120</v>
      </c>
      <c r="I91" s="48">
        <v>0</v>
      </c>
      <c r="J91" s="48">
        <v>0</v>
      </c>
      <c r="K91" s="48">
        <v>0</v>
      </c>
      <c r="L91" s="48">
        <v>0</v>
      </c>
      <c r="M91" s="48">
        <v>0</v>
      </c>
      <c r="N91" s="48">
        <v>0</v>
      </c>
      <c r="O91" s="48">
        <v>0</v>
      </c>
      <c r="P91" s="48">
        <v>0</v>
      </c>
      <c r="Q91" s="48">
        <v>0</v>
      </c>
      <c r="R91" s="48">
        <v>0</v>
      </c>
      <c r="S91" s="48">
        <v>0</v>
      </c>
      <c r="T91" s="48">
        <v>0</v>
      </c>
      <c r="U91" s="48">
        <v>0</v>
      </c>
      <c r="V91" s="48">
        <v>0</v>
      </c>
      <c r="W91" s="48">
        <v>0</v>
      </c>
      <c r="X91" s="48">
        <v>0</v>
      </c>
      <c r="Y91" s="48">
        <v>0</v>
      </c>
      <c r="Z91" s="48">
        <v>28209</v>
      </c>
      <c r="AA91" s="48">
        <v>0</v>
      </c>
      <c r="AB91" s="48">
        <f>'[2]CSM Control Sheet'!C45</f>
        <v>97685</v>
      </c>
      <c r="AC91" s="48">
        <v>0</v>
      </c>
      <c r="AD91" s="49">
        <v>116328.5</v>
      </c>
      <c r="AE91" s="65"/>
      <c r="AF91" s="50"/>
      <c r="AG91" s="50"/>
    </row>
    <row r="92" spans="1:34" x14ac:dyDescent="0.25">
      <c r="A92" s="45">
        <v>427</v>
      </c>
      <c r="B92" s="46" t="s">
        <v>177</v>
      </c>
      <c r="C92" s="45" t="s">
        <v>204</v>
      </c>
      <c r="D92" s="45" t="s">
        <v>383</v>
      </c>
      <c r="E92" s="47">
        <v>366093</v>
      </c>
      <c r="F92" s="48">
        <v>15782</v>
      </c>
      <c r="G92" s="48">
        <v>3780</v>
      </c>
      <c r="H92" s="48">
        <v>0</v>
      </c>
      <c r="I92" s="48">
        <v>0</v>
      </c>
      <c r="J92" s="48">
        <v>0</v>
      </c>
      <c r="K92" s="48">
        <v>0</v>
      </c>
      <c r="L92" s="48">
        <v>0</v>
      </c>
      <c r="M92" s="48">
        <v>0</v>
      </c>
      <c r="N92" s="48">
        <v>195370</v>
      </c>
      <c r="O92" s="48">
        <v>0</v>
      </c>
      <c r="P92" s="48">
        <v>0</v>
      </c>
      <c r="Q92" s="48">
        <v>5000</v>
      </c>
      <c r="R92" s="48">
        <v>0</v>
      </c>
      <c r="S92" s="48">
        <v>0</v>
      </c>
      <c r="T92" s="48">
        <v>0</v>
      </c>
      <c r="U92" s="48">
        <v>0</v>
      </c>
      <c r="V92" s="48">
        <v>138141</v>
      </c>
      <c r="W92" s="48">
        <v>0</v>
      </c>
      <c r="X92" s="48">
        <v>0</v>
      </c>
      <c r="Y92" s="48">
        <v>0</v>
      </c>
      <c r="Z92" s="48" t="s">
        <v>382</v>
      </c>
      <c r="AA92" s="48">
        <v>0</v>
      </c>
      <c r="AB92" s="48">
        <v>0</v>
      </c>
      <c r="AC92" s="48">
        <v>0</v>
      </c>
      <c r="AD92" s="49">
        <v>8020</v>
      </c>
      <c r="AE92" s="65"/>
      <c r="AF92" s="50"/>
      <c r="AG92" s="50"/>
    </row>
    <row r="93" spans="1:34" x14ac:dyDescent="0.25">
      <c r="A93" s="45">
        <v>319</v>
      </c>
      <c r="B93" s="46" t="s">
        <v>178</v>
      </c>
      <c r="C93" s="45" t="s">
        <v>201</v>
      </c>
      <c r="D93" s="45" t="s">
        <v>381</v>
      </c>
      <c r="E93" s="47">
        <v>873587</v>
      </c>
      <c r="F93" s="48">
        <v>21206.5</v>
      </c>
      <c r="G93" s="48">
        <v>18040</v>
      </c>
      <c r="H93" s="48">
        <v>0</v>
      </c>
      <c r="I93" s="48">
        <v>0</v>
      </c>
      <c r="J93" s="48">
        <v>0</v>
      </c>
      <c r="K93" s="48">
        <v>0</v>
      </c>
      <c r="L93" s="48">
        <v>0</v>
      </c>
      <c r="M93" s="48">
        <f>'[2]CSM Control Sheet'!C19</f>
        <v>97685</v>
      </c>
      <c r="N93" s="48">
        <v>0</v>
      </c>
      <c r="O93" s="48">
        <v>0</v>
      </c>
      <c r="P93" s="48">
        <v>0</v>
      </c>
      <c r="Q93" s="48">
        <v>0</v>
      </c>
      <c r="R93" s="48">
        <v>0</v>
      </c>
      <c r="S93" s="48">
        <v>0</v>
      </c>
      <c r="T93" s="48">
        <v>0</v>
      </c>
      <c r="U93" s="48">
        <v>0</v>
      </c>
      <c r="V93" s="48">
        <v>0</v>
      </c>
      <c r="W93" s="48">
        <v>0</v>
      </c>
      <c r="X93" s="48">
        <v>0</v>
      </c>
      <c r="Y93" s="48">
        <v>146527.5</v>
      </c>
      <c r="Z93" s="48" t="s">
        <v>382</v>
      </c>
      <c r="AA93" s="48">
        <f>'[2]CSM Control Sheet'!C89</f>
        <v>97685</v>
      </c>
      <c r="AB93" s="48">
        <f>'[2]CSM Control Sheet'!C45*3</f>
        <v>293055</v>
      </c>
      <c r="AC93" s="48">
        <v>0</v>
      </c>
      <c r="AD93" s="49">
        <v>199388</v>
      </c>
      <c r="AE93" s="65"/>
      <c r="AF93" s="50"/>
      <c r="AG93" s="50"/>
    </row>
    <row r="94" spans="1:34" x14ac:dyDescent="0.25">
      <c r="A94" s="45">
        <v>321</v>
      </c>
      <c r="B94" s="46" t="s">
        <v>179</v>
      </c>
      <c r="C94" s="45" t="s">
        <v>201</v>
      </c>
      <c r="D94" s="45" t="s">
        <v>383</v>
      </c>
      <c r="E94" s="47">
        <v>61984</v>
      </c>
      <c r="F94" s="48">
        <f>17513-5300</f>
        <v>12213</v>
      </c>
      <c r="G94" s="48">
        <v>0</v>
      </c>
      <c r="H94" s="48">
        <v>0</v>
      </c>
      <c r="I94" s="48">
        <v>0</v>
      </c>
      <c r="J94" s="48">
        <v>0</v>
      </c>
      <c r="K94" s="48">
        <v>0</v>
      </c>
      <c r="L94" s="48">
        <v>0</v>
      </c>
      <c r="M94" s="48">
        <v>0</v>
      </c>
      <c r="N94" s="48">
        <v>0</v>
      </c>
      <c r="O94" s="48">
        <v>0</v>
      </c>
      <c r="P94" s="48">
        <v>0</v>
      </c>
      <c r="Q94" s="48">
        <v>0</v>
      </c>
      <c r="R94" s="48">
        <v>0</v>
      </c>
      <c r="S94" s="48">
        <v>0</v>
      </c>
      <c r="T94" s="48">
        <v>0</v>
      </c>
      <c r="U94" s="48">
        <v>0</v>
      </c>
      <c r="V94" s="48">
        <v>0</v>
      </c>
      <c r="W94" s="48">
        <v>0</v>
      </c>
      <c r="X94" s="48">
        <v>0</v>
      </c>
      <c r="Y94" s="48">
        <f>'[2]CSM Control Sheet'!C67/2</f>
        <v>48842.5</v>
      </c>
      <c r="Z94" s="48" t="s">
        <v>382</v>
      </c>
      <c r="AA94" s="48">
        <v>0</v>
      </c>
      <c r="AB94" s="48">
        <v>0</v>
      </c>
      <c r="AC94" s="48">
        <v>0</v>
      </c>
      <c r="AD94" s="49">
        <v>928.5</v>
      </c>
      <c r="AE94" s="65"/>
      <c r="AF94" s="50"/>
      <c r="AG94" s="50"/>
    </row>
    <row r="95" spans="1:34" x14ac:dyDescent="0.25">
      <c r="A95" s="45">
        <v>428</v>
      </c>
      <c r="B95" s="46" t="s">
        <v>180</v>
      </c>
      <c r="C95" s="45" t="s">
        <v>204</v>
      </c>
      <c r="D95" s="45" t="s">
        <v>383</v>
      </c>
      <c r="E95" s="47">
        <v>282802</v>
      </c>
      <c r="F95" s="48">
        <f>26343.8-16837</f>
        <v>9506.7999999999993</v>
      </c>
      <c r="G95" s="48">
        <v>2920</v>
      </c>
      <c r="H95" s="48">
        <v>0</v>
      </c>
      <c r="I95" s="48">
        <v>0</v>
      </c>
      <c r="J95" s="48">
        <v>0</v>
      </c>
      <c r="K95" s="48">
        <v>0</v>
      </c>
      <c r="L95" s="48">
        <v>0</v>
      </c>
      <c r="M95" s="48">
        <v>0</v>
      </c>
      <c r="N95" s="48">
        <v>0</v>
      </c>
      <c r="O95" s="48">
        <v>100000</v>
      </c>
      <c r="P95" s="48">
        <v>23000</v>
      </c>
      <c r="Q95" s="48">
        <v>5000</v>
      </c>
      <c r="R95" s="48">
        <v>0</v>
      </c>
      <c r="S95" s="48">
        <v>0</v>
      </c>
      <c r="T95" s="48">
        <v>0</v>
      </c>
      <c r="U95" s="48">
        <v>0</v>
      </c>
      <c r="V95" s="48">
        <v>138141</v>
      </c>
      <c r="W95" s="48">
        <v>0</v>
      </c>
      <c r="X95" s="48">
        <v>0</v>
      </c>
      <c r="Y95" s="48">
        <v>0</v>
      </c>
      <c r="Z95" s="48" t="s">
        <v>382</v>
      </c>
      <c r="AA95" s="48">
        <v>0</v>
      </c>
      <c r="AB95" s="48">
        <v>0</v>
      </c>
      <c r="AC95" s="48">
        <v>0</v>
      </c>
      <c r="AD95" s="49">
        <v>4234.2000000000116</v>
      </c>
      <c r="AE95" s="65"/>
      <c r="AF95" s="50"/>
      <c r="AG95" s="50"/>
    </row>
    <row r="96" spans="1:34" x14ac:dyDescent="0.25">
      <c r="A96" s="45">
        <v>324</v>
      </c>
      <c r="B96" s="46" t="s">
        <v>181</v>
      </c>
      <c r="C96" s="45" t="s">
        <v>203</v>
      </c>
      <c r="D96" s="45" t="s">
        <v>383</v>
      </c>
      <c r="E96" s="47">
        <v>441636</v>
      </c>
      <c r="F96" s="48">
        <v>21530.9</v>
      </c>
      <c r="G96" s="48">
        <v>4560</v>
      </c>
      <c r="H96" s="48">
        <v>0</v>
      </c>
      <c r="I96" s="48">
        <v>0</v>
      </c>
      <c r="J96" s="48">
        <v>0</v>
      </c>
      <c r="K96" s="48">
        <v>0</v>
      </c>
      <c r="L96" s="48">
        <v>0</v>
      </c>
      <c r="M96" s="48">
        <v>0</v>
      </c>
      <c r="N96" s="48">
        <v>195370</v>
      </c>
      <c r="O96" s="48">
        <v>100000</v>
      </c>
      <c r="P96" s="48">
        <v>23000</v>
      </c>
      <c r="Q96" s="48">
        <v>5000</v>
      </c>
      <c r="R96" s="48">
        <v>0</v>
      </c>
      <c r="S96" s="48">
        <v>0</v>
      </c>
      <c r="T96" s="48">
        <v>0</v>
      </c>
      <c r="U96" s="48">
        <v>0</v>
      </c>
      <c r="V96" s="48">
        <v>0</v>
      </c>
      <c r="W96" s="48">
        <v>0</v>
      </c>
      <c r="X96" s="48">
        <v>0</v>
      </c>
      <c r="Y96" s="48">
        <v>0</v>
      </c>
      <c r="Z96" s="48">
        <v>74236</v>
      </c>
      <c r="AA96" s="48">
        <v>0</v>
      </c>
      <c r="AB96" s="48">
        <v>0</v>
      </c>
      <c r="AC96" s="48">
        <v>0</v>
      </c>
      <c r="AD96" s="49">
        <v>17939.099999999977</v>
      </c>
      <c r="AE96" s="65"/>
      <c r="AF96" s="50"/>
      <c r="AG96" s="50"/>
    </row>
    <row r="97" spans="1:33" x14ac:dyDescent="0.25">
      <c r="A97" s="45">
        <v>325</v>
      </c>
      <c r="B97" s="46" t="s">
        <v>182</v>
      </c>
      <c r="C97" s="45" t="s">
        <v>201</v>
      </c>
      <c r="D97" s="45" t="s">
        <v>381</v>
      </c>
      <c r="E97" s="47">
        <v>610155</v>
      </c>
      <c r="F97" s="48">
        <f>17762-15145</f>
        <v>2617</v>
      </c>
      <c r="G97" s="48">
        <v>6300</v>
      </c>
      <c r="H97" s="48">
        <v>546254.2011036363</v>
      </c>
      <c r="I97" s="48">
        <v>0</v>
      </c>
      <c r="J97" s="48">
        <v>0</v>
      </c>
      <c r="K97" s="48">
        <v>0</v>
      </c>
      <c r="L97" s="48">
        <v>0</v>
      </c>
      <c r="M97" s="48">
        <v>0</v>
      </c>
      <c r="N97" s="48">
        <v>0</v>
      </c>
      <c r="O97" s="48">
        <v>0</v>
      </c>
      <c r="P97" s="48">
        <v>0</v>
      </c>
      <c r="Q97" s="48">
        <v>0</v>
      </c>
      <c r="R97" s="48">
        <v>0</v>
      </c>
      <c r="S97" s="48">
        <v>0</v>
      </c>
      <c r="T97" s="48">
        <v>0</v>
      </c>
      <c r="U97" s="48">
        <v>0</v>
      </c>
      <c r="V97" s="48">
        <v>0</v>
      </c>
      <c r="W97" s="48">
        <v>0</v>
      </c>
      <c r="X97" s="48">
        <v>0</v>
      </c>
      <c r="Y97" s="48">
        <v>0</v>
      </c>
      <c r="Z97" s="48">
        <v>45849</v>
      </c>
      <c r="AA97" s="48">
        <v>0</v>
      </c>
      <c r="AB97" s="48">
        <v>0</v>
      </c>
      <c r="AC97" s="48">
        <v>0</v>
      </c>
      <c r="AD97" s="49">
        <v>9134.7988963637035</v>
      </c>
      <c r="AE97" s="65"/>
      <c r="AF97" s="50"/>
      <c r="AG97" s="50"/>
    </row>
    <row r="98" spans="1:33" x14ac:dyDescent="0.25">
      <c r="A98" s="45">
        <v>326</v>
      </c>
      <c r="B98" s="46" t="s">
        <v>183</v>
      </c>
      <c r="C98" s="45" t="s">
        <v>201</v>
      </c>
      <c r="D98" s="45" t="s">
        <v>383</v>
      </c>
      <c r="E98" s="47">
        <v>255684</v>
      </c>
      <c r="F98" s="48">
        <f>12616-9027</f>
        <v>3589</v>
      </c>
      <c r="G98" s="48">
        <v>2640</v>
      </c>
      <c r="H98" s="48">
        <v>48960</v>
      </c>
      <c r="I98" s="48">
        <v>0</v>
      </c>
      <c r="J98" s="48">
        <v>0</v>
      </c>
      <c r="K98" s="48">
        <v>0</v>
      </c>
      <c r="L98" s="48">
        <v>0</v>
      </c>
      <c r="M98" s="48">
        <v>0</v>
      </c>
      <c r="N98" s="48">
        <v>0</v>
      </c>
      <c r="O98" s="48">
        <v>0</v>
      </c>
      <c r="P98" s="48">
        <v>0</v>
      </c>
      <c r="Q98" s="48">
        <v>0</v>
      </c>
      <c r="R98" s="48">
        <v>0</v>
      </c>
      <c r="S98" s="48">
        <v>0</v>
      </c>
      <c r="T98" s="48">
        <v>0</v>
      </c>
      <c r="U98" s="48">
        <v>0</v>
      </c>
      <c r="V98" s="48">
        <v>0</v>
      </c>
      <c r="W98" s="48">
        <v>0</v>
      </c>
      <c r="X98" s="48">
        <v>0</v>
      </c>
      <c r="Y98" s="48">
        <v>0</v>
      </c>
      <c r="Z98" s="48">
        <v>98982</v>
      </c>
      <c r="AA98" s="48">
        <v>0</v>
      </c>
      <c r="AB98" s="48">
        <v>0</v>
      </c>
      <c r="AC98" s="48">
        <v>97685</v>
      </c>
      <c r="AD98" s="49">
        <v>3828</v>
      </c>
      <c r="AE98" s="65"/>
      <c r="AF98" s="50"/>
      <c r="AG98" s="50"/>
    </row>
    <row r="99" spans="1:33" x14ac:dyDescent="0.25">
      <c r="A99" s="45">
        <v>327</v>
      </c>
      <c r="B99" s="46" t="s">
        <v>184</v>
      </c>
      <c r="C99" s="45" t="s">
        <v>203</v>
      </c>
      <c r="D99" s="45" t="s">
        <v>383</v>
      </c>
      <c r="E99" s="47">
        <v>902642</v>
      </c>
      <c r="F99" s="48">
        <f>33671.7-29202</f>
        <v>4469.6999999999971</v>
      </c>
      <c r="G99" s="48">
        <v>9320</v>
      </c>
      <c r="H99" s="48">
        <v>240120</v>
      </c>
      <c r="I99" s="48">
        <v>0</v>
      </c>
      <c r="J99" s="48">
        <v>0</v>
      </c>
      <c r="K99" s="48">
        <v>0</v>
      </c>
      <c r="L99" s="48">
        <v>0</v>
      </c>
      <c r="M99" s="48">
        <v>0</v>
      </c>
      <c r="N99" s="48">
        <v>195370</v>
      </c>
      <c r="O99" s="48">
        <v>100000</v>
      </c>
      <c r="P99" s="48">
        <v>23000</v>
      </c>
      <c r="Q99" s="48">
        <v>5000</v>
      </c>
      <c r="R99" s="48">
        <v>0</v>
      </c>
      <c r="S99" s="48">
        <v>0</v>
      </c>
      <c r="T99" s="48">
        <v>0</v>
      </c>
      <c r="U99" s="48">
        <v>0</v>
      </c>
      <c r="V99" s="48">
        <v>0</v>
      </c>
      <c r="W99" s="48">
        <v>0</v>
      </c>
      <c r="X99" s="48">
        <v>0</v>
      </c>
      <c r="Y99" s="48">
        <v>146527.5</v>
      </c>
      <c r="Z99" s="48">
        <v>67636</v>
      </c>
      <c r="AA99" s="48">
        <v>0</v>
      </c>
      <c r="AB99" s="48">
        <v>0</v>
      </c>
      <c r="AC99" s="48">
        <f>'[2]CSM Control Sheet'!C63</f>
        <v>97685</v>
      </c>
      <c r="AD99" s="49">
        <v>13513.800000000047</v>
      </c>
      <c r="AE99" s="65"/>
      <c r="AF99" s="50"/>
      <c r="AG99" s="50"/>
    </row>
    <row r="100" spans="1:33" x14ac:dyDescent="0.25">
      <c r="A100" s="45">
        <v>328</v>
      </c>
      <c r="B100" s="46" t="s">
        <v>185</v>
      </c>
      <c r="C100" s="45" t="s">
        <v>201</v>
      </c>
      <c r="D100" s="45" t="s">
        <v>383</v>
      </c>
      <c r="E100" s="47">
        <v>633399</v>
      </c>
      <c r="F100" s="48">
        <f>21580-3505</f>
        <v>18075</v>
      </c>
      <c r="G100" s="48">
        <v>6540</v>
      </c>
      <c r="H100" s="48">
        <v>0</v>
      </c>
      <c r="I100" s="48">
        <v>0</v>
      </c>
      <c r="J100" s="48">
        <v>0</v>
      </c>
      <c r="K100" s="48">
        <v>0</v>
      </c>
      <c r="L100" s="48">
        <v>0</v>
      </c>
      <c r="M100" s="48">
        <v>0</v>
      </c>
      <c r="N100" s="48">
        <v>0</v>
      </c>
      <c r="O100" s="48">
        <v>0</v>
      </c>
      <c r="P100" s="48">
        <v>0</v>
      </c>
      <c r="Q100" s="48">
        <v>0</v>
      </c>
      <c r="R100" s="48">
        <v>0</v>
      </c>
      <c r="S100" s="48">
        <v>0</v>
      </c>
      <c r="T100" s="48">
        <v>0</v>
      </c>
      <c r="U100" s="48">
        <v>0</v>
      </c>
      <c r="V100" s="48">
        <v>0</v>
      </c>
      <c r="W100" s="48">
        <v>0</v>
      </c>
      <c r="X100" s="48">
        <v>0</v>
      </c>
      <c r="Y100" s="48">
        <v>146527.5</v>
      </c>
      <c r="Z100" s="48">
        <v>37612</v>
      </c>
      <c r="AA100" s="48">
        <v>97685</v>
      </c>
      <c r="AB100" s="48">
        <f>'[2]CSM Control Sheet'!C45*1.25</f>
        <v>122106.25</v>
      </c>
      <c r="AC100" s="48">
        <v>195370</v>
      </c>
      <c r="AD100" s="49">
        <v>9483.25</v>
      </c>
      <c r="AE100" s="65"/>
      <c r="AF100" s="50"/>
      <c r="AG100" s="50"/>
    </row>
    <row r="101" spans="1:33" x14ac:dyDescent="0.25">
      <c r="A101" s="45">
        <v>329</v>
      </c>
      <c r="B101" s="46" t="s">
        <v>186</v>
      </c>
      <c r="C101" s="45" t="s">
        <v>201</v>
      </c>
      <c r="D101" s="45" t="s">
        <v>381</v>
      </c>
      <c r="E101" s="47">
        <v>865839</v>
      </c>
      <c r="F101" s="48">
        <v>21331</v>
      </c>
      <c r="G101" s="48">
        <v>17880</v>
      </c>
      <c r="H101" s="48">
        <v>568232.4383477649</v>
      </c>
      <c r="I101" s="48">
        <v>0</v>
      </c>
      <c r="J101" s="48">
        <v>0</v>
      </c>
      <c r="K101" s="48">
        <v>0</v>
      </c>
      <c r="L101" s="48">
        <v>0</v>
      </c>
      <c r="M101" s="48">
        <v>0</v>
      </c>
      <c r="N101" s="48">
        <v>0</v>
      </c>
      <c r="O101" s="48">
        <v>0</v>
      </c>
      <c r="P101" s="48">
        <v>0</v>
      </c>
      <c r="Q101" s="48">
        <v>0</v>
      </c>
      <c r="R101" s="48">
        <v>0</v>
      </c>
      <c r="S101" s="48">
        <v>0</v>
      </c>
      <c r="T101" s="48">
        <v>0</v>
      </c>
      <c r="U101" s="48">
        <v>0</v>
      </c>
      <c r="V101" s="48">
        <v>0</v>
      </c>
      <c r="W101" s="48">
        <v>0</v>
      </c>
      <c r="X101" s="48">
        <v>0</v>
      </c>
      <c r="Y101" s="48">
        <v>195370</v>
      </c>
      <c r="Z101" s="48">
        <v>16684</v>
      </c>
      <c r="AA101" s="48">
        <v>0</v>
      </c>
      <c r="AB101" s="48">
        <v>0</v>
      </c>
      <c r="AC101" s="48">
        <v>0</v>
      </c>
      <c r="AD101" s="49">
        <v>46341.561652235105</v>
      </c>
      <c r="AE101" s="65"/>
      <c r="AF101" s="50"/>
      <c r="AG101" s="50"/>
    </row>
    <row r="102" spans="1:33" x14ac:dyDescent="0.25">
      <c r="A102" s="45">
        <v>330</v>
      </c>
      <c r="B102" s="46" t="s">
        <v>187</v>
      </c>
      <c r="C102" s="45" t="s">
        <v>201</v>
      </c>
      <c r="D102" s="45" t="s">
        <v>381</v>
      </c>
      <c r="E102" s="47">
        <v>397085</v>
      </c>
      <c r="F102" s="48">
        <v>21663</v>
      </c>
      <c r="G102" s="48">
        <v>4100</v>
      </c>
      <c r="H102" s="48">
        <v>0</v>
      </c>
      <c r="I102" s="48">
        <v>0</v>
      </c>
      <c r="J102" s="48">
        <v>0</v>
      </c>
      <c r="K102" s="48">
        <v>0</v>
      </c>
      <c r="L102" s="48">
        <v>0</v>
      </c>
      <c r="M102" s="48">
        <v>0</v>
      </c>
      <c r="N102" s="48">
        <v>0</v>
      </c>
      <c r="O102" s="48">
        <v>0</v>
      </c>
      <c r="P102" s="48">
        <v>0</v>
      </c>
      <c r="Q102" s="48">
        <v>0</v>
      </c>
      <c r="R102" s="48">
        <v>0</v>
      </c>
      <c r="S102" s="48">
        <v>0</v>
      </c>
      <c r="T102" s="48">
        <v>0</v>
      </c>
      <c r="U102" s="48">
        <v>0</v>
      </c>
      <c r="V102" s="48">
        <v>0</v>
      </c>
      <c r="W102" s="48">
        <v>0</v>
      </c>
      <c r="X102" s="48">
        <v>0</v>
      </c>
      <c r="Y102" s="48">
        <v>146527.5</v>
      </c>
      <c r="Z102" s="48">
        <v>52079</v>
      </c>
      <c r="AA102" s="48">
        <v>0</v>
      </c>
      <c r="AB102" s="48">
        <f>'[2]CSM Control Sheet'!C45*1.5</f>
        <v>146527.5</v>
      </c>
      <c r="AC102" s="48">
        <v>0</v>
      </c>
      <c r="AD102" s="49">
        <v>26188</v>
      </c>
      <c r="AE102" s="65"/>
      <c r="AF102" s="50"/>
      <c r="AG102" s="50"/>
    </row>
    <row r="103" spans="1:33" x14ac:dyDescent="0.25">
      <c r="A103" s="45">
        <v>331</v>
      </c>
      <c r="B103" s="46" t="s">
        <v>188</v>
      </c>
      <c r="C103" s="45" t="s">
        <v>201</v>
      </c>
      <c r="D103" s="45" t="s">
        <v>383</v>
      </c>
      <c r="E103" s="47">
        <v>94913</v>
      </c>
      <c r="F103" s="48">
        <v>9130</v>
      </c>
      <c r="G103" s="48">
        <v>0</v>
      </c>
      <c r="H103" s="48">
        <v>0</v>
      </c>
      <c r="I103" s="48">
        <v>0</v>
      </c>
      <c r="J103" s="48">
        <v>0</v>
      </c>
      <c r="K103" s="48">
        <v>0</v>
      </c>
      <c r="L103" s="48">
        <v>0</v>
      </c>
      <c r="M103" s="48">
        <v>0</v>
      </c>
      <c r="N103" s="48">
        <v>0</v>
      </c>
      <c r="O103" s="48">
        <v>0</v>
      </c>
      <c r="P103" s="48">
        <v>0</v>
      </c>
      <c r="Q103" s="48">
        <v>0</v>
      </c>
      <c r="R103" s="48">
        <v>0</v>
      </c>
      <c r="S103" s="48">
        <v>0</v>
      </c>
      <c r="T103" s="48">
        <v>0</v>
      </c>
      <c r="U103" s="48">
        <v>0</v>
      </c>
      <c r="V103" s="48">
        <v>0</v>
      </c>
      <c r="W103" s="48">
        <v>0</v>
      </c>
      <c r="X103" s="48">
        <v>0</v>
      </c>
      <c r="Y103" s="48">
        <v>0</v>
      </c>
      <c r="Z103" s="48" t="s">
        <v>382</v>
      </c>
      <c r="AA103" s="48">
        <v>0</v>
      </c>
      <c r="AB103" s="48">
        <f>'[2]CSM Control Sheet'!C45/2</f>
        <v>48842.5</v>
      </c>
      <c r="AC103" s="48">
        <v>0</v>
      </c>
      <c r="AD103" s="49">
        <v>36940.5</v>
      </c>
      <c r="AE103" s="65"/>
      <c r="AF103" s="50"/>
      <c r="AG103" s="50"/>
    </row>
    <row r="104" spans="1:33" x14ac:dyDescent="0.25">
      <c r="A104" s="45">
        <v>332</v>
      </c>
      <c r="B104" s="46" t="s">
        <v>189</v>
      </c>
      <c r="C104" s="45" t="s">
        <v>203</v>
      </c>
      <c r="D104" s="45" t="s">
        <v>381</v>
      </c>
      <c r="E104" s="47">
        <v>745745</v>
      </c>
      <c r="F104" s="48">
        <v>21622.6</v>
      </c>
      <c r="G104" s="48">
        <v>15400</v>
      </c>
      <c r="H104" s="48">
        <v>0</v>
      </c>
      <c r="I104" s="48">
        <v>0</v>
      </c>
      <c r="J104" s="48">
        <v>0</v>
      </c>
      <c r="K104" s="48">
        <v>0</v>
      </c>
      <c r="L104" s="48">
        <v>0</v>
      </c>
      <c r="M104" s="48">
        <v>195370</v>
      </c>
      <c r="N104" s="48">
        <v>195370</v>
      </c>
      <c r="O104" s="48">
        <v>100000</v>
      </c>
      <c r="P104" s="48">
        <v>23000</v>
      </c>
      <c r="Q104" s="48">
        <v>5000</v>
      </c>
      <c r="R104" s="48">
        <v>0</v>
      </c>
      <c r="S104" s="48">
        <v>0</v>
      </c>
      <c r="T104" s="48">
        <v>0</v>
      </c>
      <c r="U104" s="48">
        <v>0</v>
      </c>
      <c r="V104" s="48">
        <v>0</v>
      </c>
      <c r="W104" s="48">
        <v>0</v>
      </c>
      <c r="X104" s="48">
        <v>0</v>
      </c>
      <c r="Y104" s="48">
        <v>0</v>
      </c>
      <c r="Z104" s="48">
        <v>35290</v>
      </c>
      <c r="AA104" s="48">
        <v>97685</v>
      </c>
      <c r="AB104" s="48">
        <v>0</v>
      </c>
      <c r="AC104" s="48">
        <v>0</v>
      </c>
      <c r="AD104" s="49">
        <v>57007.400000000023</v>
      </c>
      <c r="AE104" s="65"/>
      <c r="AF104" s="50"/>
      <c r="AG104" s="50"/>
    </row>
    <row r="105" spans="1:33" x14ac:dyDescent="0.25">
      <c r="A105" s="45">
        <v>333</v>
      </c>
      <c r="B105" s="57" t="s">
        <v>192</v>
      </c>
      <c r="C105" s="58" t="s">
        <v>201</v>
      </c>
      <c r="D105" s="58" t="s">
        <v>383</v>
      </c>
      <c r="E105" s="47">
        <v>228566</v>
      </c>
      <c r="F105" s="48">
        <v>17596</v>
      </c>
      <c r="G105" s="48">
        <v>2360</v>
      </c>
      <c r="H105" s="48">
        <v>0</v>
      </c>
      <c r="I105" s="48">
        <v>0</v>
      </c>
      <c r="J105" s="48">
        <v>0</v>
      </c>
      <c r="K105" s="48">
        <v>0</v>
      </c>
      <c r="L105" s="48">
        <v>0</v>
      </c>
      <c r="M105" s="48">
        <v>0</v>
      </c>
      <c r="N105" s="48">
        <v>0</v>
      </c>
      <c r="O105" s="48">
        <v>0</v>
      </c>
      <c r="P105" s="48">
        <v>0</v>
      </c>
      <c r="Q105" s="48">
        <v>0</v>
      </c>
      <c r="R105" s="48">
        <v>0</v>
      </c>
      <c r="S105" s="48">
        <v>0</v>
      </c>
      <c r="T105" s="48">
        <v>0</v>
      </c>
      <c r="U105" s="48">
        <v>0</v>
      </c>
      <c r="V105" s="48">
        <v>0</v>
      </c>
      <c r="W105" s="48">
        <v>0</v>
      </c>
      <c r="X105" s="48">
        <v>0</v>
      </c>
      <c r="Y105" s="48">
        <f>146527.5-17846</f>
        <v>128681.5</v>
      </c>
      <c r="Z105" s="48">
        <v>76506</v>
      </c>
      <c r="AA105" s="48">
        <v>0</v>
      </c>
      <c r="AB105" s="48">
        <v>0</v>
      </c>
      <c r="AC105" s="48">
        <v>0</v>
      </c>
      <c r="AD105" s="49">
        <v>3422.5</v>
      </c>
      <c r="AE105" s="65"/>
      <c r="AF105" s="50"/>
      <c r="AG105" s="50"/>
    </row>
    <row r="106" spans="1:33" s="59" customFormat="1" x14ac:dyDescent="0.25">
      <c r="A106" s="45">
        <v>336</v>
      </c>
      <c r="B106" s="57" t="s">
        <v>193</v>
      </c>
      <c r="C106" s="58" t="s">
        <v>203</v>
      </c>
      <c r="D106" s="58" t="s">
        <v>383</v>
      </c>
      <c r="E106" s="47">
        <v>325416</v>
      </c>
      <c r="F106" s="48">
        <v>15408.8</v>
      </c>
      <c r="G106" s="48">
        <v>3360</v>
      </c>
      <c r="H106" s="48">
        <v>0</v>
      </c>
      <c r="I106" s="48">
        <v>0</v>
      </c>
      <c r="J106" s="48">
        <v>0</v>
      </c>
      <c r="K106" s="48">
        <v>0</v>
      </c>
      <c r="L106" s="48">
        <v>0</v>
      </c>
      <c r="M106" s="48">
        <v>0</v>
      </c>
      <c r="N106" s="48">
        <f>'[2]CSM Control Sheet'!C67</f>
        <v>97685</v>
      </c>
      <c r="O106" s="48">
        <v>100000</v>
      </c>
      <c r="P106" s="48">
        <v>23000</v>
      </c>
      <c r="Q106" s="48">
        <v>5000</v>
      </c>
      <c r="R106" s="48">
        <v>0</v>
      </c>
      <c r="S106" s="48">
        <v>0</v>
      </c>
      <c r="T106" s="48">
        <v>0</v>
      </c>
      <c r="U106" s="48">
        <v>0</v>
      </c>
      <c r="V106" s="48">
        <v>0</v>
      </c>
      <c r="W106" s="48">
        <v>0</v>
      </c>
      <c r="X106" s="48">
        <v>0</v>
      </c>
      <c r="Y106" s="48">
        <v>0</v>
      </c>
      <c r="Z106" s="48">
        <v>54249</v>
      </c>
      <c r="AA106" s="48">
        <v>0</v>
      </c>
      <c r="AB106" s="48">
        <v>0</v>
      </c>
      <c r="AC106" s="48">
        <v>0</v>
      </c>
      <c r="AD106" s="49">
        <v>26713.200000000012</v>
      </c>
      <c r="AE106" s="65"/>
      <c r="AF106" s="50"/>
      <c r="AG106" s="50"/>
    </row>
    <row r="107" spans="1:33" x14ac:dyDescent="0.25">
      <c r="A107" s="45">
        <v>335</v>
      </c>
      <c r="B107" s="57" t="s">
        <v>194</v>
      </c>
      <c r="C107" s="58" t="s">
        <v>203</v>
      </c>
      <c r="D107" s="58" t="s">
        <v>381</v>
      </c>
      <c r="E107" s="47">
        <v>509431</v>
      </c>
      <c r="F107" s="48">
        <f>15362.3-10695</f>
        <v>4667.2999999999993</v>
      </c>
      <c r="G107" s="48">
        <v>10520</v>
      </c>
      <c r="H107" s="48">
        <v>61200</v>
      </c>
      <c r="I107" s="48">
        <v>0</v>
      </c>
      <c r="J107" s="48">
        <v>0</v>
      </c>
      <c r="K107" s="48">
        <v>0</v>
      </c>
      <c r="L107" s="48">
        <v>0</v>
      </c>
      <c r="M107" s="48">
        <v>0</v>
      </c>
      <c r="N107" s="48">
        <v>195370</v>
      </c>
      <c r="O107" s="48">
        <v>100000</v>
      </c>
      <c r="P107" s="48">
        <v>0</v>
      </c>
      <c r="Q107" s="48">
        <v>5000</v>
      </c>
      <c r="R107" s="48">
        <v>0</v>
      </c>
      <c r="S107" s="48">
        <v>0</v>
      </c>
      <c r="T107" s="48">
        <v>0</v>
      </c>
      <c r="U107" s="48">
        <v>0</v>
      </c>
      <c r="V107" s="48">
        <v>0</v>
      </c>
      <c r="W107" s="48">
        <v>0</v>
      </c>
      <c r="X107" s="48">
        <v>0</v>
      </c>
      <c r="Y107" s="48">
        <v>97685</v>
      </c>
      <c r="Z107" s="48">
        <v>27362</v>
      </c>
      <c r="AA107" s="48">
        <v>0</v>
      </c>
      <c r="AB107" s="48">
        <v>0</v>
      </c>
      <c r="AC107" s="48">
        <v>0</v>
      </c>
      <c r="AD107" s="49">
        <v>7626.7000000000116</v>
      </c>
      <c r="AE107" s="65"/>
      <c r="AF107" s="50"/>
      <c r="AG107" s="50"/>
    </row>
    <row r="108" spans="1:33" x14ac:dyDescent="0.25">
      <c r="A108" s="45">
        <v>338</v>
      </c>
      <c r="B108" s="57" t="s">
        <v>195</v>
      </c>
      <c r="C108" s="58" t="s">
        <v>203</v>
      </c>
      <c r="D108" s="58" t="s">
        <v>383</v>
      </c>
      <c r="E108" s="47">
        <v>420329</v>
      </c>
      <c r="F108" s="48">
        <f>15240.3-7657</f>
        <v>7583.2999999999993</v>
      </c>
      <c r="G108" s="48">
        <v>4340</v>
      </c>
      <c r="H108" s="48">
        <v>148320</v>
      </c>
      <c r="I108" s="48">
        <v>0</v>
      </c>
      <c r="J108" s="48">
        <v>0</v>
      </c>
      <c r="K108" s="48">
        <v>0</v>
      </c>
      <c r="L108" s="48">
        <v>0</v>
      </c>
      <c r="M108" s="48">
        <v>0</v>
      </c>
      <c r="N108" s="48">
        <f>'[2]CSM Control Sheet'!C67</f>
        <v>97685</v>
      </c>
      <c r="O108" s="48">
        <v>100000</v>
      </c>
      <c r="P108" s="48">
        <v>0</v>
      </c>
      <c r="Q108" s="48">
        <v>5000</v>
      </c>
      <c r="R108" s="48">
        <v>0</v>
      </c>
      <c r="S108" s="48">
        <v>0</v>
      </c>
      <c r="T108" s="48">
        <v>0</v>
      </c>
      <c r="U108" s="48">
        <v>0</v>
      </c>
      <c r="V108" s="48">
        <v>0</v>
      </c>
      <c r="W108" s="48">
        <v>0</v>
      </c>
      <c r="X108" s="48">
        <v>0</v>
      </c>
      <c r="Y108" s="48">
        <v>0</v>
      </c>
      <c r="Z108" s="48">
        <v>51108</v>
      </c>
      <c r="AA108" s="48">
        <v>0</v>
      </c>
      <c r="AB108" s="48">
        <v>0</v>
      </c>
      <c r="AC108" s="48">
        <v>0</v>
      </c>
      <c r="AD108" s="49">
        <v>6292.7000000000116</v>
      </c>
      <c r="AE108" s="65"/>
      <c r="AF108" s="50"/>
      <c r="AG108" s="50"/>
    </row>
    <row r="109" spans="1:33" x14ac:dyDescent="0.25">
      <c r="A109" s="45">
        <v>463</v>
      </c>
      <c r="B109" s="57" t="s">
        <v>196</v>
      </c>
      <c r="C109" s="58" t="s">
        <v>191</v>
      </c>
      <c r="D109" s="58" t="s">
        <v>383</v>
      </c>
      <c r="E109" s="47">
        <v>1162200</v>
      </c>
      <c r="F109" s="48">
        <v>197621.25</v>
      </c>
      <c r="G109" s="48">
        <v>12000</v>
      </c>
      <c r="H109" s="48">
        <v>0</v>
      </c>
      <c r="I109" s="48">
        <v>0</v>
      </c>
      <c r="J109" s="48">
        <v>0</v>
      </c>
      <c r="K109" s="48">
        <v>0</v>
      </c>
      <c r="L109" s="48">
        <v>72828</v>
      </c>
      <c r="M109" s="48">
        <v>0</v>
      </c>
      <c r="N109" s="48">
        <v>0</v>
      </c>
      <c r="O109" s="48">
        <v>0</v>
      </c>
      <c r="P109" s="48">
        <v>0</v>
      </c>
      <c r="Q109" s="48">
        <v>0</v>
      </c>
      <c r="R109" s="48">
        <f>8107855-7694588</f>
        <v>413267</v>
      </c>
      <c r="S109" s="48">
        <v>101560.06446048834</v>
      </c>
      <c r="T109" s="48">
        <v>233724</v>
      </c>
      <c r="U109" s="48">
        <v>101560.06446048834</v>
      </c>
      <c r="V109" s="48">
        <v>0</v>
      </c>
      <c r="W109" s="48">
        <v>12240</v>
      </c>
      <c r="X109" s="48">
        <v>0</v>
      </c>
      <c r="Y109" s="48">
        <v>0</v>
      </c>
      <c r="Z109" s="48" t="s">
        <v>382</v>
      </c>
      <c r="AA109" s="48">
        <v>0</v>
      </c>
      <c r="AB109" s="48">
        <v>0</v>
      </c>
      <c r="AC109" s="48">
        <v>0</v>
      </c>
      <c r="AD109" s="49">
        <v>17399.621079023229</v>
      </c>
      <c r="AE109" s="65"/>
      <c r="AF109" s="50"/>
      <c r="AG109" s="50"/>
    </row>
    <row r="110" spans="1:33" x14ac:dyDescent="0.25">
      <c r="A110" s="45">
        <v>464</v>
      </c>
      <c r="B110" s="57" t="s">
        <v>197</v>
      </c>
      <c r="C110" s="58" t="s">
        <v>191</v>
      </c>
      <c r="D110" s="58" t="s">
        <v>381</v>
      </c>
      <c r="E110" s="47">
        <v>939445</v>
      </c>
      <c r="F110" s="48">
        <v>68629.5</v>
      </c>
      <c r="G110" s="48">
        <v>19400</v>
      </c>
      <c r="H110" s="48">
        <v>0</v>
      </c>
      <c r="I110" s="48">
        <v>0</v>
      </c>
      <c r="J110" s="48">
        <v>0</v>
      </c>
      <c r="K110" s="48">
        <v>0</v>
      </c>
      <c r="L110" s="48">
        <v>80920</v>
      </c>
      <c r="M110" s="48">
        <v>0</v>
      </c>
      <c r="N110" s="48">
        <v>0</v>
      </c>
      <c r="O110" s="48">
        <v>0</v>
      </c>
      <c r="P110" s="48">
        <v>0</v>
      </c>
      <c r="Q110" s="48">
        <v>0</v>
      </c>
      <c r="R110" s="48">
        <f>3152811.70526411-3079189</f>
        <v>73622.705264110118</v>
      </c>
      <c r="S110" s="48">
        <v>101560.06446048834</v>
      </c>
      <c r="T110" s="48">
        <v>467448</v>
      </c>
      <c r="U110" s="48">
        <v>101560.06446048834</v>
      </c>
      <c r="V110" s="48">
        <v>0</v>
      </c>
      <c r="W110" s="48">
        <v>12240</v>
      </c>
      <c r="X110" s="48">
        <v>0</v>
      </c>
      <c r="Y110" s="48">
        <v>0</v>
      </c>
      <c r="Z110" s="48" t="s">
        <v>382</v>
      </c>
      <c r="AA110" s="48">
        <v>0</v>
      </c>
      <c r="AB110" s="48">
        <v>0</v>
      </c>
      <c r="AC110" s="48">
        <v>0</v>
      </c>
      <c r="AD110" s="49">
        <v>14064.665814913227</v>
      </c>
      <c r="AE110" s="65"/>
      <c r="AF110" s="50"/>
      <c r="AG110" s="50"/>
    </row>
  </sheetData>
  <conditionalFormatting sqref="AC3:AC110 Z4:AA5 Z8:AA110 Z6:Z7 K7:M110 K4:M5 K6:L6 F4:J110 N4:Y110 F3:AA3">
    <cfRule type="cellIs" dxfId="11" priority="11" operator="equal">
      <formula>0</formula>
    </cfRule>
    <cfRule type="cellIs" dxfId="10" priority="12" operator="notEqual">
      <formula>0</formula>
    </cfRule>
  </conditionalFormatting>
  <conditionalFormatting sqref="AB10:AB110 AB3:AB8">
    <cfRule type="cellIs" dxfId="9" priority="9" operator="equal">
      <formula>0</formula>
    </cfRule>
    <cfRule type="cellIs" dxfId="8" priority="10" operator="notEqual">
      <formula>0</formula>
    </cfRule>
  </conditionalFormatting>
  <conditionalFormatting sqref="M6">
    <cfRule type="cellIs" dxfId="7" priority="7" operator="equal">
      <formula>0</formula>
    </cfRule>
    <cfRule type="cellIs" dxfId="6" priority="8" operator="notEqual">
      <formula>0</formula>
    </cfRule>
  </conditionalFormatting>
  <conditionalFormatting sqref="AA6">
    <cfRule type="cellIs" dxfId="5" priority="5" operator="equal">
      <formula>0</formula>
    </cfRule>
    <cfRule type="cellIs" dxfId="4" priority="6" operator="notEqual">
      <formula>0</formula>
    </cfRule>
  </conditionalFormatting>
  <conditionalFormatting sqref="AA7">
    <cfRule type="cellIs" dxfId="3" priority="3" operator="equal">
      <formula>0</formula>
    </cfRule>
    <cfRule type="cellIs" dxfId="2" priority="4" operator="notEqual">
      <formula>0</formula>
    </cfRule>
  </conditionalFormatting>
  <conditionalFormatting sqref="AB9">
    <cfRule type="cellIs" dxfId="1" priority="1" operator="equal">
      <formula>0</formula>
    </cfRule>
    <cfRule type="cellIs" dxfId="0" priority="2" operator="notEqual">
      <formula>0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20"/>
  <sheetViews>
    <sheetView workbookViewId="0">
      <selection activeCell="CB4" sqref="A4:XFD4"/>
    </sheetView>
  </sheetViews>
  <sheetFormatPr defaultRowHeight="15" x14ac:dyDescent="0.25"/>
  <cols>
    <col min="1" max="1" width="40.28515625" customWidth="1"/>
    <col min="2" max="2" width="17.7109375" customWidth="1"/>
    <col min="3" max="5" width="18.7109375" customWidth="1"/>
    <col min="6" max="9" width="19.7109375" customWidth="1"/>
    <col min="10" max="10" width="18.7109375" customWidth="1"/>
    <col min="11" max="11" width="19.7109375" customWidth="1"/>
    <col min="12" max="13" width="18.7109375" customWidth="1"/>
    <col min="14" max="15" width="19.7109375" customWidth="1"/>
    <col min="16" max="16" width="18.7109375" customWidth="1"/>
    <col min="17" max="37" width="19.7109375" customWidth="1"/>
    <col min="38" max="38" width="18.7109375" customWidth="1"/>
    <col min="39" max="78" width="19.7109375" customWidth="1"/>
    <col min="79" max="79" width="19.7109375" bestFit="1" customWidth="1"/>
  </cols>
  <sheetData>
    <row r="1" spans="1:8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</row>
    <row r="3" spans="1:80" x14ac:dyDescent="0.25">
      <c r="A3" s="16" t="s">
        <v>245</v>
      </c>
      <c r="B3" t="s">
        <v>247</v>
      </c>
      <c r="C3" t="s">
        <v>248</v>
      </c>
      <c r="D3" t="s">
        <v>249</v>
      </c>
      <c r="E3" t="s">
        <v>250</v>
      </c>
      <c r="F3" t="s">
        <v>258</v>
      </c>
      <c r="G3" t="s">
        <v>259</v>
      </c>
      <c r="H3" t="s">
        <v>260</v>
      </c>
      <c r="I3" t="s">
        <v>261</v>
      </c>
      <c r="J3" t="s">
        <v>262</v>
      </c>
      <c r="K3" t="s">
        <v>263</v>
      </c>
      <c r="L3" t="s">
        <v>264</v>
      </c>
      <c r="M3" t="s">
        <v>265</v>
      </c>
      <c r="N3" t="s">
        <v>266</v>
      </c>
      <c r="O3" t="s">
        <v>267</v>
      </c>
      <c r="P3" t="s">
        <v>268</v>
      </c>
      <c r="Q3" t="s">
        <v>269</v>
      </c>
      <c r="R3" t="s">
        <v>270</v>
      </c>
      <c r="S3" t="s">
        <v>271</v>
      </c>
      <c r="T3" t="s">
        <v>272</v>
      </c>
      <c r="U3" t="s">
        <v>273</v>
      </c>
      <c r="V3" t="s">
        <v>274</v>
      </c>
      <c r="W3" t="s">
        <v>275</v>
      </c>
      <c r="X3" t="s">
        <v>276</v>
      </c>
      <c r="Y3" t="s">
        <v>277</v>
      </c>
      <c r="Z3" t="s">
        <v>278</v>
      </c>
      <c r="AA3" t="s">
        <v>279</v>
      </c>
      <c r="AB3" t="s">
        <v>280</v>
      </c>
      <c r="AC3" t="s">
        <v>281</v>
      </c>
      <c r="AD3" t="s">
        <v>282</v>
      </c>
      <c r="AE3" t="s">
        <v>283</v>
      </c>
      <c r="AF3" t="s">
        <v>284</v>
      </c>
      <c r="AG3" t="s">
        <v>285</v>
      </c>
      <c r="AH3" t="s">
        <v>286</v>
      </c>
      <c r="AI3" t="s">
        <v>257</v>
      </c>
      <c r="AJ3" t="s">
        <v>256</v>
      </c>
      <c r="AK3" t="s">
        <v>255</v>
      </c>
      <c r="AL3" t="s">
        <v>254</v>
      </c>
      <c r="AM3" t="s">
        <v>253</v>
      </c>
      <c r="AN3" t="s">
        <v>252</v>
      </c>
      <c r="AO3" t="s">
        <v>251</v>
      </c>
      <c r="AP3" t="s">
        <v>309</v>
      </c>
      <c r="AQ3" t="s">
        <v>310</v>
      </c>
      <c r="AR3" t="s">
        <v>311</v>
      </c>
      <c r="AS3" t="s">
        <v>312</v>
      </c>
      <c r="AT3" t="s">
        <v>313</v>
      </c>
      <c r="AU3" t="s">
        <v>314</v>
      </c>
      <c r="AV3" t="s">
        <v>315</v>
      </c>
      <c r="AW3" t="s">
        <v>316</v>
      </c>
      <c r="AX3" t="s">
        <v>317</v>
      </c>
      <c r="AY3" t="s">
        <v>318</v>
      </c>
      <c r="AZ3" t="s">
        <v>319</v>
      </c>
      <c r="BA3" t="s">
        <v>320</v>
      </c>
      <c r="BB3" t="s">
        <v>321</v>
      </c>
      <c r="BC3" t="s">
        <v>322</v>
      </c>
      <c r="BD3" t="s">
        <v>323</v>
      </c>
      <c r="BE3" t="s">
        <v>324</v>
      </c>
      <c r="BF3" t="s">
        <v>325</v>
      </c>
      <c r="BG3" t="s">
        <v>326</v>
      </c>
      <c r="BH3" t="s">
        <v>327</v>
      </c>
      <c r="BI3" t="s">
        <v>328</v>
      </c>
      <c r="BJ3" t="s">
        <v>329</v>
      </c>
      <c r="BK3" t="s">
        <v>330</v>
      </c>
      <c r="BL3" t="s">
        <v>331</v>
      </c>
      <c r="BM3" t="s">
        <v>332</v>
      </c>
      <c r="BN3" t="s">
        <v>333</v>
      </c>
      <c r="BO3" t="s">
        <v>334</v>
      </c>
      <c r="BP3" t="s">
        <v>335</v>
      </c>
      <c r="BQ3" t="s">
        <v>336</v>
      </c>
      <c r="BR3" t="s">
        <v>337</v>
      </c>
      <c r="BS3" t="s">
        <v>338</v>
      </c>
      <c r="BT3" t="s">
        <v>339</v>
      </c>
      <c r="BU3" t="s">
        <v>340</v>
      </c>
      <c r="BV3" t="s">
        <v>341</v>
      </c>
      <c r="BW3" t="s">
        <v>342</v>
      </c>
      <c r="BX3" t="s">
        <v>346</v>
      </c>
      <c r="BY3" t="s">
        <v>343</v>
      </c>
      <c r="BZ3" t="s">
        <v>344</v>
      </c>
      <c r="CA3" t="s">
        <v>345</v>
      </c>
      <c r="CB3" t="s">
        <v>235</v>
      </c>
    </row>
    <row r="4" spans="1:80" x14ac:dyDescent="0.25">
      <c r="A4" s="17" t="s">
        <v>79</v>
      </c>
      <c r="B4" s="19">
        <v>171051</v>
      </c>
      <c r="C4" s="19">
        <v>97685</v>
      </c>
      <c r="D4" s="19">
        <v>0</v>
      </c>
      <c r="E4" s="19">
        <v>0</v>
      </c>
      <c r="F4" s="19">
        <v>195370</v>
      </c>
      <c r="G4" s="19">
        <v>0</v>
      </c>
      <c r="H4" s="19">
        <v>0</v>
      </c>
      <c r="I4" s="19">
        <v>97685</v>
      </c>
      <c r="J4" s="19">
        <v>37985</v>
      </c>
      <c r="K4" s="19">
        <v>1</v>
      </c>
      <c r="L4" s="19">
        <v>0</v>
      </c>
      <c r="M4" s="19">
        <v>55700</v>
      </c>
      <c r="N4" s="19">
        <v>0</v>
      </c>
      <c r="O4" s="19">
        <v>67656</v>
      </c>
      <c r="P4" s="19">
        <v>0</v>
      </c>
      <c r="Q4" s="19">
        <v>97685</v>
      </c>
      <c r="R4" s="19">
        <v>51186</v>
      </c>
      <c r="S4" s="19">
        <v>41134</v>
      </c>
      <c r="T4" s="19">
        <v>0</v>
      </c>
      <c r="U4" s="19">
        <v>48842.5</v>
      </c>
      <c r="V4" s="19">
        <v>97685</v>
      </c>
      <c r="W4" s="19">
        <v>97685</v>
      </c>
      <c r="X4" s="19">
        <v>97685</v>
      </c>
      <c r="Y4" s="19">
        <v>195370</v>
      </c>
      <c r="Z4" s="19">
        <v>57830</v>
      </c>
      <c r="AA4" s="19">
        <v>0</v>
      </c>
      <c r="AB4" s="19">
        <v>57830</v>
      </c>
      <c r="AC4" s="19">
        <v>0</v>
      </c>
      <c r="AD4" s="19">
        <v>0</v>
      </c>
      <c r="AE4" s="19">
        <v>0</v>
      </c>
      <c r="AF4" s="19">
        <v>0</v>
      </c>
      <c r="AG4" s="19">
        <v>57830</v>
      </c>
      <c r="AH4" s="19">
        <v>97685</v>
      </c>
      <c r="AI4" s="19">
        <v>28915</v>
      </c>
      <c r="AJ4" s="19">
        <v>195370</v>
      </c>
      <c r="AK4" s="19">
        <v>97685</v>
      </c>
      <c r="AL4" s="19">
        <v>0</v>
      </c>
      <c r="AM4" s="19">
        <v>195370</v>
      </c>
      <c r="AN4" s="19">
        <v>0</v>
      </c>
      <c r="AO4" s="19">
        <v>0</v>
      </c>
      <c r="AP4" s="19">
        <v>0</v>
      </c>
      <c r="AQ4" s="19"/>
      <c r="AR4" s="19">
        <v>0</v>
      </c>
      <c r="AS4" s="19">
        <v>0</v>
      </c>
      <c r="AT4" s="19">
        <v>0</v>
      </c>
      <c r="AU4" s="19">
        <v>0</v>
      </c>
      <c r="AV4" s="19">
        <v>0</v>
      </c>
      <c r="AW4" s="19">
        <v>0</v>
      </c>
      <c r="AX4" s="19">
        <v>0</v>
      </c>
      <c r="AY4" s="19">
        <v>0</v>
      </c>
      <c r="AZ4" s="19">
        <v>0</v>
      </c>
      <c r="BA4" s="19">
        <v>0</v>
      </c>
      <c r="BB4" s="19">
        <v>0</v>
      </c>
      <c r="BC4" s="19">
        <v>0</v>
      </c>
      <c r="BD4" s="19">
        <v>0</v>
      </c>
      <c r="BE4" s="19">
        <v>0</v>
      </c>
      <c r="BF4" s="19">
        <v>0</v>
      </c>
      <c r="BG4" s="19">
        <v>47204.9925</v>
      </c>
      <c r="BH4" s="19">
        <v>22881</v>
      </c>
      <c r="BI4" s="19">
        <v>0</v>
      </c>
      <c r="BJ4" s="19">
        <v>0</v>
      </c>
      <c r="BK4" s="19">
        <v>0</v>
      </c>
      <c r="BL4" s="19">
        <v>15069.289592760182</v>
      </c>
      <c r="BM4" s="19">
        <v>0</v>
      </c>
      <c r="BN4" s="19">
        <v>0</v>
      </c>
      <c r="BO4" s="19">
        <v>0</v>
      </c>
      <c r="BP4" s="19">
        <v>9400</v>
      </c>
      <c r="BQ4" s="19">
        <v>0</v>
      </c>
      <c r="BR4" s="19">
        <v>0</v>
      </c>
      <c r="BS4" s="19">
        <v>0</v>
      </c>
      <c r="BT4" s="19">
        <v>0</v>
      </c>
      <c r="BU4" s="19">
        <v>0</v>
      </c>
      <c r="BV4" s="19">
        <v>0</v>
      </c>
      <c r="BW4" s="19">
        <v>0</v>
      </c>
      <c r="BX4" s="19">
        <v>195370</v>
      </c>
      <c r="BY4" s="19">
        <v>0</v>
      </c>
      <c r="BZ4" s="19">
        <v>0</v>
      </c>
      <c r="CA4" s="19">
        <v>97685</v>
      </c>
      <c r="CB4">
        <f>SUM(B4:CA4)</f>
        <v>2626530.7820927603</v>
      </c>
    </row>
    <row r="5" spans="1:80" x14ac:dyDescent="0.25">
      <c r="A5" s="17" t="s">
        <v>80</v>
      </c>
      <c r="B5" s="19">
        <v>171051</v>
      </c>
      <c r="C5" s="19">
        <v>97685</v>
      </c>
      <c r="D5" s="19">
        <v>124326.90000000001</v>
      </c>
      <c r="E5" s="19">
        <v>0</v>
      </c>
      <c r="F5" s="19">
        <v>195370</v>
      </c>
      <c r="G5" s="19">
        <v>0</v>
      </c>
      <c r="H5" s="19">
        <v>0</v>
      </c>
      <c r="I5" s="19">
        <v>293055</v>
      </c>
      <c r="J5" s="19">
        <v>75970</v>
      </c>
      <c r="K5" s="19">
        <v>2</v>
      </c>
      <c r="L5" s="19">
        <v>0</v>
      </c>
      <c r="M5" s="19">
        <v>55700</v>
      </c>
      <c r="N5" s="19">
        <v>0</v>
      </c>
      <c r="O5" s="19">
        <v>67656</v>
      </c>
      <c r="P5" s="19">
        <v>0</v>
      </c>
      <c r="Q5" s="19">
        <v>195370</v>
      </c>
      <c r="R5" s="19">
        <v>51186</v>
      </c>
      <c r="S5" s="19">
        <v>82268</v>
      </c>
      <c r="T5" s="19">
        <v>0</v>
      </c>
      <c r="U5" s="19">
        <v>97685</v>
      </c>
      <c r="V5" s="19">
        <v>97685</v>
      </c>
      <c r="W5" s="19">
        <v>97685</v>
      </c>
      <c r="X5" s="19">
        <v>97685</v>
      </c>
      <c r="Y5" s="19">
        <v>97685</v>
      </c>
      <c r="Z5" s="19">
        <v>28915</v>
      </c>
      <c r="AA5" s="19">
        <v>0</v>
      </c>
      <c r="AB5" s="19">
        <v>57830</v>
      </c>
      <c r="AC5" s="19">
        <v>0</v>
      </c>
      <c r="AD5" s="19">
        <v>0</v>
      </c>
      <c r="AE5" s="19">
        <v>0</v>
      </c>
      <c r="AF5" s="19">
        <v>0</v>
      </c>
      <c r="AG5" s="19">
        <v>28915</v>
      </c>
      <c r="AH5" s="19">
        <v>195370</v>
      </c>
      <c r="AI5" s="19">
        <v>86745</v>
      </c>
      <c r="AJ5" s="19">
        <v>195370</v>
      </c>
      <c r="AK5" s="19">
        <v>195370</v>
      </c>
      <c r="AL5" s="19">
        <v>0</v>
      </c>
      <c r="AM5" s="19">
        <v>195370</v>
      </c>
      <c r="AN5" s="19">
        <v>0</v>
      </c>
      <c r="AO5" s="19">
        <v>0</v>
      </c>
      <c r="AP5" s="19">
        <v>0</v>
      </c>
      <c r="AQ5" s="19"/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73263.75</v>
      </c>
      <c r="BF5" s="19">
        <v>0</v>
      </c>
      <c r="BG5" s="19">
        <v>60481.107136363637</v>
      </c>
      <c r="BH5" s="19">
        <v>30189</v>
      </c>
      <c r="BI5" s="19">
        <v>0</v>
      </c>
      <c r="BJ5" s="19">
        <v>0</v>
      </c>
      <c r="BK5" s="19">
        <v>0</v>
      </c>
      <c r="BL5" s="19">
        <v>19927.45</v>
      </c>
      <c r="BM5" s="19">
        <v>0</v>
      </c>
      <c r="BN5" s="19">
        <v>0</v>
      </c>
      <c r="BO5" s="19">
        <v>0</v>
      </c>
      <c r="BP5" s="19">
        <v>5060</v>
      </c>
      <c r="BQ5" s="19">
        <v>0</v>
      </c>
      <c r="BR5" s="19">
        <v>0</v>
      </c>
      <c r="BS5" s="19">
        <v>0</v>
      </c>
      <c r="BT5" s="19">
        <v>0</v>
      </c>
      <c r="BU5" s="19">
        <v>0</v>
      </c>
      <c r="BV5" s="19">
        <v>0</v>
      </c>
      <c r="BW5" s="19">
        <v>0</v>
      </c>
      <c r="BX5" s="19">
        <v>97685</v>
      </c>
      <c r="BY5" s="19">
        <v>0</v>
      </c>
      <c r="BZ5" s="19">
        <v>0</v>
      </c>
      <c r="CA5" s="19">
        <v>0</v>
      </c>
      <c r="CB5">
        <f t="shared" ref="CB5:CB68" si="0">SUM(B5:CA5)</f>
        <v>3168556.2071363637</v>
      </c>
    </row>
    <row r="6" spans="1:80" x14ac:dyDescent="0.25">
      <c r="A6" s="17" t="s">
        <v>81</v>
      </c>
      <c r="B6" s="19">
        <v>171051</v>
      </c>
      <c r="C6" s="19">
        <v>97685</v>
      </c>
      <c r="D6" s="19">
        <v>193397.4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75970</v>
      </c>
      <c r="K6" s="19">
        <v>3</v>
      </c>
      <c r="L6" s="19">
        <v>44518.100000000006</v>
      </c>
      <c r="M6" s="19">
        <v>55700</v>
      </c>
      <c r="N6" s="19">
        <v>116974</v>
      </c>
      <c r="O6" s="19">
        <v>67656</v>
      </c>
      <c r="P6" s="19">
        <v>47542</v>
      </c>
      <c r="Q6" s="19">
        <v>0</v>
      </c>
      <c r="R6" s="19">
        <v>153558</v>
      </c>
      <c r="S6" s="19">
        <v>123402</v>
      </c>
      <c r="T6" s="19">
        <v>0</v>
      </c>
      <c r="U6" s="19">
        <v>97685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2396119.4315201747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189670.69999999998</v>
      </c>
      <c r="AM6" s="19">
        <v>0</v>
      </c>
      <c r="AN6" s="19">
        <v>0</v>
      </c>
      <c r="AO6" s="19">
        <v>0</v>
      </c>
      <c r="AP6" s="19">
        <v>0</v>
      </c>
      <c r="AQ6" s="19"/>
      <c r="AR6" s="19">
        <v>0</v>
      </c>
      <c r="AS6" s="19">
        <v>10000</v>
      </c>
      <c r="AT6" s="19">
        <v>30000</v>
      </c>
      <c r="AU6" s="19">
        <v>0</v>
      </c>
      <c r="AV6" s="19">
        <v>15000</v>
      </c>
      <c r="AW6" s="19">
        <v>0</v>
      </c>
      <c r="AX6" s="19">
        <v>101560.06446048801</v>
      </c>
      <c r="AY6" s="19">
        <v>138141</v>
      </c>
      <c r="AZ6" s="19">
        <v>0</v>
      </c>
      <c r="BA6" s="19">
        <v>87556</v>
      </c>
      <c r="BB6" s="19">
        <v>97685</v>
      </c>
      <c r="BC6" s="19">
        <v>0</v>
      </c>
      <c r="BD6" s="19">
        <v>0</v>
      </c>
      <c r="BE6" s="19">
        <v>73263.75</v>
      </c>
      <c r="BF6" s="19">
        <v>0</v>
      </c>
      <c r="BG6" s="19">
        <v>108844.72481570816</v>
      </c>
      <c r="BH6" s="19">
        <v>36975</v>
      </c>
      <c r="BI6" s="19">
        <v>0</v>
      </c>
      <c r="BJ6" s="19">
        <v>101560.06446048801</v>
      </c>
      <c r="BK6" s="19">
        <v>0</v>
      </c>
      <c r="BL6" s="19">
        <v>59398.510454002389</v>
      </c>
      <c r="BM6" s="19">
        <v>0</v>
      </c>
      <c r="BN6" s="19">
        <v>0</v>
      </c>
      <c r="BO6" s="19">
        <v>0</v>
      </c>
      <c r="BP6" s="19">
        <v>15960</v>
      </c>
      <c r="BQ6" s="19">
        <v>0</v>
      </c>
      <c r="BR6" s="19">
        <v>12240</v>
      </c>
      <c r="BS6" s="19">
        <v>101560.06446048801</v>
      </c>
      <c r="BT6" s="19">
        <v>0</v>
      </c>
      <c r="BU6" s="19">
        <v>0</v>
      </c>
      <c r="BV6" s="19">
        <v>0</v>
      </c>
      <c r="BW6" s="19">
        <v>0</v>
      </c>
      <c r="BX6" s="19">
        <v>0</v>
      </c>
      <c r="BY6" s="19">
        <v>0</v>
      </c>
      <c r="BZ6" s="19">
        <v>9000</v>
      </c>
      <c r="CA6" s="19">
        <v>0</v>
      </c>
      <c r="CB6">
        <f t="shared" si="0"/>
        <v>4829675.8101713499</v>
      </c>
    </row>
    <row r="7" spans="1:80" x14ac:dyDescent="0.25">
      <c r="A7" s="17" t="s">
        <v>82</v>
      </c>
      <c r="B7" s="19">
        <v>171051</v>
      </c>
      <c r="C7" s="19">
        <v>97685</v>
      </c>
      <c r="D7" s="19">
        <v>414423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75970</v>
      </c>
      <c r="K7" s="19">
        <v>9</v>
      </c>
      <c r="L7" s="19">
        <v>93083.299999999988</v>
      </c>
      <c r="M7" s="19">
        <v>55700</v>
      </c>
      <c r="N7" s="19">
        <v>116974</v>
      </c>
      <c r="O7" s="19">
        <v>202968</v>
      </c>
      <c r="P7" s="19">
        <v>47542</v>
      </c>
      <c r="Q7" s="19">
        <v>0</v>
      </c>
      <c r="R7" s="19">
        <v>0</v>
      </c>
      <c r="S7" s="19">
        <v>370206</v>
      </c>
      <c r="T7" s="19">
        <v>0</v>
      </c>
      <c r="U7" s="19">
        <v>97685</v>
      </c>
      <c r="V7" s="19">
        <v>97685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4314625.9643702358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401655.60000000003</v>
      </c>
      <c r="AM7" s="19">
        <v>0</v>
      </c>
      <c r="AN7" s="19">
        <v>0</v>
      </c>
      <c r="AO7" s="19">
        <v>0</v>
      </c>
      <c r="AP7" s="19">
        <v>0</v>
      </c>
      <c r="AQ7" s="19"/>
      <c r="AR7" s="19">
        <v>0</v>
      </c>
      <c r="AS7" s="19">
        <v>10000</v>
      </c>
      <c r="AT7" s="19">
        <v>40000</v>
      </c>
      <c r="AU7" s="19">
        <v>0</v>
      </c>
      <c r="AV7" s="19">
        <v>0</v>
      </c>
      <c r="AW7" s="19">
        <v>0</v>
      </c>
      <c r="AX7" s="19">
        <v>0</v>
      </c>
      <c r="AY7" s="19">
        <v>138141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73263.75</v>
      </c>
      <c r="BF7" s="19">
        <v>128716</v>
      </c>
      <c r="BG7" s="19">
        <v>152113.91171755001</v>
      </c>
      <c r="BH7" s="19">
        <v>79170</v>
      </c>
      <c r="BI7" s="19">
        <v>0</v>
      </c>
      <c r="BJ7" s="19">
        <v>101560.06446048801</v>
      </c>
      <c r="BK7" s="19">
        <v>0</v>
      </c>
      <c r="BL7" s="19">
        <v>116193.3793442623</v>
      </c>
      <c r="BM7" s="19">
        <v>0</v>
      </c>
      <c r="BN7" s="19">
        <v>0</v>
      </c>
      <c r="BO7" s="19">
        <v>0</v>
      </c>
      <c r="BP7" s="19">
        <v>32720</v>
      </c>
      <c r="BQ7" s="19">
        <v>0</v>
      </c>
      <c r="BR7" s="19">
        <v>12240</v>
      </c>
      <c r="BS7" s="19">
        <v>101560.06446048801</v>
      </c>
      <c r="BT7" s="19">
        <v>99697</v>
      </c>
      <c r="BU7" s="19">
        <v>0</v>
      </c>
      <c r="BV7" s="19">
        <v>55000</v>
      </c>
      <c r="BW7" s="19">
        <v>134027</v>
      </c>
      <c r="BX7" s="19">
        <v>0</v>
      </c>
      <c r="BY7" s="19">
        <v>0</v>
      </c>
      <c r="BZ7" s="19">
        <v>9000</v>
      </c>
      <c r="CA7" s="19">
        <v>0</v>
      </c>
      <c r="CB7">
        <f t="shared" si="0"/>
        <v>7840665.0343530234</v>
      </c>
    </row>
    <row r="8" spans="1:80" x14ac:dyDescent="0.25">
      <c r="A8" s="17" t="s">
        <v>83</v>
      </c>
      <c r="B8" s="19">
        <v>171051</v>
      </c>
      <c r="C8" s="19">
        <v>97685</v>
      </c>
      <c r="D8" s="19">
        <v>138141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48565.2</v>
      </c>
      <c r="M8" s="19">
        <v>55700</v>
      </c>
      <c r="N8" s="19">
        <v>58487</v>
      </c>
      <c r="O8" s="19">
        <v>67656</v>
      </c>
      <c r="P8" s="19">
        <v>47542</v>
      </c>
      <c r="Q8" s="19">
        <v>0</v>
      </c>
      <c r="R8" s="19">
        <v>51186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1526328.625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210590.26249999998</v>
      </c>
      <c r="AM8" s="19">
        <v>0</v>
      </c>
      <c r="AN8" s="19">
        <v>0</v>
      </c>
      <c r="AO8" s="19">
        <v>0</v>
      </c>
      <c r="AP8" s="19">
        <v>0</v>
      </c>
      <c r="AQ8" s="19"/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45291.617279407321</v>
      </c>
      <c r="BH8" s="19">
        <v>42195</v>
      </c>
      <c r="BI8" s="19">
        <v>150000</v>
      </c>
      <c r="BJ8" s="19">
        <v>101560.06446048801</v>
      </c>
      <c r="BK8" s="19">
        <v>0</v>
      </c>
      <c r="BL8" s="19">
        <v>60619.915999999997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12240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>
        <f t="shared" si="0"/>
        <v>2884838.6852398957</v>
      </c>
    </row>
    <row r="9" spans="1:80" x14ac:dyDescent="0.25">
      <c r="A9" s="17" t="s">
        <v>84</v>
      </c>
      <c r="B9" s="19">
        <v>171051</v>
      </c>
      <c r="C9" s="19">
        <v>97685</v>
      </c>
      <c r="D9" s="19">
        <v>179583.30000000002</v>
      </c>
      <c r="E9" s="19">
        <v>0</v>
      </c>
      <c r="F9" s="19">
        <v>293055</v>
      </c>
      <c r="G9" s="19">
        <v>0</v>
      </c>
      <c r="H9" s="19">
        <v>0</v>
      </c>
      <c r="I9" s="19">
        <v>390740</v>
      </c>
      <c r="J9" s="19">
        <v>75970</v>
      </c>
      <c r="K9" s="19">
        <v>0</v>
      </c>
      <c r="L9" s="19">
        <v>52612.3</v>
      </c>
      <c r="M9" s="19">
        <v>55700</v>
      </c>
      <c r="N9" s="19">
        <v>0</v>
      </c>
      <c r="O9" s="19">
        <v>67656</v>
      </c>
      <c r="P9" s="19">
        <v>0</v>
      </c>
      <c r="Q9" s="19">
        <v>0</v>
      </c>
      <c r="R9" s="19">
        <v>153558</v>
      </c>
      <c r="S9" s="19">
        <v>0</v>
      </c>
      <c r="T9" s="19">
        <v>146527.5</v>
      </c>
      <c r="U9" s="19">
        <v>97685</v>
      </c>
      <c r="V9" s="19">
        <v>97685</v>
      </c>
      <c r="W9" s="19">
        <v>97685</v>
      </c>
      <c r="X9" s="19">
        <v>97685</v>
      </c>
      <c r="Y9" s="19">
        <v>293055</v>
      </c>
      <c r="Z9" s="19">
        <v>86745</v>
      </c>
      <c r="AA9" s="19">
        <v>0</v>
      </c>
      <c r="AB9" s="19">
        <v>86745</v>
      </c>
      <c r="AC9" s="19">
        <v>0</v>
      </c>
      <c r="AD9" s="19">
        <v>0</v>
      </c>
      <c r="AE9" s="19">
        <v>0</v>
      </c>
      <c r="AF9" s="19">
        <v>0</v>
      </c>
      <c r="AG9" s="19">
        <v>86745</v>
      </c>
      <c r="AH9" s="19">
        <v>293055</v>
      </c>
      <c r="AI9" s="19">
        <v>0</v>
      </c>
      <c r="AJ9" s="19">
        <v>293055</v>
      </c>
      <c r="AK9" s="19">
        <v>293055</v>
      </c>
      <c r="AL9" s="19">
        <v>0</v>
      </c>
      <c r="AM9" s="19">
        <v>293055</v>
      </c>
      <c r="AN9" s="19">
        <v>0</v>
      </c>
      <c r="AO9" s="19">
        <v>0</v>
      </c>
      <c r="AP9" s="19">
        <v>0</v>
      </c>
      <c r="AQ9" s="19"/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146527.5</v>
      </c>
      <c r="BF9" s="19">
        <v>0</v>
      </c>
      <c r="BG9" s="19">
        <v>91140.871499999994</v>
      </c>
      <c r="BH9" s="19">
        <v>46371</v>
      </c>
      <c r="BI9" s="19">
        <v>0</v>
      </c>
      <c r="BJ9" s="19">
        <v>0</v>
      </c>
      <c r="BK9" s="19">
        <v>0</v>
      </c>
      <c r="BL9" s="19">
        <v>28442.172727272729</v>
      </c>
      <c r="BM9" s="19">
        <v>0</v>
      </c>
      <c r="BN9" s="19">
        <v>0</v>
      </c>
      <c r="BO9" s="19">
        <v>0</v>
      </c>
      <c r="BP9" s="19">
        <v>4020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293055</v>
      </c>
      <c r="BY9" s="19">
        <v>0</v>
      </c>
      <c r="BZ9" s="19">
        <v>0</v>
      </c>
      <c r="CA9" s="19">
        <v>0</v>
      </c>
      <c r="CB9">
        <f t="shared" si="0"/>
        <v>4409944.6442272728</v>
      </c>
    </row>
    <row r="10" spans="1:80" x14ac:dyDescent="0.25">
      <c r="A10" s="17" t="s">
        <v>85</v>
      </c>
      <c r="B10" s="19">
        <v>171051</v>
      </c>
      <c r="C10" s="19">
        <v>97685</v>
      </c>
      <c r="D10" s="19">
        <v>221025.6</v>
      </c>
      <c r="E10" s="19">
        <v>0</v>
      </c>
      <c r="F10" s="19">
        <v>390740</v>
      </c>
      <c r="G10" s="19">
        <v>0</v>
      </c>
      <c r="H10" s="19">
        <v>0</v>
      </c>
      <c r="I10" s="19">
        <v>390740</v>
      </c>
      <c r="J10" s="19">
        <v>75970</v>
      </c>
      <c r="K10" s="19">
        <v>1</v>
      </c>
      <c r="L10" s="19">
        <v>64753.600000000006</v>
      </c>
      <c r="M10" s="19">
        <v>55700</v>
      </c>
      <c r="N10" s="19">
        <v>0</v>
      </c>
      <c r="O10" s="19">
        <v>67656</v>
      </c>
      <c r="P10" s="19">
        <v>0</v>
      </c>
      <c r="Q10" s="19">
        <v>0</v>
      </c>
      <c r="R10" s="19">
        <v>153558</v>
      </c>
      <c r="S10" s="19">
        <v>41134</v>
      </c>
      <c r="T10" s="19">
        <v>244212.5</v>
      </c>
      <c r="U10" s="19">
        <v>97685</v>
      </c>
      <c r="V10" s="19">
        <v>97685</v>
      </c>
      <c r="W10" s="19">
        <v>97685</v>
      </c>
      <c r="X10" s="19">
        <v>97685</v>
      </c>
      <c r="Y10" s="19">
        <v>390740</v>
      </c>
      <c r="Z10" s="19">
        <v>115660</v>
      </c>
      <c r="AA10" s="19">
        <v>0</v>
      </c>
      <c r="AB10" s="19">
        <v>115660</v>
      </c>
      <c r="AC10" s="19">
        <v>0</v>
      </c>
      <c r="AD10" s="19">
        <v>0</v>
      </c>
      <c r="AE10" s="19">
        <v>0</v>
      </c>
      <c r="AF10" s="19">
        <v>0</v>
      </c>
      <c r="AG10" s="19">
        <v>115660</v>
      </c>
      <c r="AH10" s="19">
        <v>390740</v>
      </c>
      <c r="AI10" s="19">
        <v>0</v>
      </c>
      <c r="AJ10" s="19">
        <v>390740</v>
      </c>
      <c r="AK10" s="19">
        <v>390740</v>
      </c>
      <c r="AL10" s="19">
        <v>0</v>
      </c>
      <c r="AM10" s="19">
        <v>390740</v>
      </c>
      <c r="AN10" s="19">
        <v>0</v>
      </c>
      <c r="AO10" s="19">
        <v>0</v>
      </c>
      <c r="AP10" s="19">
        <v>0</v>
      </c>
      <c r="AQ10" s="19"/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111189.723</v>
      </c>
      <c r="BH10" s="19">
        <v>56550</v>
      </c>
      <c r="BI10" s="19">
        <v>0</v>
      </c>
      <c r="BJ10" s="19">
        <v>0</v>
      </c>
      <c r="BK10" s="19">
        <v>122400</v>
      </c>
      <c r="BL10" s="19">
        <v>32559.591954022988</v>
      </c>
      <c r="BM10" s="19">
        <v>0</v>
      </c>
      <c r="BN10" s="19">
        <v>0</v>
      </c>
      <c r="BO10" s="19">
        <v>0</v>
      </c>
      <c r="BP10" s="19">
        <v>6640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390740</v>
      </c>
      <c r="BY10" s="19">
        <v>0</v>
      </c>
      <c r="BZ10" s="19">
        <v>0</v>
      </c>
      <c r="CA10" s="19">
        <v>0</v>
      </c>
      <c r="CB10">
        <f t="shared" si="0"/>
        <v>5385726.0149540231</v>
      </c>
    </row>
    <row r="11" spans="1:80" x14ac:dyDescent="0.25">
      <c r="A11" s="17" t="s">
        <v>86</v>
      </c>
      <c r="B11" s="19">
        <v>171051</v>
      </c>
      <c r="C11" s="19">
        <v>97685</v>
      </c>
      <c r="D11" s="19">
        <v>165769.19999999998</v>
      </c>
      <c r="E11" s="19">
        <v>0</v>
      </c>
      <c r="F11" s="19">
        <v>293055</v>
      </c>
      <c r="G11" s="19">
        <v>0</v>
      </c>
      <c r="H11" s="19">
        <v>0</v>
      </c>
      <c r="I11" s="19">
        <v>293055</v>
      </c>
      <c r="J11" s="19">
        <v>75970</v>
      </c>
      <c r="K11" s="19">
        <v>0</v>
      </c>
      <c r="L11" s="19">
        <v>48565.2</v>
      </c>
      <c r="M11" s="19">
        <v>55700</v>
      </c>
      <c r="N11" s="19">
        <v>0</v>
      </c>
      <c r="O11" s="19">
        <v>67656</v>
      </c>
      <c r="P11" s="19">
        <v>0</v>
      </c>
      <c r="Q11" s="19">
        <v>97685</v>
      </c>
      <c r="R11" s="19">
        <v>102372</v>
      </c>
      <c r="S11" s="19">
        <v>0</v>
      </c>
      <c r="T11" s="19">
        <v>146527.5</v>
      </c>
      <c r="U11" s="19">
        <v>97685</v>
      </c>
      <c r="V11" s="19">
        <v>97685</v>
      </c>
      <c r="W11" s="19">
        <v>97685</v>
      </c>
      <c r="X11" s="19">
        <v>97685</v>
      </c>
      <c r="Y11" s="19">
        <v>195370</v>
      </c>
      <c r="Z11" s="19">
        <v>57830</v>
      </c>
      <c r="AA11" s="19">
        <v>0</v>
      </c>
      <c r="AB11" s="19">
        <v>86745</v>
      </c>
      <c r="AC11" s="19">
        <v>0</v>
      </c>
      <c r="AD11" s="19">
        <v>0</v>
      </c>
      <c r="AE11" s="19">
        <v>0</v>
      </c>
      <c r="AF11" s="19">
        <v>0</v>
      </c>
      <c r="AG11" s="19">
        <v>57830</v>
      </c>
      <c r="AH11" s="19">
        <v>293055</v>
      </c>
      <c r="AI11" s="19">
        <v>28915</v>
      </c>
      <c r="AJ11" s="19">
        <v>293055</v>
      </c>
      <c r="AK11" s="19">
        <v>293055</v>
      </c>
      <c r="AL11" s="19">
        <v>0</v>
      </c>
      <c r="AM11" s="19">
        <v>195370</v>
      </c>
      <c r="AN11" s="19">
        <v>0</v>
      </c>
      <c r="AO11" s="19">
        <v>0</v>
      </c>
      <c r="AP11" s="19">
        <v>0</v>
      </c>
      <c r="AQ11" s="19"/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97685</v>
      </c>
      <c r="BF11" s="19">
        <v>0</v>
      </c>
      <c r="BG11" s="19">
        <v>80454.091909090916</v>
      </c>
      <c r="BH11" s="19">
        <v>40194</v>
      </c>
      <c r="BI11" s="19">
        <v>0</v>
      </c>
      <c r="BJ11" s="19">
        <v>0</v>
      </c>
      <c r="BK11" s="19">
        <v>0</v>
      </c>
      <c r="BL11" s="19">
        <v>25792.372093023256</v>
      </c>
      <c r="BM11" s="19">
        <v>0</v>
      </c>
      <c r="BN11" s="19">
        <v>0</v>
      </c>
      <c r="BO11" s="19">
        <v>0</v>
      </c>
      <c r="BP11" s="19">
        <v>5380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195370</v>
      </c>
      <c r="BY11" s="19">
        <v>0</v>
      </c>
      <c r="BZ11" s="19">
        <v>0</v>
      </c>
      <c r="CA11" s="19">
        <v>0</v>
      </c>
      <c r="CB11">
        <f t="shared" si="0"/>
        <v>3951931.3640021142</v>
      </c>
    </row>
    <row r="12" spans="1:80" x14ac:dyDescent="0.25">
      <c r="A12" s="17" t="s">
        <v>87</v>
      </c>
      <c r="B12" s="19">
        <v>171051</v>
      </c>
      <c r="C12" s="19">
        <v>97685</v>
      </c>
      <c r="D12" s="19">
        <v>221025.6</v>
      </c>
      <c r="E12" s="19">
        <v>0</v>
      </c>
      <c r="F12" s="19">
        <v>0</v>
      </c>
      <c r="G12" s="19">
        <v>488425</v>
      </c>
      <c r="H12" s="19">
        <v>537267.5</v>
      </c>
      <c r="I12" s="19">
        <v>0</v>
      </c>
      <c r="J12" s="19">
        <v>75970</v>
      </c>
      <c r="K12" s="19">
        <v>0</v>
      </c>
      <c r="L12" s="19">
        <v>48565.2</v>
      </c>
      <c r="M12" s="19">
        <v>55700</v>
      </c>
      <c r="N12" s="19">
        <v>58487</v>
      </c>
      <c r="O12" s="19">
        <v>135312</v>
      </c>
      <c r="P12" s="19">
        <v>47542</v>
      </c>
      <c r="Q12" s="19">
        <v>0</v>
      </c>
      <c r="R12" s="19">
        <v>102372</v>
      </c>
      <c r="S12" s="19">
        <v>0</v>
      </c>
      <c r="T12" s="19">
        <v>0</v>
      </c>
      <c r="U12" s="19">
        <v>97685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468888</v>
      </c>
      <c r="AF12" s="19">
        <v>488425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223142</v>
      </c>
      <c r="AM12" s="19">
        <v>0</v>
      </c>
      <c r="AN12" s="19">
        <v>0</v>
      </c>
      <c r="AO12" s="19">
        <v>0</v>
      </c>
      <c r="AP12" s="19">
        <v>101560.06446048801</v>
      </c>
      <c r="AQ12" s="19"/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55274.262570178274</v>
      </c>
      <c r="BH12" s="19">
        <v>42456</v>
      </c>
      <c r="BI12" s="19">
        <v>0</v>
      </c>
      <c r="BJ12" s="19">
        <v>0</v>
      </c>
      <c r="BK12" s="19">
        <v>0</v>
      </c>
      <c r="BL12" s="19">
        <v>67639.419354838712</v>
      </c>
      <c r="BM12" s="19">
        <v>0</v>
      </c>
      <c r="BN12" s="19">
        <v>0</v>
      </c>
      <c r="BO12" s="19">
        <v>0</v>
      </c>
      <c r="BP12" s="19">
        <v>2540</v>
      </c>
      <c r="BQ12" s="19">
        <v>0</v>
      </c>
      <c r="BR12" s="19">
        <v>12240</v>
      </c>
      <c r="BS12" s="19">
        <v>101560.06446048801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>
        <f t="shared" si="0"/>
        <v>3700812.1108459928</v>
      </c>
    </row>
    <row r="13" spans="1:80" x14ac:dyDescent="0.25">
      <c r="A13" s="17" t="s">
        <v>88</v>
      </c>
      <c r="B13" s="19">
        <v>171051</v>
      </c>
      <c r="C13" s="19">
        <v>97685</v>
      </c>
      <c r="D13" s="19">
        <v>138141</v>
      </c>
      <c r="E13" s="19">
        <v>0</v>
      </c>
      <c r="F13" s="19">
        <v>293055</v>
      </c>
      <c r="G13" s="19">
        <v>0</v>
      </c>
      <c r="H13" s="19">
        <v>0</v>
      </c>
      <c r="I13" s="19">
        <v>293055</v>
      </c>
      <c r="J13" s="19">
        <v>75970</v>
      </c>
      <c r="K13" s="19">
        <v>0</v>
      </c>
      <c r="L13" s="19">
        <v>40471</v>
      </c>
      <c r="M13" s="19">
        <v>55700</v>
      </c>
      <c r="N13" s="19">
        <v>0</v>
      </c>
      <c r="O13" s="19">
        <v>67656</v>
      </c>
      <c r="P13" s="19">
        <v>0</v>
      </c>
      <c r="Q13" s="19">
        <v>390740</v>
      </c>
      <c r="R13" s="19">
        <v>102372</v>
      </c>
      <c r="S13" s="19">
        <v>0</v>
      </c>
      <c r="T13" s="19">
        <v>146527.5</v>
      </c>
      <c r="U13" s="19">
        <v>97685</v>
      </c>
      <c r="V13" s="19">
        <v>97685</v>
      </c>
      <c r="W13" s="19">
        <v>97685</v>
      </c>
      <c r="X13" s="19">
        <v>97685</v>
      </c>
      <c r="Y13" s="19">
        <v>0</v>
      </c>
      <c r="Z13" s="19">
        <v>0</v>
      </c>
      <c r="AA13" s="19">
        <v>0</v>
      </c>
      <c r="AB13" s="19">
        <v>86745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293055</v>
      </c>
      <c r="AI13" s="19">
        <v>115660</v>
      </c>
      <c r="AJ13" s="19">
        <v>293055</v>
      </c>
      <c r="AK13" s="19">
        <v>293055</v>
      </c>
      <c r="AL13" s="19">
        <v>0</v>
      </c>
      <c r="AM13" s="19">
        <v>97685</v>
      </c>
      <c r="AN13" s="19">
        <v>0</v>
      </c>
      <c r="AO13" s="19">
        <v>0</v>
      </c>
      <c r="AP13" s="19">
        <v>0</v>
      </c>
      <c r="AQ13" s="19"/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58829.445681818179</v>
      </c>
      <c r="BH13" s="19">
        <v>34974</v>
      </c>
      <c r="BI13" s="19">
        <v>0</v>
      </c>
      <c r="BJ13" s="19">
        <v>0</v>
      </c>
      <c r="BK13" s="19">
        <v>0</v>
      </c>
      <c r="BL13" s="19">
        <v>21726.398373983739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>
        <f t="shared" si="0"/>
        <v>3557948.3440558021</v>
      </c>
    </row>
    <row r="14" spans="1:80" x14ac:dyDescent="0.25">
      <c r="A14" s="17" t="s">
        <v>89</v>
      </c>
      <c r="B14" s="19">
        <v>171051</v>
      </c>
      <c r="C14" s="19">
        <v>97685</v>
      </c>
      <c r="D14" s="19">
        <v>290096.10000000003</v>
      </c>
      <c r="E14" s="19">
        <v>97685</v>
      </c>
      <c r="F14" s="19">
        <v>390740</v>
      </c>
      <c r="G14" s="19">
        <v>0</v>
      </c>
      <c r="H14" s="19">
        <v>0</v>
      </c>
      <c r="I14" s="19">
        <v>390740</v>
      </c>
      <c r="J14" s="19">
        <v>75970</v>
      </c>
      <c r="K14" s="19">
        <v>3</v>
      </c>
      <c r="L14" s="19">
        <v>80942</v>
      </c>
      <c r="M14" s="19">
        <v>55700</v>
      </c>
      <c r="N14" s="19">
        <v>0</v>
      </c>
      <c r="O14" s="19">
        <v>67656</v>
      </c>
      <c r="P14" s="19">
        <v>0</v>
      </c>
      <c r="Q14" s="19">
        <v>97685</v>
      </c>
      <c r="R14" s="19">
        <v>51186</v>
      </c>
      <c r="S14" s="19">
        <v>123402</v>
      </c>
      <c r="T14" s="19">
        <v>341897.5</v>
      </c>
      <c r="U14" s="19">
        <v>97685</v>
      </c>
      <c r="V14" s="19">
        <v>97685</v>
      </c>
      <c r="W14" s="19">
        <v>97685</v>
      </c>
      <c r="X14" s="19">
        <v>97685</v>
      </c>
      <c r="Y14" s="19">
        <v>195370</v>
      </c>
      <c r="Z14" s="19">
        <v>57830</v>
      </c>
      <c r="AA14" s="19">
        <v>283286.5</v>
      </c>
      <c r="AB14" s="19">
        <v>115660</v>
      </c>
      <c r="AC14" s="19">
        <v>0</v>
      </c>
      <c r="AD14" s="19">
        <v>0</v>
      </c>
      <c r="AE14" s="19">
        <v>0</v>
      </c>
      <c r="AF14" s="19">
        <v>0</v>
      </c>
      <c r="AG14" s="19">
        <v>57830</v>
      </c>
      <c r="AH14" s="19">
        <v>390740</v>
      </c>
      <c r="AI14" s="19">
        <v>28915</v>
      </c>
      <c r="AJ14" s="19">
        <v>390740</v>
      </c>
      <c r="AK14" s="19">
        <v>390740</v>
      </c>
      <c r="AL14" s="19">
        <v>0</v>
      </c>
      <c r="AM14" s="19">
        <v>390740</v>
      </c>
      <c r="AN14" s="19">
        <v>224675.49999999997</v>
      </c>
      <c r="AO14" s="19">
        <v>253981</v>
      </c>
      <c r="AP14" s="19">
        <v>0</v>
      </c>
      <c r="AQ14" s="19"/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5000</v>
      </c>
      <c r="BD14" s="19">
        <v>195370</v>
      </c>
      <c r="BE14" s="19">
        <v>146527.5</v>
      </c>
      <c r="BF14" s="19">
        <v>0</v>
      </c>
      <c r="BG14" s="19">
        <v>137971.5165</v>
      </c>
      <c r="BH14" s="19">
        <v>68556</v>
      </c>
      <c r="BI14" s="19">
        <v>0</v>
      </c>
      <c r="BJ14" s="19">
        <v>0</v>
      </c>
      <c r="BK14" s="19">
        <v>0</v>
      </c>
      <c r="BL14" s="19">
        <v>42949.438123167158</v>
      </c>
      <c r="BM14" s="19">
        <v>0</v>
      </c>
      <c r="BN14" s="19">
        <v>0</v>
      </c>
      <c r="BO14" s="19">
        <v>0</v>
      </c>
      <c r="BP14" s="19">
        <v>8440</v>
      </c>
      <c r="BQ14" s="19">
        <v>23000</v>
      </c>
      <c r="BR14" s="19">
        <v>0</v>
      </c>
      <c r="BS14" s="19">
        <v>0</v>
      </c>
      <c r="BT14" s="19">
        <v>0</v>
      </c>
      <c r="BU14" s="19">
        <v>100000</v>
      </c>
      <c r="BV14" s="19">
        <v>0</v>
      </c>
      <c r="BW14" s="19">
        <v>0</v>
      </c>
      <c r="BX14" s="19">
        <v>195370</v>
      </c>
      <c r="BY14" s="19">
        <v>0</v>
      </c>
      <c r="BZ14" s="19">
        <v>0</v>
      </c>
      <c r="CA14" s="19">
        <v>0</v>
      </c>
      <c r="CB14">
        <f t="shared" si="0"/>
        <v>6426871.054623167</v>
      </c>
    </row>
    <row r="15" spans="1:80" x14ac:dyDescent="0.25">
      <c r="A15" s="17" t="s">
        <v>90</v>
      </c>
      <c r="B15" s="19">
        <v>171051</v>
      </c>
      <c r="C15" s="19">
        <v>97685</v>
      </c>
      <c r="D15" s="19">
        <v>110512.8</v>
      </c>
      <c r="E15" s="19">
        <v>97685</v>
      </c>
      <c r="F15" s="19">
        <v>0</v>
      </c>
      <c r="G15" s="19">
        <v>0</v>
      </c>
      <c r="H15" s="19">
        <v>0</v>
      </c>
      <c r="I15" s="19">
        <v>0</v>
      </c>
      <c r="J15" s="19">
        <v>37985</v>
      </c>
      <c r="K15" s="19">
        <v>2</v>
      </c>
      <c r="L15" s="19">
        <v>0</v>
      </c>
      <c r="M15" s="19">
        <v>55700</v>
      </c>
      <c r="N15" s="19">
        <v>0</v>
      </c>
      <c r="O15" s="19">
        <v>67656</v>
      </c>
      <c r="P15" s="19">
        <v>0</v>
      </c>
      <c r="Q15" s="19">
        <v>0</v>
      </c>
      <c r="R15" s="19">
        <v>51186</v>
      </c>
      <c r="S15" s="19">
        <v>82268</v>
      </c>
      <c r="T15" s="19">
        <v>0</v>
      </c>
      <c r="U15" s="19">
        <v>48842.5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371203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410277</v>
      </c>
      <c r="AO15" s="19">
        <v>312592</v>
      </c>
      <c r="AP15" s="19">
        <v>0</v>
      </c>
      <c r="AQ15" s="19"/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5000</v>
      </c>
      <c r="BD15" s="19">
        <v>195370</v>
      </c>
      <c r="BE15" s="19">
        <v>0</v>
      </c>
      <c r="BF15" s="19">
        <v>0</v>
      </c>
      <c r="BG15" s="19">
        <v>46472.486999999994</v>
      </c>
      <c r="BH15" s="19">
        <v>21402</v>
      </c>
      <c r="BI15" s="19">
        <v>0</v>
      </c>
      <c r="BJ15" s="19">
        <v>0</v>
      </c>
      <c r="BK15" s="19">
        <v>0</v>
      </c>
      <c r="BL15" s="19">
        <v>19584.30909090909</v>
      </c>
      <c r="BM15" s="19">
        <v>0</v>
      </c>
      <c r="BN15" s="19">
        <v>0</v>
      </c>
      <c r="BO15" s="19">
        <v>0</v>
      </c>
      <c r="BP15" s="19">
        <v>2720</v>
      </c>
      <c r="BQ15" s="19">
        <v>23000</v>
      </c>
      <c r="BR15" s="19">
        <v>0</v>
      </c>
      <c r="BS15" s="19">
        <v>0</v>
      </c>
      <c r="BT15" s="19">
        <v>0</v>
      </c>
      <c r="BU15" s="19">
        <v>100000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>
        <f t="shared" si="0"/>
        <v>2328194.0960909091</v>
      </c>
    </row>
    <row r="16" spans="1:80" x14ac:dyDescent="0.25">
      <c r="A16" s="17" t="s">
        <v>91</v>
      </c>
      <c r="B16" s="19">
        <v>171051</v>
      </c>
      <c r="C16" s="19">
        <v>97685</v>
      </c>
      <c r="D16" s="19">
        <v>27628.2</v>
      </c>
      <c r="E16" s="19">
        <v>97685</v>
      </c>
      <c r="F16" s="19">
        <v>195370</v>
      </c>
      <c r="G16" s="19">
        <v>0</v>
      </c>
      <c r="H16" s="19">
        <v>0</v>
      </c>
      <c r="I16" s="19">
        <v>195370</v>
      </c>
      <c r="J16" s="19">
        <v>75970</v>
      </c>
      <c r="K16" s="19">
        <v>1</v>
      </c>
      <c r="L16" s="19">
        <v>0</v>
      </c>
      <c r="M16" s="19">
        <v>55700</v>
      </c>
      <c r="N16" s="19">
        <v>0</v>
      </c>
      <c r="O16" s="19">
        <v>67656</v>
      </c>
      <c r="P16" s="19">
        <v>0</v>
      </c>
      <c r="Q16" s="19">
        <v>0</v>
      </c>
      <c r="R16" s="19">
        <v>102372</v>
      </c>
      <c r="S16" s="19">
        <v>41134</v>
      </c>
      <c r="T16" s="19">
        <v>195370</v>
      </c>
      <c r="U16" s="19">
        <v>97685</v>
      </c>
      <c r="V16" s="19">
        <v>97685</v>
      </c>
      <c r="W16" s="19">
        <v>97685</v>
      </c>
      <c r="X16" s="19">
        <v>97685</v>
      </c>
      <c r="Y16" s="19">
        <v>195370</v>
      </c>
      <c r="Z16" s="19">
        <v>57830</v>
      </c>
      <c r="AA16" s="19">
        <v>78148</v>
      </c>
      <c r="AB16" s="19">
        <v>57830</v>
      </c>
      <c r="AC16" s="19">
        <v>0</v>
      </c>
      <c r="AD16" s="19">
        <v>0</v>
      </c>
      <c r="AE16" s="19">
        <v>0</v>
      </c>
      <c r="AF16" s="19">
        <v>0</v>
      </c>
      <c r="AG16" s="19">
        <v>57830</v>
      </c>
      <c r="AH16" s="19">
        <v>195370</v>
      </c>
      <c r="AI16" s="19">
        <v>0</v>
      </c>
      <c r="AJ16" s="19">
        <v>195370</v>
      </c>
      <c r="AK16" s="19">
        <v>97685</v>
      </c>
      <c r="AL16" s="19">
        <v>0</v>
      </c>
      <c r="AM16" s="19">
        <v>97685</v>
      </c>
      <c r="AN16" s="19">
        <v>126990.5</v>
      </c>
      <c r="AO16" s="19">
        <v>58611</v>
      </c>
      <c r="AP16" s="19">
        <v>101560.06446048801</v>
      </c>
      <c r="AQ16" s="19"/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5000</v>
      </c>
      <c r="BD16" s="19">
        <v>195370</v>
      </c>
      <c r="BE16" s="19">
        <v>0</v>
      </c>
      <c r="BF16" s="19">
        <v>0</v>
      </c>
      <c r="BG16" s="19">
        <v>70324.473966907317</v>
      </c>
      <c r="BH16" s="19">
        <v>27492</v>
      </c>
      <c r="BI16" s="19">
        <v>0</v>
      </c>
      <c r="BJ16" s="19">
        <v>0</v>
      </c>
      <c r="BK16" s="19">
        <v>119880</v>
      </c>
      <c r="BL16" s="19">
        <v>22549.602739726026</v>
      </c>
      <c r="BM16" s="19">
        <v>0</v>
      </c>
      <c r="BN16" s="19">
        <v>0</v>
      </c>
      <c r="BO16" s="19">
        <v>0</v>
      </c>
      <c r="BP16" s="19">
        <v>9640</v>
      </c>
      <c r="BQ16" s="19">
        <v>23000</v>
      </c>
      <c r="BR16" s="19">
        <v>0</v>
      </c>
      <c r="BS16" s="19">
        <v>0</v>
      </c>
      <c r="BT16" s="19">
        <v>0</v>
      </c>
      <c r="BU16" s="19">
        <v>100000</v>
      </c>
      <c r="BV16" s="19">
        <v>0</v>
      </c>
      <c r="BW16" s="19">
        <v>0</v>
      </c>
      <c r="BX16" s="19">
        <v>195370</v>
      </c>
      <c r="BY16" s="19">
        <v>0</v>
      </c>
      <c r="BZ16" s="19">
        <v>0</v>
      </c>
      <c r="CA16" s="19">
        <v>97685</v>
      </c>
      <c r="CB16">
        <f t="shared" si="0"/>
        <v>3900322.8411671217</v>
      </c>
    </row>
    <row r="17" spans="1:80" x14ac:dyDescent="0.25">
      <c r="A17" s="17" t="s">
        <v>92</v>
      </c>
      <c r="B17" s="19">
        <v>171051</v>
      </c>
      <c r="C17" s="19">
        <v>97685</v>
      </c>
      <c r="D17" s="19">
        <v>165769.19999999998</v>
      </c>
      <c r="E17" s="19">
        <v>0</v>
      </c>
      <c r="F17" s="19">
        <v>293055</v>
      </c>
      <c r="G17" s="19">
        <v>0</v>
      </c>
      <c r="H17" s="19">
        <v>0</v>
      </c>
      <c r="I17" s="19">
        <v>390740</v>
      </c>
      <c r="J17" s="19">
        <v>75970</v>
      </c>
      <c r="K17" s="19">
        <v>0</v>
      </c>
      <c r="L17" s="19">
        <v>48565.2</v>
      </c>
      <c r="M17" s="19">
        <v>55700</v>
      </c>
      <c r="N17" s="19">
        <v>0</v>
      </c>
      <c r="O17" s="19">
        <v>67656</v>
      </c>
      <c r="P17" s="19">
        <v>0</v>
      </c>
      <c r="Q17" s="19">
        <v>586110</v>
      </c>
      <c r="R17" s="19">
        <v>204744</v>
      </c>
      <c r="S17" s="19">
        <v>0</v>
      </c>
      <c r="T17" s="19">
        <v>146527.5</v>
      </c>
      <c r="U17" s="19">
        <v>97685</v>
      </c>
      <c r="V17" s="19">
        <v>97685</v>
      </c>
      <c r="W17" s="19">
        <v>97685</v>
      </c>
      <c r="X17" s="19">
        <v>97685</v>
      </c>
      <c r="Y17" s="19">
        <v>0</v>
      </c>
      <c r="Z17" s="19">
        <v>0</v>
      </c>
      <c r="AA17" s="19">
        <v>0</v>
      </c>
      <c r="AB17" s="19">
        <v>86745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293055</v>
      </c>
      <c r="AI17" s="19">
        <v>173490</v>
      </c>
      <c r="AJ17" s="19">
        <v>293055</v>
      </c>
      <c r="AK17" s="19">
        <v>390740</v>
      </c>
      <c r="AL17" s="19">
        <v>0</v>
      </c>
      <c r="AM17" s="19">
        <v>293055</v>
      </c>
      <c r="AN17" s="19">
        <v>0</v>
      </c>
      <c r="AO17" s="19">
        <v>0</v>
      </c>
      <c r="AP17" s="19">
        <v>0</v>
      </c>
      <c r="AQ17" s="19"/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94780.1685</v>
      </c>
      <c r="BH17" s="19">
        <v>41847</v>
      </c>
      <c r="BI17" s="19">
        <v>0</v>
      </c>
      <c r="BJ17" s="19">
        <v>0</v>
      </c>
      <c r="BK17" s="19">
        <v>42840</v>
      </c>
      <c r="BL17" s="19">
        <v>25663.657635467978</v>
      </c>
      <c r="BM17" s="19">
        <v>0</v>
      </c>
      <c r="BN17" s="19">
        <v>0</v>
      </c>
      <c r="BO17" s="19">
        <v>0</v>
      </c>
      <c r="BP17" s="19">
        <v>5100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>
        <f t="shared" si="0"/>
        <v>4434683.7261354681</v>
      </c>
    </row>
    <row r="18" spans="1:80" x14ac:dyDescent="0.25">
      <c r="A18" s="17" t="s">
        <v>93</v>
      </c>
      <c r="B18" s="19">
        <v>171051</v>
      </c>
      <c r="C18" s="19">
        <v>97685</v>
      </c>
      <c r="D18" s="19">
        <v>0</v>
      </c>
      <c r="E18" s="19">
        <v>0</v>
      </c>
      <c r="F18" s="19">
        <v>97685</v>
      </c>
      <c r="G18" s="19">
        <v>0</v>
      </c>
      <c r="H18" s="19">
        <v>0</v>
      </c>
      <c r="I18" s="19">
        <v>97685</v>
      </c>
      <c r="J18" s="19">
        <v>37985</v>
      </c>
      <c r="K18" s="19">
        <v>2</v>
      </c>
      <c r="L18" s="19">
        <v>0</v>
      </c>
      <c r="M18" s="19">
        <v>55700</v>
      </c>
      <c r="N18" s="19">
        <v>0</v>
      </c>
      <c r="O18" s="19">
        <v>67656</v>
      </c>
      <c r="P18" s="19">
        <v>0</v>
      </c>
      <c r="Q18" s="19">
        <v>97685</v>
      </c>
      <c r="R18" s="19">
        <v>51186</v>
      </c>
      <c r="S18" s="19">
        <v>82268</v>
      </c>
      <c r="T18" s="19">
        <v>0</v>
      </c>
      <c r="U18" s="19">
        <v>48842.5</v>
      </c>
      <c r="V18" s="19">
        <v>97685</v>
      </c>
      <c r="W18" s="19">
        <v>97685</v>
      </c>
      <c r="X18" s="19">
        <v>97685</v>
      </c>
      <c r="Y18" s="19">
        <v>97685</v>
      </c>
      <c r="Z18" s="19">
        <v>28915</v>
      </c>
      <c r="AA18" s="19">
        <v>0</v>
      </c>
      <c r="AB18" s="19">
        <v>28915</v>
      </c>
      <c r="AC18" s="19">
        <v>0</v>
      </c>
      <c r="AD18" s="19">
        <v>0</v>
      </c>
      <c r="AE18" s="19">
        <v>0</v>
      </c>
      <c r="AF18" s="19">
        <v>0</v>
      </c>
      <c r="AG18" s="19">
        <v>28915</v>
      </c>
      <c r="AH18" s="19">
        <v>97685</v>
      </c>
      <c r="AI18" s="19">
        <v>28915</v>
      </c>
      <c r="AJ18" s="19">
        <v>195370</v>
      </c>
      <c r="AK18" s="19">
        <v>97685</v>
      </c>
      <c r="AL18" s="19">
        <v>0</v>
      </c>
      <c r="AM18" s="19">
        <v>97685</v>
      </c>
      <c r="AN18" s="19">
        <v>0</v>
      </c>
      <c r="AO18" s="19">
        <v>0</v>
      </c>
      <c r="AP18" s="19">
        <v>0</v>
      </c>
      <c r="AQ18" s="19"/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35830.177499999998</v>
      </c>
      <c r="BH18" s="19">
        <v>17313</v>
      </c>
      <c r="BI18" s="19">
        <v>0</v>
      </c>
      <c r="BJ18" s="19">
        <v>0</v>
      </c>
      <c r="BK18" s="19">
        <v>0</v>
      </c>
      <c r="BL18" s="19">
        <v>12153.104166666668</v>
      </c>
      <c r="BM18" s="19">
        <v>0</v>
      </c>
      <c r="BN18" s="19">
        <v>0</v>
      </c>
      <c r="BO18" s="19">
        <v>0</v>
      </c>
      <c r="BP18" s="19">
        <v>2080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97685</v>
      </c>
      <c r="BY18" s="19">
        <v>0</v>
      </c>
      <c r="BZ18" s="19">
        <v>0</v>
      </c>
      <c r="CA18" s="19">
        <v>0</v>
      </c>
      <c r="CB18">
        <f t="shared" si="0"/>
        <v>2065316.7816666667</v>
      </c>
    </row>
    <row r="19" spans="1:80" x14ac:dyDescent="0.25">
      <c r="A19" s="17" t="s">
        <v>94</v>
      </c>
      <c r="B19" s="19">
        <v>171051</v>
      </c>
      <c r="C19" s="19">
        <v>97685</v>
      </c>
      <c r="D19" s="19">
        <v>110512.8</v>
      </c>
      <c r="E19" s="19">
        <v>0</v>
      </c>
      <c r="F19" s="19">
        <v>293055</v>
      </c>
      <c r="G19" s="19">
        <v>0</v>
      </c>
      <c r="H19" s="19">
        <v>0</v>
      </c>
      <c r="I19" s="19">
        <v>195370</v>
      </c>
      <c r="J19" s="19">
        <v>75970</v>
      </c>
      <c r="K19" s="19">
        <v>1</v>
      </c>
      <c r="L19" s="19">
        <v>0</v>
      </c>
      <c r="M19" s="19">
        <v>55700</v>
      </c>
      <c r="N19" s="19">
        <v>0</v>
      </c>
      <c r="O19" s="19">
        <v>67656</v>
      </c>
      <c r="P19" s="19">
        <v>0</v>
      </c>
      <c r="Q19" s="19">
        <v>97685</v>
      </c>
      <c r="R19" s="19">
        <v>51186</v>
      </c>
      <c r="S19" s="19">
        <v>41134</v>
      </c>
      <c r="T19" s="19">
        <v>0</v>
      </c>
      <c r="U19" s="19">
        <v>97685</v>
      </c>
      <c r="V19" s="19">
        <v>97685</v>
      </c>
      <c r="W19" s="19">
        <v>97685</v>
      </c>
      <c r="X19" s="19">
        <v>97685</v>
      </c>
      <c r="Y19" s="19">
        <v>195370</v>
      </c>
      <c r="Z19" s="19">
        <v>57830</v>
      </c>
      <c r="AA19" s="19">
        <v>0</v>
      </c>
      <c r="AB19" s="19">
        <v>86745</v>
      </c>
      <c r="AC19" s="19">
        <v>0</v>
      </c>
      <c r="AD19" s="19">
        <v>0</v>
      </c>
      <c r="AE19" s="19">
        <v>0</v>
      </c>
      <c r="AF19" s="19">
        <v>0</v>
      </c>
      <c r="AG19" s="19">
        <v>57830</v>
      </c>
      <c r="AH19" s="19">
        <v>195370</v>
      </c>
      <c r="AI19" s="19">
        <v>57830</v>
      </c>
      <c r="AJ19" s="19">
        <v>195370</v>
      </c>
      <c r="AK19" s="19">
        <v>195370</v>
      </c>
      <c r="AL19" s="19">
        <v>0</v>
      </c>
      <c r="AM19" s="19">
        <v>97685</v>
      </c>
      <c r="AN19" s="19">
        <v>0</v>
      </c>
      <c r="AO19" s="19">
        <v>0</v>
      </c>
      <c r="AP19" s="19">
        <v>0</v>
      </c>
      <c r="AQ19" s="19"/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59794.909499999994</v>
      </c>
      <c r="BH19" s="19">
        <v>27405</v>
      </c>
      <c r="BI19" s="19">
        <v>0</v>
      </c>
      <c r="BJ19" s="19">
        <v>0</v>
      </c>
      <c r="BK19" s="19">
        <v>0</v>
      </c>
      <c r="BL19" s="19">
        <v>17765</v>
      </c>
      <c r="BM19" s="19">
        <v>0</v>
      </c>
      <c r="BN19" s="19">
        <v>0</v>
      </c>
      <c r="BO19" s="19">
        <v>0</v>
      </c>
      <c r="BP19" s="19">
        <v>3160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195370</v>
      </c>
      <c r="BY19" s="19">
        <v>0</v>
      </c>
      <c r="BZ19" s="19">
        <v>0</v>
      </c>
      <c r="CA19" s="19">
        <v>0</v>
      </c>
      <c r="CB19">
        <f t="shared" si="0"/>
        <v>3090640.7094999999</v>
      </c>
    </row>
    <row r="20" spans="1:80" x14ac:dyDescent="0.25">
      <c r="A20" s="17" t="s">
        <v>95</v>
      </c>
      <c r="B20" s="19">
        <v>171051</v>
      </c>
      <c r="C20" s="19">
        <v>97685</v>
      </c>
      <c r="D20" s="19">
        <v>124326.90000000001</v>
      </c>
      <c r="E20" s="19">
        <v>0</v>
      </c>
      <c r="F20" s="19">
        <v>293055</v>
      </c>
      <c r="G20" s="19">
        <v>0</v>
      </c>
      <c r="H20" s="19">
        <v>0</v>
      </c>
      <c r="I20" s="19">
        <v>195370</v>
      </c>
      <c r="J20" s="19">
        <v>75970</v>
      </c>
      <c r="K20" s="19">
        <v>1</v>
      </c>
      <c r="L20" s="19">
        <v>0</v>
      </c>
      <c r="M20" s="19">
        <v>55700</v>
      </c>
      <c r="N20" s="19">
        <v>0</v>
      </c>
      <c r="O20" s="19">
        <v>67656</v>
      </c>
      <c r="P20" s="19">
        <v>0</v>
      </c>
      <c r="Q20" s="19">
        <v>97685</v>
      </c>
      <c r="R20" s="19">
        <v>102372</v>
      </c>
      <c r="S20" s="19">
        <v>41134</v>
      </c>
      <c r="T20" s="19">
        <v>0</v>
      </c>
      <c r="U20" s="19">
        <v>97685</v>
      </c>
      <c r="V20" s="19">
        <v>97685</v>
      </c>
      <c r="W20" s="19">
        <v>97685</v>
      </c>
      <c r="X20" s="19">
        <v>97685</v>
      </c>
      <c r="Y20" s="19">
        <v>195370</v>
      </c>
      <c r="Z20" s="19">
        <v>57830</v>
      </c>
      <c r="AA20" s="19">
        <v>0</v>
      </c>
      <c r="AB20" s="19">
        <v>86745</v>
      </c>
      <c r="AC20" s="19">
        <v>0</v>
      </c>
      <c r="AD20" s="19">
        <v>0</v>
      </c>
      <c r="AE20" s="19">
        <v>0</v>
      </c>
      <c r="AF20" s="19">
        <v>0</v>
      </c>
      <c r="AG20" s="19">
        <v>86745</v>
      </c>
      <c r="AH20" s="19">
        <v>195370</v>
      </c>
      <c r="AI20" s="19">
        <v>28915</v>
      </c>
      <c r="AJ20" s="19">
        <v>195370</v>
      </c>
      <c r="AK20" s="19">
        <v>195370</v>
      </c>
      <c r="AL20" s="19">
        <v>0</v>
      </c>
      <c r="AM20" s="19">
        <v>195370</v>
      </c>
      <c r="AN20" s="19">
        <v>0</v>
      </c>
      <c r="AO20" s="19">
        <v>0</v>
      </c>
      <c r="AP20" s="19">
        <v>0</v>
      </c>
      <c r="AQ20" s="19"/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57108.976909090903</v>
      </c>
      <c r="BH20" s="19">
        <v>30363</v>
      </c>
      <c r="BI20" s="19">
        <v>0</v>
      </c>
      <c r="BJ20" s="19">
        <v>0</v>
      </c>
      <c r="BK20" s="19">
        <v>169200</v>
      </c>
      <c r="BL20" s="19">
        <v>21083.875</v>
      </c>
      <c r="BM20" s="19">
        <v>0</v>
      </c>
      <c r="BN20" s="19">
        <v>0</v>
      </c>
      <c r="BO20" s="19">
        <v>0</v>
      </c>
      <c r="BP20" s="19">
        <v>5140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293055</v>
      </c>
      <c r="BY20" s="19">
        <v>0</v>
      </c>
      <c r="BZ20" s="19">
        <v>0</v>
      </c>
      <c r="CA20" s="19">
        <v>0</v>
      </c>
      <c r="CB20">
        <f t="shared" si="0"/>
        <v>3525781.7519090907</v>
      </c>
    </row>
    <row r="21" spans="1:80" x14ac:dyDescent="0.25">
      <c r="A21" s="17" t="s">
        <v>96</v>
      </c>
      <c r="B21" s="19">
        <v>171051</v>
      </c>
      <c r="C21" s="19">
        <v>97685</v>
      </c>
      <c r="D21" s="19">
        <v>0</v>
      </c>
      <c r="E21" s="19">
        <v>0</v>
      </c>
      <c r="F21" s="19">
        <v>195370</v>
      </c>
      <c r="G21" s="19">
        <v>0</v>
      </c>
      <c r="H21" s="19">
        <v>0</v>
      </c>
      <c r="I21" s="19">
        <v>195370</v>
      </c>
      <c r="J21" s="19">
        <v>37985</v>
      </c>
      <c r="K21" s="19">
        <v>2</v>
      </c>
      <c r="L21" s="19">
        <v>0</v>
      </c>
      <c r="M21" s="19">
        <v>55700</v>
      </c>
      <c r="N21" s="19">
        <v>0</v>
      </c>
      <c r="O21" s="19">
        <v>67656</v>
      </c>
      <c r="P21" s="19">
        <v>0</v>
      </c>
      <c r="Q21" s="19">
        <v>0</v>
      </c>
      <c r="R21" s="19">
        <v>51186</v>
      </c>
      <c r="S21" s="19">
        <v>82268</v>
      </c>
      <c r="T21" s="19">
        <v>0</v>
      </c>
      <c r="U21" s="19">
        <v>48842.5</v>
      </c>
      <c r="V21" s="19">
        <v>97685</v>
      </c>
      <c r="W21" s="19">
        <v>97685</v>
      </c>
      <c r="X21" s="19">
        <v>97685</v>
      </c>
      <c r="Y21" s="19">
        <v>97685</v>
      </c>
      <c r="Z21" s="19">
        <v>28915</v>
      </c>
      <c r="AA21" s="19">
        <v>0</v>
      </c>
      <c r="AB21" s="19">
        <v>57830</v>
      </c>
      <c r="AC21" s="19">
        <v>0</v>
      </c>
      <c r="AD21" s="19">
        <v>0</v>
      </c>
      <c r="AE21" s="19">
        <v>0</v>
      </c>
      <c r="AF21" s="19">
        <v>0</v>
      </c>
      <c r="AG21" s="19">
        <v>57830</v>
      </c>
      <c r="AH21" s="19">
        <v>195370</v>
      </c>
      <c r="AI21" s="19">
        <v>0</v>
      </c>
      <c r="AJ21" s="19">
        <v>195370</v>
      </c>
      <c r="AK21" s="19">
        <v>195370</v>
      </c>
      <c r="AL21" s="19">
        <v>0</v>
      </c>
      <c r="AM21" s="19">
        <v>195370</v>
      </c>
      <c r="AN21" s="19">
        <v>0</v>
      </c>
      <c r="AO21" s="19">
        <v>0</v>
      </c>
      <c r="AP21" s="19">
        <v>0</v>
      </c>
      <c r="AQ21" s="19"/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48842.5</v>
      </c>
      <c r="BF21" s="19">
        <v>0</v>
      </c>
      <c r="BG21" s="19">
        <v>56260.432499999995</v>
      </c>
      <c r="BH21" s="19">
        <v>24795</v>
      </c>
      <c r="BI21" s="19">
        <v>0</v>
      </c>
      <c r="BJ21" s="19">
        <v>0</v>
      </c>
      <c r="BK21" s="19">
        <v>0</v>
      </c>
      <c r="BL21" s="19">
        <v>16105.417808219179</v>
      </c>
      <c r="BM21" s="19">
        <v>0</v>
      </c>
      <c r="BN21" s="19">
        <v>0</v>
      </c>
      <c r="BO21" s="19">
        <v>0</v>
      </c>
      <c r="BP21" s="19">
        <v>8560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195370</v>
      </c>
      <c r="BY21" s="19">
        <v>0</v>
      </c>
      <c r="BZ21" s="19">
        <v>0</v>
      </c>
      <c r="CA21" s="19">
        <v>0</v>
      </c>
      <c r="CB21">
        <f t="shared" si="0"/>
        <v>2669843.8503082194</v>
      </c>
    </row>
    <row r="22" spans="1:80" x14ac:dyDescent="0.25">
      <c r="A22" s="17" t="s">
        <v>97</v>
      </c>
      <c r="B22" s="19">
        <v>171051</v>
      </c>
      <c r="C22" s="19">
        <v>97685</v>
      </c>
      <c r="D22" s="19">
        <v>138141</v>
      </c>
      <c r="E22" s="19">
        <v>97685</v>
      </c>
      <c r="F22" s="19">
        <v>97685</v>
      </c>
      <c r="G22" s="19">
        <v>0</v>
      </c>
      <c r="H22" s="19">
        <v>0</v>
      </c>
      <c r="I22" s="19">
        <v>97685</v>
      </c>
      <c r="J22" s="19">
        <v>75970</v>
      </c>
      <c r="K22" s="19">
        <v>1</v>
      </c>
      <c r="L22" s="19">
        <v>0</v>
      </c>
      <c r="M22" s="19">
        <v>55700</v>
      </c>
      <c r="N22" s="19">
        <v>0</v>
      </c>
      <c r="O22" s="19">
        <v>67656</v>
      </c>
      <c r="P22" s="19">
        <v>0</v>
      </c>
      <c r="Q22" s="19">
        <v>781480</v>
      </c>
      <c r="R22" s="19">
        <v>51186</v>
      </c>
      <c r="S22" s="19">
        <v>41134</v>
      </c>
      <c r="T22" s="19">
        <v>0</v>
      </c>
      <c r="U22" s="19">
        <v>97685</v>
      </c>
      <c r="V22" s="19">
        <v>97685</v>
      </c>
      <c r="W22" s="19">
        <v>97685</v>
      </c>
      <c r="X22" s="19">
        <v>97685</v>
      </c>
      <c r="Y22" s="19">
        <v>0</v>
      </c>
      <c r="Z22" s="19">
        <v>0</v>
      </c>
      <c r="AA22" s="19">
        <v>87916.5</v>
      </c>
      <c r="AB22" s="19">
        <v>28915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97685</v>
      </c>
      <c r="AI22" s="19">
        <v>231320</v>
      </c>
      <c r="AJ22" s="19">
        <v>97685</v>
      </c>
      <c r="AK22" s="19">
        <v>97685</v>
      </c>
      <c r="AL22" s="19">
        <v>0</v>
      </c>
      <c r="AM22" s="19">
        <v>97685</v>
      </c>
      <c r="AN22" s="19">
        <v>39074</v>
      </c>
      <c r="AO22" s="19">
        <v>58611</v>
      </c>
      <c r="AP22" s="19">
        <v>0</v>
      </c>
      <c r="AQ22" s="19"/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5000</v>
      </c>
      <c r="BD22" s="19">
        <v>195370</v>
      </c>
      <c r="BE22" s="19">
        <v>0</v>
      </c>
      <c r="BF22" s="19">
        <v>0</v>
      </c>
      <c r="BG22" s="19">
        <v>54949.802727272719</v>
      </c>
      <c r="BH22" s="19">
        <v>31929</v>
      </c>
      <c r="BI22" s="19">
        <v>0</v>
      </c>
      <c r="BJ22" s="19">
        <v>0</v>
      </c>
      <c r="BK22" s="19">
        <v>61200</v>
      </c>
      <c r="BL22" s="19">
        <v>20898.788888888888</v>
      </c>
      <c r="BM22" s="19">
        <v>0</v>
      </c>
      <c r="BN22" s="19">
        <v>0</v>
      </c>
      <c r="BO22" s="19">
        <v>0</v>
      </c>
      <c r="BP22" s="19">
        <v>0</v>
      </c>
      <c r="BQ22" s="19">
        <v>23000</v>
      </c>
      <c r="BR22" s="19">
        <v>0</v>
      </c>
      <c r="BS22" s="19">
        <v>0</v>
      </c>
      <c r="BT22" s="19">
        <v>0</v>
      </c>
      <c r="BU22" s="19">
        <v>100000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>
        <f t="shared" si="0"/>
        <v>3492723.0916161616</v>
      </c>
    </row>
    <row r="23" spans="1:80" x14ac:dyDescent="0.25">
      <c r="A23" s="17" t="s">
        <v>98</v>
      </c>
      <c r="B23" s="19">
        <v>171051</v>
      </c>
      <c r="C23" s="19">
        <v>97685</v>
      </c>
      <c r="D23" s="19">
        <v>400608.89999999997</v>
      </c>
      <c r="E23" s="19">
        <v>97685</v>
      </c>
      <c r="F23" s="19">
        <v>0</v>
      </c>
      <c r="G23" s="19">
        <v>0</v>
      </c>
      <c r="H23" s="19">
        <v>0</v>
      </c>
      <c r="I23" s="19">
        <v>0</v>
      </c>
      <c r="J23" s="19">
        <v>75970</v>
      </c>
      <c r="K23" s="19">
        <v>4</v>
      </c>
      <c r="L23" s="19">
        <v>89036.200000000012</v>
      </c>
      <c r="M23" s="19">
        <v>55700</v>
      </c>
      <c r="N23" s="19">
        <v>58487</v>
      </c>
      <c r="O23" s="19">
        <v>135312</v>
      </c>
      <c r="P23" s="19">
        <v>47542</v>
      </c>
      <c r="Q23" s="19">
        <v>0</v>
      </c>
      <c r="R23" s="19">
        <v>204744</v>
      </c>
      <c r="S23" s="19">
        <v>164536</v>
      </c>
      <c r="T23" s="19">
        <v>0</v>
      </c>
      <c r="U23" s="19">
        <v>97685</v>
      </c>
      <c r="V23" s="19">
        <v>97685</v>
      </c>
      <c r="W23" s="19">
        <v>0</v>
      </c>
      <c r="X23" s="19">
        <v>0</v>
      </c>
      <c r="Y23" s="19">
        <v>0</v>
      </c>
      <c r="Z23" s="19">
        <v>0</v>
      </c>
      <c r="AA23" s="19">
        <v>273518</v>
      </c>
      <c r="AB23" s="19">
        <v>0</v>
      </c>
      <c r="AC23" s="19">
        <v>3787437.6131879962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334713</v>
      </c>
      <c r="AM23" s="19">
        <v>0</v>
      </c>
      <c r="AN23" s="19">
        <v>136759</v>
      </c>
      <c r="AO23" s="19">
        <v>205138.5</v>
      </c>
      <c r="AP23" s="19">
        <v>0</v>
      </c>
      <c r="AQ23" s="19"/>
      <c r="AR23" s="19">
        <v>138141</v>
      </c>
      <c r="AS23" s="19">
        <v>10000</v>
      </c>
      <c r="AT23" s="19">
        <v>20000</v>
      </c>
      <c r="AU23" s="19">
        <v>0</v>
      </c>
      <c r="AV23" s="19">
        <v>0</v>
      </c>
      <c r="AW23" s="19">
        <v>0</v>
      </c>
      <c r="AX23" s="19">
        <v>0</v>
      </c>
      <c r="AY23" s="19">
        <v>138141</v>
      </c>
      <c r="AZ23" s="19">
        <v>0</v>
      </c>
      <c r="BA23" s="19">
        <v>87556</v>
      </c>
      <c r="BB23" s="19">
        <v>97685</v>
      </c>
      <c r="BC23" s="19">
        <v>5000</v>
      </c>
      <c r="BD23" s="19">
        <v>195370</v>
      </c>
      <c r="BE23" s="19">
        <v>73263.75</v>
      </c>
      <c r="BF23" s="19">
        <v>128716</v>
      </c>
      <c r="BG23" s="19">
        <v>191722.83513163458</v>
      </c>
      <c r="BH23" s="19">
        <v>76647</v>
      </c>
      <c r="BI23" s="19">
        <v>0</v>
      </c>
      <c r="BJ23" s="19">
        <v>101560.06446048801</v>
      </c>
      <c r="BK23" s="19">
        <v>49320</v>
      </c>
      <c r="BL23" s="19">
        <v>115408.461682243</v>
      </c>
      <c r="BM23" s="19">
        <v>0</v>
      </c>
      <c r="BN23" s="19">
        <v>0</v>
      </c>
      <c r="BO23" s="19">
        <v>0</v>
      </c>
      <c r="BP23" s="19">
        <v>29120</v>
      </c>
      <c r="BQ23" s="19">
        <v>23000</v>
      </c>
      <c r="BR23" s="19">
        <v>12240</v>
      </c>
      <c r="BS23" s="19">
        <v>101560.06446048801</v>
      </c>
      <c r="BT23" s="19">
        <v>0</v>
      </c>
      <c r="BU23" s="19">
        <v>100000</v>
      </c>
      <c r="BV23" s="19">
        <v>0</v>
      </c>
      <c r="BW23" s="19">
        <v>0</v>
      </c>
      <c r="BX23" s="19">
        <v>0</v>
      </c>
      <c r="BY23" s="19">
        <v>0</v>
      </c>
      <c r="BZ23" s="19">
        <v>9000</v>
      </c>
      <c r="CA23" s="19">
        <v>0</v>
      </c>
      <c r="CB23">
        <f t="shared" si="0"/>
        <v>8234748.3889228506</v>
      </c>
    </row>
    <row r="24" spans="1:80" x14ac:dyDescent="0.25">
      <c r="A24" s="17" t="s">
        <v>99</v>
      </c>
      <c r="B24" s="19">
        <v>85525.5</v>
      </c>
      <c r="C24" s="19">
        <v>0</v>
      </c>
      <c r="D24" s="19">
        <v>69070.5</v>
      </c>
      <c r="E24" s="19">
        <v>0</v>
      </c>
      <c r="F24" s="19">
        <v>0</v>
      </c>
      <c r="G24" s="19">
        <v>97685</v>
      </c>
      <c r="H24" s="19">
        <v>97685</v>
      </c>
      <c r="I24" s="19">
        <v>0</v>
      </c>
      <c r="J24" s="19">
        <v>75970</v>
      </c>
      <c r="K24" s="19">
        <v>0</v>
      </c>
      <c r="L24" s="19">
        <v>0</v>
      </c>
      <c r="M24" s="19">
        <v>55700</v>
      </c>
      <c r="N24" s="19">
        <v>0</v>
      </c>
      <c r="O24" s="19">
        <v>67656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48842.5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97685</v>
      </c>
      <c r="AF24" s="19">
        <v>97685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/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16298.3925</v>
      </c>
      <c r="BH24" s="19">
        <v>8700</v>
      </c>
      <c r="BI24" s="19">
        <v>0</v>
      </c>
      <c r="BJ24" s="19">
        <v>0</v>
      </c>
      <c r="BK24" s="19">
        <v>0</v>
      </c>
      <c r="BL24" s="19">
        <v>14531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>
        <f t="shared" si="0"/>
        <v>833033.89249999996</v>
      </c>
    </row>
    <row r="25" spans="1:80" x14ac:dyDescent="0.25">
      <c r="A25" s="17" t="s">
        <v>100</v>
      </c>
      <c r="B25" s="19">
        <v>171051</v>
      </c>
      <c r="C25" s="19">
        <v>97685</v>
      </c>
      <c r="D25" s="19">
        <v>110512.8</v>
      </c>
      <c r="E25" s="19">
        <v>0</v>
      </c>
      <c r="F25" s="19">
        <v>195370</v>
      </c>
      <c r="G25" s="19">
        <v>0</v>
      </c>
      <c r="H25" s="19">
        <v>0</v>
      </c>
      <c r="I25" s="19">
        <v>195370</v>
      </c>
      <c r="J25" s="19">
        <v>75970</v>
      </c>
      <c r="K25" s="19">
        <v>0</v>
      </c>
      <c r="L25" s="19">
        <v>0</v>
      </c>
      <c r="M25" s="19">
        <v>55700</v>
      </c>
      <c r="N25" s="19">
        <v>0</v>
      </c>
      <c r="O25" s="19">
        <v>67656</v>
      </c>
      <c r="P25" s="19">
        <v>0</v>
      </c>
      <c r="Q25" s="19">
        <v>97685</v>
      </c>
      <c r="R25" s="19">
        <v>102372</v>
      </c>
      <c r="S25" s="19">
        <v>0</v>
      </c>
      <c r="T25" s="19">
        <v>146527.5</v>
      </c>
      <c r="U25" s="19">
        <v>97685</v>
      </c>
      <c r="V25" s="19">
        <v>97685</v>
      </c>
      <c r="W25" s="19">
        <v>97685</v>
      </c>
      <c r="X25" s="19">
        <v>97685</v>
      </c>
      <c r="Y25" s="19">
        <v>195370</v>
      </c>
      <c r="Z25" s="19">
        <v>57830</v>
      </c>
      <c r="AA25" s="19">
        <v>0</v>
      </c>
      <c r="AB25" s="19">
        <v>57830</v>
      </c>
      <c r="AC25" s="19">
        <v>0</v>
      </c>
      <c r="AD25" s="19">
        <v>0</v>
      </c>
      <c r="AE25" s="19">
        <v>0</v>
      </c>
      <c r="AF25" s="19">
        <v>0</v>
      </c>
      <c r="AG25" s="19">
        <v>57830</v>
      </c>
      <c r="AH25" s="19">
        <v>195370</v>
      </c>
      <c r="AI25" s="19">
        <v>57830</v>
      </c>
      <c r="AJ25" s="19">
        <v>195370</v>
      </c>
      <c r="AK25" s="19">
        <v>195370</v>
      </c>
      <c r="AL25" s="19">
        <v>0</v>
      </c>
      <c r="AM25" s="19">
        <v>195370</v>
      </c>
      <c r="AN25" s="19">
        <v>0</v>
      </c>
      <c r="AO25" s="19">
        <v>0</v>
      </c>
      <c r="AP25" s="19">
        <v>0</v>
      </c>
      <c r="AQ25" s="19"/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58021.669499999996</v>
      </c>
      <c r="BH25" s="19">
        <v>28449</v>
      </c>
      <c r="BI25" s="19">
        <v>0</v>
      </c>
      <c r="BJ25" s="19">
        <v>0</v>
      </c>
      <c r="BK25" s="19">
        <v>0</v>
      </c>
      <c r="BL25" s="19">
        <v>18796.138906250002</v>
      </c>
      <c r="BM25" s="19">
        <v>0</v>
      </c>
      <c r="BN25" s="19">
        <v>0</v>
      </c>
      <c r="BO25" s="19">
        <v>0</v>
      </c>
      <c r="BP25" s="19">
        <v>3280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195370</v>
      </c>
      <c r="BY25" s="19">
        <v>0</v>
      </c>
      <c r="BZ25" s="19">
        <v>0</v>
      </c>
      <c r="CA25" s="19">
        <v>0</v>
      </c>
      <c r="CB25">
        <f t="shared" si="0"/>
        <v>3218726.1084062494</v>
      </c>
    </row>
    <row r="26" spans="1:80" x14ac:dyDescent="0.25">
      <c r="A26" s="17" t="s">
        <v>101</v>
      </c>
      <c r="B26" s="19">
        <v>171051</v>
      </c>
      <c r="C26" s="19">
        <v>97685</v>
      </c>
      <c r="D26" s="19">
        <v>649262.70000000007</v>
      </c>
      <c r="E26" s="19">
        <v>97685</v>
      </c>
      <c r="F26" s="19">
        <v>0</v>
      </c>
      <c r="G26" s="19">
        <v>1025692.5</v>
      </c>
      <c r="H26" s="19">
        <v>1367590</v>
      </c>
      <c r="I26" s="19">
        <v>0</v>
      </c>
      <c r="J26" s="19">
        <v>75970</v>
      </c>
      <c r="K26" s="19">
        <v>7</v>
      </c>
      <c r="L26" s="19">
        <v>141648.5</v>
      </c>
      <c r="M26" s="19">
        <v>55700</v>
      </c>
      <c r="N26" s="19">
        <v>58487</v>
      </c>
      <c r="O26" s="19">
        <v>135312</v>
      </c>
      <c r="P26" s="19">
        <v>47542</v>
      </c>
      <c r="Q26" s="19">
        <v>0</v>
      </c>
      <c r="R26" s="19">
        <v>102372</v>
      </c>
      <c r="S26" s="19">
        <v>287938</v>
      </c>
      <c r="T26" s="19">
        <v>0</v>
      </c>
      <c r="U26" s="19">
        <v>97685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498193.49999999994</v>
      </c>
      <c r="AB26" s="19">
        <v>0</v>
      </c>
      <c r="AC26" s="19">
        <v>0</v>
      </c>
      <c r="AD26" s="19">
        <v>0</v>
      </c>
      <c r="AE26" s="19">
        <v>1015924</v>
      </c>
      <c r="AF26" s="19">
        <v>1045229.4999999999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490912.4</v>
      </c>
      <c r="AM26" s="19">
        <v>0</v>
      </c>
      <c r="AN26" s="19">
        <v>390740</v>
      </c>
      <c r="AO26" s="19">
        <v>478656.50000000006</v>
      </c>
      <c r="AP26" s="19">
        <v>0</v>
      </c>
      <c r="AQ26" s="19"/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87556</v>
      </c>
      <c r="BB26" s="19">
        <v>97685</v>
      </c>
      <c r="BC26" s="19">
        <v>5000</v>
      </c>
      <c r="BD26" s="19">
        <v>195370</v>
      </c>
      <c r="BE26" s="19">
        <v>195370</v>
      </c>
      <c r="BF26" s="19">
        <v>0</v>
      </c>
      <c r="BG26" s="19">
        <v>201403.40593381462</v>
      </c>
      <c r="BH26" s="19">
        <v>121713</v>
      </c>
      <c r="BI26" s="19">
        <v>0</v>
      </c>
      <c r="BJ26" s="19">
        <v>101560.06446048801</v>
      </c>
      <c r="BK26" s="19">
        <v>261000</v>
      </c>
      <c r="BL26" s="19">
        <v>167561.37914999999</v>
      </c>
      <c r="BM26" s="19">
        <v>0</v>
      </c>
      <c r="BN26" s="19">
        <v>0</v>
      </c>
      <c r="BO26" s="19">
        <v>0</v>
      </c>
      <c r="BP26" s="19">
        <v>18080</v>
      </c>
      <c r="BQ26" s="19">
        <v>23000</v>
      </c>
      <c r="BR26" s="19">
        <v>12240</v>
      </c>
      <c r="BS26" s="19">
        <v>101560.06446048801</v>
      </c>
      <c r="BT26" s="19">
        <v>99697</v>
      </c>
      <c r="BU26" s="19">
        <v>100000</v>
      </c>
      <c r="BV26" s="19">
        <v>55000</v>
      </c>
      <c r="BW26" s="19">
        <v>134027</v>
      </c>
      <c r="BX26" s="19">
        <v>0</v>
      </c>
      <c r="BY26" s="19">
        <v>0</v>
      </c>
      <c r="BZ26" s="19">
        <v>0</v>
      </c>
      <c r="CA26" s="19">
        <v>0</v>
      </c>
      <c r="CB26">
        <f t="shared" si="0"/>
        <v>10309106.514004791</v>
      </c>
    </row>
    <row r="27" spans="1:80" x14ac:dyDescent="0.25">
      <c r="A27" s="17" t="s">
        <v>102</v>
      </c>
      <c r="B27" s="19">
        <v>171051</v>
      </c>
      <c r="C27" s="19">
        <v>97685</v>
      </c>
      <c r="D27" s="19">
        <v>165769.19999999998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75970</v>
      </c>
      <c r="K27" s="19">
        <v>2</v>
      </c>
      <c r="L27" s="19">
        <v>0</v>
      </c>
      <c r="M27" s="19">
        <v>55700</v>
      </c>
      <c r="N27" s="19">
        <v>58487</v>
      </c>
      <c r="O27" s="19">
        <v>135312</v>
      </c>
      <c r="P27" s="19">
        <v>47542</v>
      </c>
      <c r="Q27" s="19">
        <v>0</v>
      </c>
      <c r="R27" s="19">
        <v>102372</v>
      </c>
      <c r="S27" s="19">
        <v>82268</v>
      </c>
      <c r="T27" s="19">
        <v>0</v>
      </c>
      <c r="U27" s="19">
        <v>97685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2189211.9483828153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167356.5</v>
      </c>
      <c r="AM27" s="19">
        <v>0</v>
      </c>
      <c r="AN27" s="19">
        <v>0</v>
      </c>
      <c r="AO27" s="19">
        <v>0</v>
      </c>
      <c r="AP27" s="19">
        <v>0</v>
      </c>
      <c r="AQ27" s="19"/>
      <c r="AR27" s="19">
        <v>0</v>
      </c>
      <c r="AS27" s="19">
        <v>10000</v>
      </c>
      <c r="AT27" s="19">
        <v>20000</v>
      </c>
      <c r="AU27" s="19">
        <v>0</v>
      </c>
      <c r="AV27" s="19">
        <v>0</v>
      </c>
      <c r="AW27" s="19">
        <v>0</v>
      </c>
      <c r="AX27" s="19">
        <v>0</v>
      </c>
      <c r="AY27" s="19">
        <v>138141</v>
      </c>
      <c r="AZ27" s="19">
        <v>0</v>
      </c>
      <c r="BA27" s="19">
        <v>87556</v>
      </c>
      <c r="BB27" s="19">
        <v>97685</v>
      </c>
      <c r="BC27" s="19">
        <v>0</v>
      </c>
      <c r="BD27" s="19">
        <v>0</v>
      </c>
      <c r="BE27" s="19">
        <v>97685</v>
      </c>
      <c r="BF27" s="19">
        <v>0</v>
      </c>
      <c r="BG27" s="19">
        <v>85076.906659556873</v>
      </c>
      <c r="BH27" s="19">
        <v>31842</v>
      </c>
      <c r="BI27" s="19">
        <v>0</v>
      </c>
      <c r="BJ27" s="19">
        <v>101560.06446048801</v>
      </c>
      <c r="BK27" s="19">
        <v>0</v>
      </c>
      <c r="BL27" s="19">
        <v>50195.731674208146</v>
      </c>
      <c r="BM27" s="19">
        <v>0</v>
      </c>
      <c r="BN27" s="19">
        <v>0</v>
      </c>
      <c r="BO27" s="19">
        <v>0</v>
      </c>
      <c r="BP27" s="19">
        <v>12280</v>
      </c>
      <c r="BQ27" s="19">
        <v>0</v>
      </c>
      <c r="BR27" s="19">
        <v>12240</v>
      </c>
      <c r="BS27" s="19">
        <v>101560.06446048801</v>
      </c>
      <c r="BT27" s="19">
        <v>99697</v>
      </c>
      <c r="BU27" s="19">
        <v>0</v>
      </c>
      <c r="BV27" s="19">
        <v>55000</v>
      </c>
      <c r="BW27" s="19">
        <v>134027</v>
      </c>
      <c r="BX27" s="19">
        <v>0</v>
      </c>
      <c r="BY27" s="19">
        <v>0</v>
      </c>
      <c r="BZ27" s="19">
        <v>9000</v>
      </c>
      <c r="CA27" s="19">
        <v>0</v>
      </c>
      <c r="CB27">
        <f t="shared" si="0"/>
        <v>4589957.4156375565</v>
      </c>
    </row>
    <row r="28" spans="1:80" x14ac:dyDescent="0.25">
      <c r="A28" s="17" t="s">
        <v>103</v>
      </c>
      <c r="B28" s="19">
        <v>171051</v>
      </c>
      <c r="C28" s="19">
        <v>97685</v>
      </c>
      <c r="D28" s="19">
        <v>704519.1</v>
      </c>
      <c r="E28" s="19">
        <v>371203</v>
      </c>
      <c r="F28" s="19">
        <v>0</v>
      </c>
      <c r="G28" s="19">
        <v>0</v>
      </c>
      <c r="H28" s="19">
        <v>0</v>
      </c>
      <c r="I28" s="19">
        <v>0</v>
      </c>
      <c r="J28" s="19">
        <v>75970</v>
      </c>
      <c r="K28" s="19">
        <v>4</v>
      </c>
      <c r="L28" s="19">
        <v>153789.79999999999</v>
      </c>
      <c r="M28" s="19">
        <v>55700</v>
      </c>
      <c r="N28" s="19">
        <v>0</v>
      </c>
      <c r="O28" s="19">
        <v>67656</v>
      </c>
      <c r="P28" s="19">
        <v>0</v>
      </c>
      <c r="Q28" s="19">
        <v>0</v>
      </c>
      <c r="R28" s="19">
        <v>153558</v>
      </c>
      <c r="S28" s="19">
        <v>164536</v>
      </c>
      <c r="T28" s="19">
        <v>0</v>
      </c>
      <c r="U28" s="19">
        <v>97685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2109996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2256523.5</v>
      </c>
      <c r="AO28" s="19">
        <v>2432356.5</v>
      </c>
      <c r="AP28" s="19">
        <v>101560.06446048801</v>
      </c>
      <c r="AQ28" s="19"/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5000</v>
      </c>
      <c r="BD28" s="19">
        <v>293055</v>
      </c>
      <c r="BE28" s="19">
        <v>0</v>
      </c>
      <c r="BF28" s="19">
        <v>0</v>
      </c>
      <c r="BG28" s="19">
        <v>167477.60946690731</v>
      </c>
      <c r="BH28" s="19">
        <v>133284</v>
      </c>
      <c r="BI28" s="19">
        <v>0</v>
      </c>
      <c r="BJ28" s="19">
        <v>0</v>
      </c>
      <c r="BK28" s="19">
        <v>0</v>
      </c>
      <c r="BL28" s="19">
        <v>105568.54598540146</v>
      </c>
      <c r="BM28" s="19">
        <v>0</v>
      </c>
      <c r="BN28" s="19">
        <v>0</v>
      </c>
      <c r="BO28" s="19">
        <v>0</v>
      </c>
      <c r="BP28" s="19">
        <v>0</v>
      </c>
      <c r="BQ28" s="19">
        <v>23000</v>
      </c>
      <c r="BR28" s="19">
        <v>0</v>
      </c>
      <c r="BS28" s="19">
        <v>0</v>
      </c>
      <c r="BT28" s="19">
        <v>0</v>
      </c>
      <c r="BU28" s="19">
        <v>100000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>
        <f t="shared" si="0"/>
        <v>9841178.1199127957</v>
      </c>
    </row>
    <row r="29" spans="1:80" x14ac:dyDescent="0.25">
      <c r="A29" s="17" t="s">
        <v>104</v>
      </c>
      <c r="B29" s="19">
        <v>171051</v>
      </c>
      <c r="C29" s="19">
        <v>97685</v>
      </c>
      <c r="D29" s="19">
        <v>179583.30000000002</v>
      </c>
      <c r="E29" s="19">
        <v>0</v>
      </c>
      <c r="F29" s="19">
        <v>488425</v>
      </c>
      <c r="G29" s="19">
        <v>0</v>
      </c>
      <c r="H29" s="19">
        <v>0</v>
      </c>
      <c r="I29" s="19">
        <v>293055</v>
      </c>
      <c r="J29" s="19">
        <v>75970</v>
      </c>
      <c r="K29" s="19">
        <v>3</v>
      </c>
      <c r="L29" s="19">
        <v>52612.3</v>
      </c>
      <c r="M29" s="19">
        <v>55700</v>
      </c>
      <c r="N29" s="19">
        <v>0</v>
      </c>
      <c r="O29" s="19">
        <v>67656</v>
      </c>
      <c r="P29" s="19">
        <v>0</v>
      </c>
      <c r="Q29" s="19">
        <v>0</v>
      </c>
      <c r="R29" s="19">
        <v>51186</v>
      </c>
      <c r="S29" s="19">
        <v>123402</v>
      </c>
      <c r="T29" s="19">
        <v>146527.5</v>
      </c>
      <c r="U29" s="19">
        <v>97685</v>
      </c>
      <c r="V29" s="19">
        <v>97685</v>
      </c>
      <c r="W29" s="19">
        <v>97685</v>
      </c>
      <c r="X29" s="19">
        <v>97685</v>
      </c>
      <c r="Y29" s="19">
        <v>390740</v>
      </c>
      <c r="Z29" s="19">
        <v>115660</v>
      </c>
      <c r="AA29" s="19">
        <v>0</v>
      </c>
      <c r="AB29" s="19">
        <v>144575</v>
      </c>
      <c r="AC29" s="19">
        <v>0</v>
      </c>
      <c r="AD29" s="19">
        <v>0</v>
      </c>
      <c r="AE29" s="19">
        <v>0</v>
      </c>
      <c r="AF29" s="19">
        <v>0</v>
      </c>
      <c r="AG29" s="19">
        <v>144575</v>
      </c>
      <c r="AH29" s="19">
        <v>293055</v>
      </c>
      <c r="AI29" s="19">
        <v>0</v>
      </c>
      <c r="AJ29" s="19">
        <v>195370</v>
      </c>
      <c r="AK29" s="19">
        <v>293055</v>
      </c>
      <c r="AL29" s="19">
        <v>0</v>
      </c>
      <c r="AM29" s="19">
        <v>195370</v>
      </c>
      <c r="AN29" s="19">
        <v>0</v>
      </c>
      <c r="AO29" s="19">
        <v>0</v>
      </c>
      <c r="AP29" s="19">
        <v>0</v>
      </c>
      <c r="AQ29" s="19"/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97588.208999999988</v>
      </c>
      <c r="BH29" s="19">
        <v>45849</v>
      </c>
      <c r="BI29" s="19">
        <v>0</v>
      </c>
      <c r="BJ29" s="19">
        <v>0</v>
      </c>
      <c r="BK29" s="19">
        <v>324000</v>
      </c>
      <c r="BL29" s="19">
        <v>27400.666666666664</v>
      </c>
      <c r="BM29" s="19">
        <v>0</v>
      </c>
      <c r="BN29" s="19">
        <v>0</v>
      </c>
      <c r="BO29" s="19">
        <v>0</v>
      </c>
      <c r="BP29" s="19">
        <v>4900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488425</v>
      </c>
      <c r="BY29" s="19">
        <v>0</v>
      </c>
      <c r="BZ29" s="19">
        <v>0</v>
      </c>
      <c r="CA29" s="19">
        <v>0</v>
      </c>
      <c r="CB29">
        <f t="shared" si="0"/>
        <v>4954158.9756666673</v>
      </c>
    </row>
    <row r="30" spans="1:80" x14ac:dyDescent="0.25">
      <c r="A30" s="17" t="s">
        <v>105</v>
      </c>
      <c r="B30" s="19">
        <v>171051</v>
      </c>
      <c r="C30" s="19">
        <v>97685</v>
      </c>
      <c r="D30" s="19">
        <v>0</v>
      </c>
      <c r="E30" s="19">
        <v>0</v>
      </c>
      <c r="F30" s="19">
        <v>195370</v>
      </c>
      <c r="G30" s="19">
        <v>0</v>
      </c>
      <c r="H30" s="19">
        <v>0</v>
      </c>
      <c r="I30" s="19">
        <v>195370</v>
      </c>
      <c r="J30" s="19">
        <v>37985</v>
      </c>
      <c r="K30" s="19">
        <v>1</v>
      </c>
      <c r="L30" s="19">
        <v>0</v>
      </c>
      <c r="M30" s="19">
        <v>55700</v>
      </c>
      <c r="N30" s="19">
        <v>0</v>
      </c>
      <c r="O30" s="19">
        <v>67656</v>
      </c>
      <c r="P30" s="19">
        <v>0</v>
      </c>
      <c r="Q30" s="19">
        <v>97685</v>
      </c>
      <c r="R30" s="19">
        <v>51186</v>
      </c>
      <c r="S30" s="19">
        <v>41134</v>
      </c>
      <c r="T30" s="19">
        <v>0</v>
      </c>
      <c r="U30" s="19">
        <v>48842.5</v>
      </c>
      <c r="V30" s="19">
        <v>97685</v>
      </c>
      <c r="W30" s="19">
        <v>97685</v>
      </c>
      <c r="X30" s="19">
        <v>97685</v>
      </c>
      <c r="Y30" s="19">
        <v>97685</v>
      </c>
      <c r="Z30" s="19">
        <v>28915</v>
      </c>
      <c r="AA30" s="19">
        <v>0</v>
      </c>
      <c r="AB30" s="19">
        <v>57830</v>
      </c>
      <c r="AC30" s="19">
        <v>0</v>
      </c>
      <c r="AD30" s="19">
        <v>0</v>
      </c>
      <c r="AE30" s="19">
        <v>0</v>
      </c>
      <c r="AF30" s="19">
        <v>0</v>
      </c>
      <c r="AG30" s="19">
        <v>28915</v>
      </c>
      <c r="AH30" s="19">
        <v>97685</v>
      </c>
      <c r="AI30" s="19">
        <v>28915</v>
      </c>
      <c r="AJ30" s="19">
        <v>195370</v>
      </c>
      <c r="AK30" s="19">
        <v>195370</v>
      </c>
      <c r="AL30" s="19">
        <v>0</v>
      </c>
      <c r="AM30" s="19">
        <v>195370</v>
      </c>
      <c r="AN30" s="19">
        <v>0</v>
      </c>
      <c r="AO30" s="19">
        <v>0</v>
      </c>
      <c r="AP30" s="19">
        <v>0</v>
      </c>
      <c r="AQ30" s="19"/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47676.633409090908</v>
      </c>
      <c r="BH30" s="19">
        <v>24186</v>
      </c>
      <c r="BI30" s="19">
        <v>0</v>
      </c>
      <c r="BJ30" s="19">
        <v>0</v>
      </c>
      <c r="BK30" s="19">
        <v>104760</v>
      </c>
      <c r="BL30" s="19">
        <v>16788.3591160221</v>
      </c>
      <c r="BM30" s="19">
        <v>0</v>
      </c>
      <c r="BN30" s="19">
        <v>0</v>
      </c>
      <c r="BO30" s="19">
        <v>0</v>
      </c>
      <c r="BP30" s="19">
        <v>8640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v>0</v>
      </c>
      <c r="BX30" s="19">
        <v>97685</v>
      </c>
      <c r="BY30" s="19">
        <v>0</v>
      </c>
      <c r="BZ30" s="19">
        <v>0</v>
      </c>
      <c r="CA30" s="19">
        <v>97685</v>
      </c>
      <c r="CB30">
        <f t="shared" si="0"/>
        <v>2676196.4925251128</v>
      </c>
    </row>
    <row r="31" spans="1:80" x14ac:dyDescent="0.25">
      <c r="A31" s="17" t="s">
        <v>106</v>
      </c>
      <c r="B31" s="19">
        <v>171051</v>
      </c>
      <c r="C31" s="19">
        <v>97685</v>
      </c>
      <c r="D31" s="19">
        <v>276282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75970</v>
      </c>
      <c r="K31" s="19">
        <v>3</v>
      </c>
      <c r="L31" s="19">
        <v>60706.5</v>
      </c>
      <c r="M31" s="19">
        <v>55700</v>
      </c>
      <c r="N31" s="19">
        <v>58487</v>
      </c>
      <c r="O31" s="19">
        <v>67656</v>
      </c>
      <c r="P31" s="19">
        <v>47542</v>
      </c>
      <c r="Q31" s="19">
        <v>0</v>
      </c>
      <c r="R31" s="19">
        <v>204744</v>
      </c>
      <c r="S31" s="19">
        <v>123402</v>
      </c>
      <c r="T31" s="19">
        <v>0</v>
      </c>
      <c r="U31" s="19">
        <v>97685</v>
      </c>
      <c r="V31" s="19">
        <v>97685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3254966.6284057354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267770.39999999997</v>
      </c>
      <c r="AM31" s="19">
        <v>0</v>
      </c>
      <c r="AN31" s="19">
        <v>0</v>
      </c>
      <c r="AO31" s="19">
        <v>0</v>
      </c>
      <c r="AP31" s="19">
        <v>0</v>
      </c>
      <c r="AQ31" s="19"/>
      <c r="AR31" s="19">
        <v>0</v>
      </c>
      <c r="AS31" s="19">
        <v>10000</v>
      </c>
      <c r="AT31" s="19">
        <v>30000</v>
      </c>
      <c r="AU31" s="19">
        <v>0</v>
      </c>
      <c r="AV31" s="19">
        <v>0</v>
      </c>
      <c r="AW31" s="19">
        <v>0</v>
      </c>
      <c r="AX31" s="19">
        <v>0</v>
      </c>
      <c r="AY31" s="19">
        <v>138141</v>
      </c>
      <c r="AZ31" s="19">
        <v>0</v>
      </c>
      <c r="BA31" s="19">
        <v>87556</v>
      </c>
      <c r="BB31" s="19">
        <v>97685</v>
      </c>
      <c r="BC31" s="19">
        <v>0</v>
      </c>
      <c r="BD31" s="19">
        <v>0</v>
      </c>
      <c r="BE31" s="19">
        <v>0</v>
      </c>
      <c r="BF31" s="19">
        <v>128716</v>
      </c>
      <c r="BG31" s="19">
        <v>112136.57485990066</v>
      </c>
      <c r="BH31" s="19">
        <v>53157</v>
      </c>
      <c r="BI31" s="19">
        <v>0</v>
      </c>
      <c r="BJ31" s="19">
        <v>101560.06446048801</v>
      </c>
      <c r="BK31" s="19">
        <v>0</v>
      </c>
      <c r="BL31" s="19">
        <v>85003.766363636358</v>
      </c>
      <c r="BM31" s="19">
        <v>0</v>
      </c>
      <c r="BN31" s="19">
        <v>0</v>
      </c>
      <c r="BO31" s="19">
        <v>0</v>
      </c>
      <c r="BP31" s="19">
        <v>18800</v>
      </c>
      <c r="BQ31" s="19">
        <v>0</v>
      </c>
      <c r="BR31" s="19">
        <v>12240</v>
      </c>
      <c r="BS31" s="19">
        <v>101560.06446048801</v>
      </c>
      <c r="BT31" s="19">
        <v>99697</v>
      </c>
      <c r="BU31" s="19">
        <v>0</v>
      </c>
      <c r="BV31" s="19">
        <v>55000</v>
      </c>
      <c r="BW31" s="19">
        <v>134027</v>
      </c>
      <c r="BX31" s="19">
        <v>0</v>
      </c>
      <c r="BY31" s="19">
        <v>0</v>
      </c>
      <c r="BZ31" s="19">
        <v>9000</v>
      </c>
      <c r="CA31" s="19">
        <v>0</v>
      </c>
      <c r="CB31">
        <f t="shared" si="0"/>
        <v>6231614.9985502483</v>
      </c>
    </row>
    <row r="32" spans="1:80" x14ac:dyDescent="0.25">
      <c r="A32" s="17" t="s">
        <v>107</v>
      </c>
      <c r="B32" s="19">
        <v>171051</v>
      </c>
      <c r="C32" s="19">
        <v>97685</v>
      </c>
      <c r="D32" s="19">
        <v>386794.8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75970</v>
      </c>
      <c r="K32" s="19">
        <v>4</v>
      </c>
      <c r="L32" s="19">
        <v>84989.1</v>
      </c>
      <c r="M32" s="19">
        <v>55700</v>
      </c>
      <c r="N32" s="19">
        <v>58487</v>
      </c>
      <c r="O32" s="19">
        <v>67656</v>
      </c>
      <c r="P32" s="19">
        <v>47542</v>
      </c>
      <c r="Q32" s="19">
        <v>0</v>
      </c>
      <c r="R32" s="19">
        <v>204744</v>
      </c>
      <c r="S32" s="19">
        <v>164536</v>
      </c>
      <c r="T32" s="19">
        <v>0</v>
      </c>
      <c r="U32" s="19">
        <v>97685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3517298.0739837959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368184.3</v>
      </c>
      <c r="AM32" s="19">
        <v>0</v>
      </c>
      <c r="AN32" s="19">
        <v>0</v>
      </c>
      <c r="AO32" s="19">
        <v>0</v>
      </c>
      <c r="AP32" s="19">
        <v>101560.06446048801</v>
      </c>
      <c r="AQ32" s="19"/>
      <c r="AR32" s="19">
        <v>0</v>
      </c>
      <c r="AS32" s="19">
        <v>10000</v>
      </c>
      <c r="AT32" s="19">
        <v>40000</v>
      </c>
      <c r="AU32" s="19">
        <v>0</v>
      </c>
      <c r="AV32" s="19">
        <v>15000</v>
      </c>
      <c r="AW32" s="19">
        <v>0</v>
      </c>
      <c r="AX32" s="19">
        <v>101560.06446048801</v>
      </c>
      <c r="AY32" s="19">
        <v>138141</v>
      </c>
      <c r="AZ32" s="19">
        <v>0</v>
      </c>
      <c r="BA32" s="19">
        <v>87556</v>
      </c>
      <c r="BB32" s="19">
        <v>97685</v>
      </c>
      <c r="BC32" s="19">
        <v>0</v>
      </c>
      <c r="BD32" s="19">
        <v>0</v>
      </c>
      <c r="BE32" s="19">
        <v>97685</v>
      </c>
      <c r="BF32" s="19">
        <v>0</v>
      </c>
      <c r="BG32" s="19">
        <v>131755.62837411527</v>
      </c>
      <c r="BH32" s="19">
        <v>72210</v>
      </c>
      <c r="BI32" s="19">
        <v>0</v>
      </c>
      <c r="BJ32" s="19">
        <v>101560.06446048801</v>
      </c>
      <c r="BK32" s="19">
        <v>0</v>
      </c>
      <c r="BL32" s="19">
        <v>111707.39090909091</v>
      </c>
      <c r="BM32" s="19">
        <v>0</v>
      </c>
      <c r="BN32" s="19">
        <v>0</v>
      </c>
      <c r="BO32" s="19">
        <v>0</v>
      </c>
      <c r="BP32" s="19">
        <v>12180</v>
      </c>
      <c r="BQ32" s="19">
        <v>0</v>
      </c>
      <c r="BR32" s="19">
        <v>12240</v>
      </c>
      <c r="BS32" s="19">
        <v>101560.06446048801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97685</v>
      </c>
      <c r="BZ32" s="19">
        <v>9000</v>
      </c>
      <c r="CA32" s="19">
        <v>0</v>
      </c>
      <c r="CB32">
        <f t="shared" si="0"/>
        <v>6737411.5511089545</v>
      </c>
    </row>
    <row r="33" spans="1:80" x14ac:dyDescent="0.25">
      <c r="A33" s="17" t="s">
        <v>108</v>
      </c>
      <c r="B33" s="19">
        <v>171051</v>
      </c>
      <c r="C33" s="19">
        <v>97685</v>
      </c>
      <c r="D33" s="19">
        <v>165769.19999999998</v>
      </c>
      <c r="E33" s="19">
        <v>0</v>
      </c>
      <c r="F33" s="19">
        <v>293055</v>
      </c>
      <c r="G33" s="19">
        <v>0</v>
      </c>
      <c r="H33" s="19">
        <v>0</v>
      </c>
      <c r="I33" s="19">
        <v>293055</v>
      </c>
      <c r="J33" s="19">
        <v>75970</v>
      </c>
      <c r="K33" s="19">
        <v>2</v>
      </c>
      <c r="L33" s="19">
        <v>48565.2</v>
      </c>
      <c r="M33" s="19">
        <v>55700</v>
      </c>
      <c r="N33" s="19">
        <v>0</v>
      </c>
      <c r="O33" s="19">
        <v>67656</v>
      </c>
      <c r="P33" s="19">
        <v>0</v>
      </c>
      <c r="Q33" s="19">
        <v>0</v>
      </c>
      <c r="R33" s="19">
        <v>51186</v>
      </c>
      <c r="S33" s="19">
        <v>82268</v>
      </c>
      <c r="T33" s="19">
        <v>146527.5</v>
      </c>
      <c r="U33" s="19">
        <v>97685</v>
      </c>
      <c r="V33" s="19">
        <v>97685</v>
      </c>
      <c r="W33" s="19">
        <v>97685</v>
      </c>
      <c r="X33" s="19">
        <v>97685</v>
      </c>
      <c r="Y33" s="19">
        <v>0</v>
      </c>
      <c r="Z33" s="19">
        <v>0</v>
      </c>
      <c r="AA33" s="19">
        <v>0</v>
      </c>
      <c r="AB33" s="19">
        <v>86745</v>
      </c>
      <c r="AC33" s="19">
        <v>0</v>
      </c>
      <c r="AD33" s="19">
        <v>0</v>
      </c>
      <c r="AE33" s="19">
        <v>0</v>
      </c>
      <c r="AF33" s="19">
        <v>0</v>
      </c>
      <c r="AG33" s="19">
        <v>57830</v>
      </c>
      <c r="AH33" s="19">
        <v>390740</v>
      </c>
      <c r="AI33" s="19">
        <v>0</v>
      </c>
      <c r="AJ33" s="19">
        <v>293055</v>
      </c>
      <c r="AK33" s="19">
        <v>293055</v>
      </c>
      <c r="AL33" s="19">
        <v>0</v>
      </c>
      <c r="AM33" s="19">
        <v>390740</v>
      </c>
      <c r="AN33" s="19">
        <v>0</v>
      </c>
      <c r="AO33" s="19">
        <v>0</v>
      </c>
      <c r="AP33" s="19">
        <v>0</v>
      </c>
      <c r="AQ33" s="19"/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64225.731</v>
      </c>
      <c r="BH33" s="19">
        <v>41412</v>
      </c>
      <c r="BI33" s="19">
        <v>0</v>
      </c>
      <c r="BJ33" s="19">
        <v>0</v>
      </c>
      <c r="BK33" s="19">
        <v>0</v>
      </c>
      <c r="BL33" s="19">
        <v>25025.855421686749</v>
      </c>
      <c r="BM33" s="19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 s="19">
        <v>0</v>
      </c>
      <c r="BW33" s="19">
        <v>0</v>
      </c>
      <c r="BX33" s="19">
        <v>195370</v>
      </c>
      <c r="BY33" s="19">
        <v>0</v>
      </c>
      <c r="BZ33" s="19">
        <v>0</v>
      </c>
      <c r="CA33" s="19">
        <v>0</v>
      </c>
      <c r="CB33">
        <f t="shared" si="0"/>
        <v>3777428.4864216866</v>
      </c>
    </row>
    <row r="34" spans="1:80" x14ac:dyDescent="0.25">
      <c r="A34" s="17" t="s">
        <v>109</v>
      </c>
      <c r="B34" s="19">
        <v>171051</v>
      </c>
      <c r="C34" s="19">
        <v>97685</v>
      </c>
      <c r="D34" s="19">
        <v>96698.7</v>
      </c>
      <c r="E34" s="19">
        <v>97685</v>
      </c>
      <c r="F34" s="19">
        <v>0</v>
      </c>
      <c r="G34" s="19">
        <v>0</v>
      </c>
      <c r="H34" s="19">
        <v>0</v>
      </c>
      <c r="I34" s="19">
        <v>0</v>
      </c>
      <c r="J34" s="19">
        <v>37985</v>
      </c>
      <c r="K34" s="19">
        <v>0</v>
      </c>
      <c r="L34" s="19">
        <v>0</v>
      </c>
      <c r="M34" s="19">
        <v>55700</v>
      </c>
      <c r="N34" s="19">
        <v>0</v>
      </c>
      <c r="O34" s="19">
        <v>67656</v>
      </c>
      <c r="P34" s="19">
        <v>0</v>
      </c>
      <c r="Q34" s="19">
        <v>0</v>
      </c>
      <c r="R34" s="19">
        <v>153558</v>
      </c>
      <c r="S34" s="19">
        <v>0</v>
      </c>
      <c r="T34" s="19">
        <v>0</v>
      </c>
      <c r="U34" s="19">
        <v>48842.5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283286.5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341897.5</v>
      </c>
      <c r="AO34" s="19">
        <v>312592</v>
      </c>
      <c r="AP34" s="19">
        <v>101560.06446048801</v>
      </c>
      <c r="AQ34" s="19"/>
      <c r="AR34" s="19">
        <v>138141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5000</v>
      </c>
      <c r="BD34" s="19">
        <v>195370</v>
      </c>
      <c r="BE34" s="19">
        <v>73263.75</v>
      </c>
      <c r="BF34" s="19">
        <v>0</v>
      </c>
      <c r="BG34" s="19">
        <v>52628.864194180045</v>
      </c>
      <c r="BH34" s="19">
        <v>18444</v>
      </c>
      <c r="BI34" s="19">
        <v>0</v>
      </c>
      <c r="BJ34" s="19">
        <v>0</v>
      </c>
      <c r="BK34" s="19">
        <v>0</v>
      </c>
      <c r="BL34" s="19">
        <v>17540.114285714284</v>
      </c>
      <c r="BM34" s="19">
        <v>0</v>
      </c>
      <c r="BN34" s="19">
        <v>0</v>
      </c>
      <c r="BO34" s="19">
        <v>0</v>
      </c>
      <c r="BP34" s="19">
        <v>3020</v>
      </c>
      <c r="BQ34" s="19">
        <v>23000</v>
      </c>
      <c r="BR34" s="19">
        <v>0</v>
      </c>
      <c r="BS34" s="19">
        <v>0</v>
      </c>
      <c r="BT34" s="19">
        <v>0</v>
      </c>
      <c r="BU34" s="19">
        <v>100000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>
        <f t="shared" si="0"/>
        <v>2492604.9929403826</v>
      </c>
    </row>
    <row r="35" spans="1:80" x14ac:dyDescent="0.25">
      <c r="A35" s="17" t="s">
        <v>110</v>
      </c>
      <c r="B35" s="19">
        <v>171051</v>
      </c>
      <c r="C35" s="19">
        <v>97685</v>
      </c>
      <c r="D35" s="19">
        <v>262467.89999999997</v>
      </c>
      <c r="E35" s="19">
        <v>0</v>
      </c>
      <c r="F35" s="19">
        <v>0</v>
      </c>
      <c r="G35" s="19">
        <v>605647</v>
      </c>
      <c r="H35" s="19">
        <v>654489.5</v>
      </c>
      <c r="I35" s="19">
        <v>0</v>
      </c>
      <c r="J35" s="19">
        <v>75970</v>
      </c>
      <c r="K35" s="19">
        <v>3</v>
      </c>
      <c r="L35" s="19">
        <v>56659.399999999994</v>
      </c>
      <c r="M35" s="19">
        <v>55700</v>
      </c>
      <c r="N35" s="19">
        <v>58487</v>
      </c>
      <c r="O35" s="19">
        <v>67656</v>
      </c>
      <c r="P35" s="19">
        <v>47542</v>
      </c>
      <c r="Q35" s="19">
        <v>0</v>
      </c>
      <c r="R35" s="19">
        <v>102372</v>
      </c>
      <c r="S35" s="19">
        <v>123402</v>
      </c>
      <c r="T35" s="19">
        <v>0</v>
      </c>
      <c r="U35" s="19">
        <v>97685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459119.5</v>
      </c>
      <c r="AF35" s="19">
        <v>556804.5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245456.2</v>
      </c>
      <c r="AM35" s="19">
        <v>0</v>
      </c>
      <c r="AN35" s="19">
        <v>0</v>
      </c>
      <c r="AO35" s="19">
        <v>0</v>
      </c>
      <c r="AP35" s="19">
        <v>0</v>
      </c>
      <c r="AQ35" s="19"/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62933.061136363634</v>
      </c>
      <c r="BH35" s="19">
        <v>48633</v>
      </c>
      <c r="BI35" s="19">
        <v>0</v>
      </c>
      <c r="BJ35" s="19">
        <v>0</v>
      </c>
      <c r="BK35" s="19">
        <v>0</v>
      </c>
      <c r="BL35" s="19">
        <v>75292.055882352943</v>
      </c>
      <c r="BM35" s="19">
        <v>0</v>
      </c>
      <c r="BN35" s="19">
        <v>0</v>
      </c>
      <c r="BO35" s="19">
        <v>0</v>
      </c>
      <c r="BP35" s="19">
        <v>3460</v>
      </c>
      <c r="BQ35" s="19">
        <v>0</v>
      </c>
      <c r="BR35" s="19">
        <v>12240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>
        <f t="shared" si="0"/>
        <v>3940755.1170187164</v>
      </c>
    </row>
    <row r="36" spans="1:80" x14ac:dyDescent="0.25">
      <c r="A36" s="17" t="s">
        <v>111</v>
      </c>
      <c r="B36" s="19">
        <v>171051</v>
      </c>
      <c r="C36" s="19">
        <v>97685</v>
      </c>
      <c r="D36" s="19">
        <v>0</v>
      </c>
      <c r="E36" s="19">
        <v>0</v>
      </c>
      <c r="F36" s="19">
        <v>195370</v>
      </c>
      <c r="G36" s="19">
        <v>0</v>
      </c>
      <c r="H36" s="19">
        <v>0</v>
      </c>
      <c r="I36" s="19">
        <v>293055</v>
      </c>
      <c r="J36" s="19">
        <v>37985</v>
      </c>
      <c r="K36" s="19">
        <v>0</v>
      </c>
      <c r="L36" s="19">
        <v>0</v>
      </c>
      <c r="M36" s="19">
        <v>55700</v>
      </c>
      <c r="N36" s="19">
        <v>0</v>
      </c>
      <c r="O36" s="19">
        <v>67656</v>
      </c>
      <c r="P36" s="19">
        <v>0</v>
      </c>
      <c r="Q36" s="19">
        <v>97685</v>
      </c>
      <c r="R36" s="19">
        <v>102372</v>
      </c>
      <c r="S36" s="19">
        <v>0</v>
      </c>
      <c r="T36" s="19">
        <v>0</v>
      </c>
      <c r="U36" s="19">
        <v>48842.5</v>
      </c>
      <c r="V36" s="19">
        <v>97685</v>
      </c>
      <c r="W36" s="19">
        <v>97685</v>
      </c>
      <c r="X36" s="19">
        <v>97685</v>
      </c>
      <c r="Y36" s="19">
        <v>97685</v>
      </c>
      <c r="Z36" s="19">
        <v>28915</v>
      </c>
      <c r="AA36" s="19">
        <v>0</v>
      </c>
      <c r="AB36" s="19">
        <v>57830</v>
      </c>
      <c r="AC36" s="19">
        <v>0</v>
      </c>
      <c r="AD36" s="19">
        <v>0</v>
      </c>
      <c r="AE36" s="19">
        <v>0</v>
      </c>
      <c r="AF36" s="19">
        <v>0</v>
      </c>
      <c r="AG36" s="19">
        <v>28915</v>
      </c>
      <c r="AH36" s="19">
        <v>97685</v>
      </c>
      <c r="AI36" s="19">
        <v>28915</v>
      </c>
      <c r="AJ36" s="19">
        <v>195370</v>
      </c>
      <c r="AK36" s="19">
        <v>195370</v>
      </c>
      <c r="AL36" s="19">
        <v>0</v>
      </c>
      <c r="AM36" s="19">
        <v>195370</v>
      </c>
      <c r="AN36" s="19">
        <v>0</v>
      </c>
      <c r="AO36" s="19">
        <v>0</v>
      </c>
      <c r="AP36" s="19">
        <v>0</v>
      </c>
      <c r="AQ36" s="19"/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48842.5</v>
      </c>
      <c r="BF36" s="19">
        <v>0</v>
      </c>
      <c r="BG36" s="19">
        <v>58531.44204545454</v>
      </c>
      <c r="BH36" s="19">
        <v>25752</v>
      </c>
      <c r="BI36" s="19">
        <v>0</v>
      </c>
      <c r="BJ36" s="19">
        <v>0</v>
      </c>
      <c r="BK36" s="19">
        <v>0</v>
      </c>
      <c r="BL36" s="19">
        <v>17128.598356164384</v>
      </c>
      <c r="BM36" s="19">
        <v>2960</v>
      </c>
      <c r="BN36" s="19">
        <v>6633.5634318181837</v>
      </c>
      <c r="BO36" s="19">
        <v>409646.90909090918</v>
      </c>
      <c r="BP36" s="19">
        <v>10080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97685</v>
      </c>
      <c r="BY36" s="19">
        <v>0</v>
      </c>
      <c r="BZ36" s="19">
        <v>0</v>
      </c>
      <c r="CA36" s="19">
        <v>0</v>
      </c>
      <c r="CB36">
        <f t="shared" si="0"/>
        <v>3063771.5129243461</v>
      </c>
    </row>
    <row r="37" spans="1:80" x14ac:dyDescent="0.25">
      <c r="A37" s="17" t="s">
        <v>112</v>
      </c>
      <c r="B37" s="19">
        <v>171051</v>
      </c>
      <c r="C37" s="19">
        <v>97685</v>
      </c>
      <c r="D37" s="19">
        <v>0</v>
      </c>
      <c r="E37" s="19">
        <v>0</v>
      </c>
      <c r="F37" s="19">
        <v>195370</v>
      </c>
      <c r="G37" s="19">
        <v>0</v>
      </c>
      <c r="H37" s="19">
        <v>0</v>
      </c>
      <c r="I37" s="19">
        <v>97685</v>
      </c>
      <c r="J37" s="19">
        <v>37985</v>
      </c>
      <c r="K37" s="19">
        <v>1</v>
      </c>
      <c r="L37" s="19">
        <v>0</v>
      </c>
      <c r="M37" s="19">
        <v>55700</v>
      </c>
      <c r="N37" s="19">
        <v>0</v>
      </c>
      <c r="O37" s="19">
        <v>67656</v>
      </c>
      <c r="P37" s="19">
        <v>0</v>
      </c>
      <c r="Q37" s="19">
        <v>488425</v>
      </c>
      <c r="R37" s="19">
        <v>51186</v>
      </c>
      <c r="S37" s="19">
        <v>41134</v>
      </c>
      <c r="T37" s="19">
        <v>0</v>
      </c>
      <c r="U37" s="19">
        <v>48842.5</v>
      </c>
      <c r="V37" s="19">
        <v>97685</v>
      </c>
      <c r="W37" s="19">
        <v>97685</v>
      </c>
      <c r="X37" s="19">
        <v>97685</v>
      </c>
      <c r="Y37" s="19">
        <v>0</v>
      </c>
      <c r="Z37" s="19">
        <v>0</v>
      </c>
      <c r="AA37" s="19">
        <v>0</v>
      </c>
      <c r="AB37" s="19">
        <v>57830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195370</v>
      </c>
      <c r="AI37" s="19">
        <v>173490</v>
      </c>
      <c r="AJ37" s="19">
        <v>97685</v>
      </c>
      <c r="AK37" s="19">
        <v>97685</v>
      </c>
      <c r="AL37" s="19">
        <v>0</v>
      </c>
      <c r="AM37" s="19">
        <v>97685</v>
      </c>
      <c r="AN37" s="19">
        <v>0</v>
      </c>
      <c r="AO37" s="19">
        <v>0</v>
      </c>
      <c r="AP37" s="19">
        <v>0</v>
      </c>
      <c r="AQ37" s="19"/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73263.75</v>
      </c>
      <c r="BF37" s="19">
        <v>0</v>
      </c>
      <c r="BG37" s="19">
        <v>54636.892499999994</v>
      </c>
      <c r="BH37" s="19">
        <v>21924</v>
      </c>
      <c r="BI37" s="19">
        <v>0</v>
      </c>
      <c r="BJ37" s="19">
        <v>0</v>
      </c>
      <c r="BK37" s="19">
        <v>0</v>
      </c>
      <c r="BL37" s="19">
        <v>15044.674157303371</v>
      </c>
      <c r="BM37" s="19">
        <v>0</v>
      </c>
      <c r="BN37" s="19">
        <v>0</v>
      </c>
      <c r="BO37" s="19">
        <v>0</v>
      </c>
      <c r="BP37" s="19">
        <v>2420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>
        <f t="shared" si="0"/>
        <v>2532809.8166573034</v>
      </c>
    </row>
    <row r="38" spans="1:80" x14ac:dyDescent="0.25">
      <c r="A38" s="17" t="s">
        <v>113</v>
      </c>
      <c r="B38" s="19">
        <v>171051</v>
      </c>
      <c r="C38" s="19">
        <v>97685</v>
      </c>
      <c r="D38" s="19">
        <v>151955.1</v>
      </c>
      <c r="E38" s="19">
        <v>0</v>
      </c>
      <c r="F38" s="19">
        <v>293055</v>
      </c>
      <c r="G38" s="19">
        <v>0</v>
      </c>
      <c r="H38" s="19">
        <v>0</v>
      </c>
      <c r="I38" s="19">
        <v>293055</v>
      </c>
      <c r="J38" s="19">
        <v>75970</v>
      </c>
      <c r="K38" s="19">
        <v>1</v>
      </c>
      <c r="L38" s="19">
        <v>44518.100000000006</v>
      </c>
      <c r="M38" s="19">
        <v>55700</v>
      </c>
      <c r="N38" s="19">
        <v>0</v>
      </c>
      <c r="O38" s="19">
        <v>67656</v>
      </c>
      <c r="P38" s="19">
        <v>0</v>
      </c>
      <c r="Q38" s="19">
        <v>0</v>
      </c>
      <c r="R38" s="19">
        <v>102372</v>
      </c>
      <c r="S38" s="19">
        <v>41134</v>
      </c>
      <c r="T38" s="19">
        <v>195370</v>
      </c>
      <c r="U38" s="19">
        <v>97685</v>
      </c>
      <c r="V38" s="19">
        <v>97685</v>
      </c>
      <c r="W38" s="19">
        <v>97685</v>
      </c>
      <c r="X38" s="19">
        <v>97685</v>
      </c>
      <c r="Y38" s="19">
        <v>195370</v>
      </c>
      <c r="Z38" s="19">
        <v>57830</v>
      </c>
      <c r="AA38" s="19">
        <v>0</v>
      </c>
      <c r="AB38" s="19">
        <v>86745</v>
      </c>
      <c r="AC38" s="19">
        <v>0</v>
      </c>
      <c r="AD38" s="19">
        <v>0</v>
      </c>
      <c r="AE38" s="19">
        <v>0</v>
      </c>
      <c r="AF38" s="19">
        <v>0</v>
      </c>
      <c r="AG38" s="19">
        <v>86745</v>
      </c>
      <c r="AH38" s="19">
        <v>293055</v>
      </c>
      <c r="AI38" s="19">
        <v>0</v>
      </c>
      <c r="AJ38" s="19">
        <v>293055</v>
      </c>
      <c r="AK38" s="19">
        <v>293055</v>
      </c>
      <c r="AL38" s="19">
        <v>0</v>
      </c>
      <c r="AM38" s="19">
        <v>293055</v>
      </c>
      <c r="AN38" s="19">
        <v>0</v>
      </c>
      <c r="AO38" s="19">
        <v>0</v>
      </c>
      <c r="AP38" s="19">
        <v>101560</v>
      </c>
      <c r="AQ38" s="19"/>
      <c r="AR38" s="19">
        <v>0</v>
      </c>
      <c r="AS38" s="19">
        <v>0</v>
      </c>
      <c r="AT38" s="19">
        <v>0</v>
      </c>
      <c r="AU38" s="19">
        <v>0</v>
      </c>
      <c r="AV38" s="19">
        <v>0</v>
      </c>
      <c r="AW38" s="19">
        <v>0</v>
      </c>
      <c r="AX38" s="19">
        <v>0</v>
      </c>
      <c r="AY38" s="19">
        <v>0</v>
      </c>
      <c r="AZ38" s="19">
        <v>0</v>
      </c>
      <c r="BA38" s="19">
        <v>0</v>
      </c>
      <c r="BB38" s="19">
        <v>0</v>
      </c>
      <c r="BC38" s="19">
        <v>0</v>
      </c>
      <c r="BD38" s="19">
        <v>0</v>
      </c>
      <c r="BE38" s="19">
        <v>48842.5</v>
      </c>
      <c r="BF38" s="19">
        <v>0</v>
      </c>
      <c r="BG38" s="19">
        <v>86811.963000000003</v>
      </c>
      <c r="BH38" s="19">
        <v>38106</v>
      </c>
      <c r="BI38" s="19">
        <v>0</v>
      </c>
      <c r="BJ38" s="19">
        <v>0</v>
      </c>
      <c r="BK38" s="19">
        <v>0</v>
      </c>
      <c r="BL38" s="19">
        <v>23818.454545454544</v>
      </c>
      <c r="BM38" s="19">
        <v>4380</v>
      </c>
      <c r="BN38" s="19">
        <v>9838.6891400000022</v>
      </c>
      <c r="BO38" s="19">
        <v>547648</v>
      </c>
      <c r="BP38" s="19">
        <v>4960</v>
      </c>
      <c r="BQ38" s="19">
        <v>0</v>
      </c>
      <c r="BR38" s="19">
        <v>0</v>
      </c>
      <c r="BS38" s="19">
        <v>0</v>
      </c>
      <c r="BT38" s="19">
        <v>0</v>
      </c>
      <c r="BU38" s="19">
        <v>0</v>
      </c>
      <c r="BV38" s="19">
        <v>0</v>
      </c>
      <c r="BW38" s="19">
        <v>0</v>
      </c>
      <c r="BX38" s="19">
        <v>293055</v>
      </c>
      <c r="BY38" s="19">
        <v>0</v>
      </c>
      <c r="BZ38" s="19">
        <v>0</v>
      </c>
      <c r="CA38" s="19">
        <v>0</v>
      </c>
      <c r="CB38">
        <f t="shared" si="0"/>
        <v>4738192.8066854551</v>
      </c>
    </row>
    <row r="39" spans="1:80" x14ac:dyDescent="0.25">
      <c r="A39" s="17" t="s">
        <v>114</v>
      </c>
      <c r="B39" s="19">
        <v>171051</v>
      </c>
      <c r="C39" s="19">
        <v>97685</v>
      </c>
      <c r="D39" s="19">
        <v>179583.30000000002</v>
      </c>
      <c r="E39" s="19">
        <v>97685</v>
      </c>
      <c r="F39" s="19">
        <v>0</v>
      </c>
      <c r="G39" s="19">
        <v>0</v>
      </c>
      <c r="H39" s="19">
        <v>0</v>
      </c>
      <c r="I39" s="19">
        <v>0</v>
      </c>
      <c r="J39" s="19">
        <v>75970</v>
      </c>
      <c r="K39" s="19">
        <v>1</v>
      </c>
      <c r="L39" s="19">
        <v>0</v>
      </c>
      <c r="M39" s="19">
        <v>55700</v>
      </c>
      <c r="N39" s="19">
        <v>0</v>
      </c>
      <c r="O39" s="19">
        <v>67656</v>
      </c>
      <c r="P39" s="19">
        <v>0</v>
      </c>
      <c r="Q39" s="19">
        <v>0</v>
      </c>
      <c r="R39" s="19">
        <v>102372</v>
      </c>
      <c r="S39" s="19">
        <v>41134</v>
      </c>
      <c r="T39" s="19">
        <v>0</v>
      </c>
      <c r="U39" s="19">
        <v>97685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507962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615415.5</v>
      </c>
      <c r="AO39" s="19">
        <v>576341.5</v>
      </c>
      <c r="AP39" s="19">
        <v>0</v>
      </c>
      <c r="AQ39" s="19"/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195370</v>
      </c>
      <c r="BA39" s="19">
        <v>0</v>
      </c>
      <c r="BB39" s="19">
        <v>0</v>
      </c>
      <c r="BC39" s="19">
        <v>5000</v>
      </c>
      <c r="BD39" s="19">
        <v>293055</v>
      </c>
      <c r="BE39" s="19">
        <v>0</v>
      </c>
      <c r="BF39" s="19">
        <v>0</v>
      </c>
      <c r="BG39" s="19">
        <v>65563.391999999993</v>
      </c>
      <c r="BH39" s="19">
        <v>33321</v>
      </c>
      <c r="BI39" s="19">
        <v>0</v>
      </c>
      <c r="BJ39" s="19">
        <v>0</v>
      </c>
      <c r="BK39" s="19">
        <v>52560</v>
      </c>
      <c r="BL39" s="19">
        <v>29301.141237113403</v>
      </c>
      <c r="BM39" s="19">
        <v>0</v>
      </c>
      <c r="BN39" s="19">
        <v>0</v>
      </c>
      <c r="BO39" s="19">
        <v>0</v>
      </c>
      <c r="BP39" s="19">
        <v>0</v>
      </c>
      <c r="BQ39" s="19">
        <v>23000</v>
      </c>
      <c r="BR39" s="19">
        <v>0</v>
      </c>
      <c r="BS39" s="19">
        <v>0</v>
      </c>
      <c r="BT39" s="19">
        <v>0</v>
      </c>
      <c r="BU39" s="19">
        <v>100000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>
        <f t="shared" si="0"/>
        <v>3483411.8332371134</v>
      </c>
    </row>
    <row r="40" spans="1:80" x14ac:dyDescent="0.25">
      <c r="A40" s="17" t="s">
        <v>115</v>
      </c>
      <c r="B40" s="19">
        <v>171051</v>
      </c>
      <c r="C40" s="19">
        <v>97685</v>
      </c>
      <c r="D40" s="19">
        <v>151955.1</v>
      </c>
      <c r="E40" s="19">
        <v>97685</v>
      </c>
      <c r="F40" s="19">
        <v>0</v>
      </c>
      <c r="G40" s="19">
        <v>0</v>
      </c>
      <c r="H40" s="19">
        <v>0</v>
      </c>
      <c r="I40" s="19">
        <v>0</v>
      </c>
      <c r="J40" s="19">
        <v>75970</v>
      </c>
      <c r="K40" s="19">
        <v>2</v>
      </c>
      <c r="L40" s="19">
        <v>0</v>
      </c>
      <c r="M40" s="19">
        <v>55700</v>
      </c>
      <c r="N40" s="19">
        <v>58487</v>
      </c>
      <c r="O40" s="19">
        <v>67656</v>
      </c>
      <c r="P40" s="19">
        <v>0</v>
      </c>
      <c r="Q40" s="19">
        <v>0</v>
      </c>
      <c r="R40" s="19">
        <v>153558</v>
      </c>
      <c r="S40" s="19">
        <v>82268</v>
      </c>
      <c r="T40" s="19">
        <v>0</v>
      </c>
      <c r="U40" s="19">
        <v>97685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478656.50000000006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527499</v>
      </c>
      <c r="AO40" s="19">
        <v>468888</v>
      </c>
      <c r="AP40" s="19">
        <v>0</v>
      </c>
      <c r="AQ40" s="19"/>
      <c r="AR40" s="19">
        <v>138141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5000</v>
      </c>
      <c r="BD40" s="19">
        <v>195370</v>
      </c>
      <c r="BE40" s="19">
        <v>0</v>
      </c>
      <c r="BF40" s="19">
        <v>0</v>
      </c>
      <c r="BG40" s="19">
        <v>75551.593090909097</v>
      </c>
      <c r="BH40" s="19">
        <v>28884</v>
      </c>
      <c r="BI40" s="19">
        <v>0</v>
      </c>
      <c r="BJ40" s="19">
        <v>0</v>
      </c>
      <c r="BK40" s="19">
        <v>0</v>
      </c>
      <c r="BL40" s="19">
        <v>25323.446491228071</v>
      </c>
      <c r="BM40" s="19">
        <v>3320</v>
      </c>
      <c r="BN40" s="19">
        <v>8562.5138836363622</v>
      </c>
      <c r="BO40" s="19">
        <v>423335.81818181789</v>
      </c>
      <c r="BP40" s="19">
        <v>11720</v>
      </c>
      <c r="BQ40" s="19">
        <v>23000</v>
      </c>
      <c r="BR40" s="19">
        <v>0</v>
      </c>
      <c r="BS40" s="19">
        <v>0</v>
      </c>
      <c r="BT40" s="19">
        <v>0</v>
      </c>
      <c r="BU40" s="19">
        <v>100000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>
        <f t="shared" si="0"/>
        <v>3622953.9716475913</v>
      </c>
    </row>
    <row r="41" spans="1:80" x14ac:dyDescent="0.25">
      <c r="A41" s="17" t="s">
        <v>116</v>
      </c>
      <c r="B41" s="19">
        <v>171051</v>
      </c>
      <c r="C41" s="19">
        <v>97685</v>
      </c>
      <c r="D41" s="19">
        <v>110512.8</v>
      </c>
      <c r="E41" s="19">
        <v>0</v>
      </c>
      <c r="F41" s="19">
        <v>293055</v>
      </c>
      <c r="G41" s="19">
        <v>0</v>
      </c>
      <c r="H41" s="19">
        <v>0</v>
      </c>
      <c r="I41" s="19">
        <v>195370</v>
      </c>
      <c r="J41" s="19">
        <v>75970</v>
      </c>
      <c r="K41" s="19">
        <v>3</v>
      </c>
      <c r="L41" s="19">
        <v>0</v>
      </c>
      <c r="M41" s="19">
        <v>55700</v>
      </c>
      <c r="N41" s="19">
        <v>0</v>
      </c>
      <c r="O41" s="19">
        <v>67656</v>
      </c>
      <c r="P41" s="19">
        <v>0</v>
      </c>
      <c r="Q41" s="19">
        <v>0</v>
      </c>
      <c r="R41" s="19">
        <v>51186</v>
      </c>
      <c r="S41" s="19">
        <v>123402</v>
      </c>
      <c r="T41" s="19">
        <v>0</v>
      </c>
      <c r="U41" s="19">
        <v>97685</v>
      </c>
      <c r="V41" s="19">
        <v>97685</v>
      </c>
      <c r="W41" s="19">
        <v>97685</v>
      </c>
      <c r="X41" s="19">
        <v>97685</v>
      </c>
      <c r="Y41" s="19">
        <v>0</v>
      </c>
      <c r="Z41" s="19">
        <v>0</v>
      </c>
      <c r="AA41" s="19">
        <v>0</v>
      </c>
      <c r="AB41" s="19">
        <v>86745</v>
      </c>
      <c r="AC41" s="19">
        <v>0</v>
      </c>
      <c r="AD41" s="19">
        <v>0</v>
      </c>
      <c r="AE41" s="19">
        <v>0</v>
      </c>
      <c r="AF41" s="19">
        <v>0</v>
      </c>
      <c r="AG41" s="19">
        <v>57830</v>
      </c>
      <c r="AH41" s="19">
        <v>293055</v>
      </c>
      <c r="AI41" s="19">
        <v>0</v>
      </c>
      <c r="AJ41" s="19">
        <v>195370</v>
      </c>
      <c r="AK41" s="19">
        <v>195370</v>
      </c>
      <c r="AL41" s="19">
        <v>0</v>
      </c>
      <c r="AM41" s="19">
        <v>195370</v>
      </c>
      <c r="AN41" s="19">
        <v>0</v>
      </c>
      <c r="AO41" s="19">
        <v>0</v>
      </c>
      <c r="AP41" s="19">
        <v>0</v>
      </c>
      <c r="AQ41" s="19"/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59294.029499999997</v>
      </c>
      <c r="BH41" s="19">
        <v>27666</v>
      </c>
      <c r="BI41" s="19">
        <v>0</v>
      </c>
      <c r="BJ41" s="19">
        <v>0</v>
      </c>
      <c r="BK41" s="19">
        <v>0</v>
      </c>
      <c r="BL41" s="19">
        <v>18655.160909090911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195370</v>
      </c>
      <c r="BY41" s="19">
        <v>0</v>
      </c>
      <c r="BZ41" s="19">
        <v>0</v>
      </c>
      <c r="CA41" s="19">
        <v>0</v>
      </c>
      <c r="CB41">
        <f t="shared" si="0"/>
        <v>2957055.9904090911</v>
      </c>
    </row>
    <row r="42" spans="1:80" x14ac:dyDescent="0.25">
      <c r="A42" s="17" t="s">
        <v>117</v>
      </c>
      <c r="B42" s="19">
        <v>171051</v>
      </c>
      <c r="C42" s="19">
        <v>97685</v>
      </c>
      <c r="D42" s="19">
        <v>151955.1</v>
      </c>
      <c r="E42" s="19">
        <v>0</v>
      </c>
      <c r="F42" s="19">
        <v>293055</v>
      </c>
      <c r="G42" s="19">
        <v>0</v>
      </c>
      <c r="H42" s="19">
        <v>0</v>
      </c>
      <c r="I42" s="19">
        <v>293055</v>
      </c>
      <c r="J42" s="19">
        <v>75970</v>
      </c>
      <c r="K42" s="19">
        <v>0</v>
      </c>
      <c r="L42" s="19">
        <v>44518.100000000006</v>
      </c>
      <c r="M42" s="19">
        <v>55700</v>
      </c>
      <c r="N42" s="19">
        <v>0</v>
      </c>
      <c r="O42" s="19">
        <v>67656</v>
      </c>
      <c r="P42" s="19">
        <v>0</v>
      </c>
      <c r="Q42" s="19">
        <v>0</v>
      </c>
      <c r="R42" s="19">
        <v>153558</v>
      </c>
      <c r="S42" s="19">
        <v>0</v>
      </c>
      <c r="T42" s="19">
        <v>146527.5</v>
      </c>
      <c r="U42" s="19">
        <v>97685</v>
      </c>
      <c r="V42" s="19">
        <v>97685</v>
      </c>
      <c r="W42" s="19">
        <v>97685</v>
      </c>
      <c r="X42" s="19">
        <v>97685</v>
      </c>
      <c r="Y42" s="19">
        <v>195370</v>
      </c>
      <c r="Z42" s="19">
        <v>57830</v>
      </c>
      <c r="AA42" s="19">
        <v>0</v>
      </c>
      <c r="AB42" s="19">
        <v>86745</v>
      </c>
      <c r="AC42" s="19">
        <v>0</v>
      </c>
      <c r="AD42" s="19">
        <v>0</v>
      </c>
      <c r="AE42" s="19">
        <v>0</v>
      </c>
      <c r="AF42" s="19">
        <v>0</v>
      </c>
      <c r="AG42" s="19">
        <v>57830</v>
      </c>
      <c r="AH42" s="19">
        <v>293055</v>
      </c>
      <c r="AI42" s="19">
        <v>0</v>
      </c>
      <c r="AJ42" s="19">
        <v>390740</v>
      </c>
      <c r="AK42" s="19">
        <v>195370</v>
      </c>
      <c r="AL42" s="19">
        <v>0</v>
      </c>
      <c r="AM42" s="19">
        <v>390740</v>
      </c>
      <c r="AN42" s="19">
        <v>0</v>
      </c>
      <c r="AO42" s="19">
        <v>0</v>
      </c>
      <c r="AP42" s="19">
        <v>0</v>
      </c>
      <c r="AQ42" s="19"/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77159.052545454557</v>
      </c>
      <c r="BH42" s="19">
        <v>38454</v>
      </c>
      <c r="BI42" s="19">
        <v>0</v>
      </c>
      <c r="BJ42" s="19">
        <v>0</v>
      </c>
      <c r="BK42" s="19">
        <v>0</v>
      </c>
      <c r="BL42" s="19">
        <v>23910</v>
      </c>
      <c r="BM42" s="19">
        <v>4420</v>
      </c>
      <c r="BN42" s="19">
        <v>8744.6926218181761</v>
      </c>
      <c r="BO42" s="19">
        <v>479358.90909090918</v>
      </c>
      <c r="BP42" s="19">
        <v>16200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195370</v>
      </c>
      <c r="BY42" s="19">
        <v>0</v>
      </c>
      <c r="BZ42" s="19">
        <v>0</v>
      </c>
      <c r="CA42" s="19">
        <v>0</v>
      </c>
      <c r="CB42">
        <f t="shared" si="0"/>
        <v>4452767.3542581815</v>
      </c>
    </row>
    <row r="43" spans="1:80" x14ac:dyDescent="0.25">
      <c r="A43" s="17" t="s">
        <v>118</v>
      </c>
      <c r="B43" s="19">
        <v>171051</v>
      </c>
      <c r="C43" s="19">
        <v>97685</v>
      </c>
      <c r="D43" s="19">
        <v>0</v>
      </c>
      <c r="E43" s="19">
        <v>0</v>
      </c>
      <c r="F43" s="19">
        <v>195370</v>
      </c>
      <c r="G43" s="19">
        <v>0</v>
      </c>
      <c r="H43" s="19">
        <v>0</v>
      </c>
      <c r="I43" s="19">
        <v>195370</v>
      </c>
      <c r="J43" s="19">
        <v>37985</v>
      </c>
      <c r="K43" s="19">
        <v>0</v>
      </c>
      <c r="L43" s="19">
        <v>0</v>
      </c>
      <c r="M43" s="19">
        <v>55700</v>
      </c>
      <c r="N43" s="19">
        <v>0</v>
      </c>
      <c r="O43" s="19">
        <v>67656</v>
      </c>
      <c r="P43" s="19">
        <v>0</v>
      </c>
      <c r="Q43" s="19">
        <v>0</v>
      </c>
      <c r="R43" s="19">
        <v>102372</v>
      </c>
      <c r="S43" s="19">
        <v>0</v>
      </c>
      <c r="T43" s="19">
        <v>0</v>
      </c>
      <c r="U43" s="19">
        <v>48842.5</v>
      </c>
      <c r="V43" s="19">
        <v>97685</v>
      </c>
      <c r="W43" s="19">
        <v>97685</v>
      </c>
      <c r="X43" s="19">
        <v>97685</v>
      </c>
      <c r="Y43" s="19">
        <v>195370</v>
      </c>
      <c r="Z43" s="19">
        <v>57830</v>
      </c>
      <c r="AA43" s="19">
        <v>0</v>
      </c>
      <c r="AB43" s="19">
        <v>57830</v>
      </c>
      <c r="AC43" s="19">
        <v>0</v>
      </c>
      <c r="AD43" s="19">
        <v>0</v>
      </c>
      <c r="AE43" s="19">
        <v>0</v>
      </c>
      <c r="AF43" s="19">
        <v>0</v>
      </c>
      <c r="AG43" s="19">
        <v>57830</v>
      </c>
      <c r="AH43" s="19">
        <v>195370</v>
      </c>
      <c r="AI43" s="19">
        <v>0</v>
      </c>
      <c r="AJ43" s="19">
        <v>195370</v>
      </c>
      <c r="AK43" s="19">
        <v>195370</v>
      </c>
      <c r="AL43" s="19">
        <v>0</v>
      </c>
      <c r="AM43" s="19">
        <v>195370</v>
      </c>
      <c r="AN43" s="19">
        <v>0</v>
      </c>
      <c r="AO43" s="19">
        <v>0</v>
      </c>
      <c r="AP43" s="19">
        <v>0</v>
      </c>
      <c r="AQ43" s="19"/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56386.311136363634</v>
      </c>
      <c r="BH43" s="19">
        <v>25491</v>
      </c>
      <c r="BI43" s="19">
        <v>0</v>
      </c>
      <c r="BJ43" s="19">
        <v>0</v>
      </c>
      <c r="BK43" s="19">
        <v>48960</v>
      </c>
      <c r="BL43" s="19">
        <v>16820.361809045226</v>
      </c>
      <c r="BM43" s="19">
        <v>0</v>
      </c>
      <c r="BN43" s="19">
        <v>0</v>
      </c>
      <c r="BO43" s="19">
        <v>0</v>
      </c>
      <c r="BP43" s="19">
        <v>9440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195370</v>
      </c>
      <c r="BY43" s="19">
        <v>0</v>
      </c>
      <c r="BZ43" s="19">
        <v>0</v>
      </c>
      <c r="CA43" s="19">
        <v>0</v>
      </c>
      <c r="CB43">
        <f t="shared" si="0"/>
        <v>2767894.1729454086</v>
      </c>
    </row>
    <row r="44" spans="1:80" x14ac:dyDescent="0.25">
      <c r="A44" s="17" t="s">
        <v>119</v>
      </c>
      <c r="B44" s="19">
        <v>171051</v>
      </c>
      <c r="C44" s="19">
        <v>97685</v>
      </c>
      <c r="D44" s="19">
        <v>110512.8</v>
      </c>
      <c r="E44" s="19">
        <v>0</v>
      </c>
      <c r="F44" s="19">
        <v>293055</v>
      </c>
      <c r="G44" s="19">
        <v>0</v>
      </c>
      <c r="H44" s="19">
        <v>0</v>
      </c>
      <c r="I44" s="19">
        <v>195370</v>
      </c>
      <c r="J44" s="19">
        <v>75970</v>
      </c>
      <c r="K44" s="19">
        <v>0</v>
      </c>
      <c r="L44" s="19">
        <v>0</v>
      </c>
      <c r="M44" s="19">
        <v>55700</v>
      </c>
      <c r="N44" s="19">
        <v>0</v>
      </c>
      <c r="O44" s="19">
        <v>67656</v>
      </c>
      <c r="P44" s="19">
        <v>0</v>
      </c>
      <c r="Q44" s="19">
        <v>0</v>
      </c>
      <c r="R44" s="19">
        <v>102372</v>
      </c>
      <c r="S44" s="19">
        <v>0</v>
      </c>
      <c r="T44" s="19">
        <v>0</v>
      </c>
      <c r="U44" s="19">
        <v>97685</v>
      </c>
      <c r="V44" s="19">
        <v>97685</v>
      </c>
      <c r="W44" s="19">
        <v>97685</v>
      </c>
      <c r="X44" s="19">
        <v>97685</v>
      </c>
      <c r="Y44" s="19">
        <v>97685</v>
      </c>
      <c r="Z44" s="19">
        <v>28915</v>
      </c>
      <c r="AA44" s="19">
        <v>0</v>
      </c>
      <c r="AB44" s="19">
        <v>86745</v>
      </c>
      <c r="AC44" s="19">
        <v>0</v>
      </c>
      <c r="AD44" s="19">
        <v>0</v>
      </c>
      <c r="AE44" s="19">
        <v>0</v>
      </c>
      <c r="AF44" s="19">
        <v>0</v>
      </c>
      <c r="AG44" s="19">
        <v>57830</v>
      </c>
      <c r="AH44" s="19">
        <v>293055</v>
      </c>
      <c r="AI44" s="19">
        <v>0</v>
      </c>
      <c r="AJ44" s="19">
        <v>195370</v>
      </c>
      <c r="AK44" s="19">
        <v>195370</v>
      </c>
      <c r="AL44" s="19">
        <v>0</v>
      </c>
      <c r="AM44" s="19">
        <v>195370</v>
      </c>
      <c r="AN44" s="19">
        <v>0</v>
      </c>
      <c r="AO44" s="19">
        <v>0</v>
      </c>
      <c r="AP44" s="19">
        <v>0</v>
      </c>
      <c r="AQ44" s="19"/>
      <c r="AR44" s="19">
        <v>0</v>
      </c>
      <c r="AS44" s="19">
        <v>0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50614.789499999999</v>
      </c>
      <c r="BH44" s="19">
        <v>28971</v>
      </c>
      <c r="BI44" s="19">
        <v>0</v>
      </c>
      <c r="BJ44" s="19">
        <v>0</v>
      </c>
      <c r="BK44" s="19">
        <v>0</v>
      </c>
      <c r="BL44" s="19">
        <v>18186.966250000001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  <c r="BT44" s="19">
        <v>0</v>
      </c>
      <c r="BU44" s="19">
        <v>0</v>
      </c>
      <c r="BV44" s="19">
        <v>0</v>
      </c>
      <c r="BW44" s="19">
        <v>0</v>
      </c>
      <c r="BX44" s="19">
        <v>195370</v>
      </c>
      <c r="BY44" s="19">
        <v>0</v>
      </c>
      <c r="BZ44" s="19">
        <v>0</v>
      </c>
      <c r="CA44" s="19">
        <v>0</v>
      </c>
      <c r="CB44">
        <f t="shared" si="0"/>
        <v>3003594.5557499998</v>
      </c>
    </row>
    <row r="45" spans="1:80" x14ac:dyDescent="0.25">
      <c r="A45" s="17" t="s">
        <v>121</v>
      </c>
      <c r="B45" s="19">
        <v>171051</v>
      </c>
      <c r="C45" s="19">
        <v>48842.5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37985</v>
      </c>
      <c r="K45" s="19">
        <v>0</v>
      </c>
      <c r="L45" s="19">
        <v>0</v>
      </c>
      <c r="M45" s="19">
        <v>55700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48842.5</v>
      </c>
      <c r="U45" s="19">
        <v>48842.5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156296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v>0</v>
      </c>
      <c r="AO45" s="19">
        <v>0</v>
      </c>
      <c r="AP45" s="19">
        <v>0</v>
      </c>
      <c r="AQ45" s="19"/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15839.7675</v>
      </c>
      <c r="BH45" s="19">
        <v>3306</v>
      </c>
      <c r="BI45" s="19">
        <v>0</v>
      </c>
      <c r="BJ45" s="19">
        <v>0</v>
      </c>
      <c r="BK45" s="19">
        <v>0</v>
      </c>
      <c r="BL45" s="19">
        <v>2592.8000000000002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>
        <f t="shared" si="0"/>
        <v>589298.0675</v>
      </c>
    </row>
    <row r="46" spans="1:80" x14ac:dyDescent="0.25">
      <c r="A46" s="17" t="s">
        <v>123</v>
      </c>
      <c r="B46" s="19">
        <v>171051</v>
      </c>
      <c r="C46" s="19">
        <v>97685</v>
      </c>
      <c r="D46" s="19">
        <v>179583.30000000002</v>
      </c>
      <c r="E46" s="19">
        <v>0</v>
      </c>
      <c r="F46" s="19">
        <v>390740</v>
      </c>
      <c r="G46" s="19">
        <v>0</v>
      </c>
      <c r="H46" s="19">
        <v>0</v>
      </c>
      <c r="I46" s="19">
        <v>293055</v>
      </c>
      <c r="J46" s="19">
        <v>75970</v>
      </c>
      <c r="K46" s="19">
        <v>2</v>
      </c>
      <c r="L46" s="19">
        <v>52612.3</v>
      </c>
      <c r="M46" s="19">
        <v>55700</v>
      </c>
      <c r="N46" s="19">
        <v>0</v>
      </c>
      <c r="O46" s="19">
        <v>67656</v>
      </c>
      <c r="P46" s="19">
        <v>0</v>
      </c>
      <c r="Q46" s="19">
        <v>97685</v>
      </c>
      <c r="R46" s="19">
        <v>51186</v>
      </c>
      <c r="S46" s="19">
        <v>82268</v>
      </c>
      <c r="T46" s="19">
        <v>146527.5</v>
      </c>
      <c r="U46" s="19">
        <v>97685</v>
      </c>
      <c r="V46" s="19">
        <v>97685</v>
      </c>
      <c r="W46" s="19">
        <v>97685</v>
      </c>
      <c r="X46" s="19">
        <v>97685</v>
      </c>
      <c r="Y46" s="19">
        <v>293055</v>
      </c>
      <c r="Z46" s="19">
        <v>86745</v>
      </c>
      <c r="AA46" s="19">
        <v>0</v>
      </c>
      <c r="AB46" s="19">
        <v>115660</v>
      </c>
      <c r="AC46" s="19">
        <v>0</v>
      </c>
      <c r="AD46" s="19">
        <v>0</v>
      </c>
      <c r="AE46" s="19">
        <v>0</v>
      </c>
      <c r="AF46" s="19">
        <v>0</v>
      </c>
      <c r="AG46" s="19">
        <v>86745</v>
      </c>
      <c r="AH46" s="19">
        <v>390740</v>
      </c>
      <c r="AI46" s="19">
        <v>57830</v>
      </c>
      <c r="AJ46" s="19">
        <v>293055</v>
      </c>
      <c r="AK46" s="19">
        <v>293055</v>
      </c>
      <c r="AL46" s="19">
        <v>0</v>
      </c>
      <c r="AM46" s="19">
        <v>293055</v>
      </c>
      <c r="AN46" s="19">
        <v>0</v>
      </c>
      <c r="AO46" s="19">
        <v>0</v>
      </c>
      <c r="AP46" s="19">
        <v>0</v>
      </c>
      <c r="AQ46" s="19"/>
      <c r="AR46" s="19">
        <v>0</v>
      </c>
      <c r="AS46" s="19">
        <v>0</v>
      </c>
      <c r="AT46" s="19">
        <v>0</v>
      </c>
      <c r="AU46" s="19">
        <v>0</v>
      </c>
      <c r="AV46" s="19">
        <v>0</v>
      </c>
      <c r="AW46" s="19">
        <v>0</v>
      </c>
      <c r="AX46" s="19">
        <v>0</v>
      </c>
      <c r="AY46" s="19">
        <v>0</v>
      </c>
      <c r="AZ46" s="19">
        <v>0</v>
      </c>
      <c r="BA46" s="19">
        <v>0</v>
      </c>
      <c r="BB46" s="19">
        <v>0</v>
      </c>
      <c r="BC46" s="19">
        <v>0</v>
      </c>
      <c r="BD46" s="19">
        <v>0</v>
      </c>
      <c r="BE46" s="19">
        <v>97685</v>
      </c>
      <c r="BF46" s="19">
        <v>0</v>
      </c>
      <c r="BG46" s="19">
        <v>84083.079681818184</v>
      </c>
      <c r="BH46" s="19">
        <v>44196</v>
      </c>
      <c r="BI46" s="19">
        <v>0</v>
      </c>
      <c r="BJ46" s="19">
        <v>0</v>
      </c>
      <c r="BK46" s="19">
        <v>0</v>
      </c>
      <c r="BL46" s="19">
        <v>28771.458333333332</v>
      </c>
      <c r="BM46" s="19">
        <v>0</v>
      </c>
      <c r="BN46" s="19">
        <v>0</v>
      </c>
      <c r="BO46" s="19">
        <v>0</v>
      </c>
      <c r="BP46" s="19">
        <v>4960</v>
      </c>
      <c r="BQ46" s="19">
        <v>0</v>
      </c>
      <c r="BR46" s="19">
        <v>0</v>
      </c>
      <c r="BS46" s="19">
        <v>0</v>
      </c>
      <c r="BT46" s="19">
        <v>0</v>
      </c>
      <c r="BU46" s="19">
        <v>0</v>
      </c>
      <c r="BV46" s="19">
        <v>0</v>
      </c>
      <c r="BW46" s="19">
        <v>0</v>
      </c>
      <c r="BX46" s="19">
        <v>293055</v>
      </c>
      <c r="BY46" s="19">
        <v>97685</v>
      </c>
      <c r="BZ46" s="19">
        <v>0</v>
      </c>
      <c r="CA46" s="19">
        <v>0</v>
      </c>
      <c r="CB46">
        <f t="shared" si="0"/>
        <v>4712836.638015151</v>
      </c>
    </row>
    <row r="47" spans="1:80" x14ac:dyDescent="0.25">
      <c r="A47" s="17" t="s">
        <v>124</v>
      </c>
      <c r="B47" s="19">
        <v>171051</v>
      </c>
      <c r="C47" s="19">
        <v>97685</v>
      </c>
      <c r="D47" s="19">
        <v>248653.80000000002</v>
      </c>
      <c r="E47" s="19">
        <v>0</v>
      </c>
      <c r="F47" s="19">
        <v>488425</v>
      </c>
      <c r="G47" s="19">
        <v>0</v>
      </c>
      <c r="H47" s="19">
        <v>0</v>
      </c>
      <c r="I47" s="19">
        <v>488425</v>
      </c>
      <c r="J47" s="19">
        <v>75970</v>
      </c>
      <c r="K47" s="19">
        <v>2</v>
      </c>
      <c r="L47" s="19">
        <v>72847.8</v>
      </c>
      <c r="M47" s="19">
        <v>55700</v>
      </c>
      <c r="N47" s="19">
        <v>0</v>
      </c>
      <c r="O47" s="19">
        <v>67656</v>
      </c>
      <c r="P47" s="19">
        <v>0</v>
      </c>
      <c r="Q47" s="19">
        <v>0</v>
      </c>
      <c r="R47" s="19">
        <v>102372</v>
      </c>
      <c r="S47" s="19">
        <v>82268</v>
      </c>
      <c r="T47" s="19">
        <v>341897.5</v>
      </c>
      <c r="U47" s="19">
        <v>97685</v>
      </c>
      <c r="V47" s="19">
        <v>97685</v>
      </c>
      <c r="W47" s="19">
        <v>97685</v>
      </c>
      <c r="X47" s="19">
        <v>97685</v>
      </c>
      <c r="Y47" s="19">
        <v>0</v>
      </c>
      <c r="Z47" s="19">
        <v>0</v>
      </c>
      <c r="AA47" s="19">
        <v>0</v>
      </c>
      <c r="AB47" s="19">
        <v>144575</v>
      </c>
      <c r="AC47" s="19">
        <v>0</v>
      </c>
      <c r="AD47" s="19">
        <v>0</v>
      </c>
      <c r="AE47" s="19">
        <v>0</v>
      </c>
      <c r="AF47" s="19">
        <v>0</v>
      </c>
      <c r="AG47" s="19">
        <v>86745</v>
      </c>
      <c r="AH47" s="19">
        <v>488425</v>
      </c>
      <c r="AI47" s="19">
        <v>0</v>
      </c>
      <c r="AJ47" s="19">
        <v>488425</v>
      </c>
      <c r="AK47" s="19">
        <v>390740</v>
      </c>
      <c r="AL47" s="19">
        <v>0</v>
      </c>
      <c r="AM47" s="19">
        <v>488425</v>
      </c>
      <c r="AN47" s="19">
        <v>0</v>
      </c>
      <c r="AO47" s="19">
        <v>0</v>
      </c>
      <c r="AP47" s="19">
        <v>0</v>
      </c>
      <c r="AQ47" s="19"/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86950.778999999995</v>
      </c>
      <c r="BH47" s="19">
        <v>63336</v>
      </c>
      <c r="BI47" s="19">
        <v>0</v>
      </c>
      <c r="BJ47" s="19">
        <v>0</v>
      </c>
      <c r="BK47" s="19">
        <v>0</v>
      </c>
      <c r="BL47" s="19">
        <v>37664.315999999999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0</v>
      </c>
      <c r="BU47" s="19">
        <v>0</v>
      </c>
      <c r="BV47" s="19">
        <v>0</v>
      </c>
      <c r="BW47" s="19">
        <v>0</v>
      </c>
      <c r="BX47" s="19">
        <v>293055</v>
      </c>
      <c r="BY47" s="19">
        <v>0</v>
      </c>
      <c r="BZ47" s="19">
        <v>0</v>
      </c>
      <c r="CA47" s="19">
        <v>0</v>
      </c>
      <c r="CB47">
        <f t="shared" si="0"/>
        <v>5252034.1949999994</v>
      </c>
    </row>
    <row r="48" spans="1:80" x14ac:dyDescent="0.25">
      <c r="A48" s="17" t="s">
        <v>125</v>
      </c>
      <c r="B48" s="19">
        <v>171051</v>
      </c>
      <c r="C48" s="19">
        <v>97685</v>
      </c>
      <c r="D48" s="19">
        <v>138141</v>
      </c>
      <c r="E48" s="19">
        <v>97685</v>
      </c>
      <c r="F48" s="19">
        <v>0</v>
      </c>
      <c r="G48" s="19">
        <v>0</v>
      </c>
      <c r="H48" s="19">
        <v>0</v>
      </c>
      <c r="I48" s="19">
        <v>0</v>
      </c>
      <c r="J48" s="19">
        <v>75970</v>
      </c>
      <c r="K48" s="19">
        <v>2</v>
      </c>
      <c r="L48" s="19">
        <v>0</v>
      </c>
      <c r="M48" s="19">
        <v>55700</v>
      </c>
      <c r="N48" s="19">
        <v>0</v>
      </c>
      <c r="O48" s="19">
        <v>67656</v>
      </c>
      <c r="P48" s="19">
        <v>0</v>
      </c>
      <c r="Q48" s="19">
        <v>0</v>
      </c>
      <c r="R48" s="19">
        <v>102372</v>
      </c>
      <c r="S48" s="19">
        <v>82268</v>
      </c>
      <c r="T48" s="19">
        <v>0</v>
      </c>
      <c r="U48" s="19">
        <v>97685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420045.5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478656.50000000006</v>
      </c>
      <c r="AO48" s="19">
        <v>488425</v>
      </c>
      <c r="AP48" s="19">
        <v>0</v>
      </c>
      <c r="AQ48" s="19"/>
      <c r="AR48" s="19">
        <v>138141</v>
      </c>
      <c r="AS48" s="19">
        <v>0</v>
      </c>
      <c r="AT48" s="19">
        <v>0</v>
      </c>
      <c r="AU48" s="19">
        <v>0</v>
      </c>
      <c r="AV48" s="19">
        <v>0</v>
      </c>
      <c r="AW48" s="19">
        <v>0</v>
      </c>
      <c r="AX48" s="19">
        <v>0</v>
      </c>
      <c r="AY48" s="19">
        <v>0</v>
      </c>
      <c r="AZ48" s="19">
        <v>0</v>
      </c>
      <c r="BA48" s="19">
        <v>0</v>
      </c>
      <c r="BB48" s="19">
        <v>0</v>
      </c>
      <c r="BC48" s="19">
        <v>5000</v>
      </c>
      <c r="BD48" s="19">
        <v>195370</v>
      </c>
      <c r="BE48" s="19">
        <v>73263.75</v>
      </c>
      <c r="BF48" s="19">
        <v>0</v>
      </c>
      <c r="BG48" s="19">
        <v>58189.89681818182</v>
      </c>
      <c r="BH48" s="19">
        <v>26970</v>
      </c>
      <c r="BI48" s="19">
        <v>0</v>
      </c>
      <c r="BJ48" s="19">
        <v>0</v>
      </c>
      <c r="BK48" s="19">
        <v>0</v>
      </c>
      <c r="BL48" s="19">
        <v>25393.731707317074</v>
      </c>
      <c r="BM48" s="19">
        <v>0</v>
      </c>
      <c r="BN48" s="19">
        <v>0</v>
      </c>
      <c r="BO48" s="19">
        <v>0</v>
      </c>
      <c r="BP48" s="19">
        <v>3900</v>
      </c>
      <c r="BQ48" s="19">
        <v>23000</v>
      </c>
      <c r="BR48" s="19">
        <v>0</v>
      </c>
      <c r="BS48" s="19">
        <v>0</v>
      </c>
      <c r="BT48" s="19">
        <v>0</v>
      </c>
      <c r="BU48" s="19">
        <v>100000</v>
      </c>
      <c r="BV48" s="19">
        <v>0</v>
      </c>
      <c r="BW48" s="19">
        <v>0</v>
      </c>
      <c r="BX48" s="19">
        <v>0</v>
      </c>
      <c r="BY48" s="19">
        <v>0</v>
      </c>
      <c r="BZ48" s="19">
        <v>0</v>
      </c>
      <c r="CA48" s="19">
        <v>0</v>
      </c>
      <c r="CB48">
        <f t="shared" si="0"/>
        <v>3022570.3785254993</v>
      </c>
    </row>
    <row r="49" spans="1:80" x14ac:dyDescent="0.25">
      <c r="A49" s="17" t="s">
        <v>126</v>
      </c>
      <c r="B49" s="19">
        <v>171051</v>
      </c>
      <c r="C49" s="19">
        <v>97685</v>
      </c>
      <c r="D49" s="19">
        <v>110512.8</v>
      </c>
      <c r="E49" s="19">
        <v>97685</v>
      </c>
      <c r="F49" s="19">
        <v>0</v>
      </c>
      <c r="G49" s="19">
        <v>0</v>
      </c>
      <c r="H49" s="19">
        <v>0</v>
      </c>
      <c r="I49" s="19">
        <v>0</v>
      </c>
      <c r="J49" s="19">
        <v>37985</v>
      </c>
      <c r="K49" s="19">
        <v>1</v>
      </c>
      <c r="L49" s="19">
        <v>0</v>
      </c>
      <c r="M49" s="19">
        <v>55700</v>
      </c>
      <c r="N49" s="19">
        <v>58487</v>
      </c>
      <c r="O49" s="19">
        <v>67656</v>
      </c>
      <c r="P49" s="19">
        <v>0</v>
      </c>
      <c r="Q49" s="19">
        <v>0</v>
      </c>
      <c r="R49" s="19">
        <v>102372</v>
      </c>
      <c r="S49" s="19">
        <v>41134</v>
      </c>
      <c r="T49" s="19">
        <v>0</v>
      </c>
      <c r="U49" s="19">
        <v>48842.5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380971.5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371203</v>
      </c>
      <c r="AO49" s="19">
        <v>332129</v>
      </c>
      <c r="AP49" s="19">
        <v>0</v>
      </c>
      <c r="AQ49" s="19"/>
      <c r="AR49" s="19">
        <v>138141</v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 s="19">
        <v>0</v>
      </c>
      <c r="AY49" s="19">
        <v>0</v>
      </c>
      <c r="AZ49" s="19">
        <v>97685</v>
      </c>
      <c r="BA49" s="19">
        <v>0</v>
      </c>
      <c r="BB49" s="19">
        <v>0</v>
      </c>
      <c r="BC49" s="19">
        <v>5000</v>
      </c>
      <c r="BD49" s="19">
        <v>195370</v>
      </c>
      <c r="BE49" s="19">
        <v>0</v>
      </c>
      <c r="BF49" s="19">
        <v>0</v>
      </c>
      <c r="BG49" s="19">
        <v>59921.051999999996</v>
      </c>
      <c r="BH49" s="19">
        <v>21141</v>
      </c>
      <c r="BI49" s="19">
        <v>0</v>
      </c>
      <c r="BJ49" s="19">
        <v>0</v>
      </c>
      <c r="BK49" s="19">
        <v>0</v>
      </c>
      <c r="BL49" s="19">
        <v>21237.69090909091</v>
      </c>
      <c r="BM49" s="19">
        <v>2430</v>
      </c>
      <c r="BN49" s="19">
        <v>6791.0525599999964</v>
      </c>
      <c r="BO49" s="19">
        <v>312540</v>
      </c>
      <c r="BP49" s="19">
        <v>8720</v>
      </c>
      <c r="BQ49" s="19">
        <v>23000</v>
      </c>
      <c r="BR49" s="19">
        <v>0</v>
      </c>
      <c r="BS49" s="19">
        <v>0</v>
      </c>
      <c r="BT49" s="19">
        <v>0</v>
      </c>
      <c r="BU49" s="19">
        <v>100000</v>
      </c>
      <c r="BV49" s="19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0</v>
      </c>
      <c r="CB49">
        <f t="shared" si="0"/>
        <v>2965391.5954690911</v>
      </c>
    </row>
    <row r="50" spans="1:80" x14ac:dyDescent="0.25">
      <c r="A50" s="17" t="s">
        <v>127</v>
      </c>
      <c r="B50" s="19">
        <v>171051</v>
      </c>
      <c r="C50" s="19">
        <v>97685</v>
      </c>
      <c r="D50" s="19">
        <v>193397.4</v>
      </c>
      <c r="E50" s="19">
        <v>107453.50000000001</v>
      </c>
      <c r="F50" s="19">
        <v>0</v>
      </c>
      <c r="G50" s="19">
        <v>0</v>
      </c>
      <c r="H50" s="19">
        <v>0</v>
      </c>
      <c r="I50" s="19">
        <v>0</v>
      </c>
      <c r="J50" s="19">
        <v>75970</v>
      </c>
      <c r="K50" s="19">
        <v>1</v>
      </c>
      <c r="L50" s="19">
        <v>44518.100000000006</v>
      </c>
      <c r="M50" s="19">
        <v>55700</v>
      </c>
      <c r="N50" s="19">
        <v>58487</v>
      </c>
      <c r="O50" s="19">
        <v>67656</v>
      </c>
      <c r="P50" s="19">
        <v>0</v>
      </c>
      <c r="Q50" s="19">
        <v>0</v>
      </c>
      <c r="R50" s="19">
        <v>102372</v>
      </c>
      <c r="S50" s="19">
        <v>41134</v>
      </c>
      <c r="T50" s="19">
        <v>0</v>
      </c>
      <c r="U50" s="19">
        <v>97685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586110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664258</v>
      </c>
      <c r="AO50" s="19">
        <v>674026.5</v>
      </c>
      <c r="AP50" s="19">
        <v>0</v>
      </c>
      <c r="AQ50" s="19"/>
      <c r="AR50" s="19">
        <v>138141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97685</v>
      </c>
      <c r="BA50" s="19">
        <v>0</v>
      </c>
      <c r="BB50" s="19">
        <v>0</v>
      </c>
      <c r="BC50" s="19">
        <v>5000</v>
      </c>
      <c r="BD50" s="19">
        <v>293055</v>
      </c>
      <c r="BE50" s="19">
        <v>0</v>
      </c>
      <c r="BF50" s="19">
        <v>0</v>
      </c>
      <c r="BG50" s="19">
        <v>85172.556818181809</v>
      </c>
      <c r="BH50" s="19">
        <v>37584</v>
      </c>
      <c r="BI50" s="19">
        <v>0</v>
      </c>
      <c r="BJ50" s="19">
        <v>0</v>
      </c>
      <c r="BK50" s="19">
        <v>0</v>
      </c>
      <c r="BL50" s="19">
        <v>33478.400000000001</v>
      </c>
      <c r="BM50" s="19">
        <v>4320</v>
      </c>
      <c r="BN50" s="19">
        <v>9652.8897727272706</v>
      </c>
      <c r="BO50" s="19">
        <v>475780.3636363633</v>
      </c>
      <c r="BP50" s="19">
        <v>6140</v>
      </c>
      <c r="BQ50" s="19">
        <v>23000</v>
      </c>
      <c r="BR50" s="19">
        <v>0</v>
      </c>
      <c r="BS50" s="19">
        <v>0</v>
      </c>
      <c r="BT50" s="19">
        <v>0</v>
      </c>
      <c r="BU50" s="19">
        <v>100000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>
        <f t="shared" si="0"/>
        <v>4346513.7102272715</v>
      </c>
    </row>
    <row r="51" spans="1:80" x14ac:dyDescent="0.25">
      <c r="A51" s="17" t="s">
        <v>128</v>
      </c>
      <c r="B51" s="19">
        <v>171051</v>
      </c>
      <c r="C51" s="19">
        <v>97685</v>
      </c>
      <c r="D51" s="19">
        <v>110512.8</v>
      </c>
      <c r="E51" s="19">
        <v>0</v>
      </c>
      <c r="F51" s="19">
        <v>195370</v>
      </c>
      <c r="G51" s="19">
        <v>0</v>
      </c>
      <c r="H51" s="19">
        <v>0</v>
      </c>
      <c r="I51" s="19">
        <v>195370</v>
      </c>
      <c r="J51" s="19">
        <v>75970</v>
      </c>
      <c r="K51" s="19">
        <v>0</v>
      </c>
      <c r="L51" s="19">
        <v>0</v>
      </c>
      <c r="M51" s="19">
        <v>55700</v>
      </c>
      <c r="N51" s="19">
        <v>0</v>
      </c>
      <c r="O51" s="19">
        <v>67656</v>
      </c>
      <c r="P51" s="19">
        <v>0</v>
      </c>
      <c r="Q51" s="19">
        <v>0</v>
      </c>
      <c r="R51" s="19">
        <v>102372</v>
      </c>
      <c r="S51" s="19">
        <v>0</v>
      </c>
      <c r="T51" s="19">
        <v>146527.5</v>
      </c>
      <c r="U51" s="19">
        <v>97685</v>
      </c>
      <c r="V51" s="19">
        <v>97685</v>
      </c>
      <c r="W51" s="19">
        <v>97685</v>
      </c>
      <c r="X51" s="19">
        <v>97685</v>
      </c>
      <c r="Y51" s="19">
        <v>195370</v>
      </c>
      <c r="Z51" s="19">
        <v>57830</v>
      </c>
      <c r="AA51" s="19">
        <v>0</v>
      </c>
      <c r="AB51" s="19">
        <v>57830</v>
      </c>
      <c r="AC51" s="19">
        <v>0</v>
      </c>
      <c r="AD51" s="19">
        <v>0</v>
      </c>
      <c r="AE51" s="19">
        <v>0</v>
      </c>
      <c r="AF51" s="19">
        <v>0</v>
      </c>
      <c r="AG51" s="19">
        <v>57830</v>
      </c>
      <c r="AH51" s="19">
        <v>195370</v>
      </c>
      <c r="AI51" s="19">
        <v>0</v>
      </c>
      <c r="AJ51" s="19">
        <v>195370</v>
      </c>
      <c r="AK51" s="19">
        <v>195370</v>
      </c>
      <c r="AL51" s="19">
        <v>0</v>
      </c>
      <c r="AM51" s="19">
        <v>195370</v>
      </c>
      <c r="AN51" s="19">
        <v>0</v>
      </c>
      <c r="AO51" s="19">
        <v>0</v>
      </c>
      <c r="AP51" s="19">
        <v>0</v>
      </c>
      <c r="AQ51" s="19"/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73263.75</v>
      </c>
      <c r="BF51" s="19">
        <v>0</v>
      </c>
      <c r="BG51" s="19">
        <v>51779.546318181812</v>
      </c>
      <c r="BH51" s="19">
        <v>26361</v>
      </c>
      <c r="BI51" s="19">
        <v>0</v>
      </c>
      <c r="BJ51" s="19">
        <v>0</v>
      </c>
      <c r="BK51" s="19">
        <v>0</v>
      </c>
      <c r="BL51" s="19">
        <v>19146.63846153846</v>
      </c>
      <c r="BM51" s="19">
        <v>0</v>
      </c>
      <c r="BN51" s="19">
        <v>0</v>
      </c>
      <c r="BO51" s="19">
        <v>0</v>
      </c>
      <c r="BP51" s="19">
        <v>10720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195370</v>
      </c>
      <c r="BY51" s="19">
        <v>0</v>
      </c>
      <c r="BZ51" s="19">
        <v>0</v>
      </c>
      <c r="CA51" s="19">
        <v>0</v>
      </c>
      <c r="CB51">
        <f t="shared" si="0"/>
        <v>3135935.2347797202</v>
      </c>
    </row>
    <row r="52" spans="1:80" x14ac:dyDescent="0.25">
      <c r="A52" s="17" t="s">
        <v>129</v>
      </c>
      <c r="B52" s="19">
        <v>171051</v>
      </c>
      <c r="C52" s="19">
        <v>97685</v>
      </c>
      <c r="D52" s="19">
        <v>138141</v>
      </c>
      <c r="E52" s="19">
        <v>0</v>
      </c>
      <c r="F52" s="19">
        <v>293055</v>
      </c>
      <c r="G52" s="19">
        <v>0</v>
      </c>
      <c r="H52" s="19">
        <v>0</v>
      </c>
      <c r="I52" s="19">
        <v>293055</v>
      </c>
      <c r="J52" s="19">
        <v>75970</v>
      </c>
      <c r="K52" s="19">
        <v>0</v>
      </c>
      <c r="L52" s="19">
        <v>40471</v>
      </c>
      <c r="M52" s="19">
        <v>55700</v>
      </c>
      <c r="N52" s="19">
        <v>0</v>
      </c>
      <c r="O52" s="19">
        <v>67656</v>
      </c>
      <c r="P52" s="19">
        <v>0</v>
      </c>
      <c r="Q52" s="19">
        <v>0</v>
      </c>
      <c r="R52" s="19">
        <v>102372</v>
      </c>
      <c r="S52" s="19">
        <v>0</v>
      </c>
      <c r="T52" s="19">
        <v>146527.5</v>
      </c>
      <c r="U52" s="19">
        <v>97685</v>
      </c>
      <c r="V52" s="19">
        <v>97685</v>
      </c>
      <c r="W52" s="19">
        <v>97685</v>
      </c>
      <c r="X52" s="19">
        <v>97685</v>
      </c>
      <c r="Y52" s="19">
        <v>0</v>
      </c>
      <c r="Z52" s="19">
        <v>0</v>
      </c>
      <c r="AA52" s="19">
        <v>0</v>
      </c>
      <c r="AB52" s="19">
        <v>86745</v>
      </c>
      <c r="AC52" s="19">
        <v>0</v>
      </c>
      <c r="AD52" s="19">
        <v>0</v>
      </c>
      <c r="AE52" s="19">
        <v>0</v>
      </c>
      <c r="AF52" s="19">
        <v>0</v>
      </c>
      <c r="AG52" s="19">
        <v>57830</v>
      </c>
      <c r="AH52" s="19">
        <v>293055</v>
      </c>
      <c r="AI52" s="19">
        <v>0</v>
      </c>
      <c r="AJ52" s="19">
        <v>293055</v>
      </c>
      <c r="AK52" s="19">
        <v>293055</v>
      </c>
      <c r="AL52" s="19">
        <v>0</v>
      </c>
      <c r="AM52" s="19">
        <v>195370</v>
      </c>
      <c r="AN52" s="19">
        <v>0</v>
      </c>
      <c r="AO52" s="19">
        <v>0</v>
      </c>
      <c r="AP52" s="19">
        <v>0</v>
      </c>
      <c r="AQ52" s="19"/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57362.564999999995</v>
      </c>
      <c r="BH52" s="19">
        <v>35148</v>
      </c>
      <c r="BI52" s="19">
        <v>0</v>
      </c>
      <c r="BJ52" s="19">
        <v>0</v>
      </c>
      <c r="BK52" s="19">
        <v>0</v>
      </c>
      <c r="BL52" s="19">
        <v>22355.475490196077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195370</v>
      </c>
      <c r="BY52" s="19">
        <v>0</v>
      </c>
      <c r="BZ52" s="19">
        <v>0</v>
      </c>
      <c r="CA52" s="19">
        <v>0</v>
      </c>
      <c r="CB52">
        <f t="shared" si="0"/>
        <v>3401769.5404901961</v>
      </c>
    </row>
    <row r="53" spans="1:80" x14ac:dyDescent="0.25">
      <c r="A53" s="17" t="s">
        <v>130</v>
      </c>
      <c r="B53" s="19">
        <v>171051</v>
      </c>
      <c r="C53" s="19">
        <v>97685</v>
      </c>
      <c r="D53" s="19">
        <v>138141</v>
      </c>
      <c r="E53" s="19">
        <v>0</v>
      </c>
      <c r="F53" s="19">
        <v>293055</v>
      </c>
      <c r="G53" s="19">
        <v>0</v>
      </c>
      <c r="H53" s="19">
        <v>0</v>
      </c>
      <c r="I53" s="19">
        <v>195370</v>
      </c>
      <c r="J53" s="19">
        <v>75970</v>
      </c>
      <c r="K53" s="19">
        <v>1</v>
      </c>
      <c r="L53" s="19">
        <v>0</v>
      </c>
      <c r="M53" s="19">
        <v>55700</v>
      </c>
      <c r="N53" s="19">
        <v>0</v>
      </c>
      <c r="O53" s="19">
        <v>67656</v>
      </c>
      <c r="P53" s="19">
        <v>0</v>
      </c>
      <c r="Q53" s="19">
        <v>0</v>
      </c>
      <c r="R53" s="19">
        <v>102372</v>
      </c>
      <c r="S53" s="19">
        <v>41134</v>
      </c>
      <c r="T53" s="19">
        <v>0</v>
      </c>
      <c r="U53" s="19">
        <v>97685</v>
      </c>
      <c r="V53" s="19">
        <v>97685</v>
      </c>
      <c r="W53" s="19">
        <v>97685</v>
      </c>
      <c r="X53" s="19">
        <v>97685</v>
      </c>
      <c r="Y53" s="19">
        <v>195370</v>
      </c>
      <c r="Z53" s="19">
        <v>57830</v>
      </c>
      <c r="AA53" s="19">
        <v>0</v>
      </c>
      <c r="AB53" s="19">
        <v>86745</v>
      </c>
      <c r="AC53" s="19">
        <v>0</v>
      </c>
      <c r="AD53" s="19">
        <v>0</v>
      </c>
      <c r="AE53" s="19">
        <v>0</v>
      </c>
      <c r="AF53" s="19">
        <v>0</v>
      </c>
      <c r="AG53" s="19">
        <v>57830</v>
      </c>
      <c r="AH53" s="19">
        <v>293055</v>
      </c>
      <c r="AI53" s="19">
        <v>0</v>
      </c>
      <c r="AJ53" s="19">
        <v>195370</v>
      </c>
      <c r="AK53" s="19">
        <v>293055</v>
      </c>
      <c r="AL53" s="19">
        <v>0</v>
      </c>
      <c r="AM53" s="19">
        <v>195370</v>
      </c>
      <c r="AN53" s="19">
        <v>0</v>
      </c>
      <c r="AO53" s="19">
        <v>0</v>
      </c>
      <c r="AP53" s="19">
        <v>0</v>
      </c>
      <c r="AQ53" s="19"/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61832.684999999998</v>
      </c>
      <c r="BH53" s="19">
        <v>33582</v>
      </c>
      <c r="BI53" s="19">
        <v>0</v>
      </c>
      <c r="BJ53" s="19">
        <v>0</v>
      </c>
      <c r="BK53" s="19">
        <v>210600</v>
      </c>
      <c r="BL53" s="19">
        <v>22519.27135678392</v>
      </c>
      <c r="BM53" s="19">
        <v>0</v>
      </c>
      <c r="BN53" s="19">
        <v>0</v>
      </c>
      <c r="BO53" s="19">
        <v>0</v>
      </c>
      <c r="BP53" s="19">
        <v>12640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195370</v>
      </c>
      <c r="BY53" s="19">
        <v>0</v>
      </c>
      <c r="BZ53" s="19">
        <v>0</v>
      </c>
      <c r="CA53" s="19">
        <v>0</v>
      </c>
      <c r="CB53">
        <f t="shared" si="0"/>
        <v>3540043.9563567839</v>
      </c>
    </row>
    <row r="54" spans="1:80" x14ac:dyDescent="0.25">
      <c r="A54" s="17" t="s">
        <v>131</v>
      </c>
      <c r="B54" s="19">
        <v>171051</v>
      </c>
      <c r="C54" s="19">
        <v>97685</v>
      </c>
      <c r="D54" s="19">
        <v>138141</v>
      </c>
      <c r="E54" s="19">
        <v>0</v>
      </c>
      <c r="F54" s="19">
        <v>293055</v>
      </c>
      <c r="G54" s="19">
        <v>0</v>
      </c>
      <c r="H54" s="19">
        <v>0</v>
      </c>
      <c r="I54" s="19">
        <v>293055</v>
      </c>
      <c r="J54" s="19">
        <v>75970</v>
      </c>
      <c r="K54" s="19">
        <v>2</v>
      </c>
      <c r="L54" s="19">
        <v>0</v>
      </c>
      <c r="M54" s="19">
        <v>55700</v>
      </c>
      <c r="N54" s="19">
        <v>0</v>
      </c>
      <c r="O54" s="19">
        <v>67656</v>
      </c>
      <c r="P54" s="19">
        <v>0</v>
      </c>
      <c r="Q54" s="19">
        <v>0</v>
      </c>
      <c r="R54" s="19">
        <v>51186</v>
      </c>
      <c r="S54" s="19">
        <v>82268</v>
      </c>
      <c r="T54" s="19">
        <v>0</v>
      </c>
      <c r="U54" s="19">
        <v>97685</v>
      </c>
      <c r="V54" s="19">
        <v>97685</v>
      </c>
      <c r="W54" s="19">
        <v>97685</v>
      </c>
      <c r="X54" s="19">
        <v>97685</v>
      </c>
      <c r="Y54" s="19">
        <v>195370</v>
      </c>
      <c r="Z54" s="19">
        <v>57830</v>
      </c>
      <c r="AA54" s="19">
        <v>0</v>
      </c>
      <c r="AB54" s="19">
        <v>86745</v>
      </c>
      <c r="AC54" s="19">
        <v>0</v>
      </c>
      <c r="AD54" s="19">
        <v>0</v>
      </c>
      <c r="AE54" s="19">
        <v>0</v>
      </c>
      <c r="AF54" s="19">
        <v>0</v>
      </c>
      <c r="AG54" s="19">
        <v>86745</v>
      </c>
      <c r="AH54" s="19">
        <v>293055</v>
      </c>
      <c r="AI54" s="19">
        <v>0</v>
      </c>
      <c r="AJ54" s="19">
        <v>195370</v>
      </c>
      <c r="AK54" s="19">
        <v>195370</v>
      </c>
      <c r="AL54" s="19">
        <v>0</v>
      </c>
      <c r="AM54" s="19">
        <v>293055</v>
      </c>
      <c r="AN54" s="19">
        <v>0</v>
      </c>
      <c r="AO54" s="19">
        <v>0</v>
      </c>
      <c r="AP54" s="19">
        <v>0</v>
      </c>
      <c r="AQ54" s="19"/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66678.651136363624</v>
      </c>
      <c r="BH54" s="19">
        <v>33930</v>
      </c>
      <c r="BI54" s="19">
        <v>0</v>
      </c>
      <c r="BJ54" s="19">
        <v>0</v>
      </c>
      <c r="BK54" s="19">
        <v>0</v>
      </c>
      <c r="BL54" s="19">
        <v>21517.68918918919</v>
      </c>
      <c r="BM54" s="19">
        <v>3900</v>
      </c>
      <c r="BN54" s="19">
        <v>7556.913795454544</v>
      </c>
      <c r="BO54" s="19">
        <v>432710.72727272706</v>
      </c>
      <c r="BP54" s="19">
        <v>13920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293055</v>
      </c>
      <c r="BY54" s="19">
        <v>0</v>
      </c>
      <c r="BZ54" s="19">
        <v>0</v>
      </c>
      <c r="CA54" s="19">
        <v>97685</v>
      </c>
      <c r="CB54">
        <f t="shared" si="0"/>
        <v>4091002.9813937345</v>
      </c>
    </row>
    <row r="55" spans="1:80" x14ac:dyDescent="0.25">
      <c r="A55" s="17" t="s">
        <v>132</v>
      </c>
      <c r="B55" s="19">
        <v>171051</v>
      </c>
      <c r="C55" s="19">
        <v>97685</v>
      </c>
      <c r="D55" s="19">
        <v>96698.7</v>
      </c>
      <c r="E55" s="19">
        <v>97685</v>
      </c>
      <c r="F55" s="19">
        <v>0</v>
      </c>
      <c r="G55" s="19">
        <v>0</v>
      </c>
      <c r="H55" s="19">
        <v>0</v>
      </c>
      <c r="I55" s="19">
        <v>0</v>
      </c>
      <c r="J55" s="19">
        <v>37985</v>
      </c>
      <c r="K55" s="19">
        <v>1</v>
      </c>
      <c r="L55" s="19">
        <v>0</v>
      </c>
      <c r="M55" s="19">
        <v>55700</v>
      </c>
      <c r="N55" s="19">
        <v>58487</v>
      </c>
      <c r="O55" s="19">
        <v>67656</v>
      </c>
      <c r="P55" s="19">
        <v>0</v>
      </c>
      <c r="Q55" s="19">
        <v>0</v>
      </c>
      <c r="R55" s="19">
        <v>153558</v>
      </c>
      <c r="S55" s="19">
        <v>41134</v>
      </c>
      <c r="T55" s="19">
        <v>0</v>
      </c>
      <c r="U55" s="19">
        <v>48842.5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293055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322360.5</v>
      </c>
      <c r="AO55" s="19">
        <v>302823.5</v>
      </c>
      <c r="AP55" s="19">
        <v>0</v>
      </c>
      <c r="AQ55" s="19"/>
      <c r="AR55" s="19">
        <v>138141</v>
      </c>
      <c r="AS55" s="19">
        <v>0</v>
      </c>
      <c r="AT55" s="19">
        <v>0</v>
      </c>
      <c r="AU55" s="19">
        <v>0</v>
      </c>
      <c r="AV55" s="19">
        <v>0</v>
      </c>
      <c r="AW55" s="19">
        <v>0</v>
      </c>
      <c r="AX55" s="19">
        <v>0</v>
      </c>
      <c r="AY55" s="19">
        <v>0</v>
      </c>
      <c r="AZ55" s="19">
        <v>0</v>
      </c>
      <c r="BA55" s="19">
        <v>0</v>
      </c>
      <c r="BB55" s="19">
        <v>0</v>
      </c>
      <c r="BC55" s="19">
        <v>5000</v>
      </c>
      <c r="BD55" s="19">
        <v>195370</v>
      </c>
      <c r="BE55" s="19">
        <v>0</v>
      </c>
      <c r="BF55" s="19">
        <v>0</v>
      </c>
      <c r="BG55" s="19">
        <v>54114.099818181821</v>
      </c>
      <c r="BH55" s="19">
        <v>17922</v>
      </c>
      <c r="BI55" s="19">
        <v>0</v>
      </c>
      <c r="BJ55" s="19">
        <v>0</v>
      </c>
      <c r="BK55" s="19">
        <v>0</v>
      </c>
      <c r="BL55" s="19">
        <v>17603.866666666665</v>
      </c>
      <c r="BM55" s="19">
        <v>0</v>
      </c>
      <c r="BN55" s="19">
        <v>0</v>
      </c>
      <c r="BO55" s="19">
        <v>0</v>
      </c>
      <c r="BP55" s="19">
        <v>7480</v>
      </c>
      <c r="BQ55" s="19">
        <v>23000</v>
      </c>
      <c r="BR55" s="19">
        <v>0</v>
      </c>
      <c r="BS55" s="19">
        <v>0</v>
      </c>
      <c r="BT55" s="19">
        <v>0</v>
      </c>
      <c r="BU55" s="19">
        <v>100000</v>
      </c>
      <c r="BV55" s="19">
        <v>0</v>
      </c>
      <c r="BW55" s="19">
        <v>0</v>
      </c>
      <c r="BX55" s="19">
        <v>0</v>
      </c>
      <c r="BY55" s="19">
        <v>0</v>
      </c>
      <c r="BZ55" s="19">
        <v>0</v>
      </c>
      <c r="CA55" s="19">
        <v>0</v>
      </c>
      <c r="CB55">
        <f t="shared" si="0"/>
        <v>2403353.1664848486</v>
      </c>
    </row>
    <row r="56" spans="1:80" x14ac:dyDescent="0.25">
      <c r="A56" s="17" t="s">
        <v>133</v>
      </c>
      <c r="B56" s="19">
        <v>171051</v>
      </c>
      <c r="C56" s="19">
        <v>97685</v>
      </c>
      <c r="D56" s="19">
        <v>276282</v>
      </c>
      <c r="E56" s="19">
        <v>0</v>
      </c>
      <c r="F56" s="19">
        <v>488425</v>
      </c>
      <c r="G56" s="19">
        <v>0</v>
      </c>
      <c r="H56" s="19">
        <v>0</v>
      </c>
      <c r="I56" s="19">
        <v>488425</v>
      </c>
      <c r="J56" s="19">
        <v>75970</v>
      </c>
      <c r="K56" s="19">
        <v>4</v>
      </c>
      <c r="L56" s="19">
        <v>80942</v>
      </c>
      <c r="M56" s="19">
        <v>55700</v>
      </c>
      <c r="N56" s="19">
        <v>0</v>
      </c>
      <c r="O56" s="19">
        <v>67656</v>
      </c>
      <c r="P56" s="19">
        <v>0</v>
      </c>
      <c r="Q56" s="19">
        <v>0</v>
      </c>
      <c r="R56" s="19">
        <v>51186</v>
      </c>
      <c r="S56" s="19">
        <v>164536</v>
      </c>
      <c r="T56" s="19">
        <v>439582.5</v>
      </c>
      <c r="U56" s="19">
        <v>97685</v>
      </c>
      <c r="V56" s="19">
        <v>97685</v>
      </c>
      <c r="W56" s="19">
        <v>97685</v>
      </c>
      <c r="X56" s="19">
        <v>97685</v>
      </c>
      <c r="Y56" s="19">
        <v>0</v>
      </c>
      <c r="Z56" s="19">
        <v>0</v>
      </c>
      <c r="AA56" s="19">
        <v>0</v>
      </c>
      <c r="AB56" s="19">
        <v>144575</v>
      </c>
      <c r="AC56" s="19">
        <v>0</v>
      </c>
      <c r="AD56" s="19">
        <v>0</v>
      </c>
      <c r="AE56" s="19">
        <v>0</v>
      </c>
      <c r="AF56" s="19">
        <v>0</v>
      </c>
      <c r="AG56" s="19">
        <v>144575</v>
      </c>
      <c r="AH56" s="19">
        <v>586110</v>
      </c>
      <c r="AI56" s="19">
        <v>0</v>
      </c>
      <c r="AJ56" s="19">
        <v>488425</v>
      </c>
      <c r="AK56" s="19">
        <v>390740</v>
      </c>
      <c r="AL56" s="19">
        <v>0</v>
      </c>
      <c r="AM56" s="19">
        <v>488425</v>
      </c>
      <c r="AN56" s="19">
        <v>0</v>
      </c>
      <c r="AO56" s="19">
        <v>0</v>
      </c>
      <c r="AP56" s="19">
        <v>0</v>
      </c>
      <c r="AQ56" s="19"/>
      <c r="AR56" s="19">
        <v>0</v>
      </c>
      <c r="AS56" s="19">
        <v>0</v>
      </c>
      <c r="AT56" s="19">
        <v>0</v>
      </c>
      <c r="AU56" s="19">
        <v>0</v>
      </c>
      <c r="AV56" s="19">
        <v>0</v>
      </c>
      <c r="AW56" s="19">
        <v>0</v>
      </c>
      <c r="AX56" s="19">
        <v>0</v>
      </c>
      <c r="AY56" s="19">
        <v>0</v>
      </c>
      <c r="AZ56" s="19">
        <v>0</v>
      </c>
      <c r="BA56" s="19">
        <v>0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95548.845000000001</v>
      </c>
      <c r="BH56" s="19">
        <v>69252</v>
      </c>
      <c r="BI56" s="19">
        <v>0</v>
      </c>
      <c r="BJ56" s="19">
        <v>0</v>
      </c>
      <c r="BK56" s="19">
        <v>0</v>
      </c>
      <c r="BL56" s="19">
        <v>41633.043478260872</v>
      </c>
      <c r="BM56" s="19">
        <v>0</v>
      </c>
      <c r="BN56" s="19">
        <v>0</v>
      </c>
      <c r="BO56" s="19">
        <v>0</v>
      </c>
      <c r="BP56" s="19">
        <v>0</v>
      </c>
      <c r="BQ56" s="19">
        <v>0</v>
      </c>
      <c r="BR56" s="19">
        <v>0</v>
      </c>
      <c r="BS56" s="19">
        <v>0</v>
      </c>
      <c r="BT56" s="19">
        <v>0</v>
      </c>
      <c r="BU56" s="19">
        <v>0</v>
      </c>
      <c r="BV56" s="19">
        <v>0</v>
      </c>
      <c r="BW56" s="19">
        <v>0</v>
      </c>
      <c r="BX56" s="19">
        <v>488425</v>
      </c>
      <c r="BY56" s="19">
        <v>0</v>
      </c>
      <c r="BZ56" s="19">
        <v>0</v>
      </c>
      <c r="CA56" s="19">
        <v>0</v>
      </c>
      <c r="CB56">
        <f t="shared" si="0"/>
        <v>5785893.3884782605</v>
      </c>
    </row>
    <row r="57" spans="1:80" x14ac:dyDescent="0.25">
      <c r="A57" s="17" t="s">
        <v>134</v>
      </c>
      <c r="B57" s="19">
        <v>171051</v>
      </c>
      <c r="C57" s="19">
        <v>97685</v>
      </c>
      <c r="D57" s="19">
        <v>110512.8</v>
      </c>
      <c r="E57" s="19">
        <v>0</v>
      </c>
      <c r="F57" s="19">
        <v>195370</v>
      </c>
      <c r="G57" s="19">
        <v>0</v>
      </c>
      <c r="H57" s="19">
        <v>0</v>
      </c>
      <c r="I57" s="19">
        <v>195370</v>
      </c>
      <c r="J57" s="19">
        <v>75970</v>
      </c>
      <c r="K57" s="19">
        <v>2</v>
      </c>
      <c r="L57" s="19">
        <v>0</v>
      </c>
      <c r="M57" s="19">
        <v>55700</v>
      </c>
      <c r="N57" s="19">
        <v>0</v>
      </c>
      <c r="O57" s="19">
        <v>67656</v>
      </c>
      <c r="P57" s="19">
        <v>0</v>
      </c>
      <c r="Q57" s="19">
        <v>293055</v>
      </c>
      <c r="R57" s="19">
        <v>51186</v>
      </c>
      <c r="S57" s="19">
        <v>82268</v>
      </c>
      <c r="T57" s="19">
        <v>0</v>
      </c>
      <c r="U57" s="19">
        <v>97685</v>
      </c>
      <c r="V57" s="19">
        <v>97685</v>
      </c>
      <c r="W57" s="19">
        <v>97685</v>
      </c>
      <c r="X57" s="19">
        <v>97685</v>
      </c>
      <c r="Y57" s="19">
        <v>97685</v>
      </c>
      <c r="Z57" s="19">
        <v>28915</v>
      </c>
      <c r="AA57" s="19">
        <v>0</v>
      </c>
      <c r="AB57" s="19">
        <v>57830</v>
      </c>
      <c r="AC57" s="19">
        <v>0</v>
      </c>
      <c r="AD57" s="19">
        <v>0</v>
      </c>
      <c r="AE57" s="19">
        <v>0</v>
      </c>
      <c r="AF57" s="19">
        <v>0</v>
      </c>
      <c r="AG57" s="19">
        <v>28915</v>
      </c>
      <c r="AH57" s="19">
        <v>195370</v>
      </c>
      <c r="AI57" s="19">
        <v>86745</v>
      </c>
      <c r="AJ57" s="19">
        <v>195370</v>
      </c>
      <c r="AK57" s="19">
        <v>195370</v>
      </c>
      <c r="AL57" s="19">
        <v>0</v>
      </c>
      <c r="AM57" s="19">
        <v>195370</v>
      </c>
      <c r="AN57" s="19">
        <v>0</v>
      </c>
      <c r="AO57" s="19">
        <v>0</v>
      </c>
      <c r="AP57" s="19">
        <v>0</v>
      </c>
      <c r="AQ57" s="19"/>
      <c r="AR57" s="19">
        <v>0</v>
      </c>
      <c r="AS57" s="19">
        <v>0</v>
      </c>
      <c r="AT57" s="19">
        <v>0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54879.019499999995</v>
      </c>
      <c r="BH57" s="19">
        <v>29145</v>
      </c>
      <c r="BI57" s="19">
        <v>0</v>
      </c>
      <c r="BJ57" s="19">
        <v>0</v>
      </c>
      <c r="BK57" s="19">
        <v>0</v>
      </c>
      <c r="BL57" s="19">
        <v>19755.400000000001</v>
      </c>
      <c r="BM57" s="19">
        <v>0</v>
      </c>
      <c r="BN57" s="19">
        <v>0</v>
      </c>
      <c r="BO57" s="19">
        <v>0</v>
      </c>
      <c r="BP57" s="19">
        <v>3920</v>
      </c>
      <c r="BQ57" s="19">
        <v>0</v>
      </c>
      <c r="BR57" s="19">
        <v>0</v>
      </c>
      <c r="BS57" s="19">
        <v>0</v>
      </c>
      <c r="BT57" s="19">
        <v>0</v>
      </c>
      <c r="BU57" s="19">
        <v>0</v>
      </c>
      <c r="BV57" s="19">
        <v>0</v>
      </c>
      <c r="BW57" s="19">
        <v>0</v>
      </c>
      <c r="BX57" s="19">
        <v>97685</v>
      </c>
      <c r="BY57" s="19">
        <v>0</v>
      </c>
      <c r="BZ57" s="19">
        <v>0</v>
      </c>
      <c r="CA57" s="19">
        <v>0</v>
      </c>
      <c r="CB57">
        <f t="shared" si="0"/>
        <v>3073520.2194999997</v>
      </c>
    </row>
    <row r="58" spans="1:80" x14ac:dyDescent="0.25">
      <c r="A58" s="17" t="s">
        <v>135</v>
      </c>
      <c r="B58" s="19">
        <v>171051</v>
      </c>
      <c r="C58" s="19">
        <v>97685</v>
      </c>
      <c r="D58" s="19">
        <v>0</v>
      </c>
      <c r="E58" s="19">
        <v>0</v>
      </c>
      <c r="F58" s="19">
        <v>195370</v>
      </c>
      <c r="G58" s="19">
        <v>0</v>
      </c>
      <c r="H58" s="19">
        <v>0</v>
      </c>
      <c r="I58" s="19">
        <v>195370</v>
      </c>
      <c r="J58" s="19">
        <v>37985</v>
      </c>
      <c r="K58" s="19">
        <v>1</v>
      </c>
      <c r="L58" s="19">
        <v>0</v>
      </c>
      <c r="M58" s="19">
        <v>55700</v>
      </c>
      <c r="N58" s="19">
        <v>0</v>
      </c>
      <c r="O58" s="19">
        <v>67656</v>
      </c>
      <c r="P58" s="19">
        <v>0</v>
      </c>
      <c r="Q58" s="19">
        <v>0</v>
      </c>
      <c r="R58" s="19">
        <v>51186</v>
      </c>
      <c r="S58" s="19">
        <v>41134</v>
      </c>
      <c r="T58" s="19">
        <v>0</v>
      </c>
      <c r="U58" s="19">
        <v>48842.5</v>
      </c>
      <c r="V58" s="19">
        <v>97685</v>
      </c>
      <c r="W58" s="19">
        <v>97685</v>
      </c>
      <c r="X58" s="19">
        <v>97685</v>
      </c>
      <c r="Y58" s="19">
        <v>195370</v>
      </c>
      <c r="Z58" s="19">
        <v>57830</v>
      </c>
      <c r="AA58" s="19">
        <v>0</v>
      </c>
      <c r="AB58" s="19">
        <v>57830</v>
      </c>
      <c r="AC58" s="19">
        <v>0</v>
      </c>
      <c r="AD58" s="19">
        <v>0</v>
      </c>
      <c r="AE58" s="19">
        <v>0</v>
      </c>
      <c r="AF58" s="19">
        <v>0</v>
      </c>
      <c r="AG58" s="19">
        <v>57830</v>
      </c>
      <c r="AH58" s="19">
        <v>195370</v>
      </c>
      <c r="AI58" s="19">
        <v>0</v>
      </c>
      <c r="AJ58" s="19">
        <v>195370</v>
      </c>
      <c r="AK58" s="19">
        <v>195370</v>
      </c>
      <c r="AL58" s="19">
        <v>0</v>
      </c>
      <c r="AM58" s="19">
        <v>195370</v>
      </c>
      <c r="AN58" s="19">
        <v>0</v>
      </c>
      <c r="AO58" s="19">
        <v>0</v>
      </c>
      <c r="AP58" s="19">
        <v>0</v>
      </c>
      <c r="AQ58" s="19"/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63753.652499999997</v>
      </c>
      <c r="BH58" s="19">
        <v>24708</v>
      </c>
      <c r="BI58" s="19">
        <v>0</v>
      </c>
      <c r="BJ58" s="19">
        <v>0</v>
      </c>
      <c r="BK58" s="19">
        <v>0</v>
      </c>
      <c r="BL58" s="19">
        <v>17191.849056603773</v>
      </c>
      <c r="BM58" s="19">
        <v>0</v>
      </c>
      <c r="BN58" s="19">
        <v>0</v>
      </c>
      <c r="BO58" s="19">
        <v>0</v>
      </c>
      <c r="BP58" s="19">
        <v>3480</v>
      </c>
      <c r="BQ58" s="19">
        <v>0</v>
      </c>
      <c r="BR58" s="19">
        <v>0</v>
      </c>
      <c r="BS58" s="19">
        <v>0</v>
      </c>
      <c r="BT58" s="19">
        <v>0</v>
      </c>
      <c r="BU58" s="19">
        <v>0</v>
      </c>
      <c r="BV58" s="19">
        <v>0</v>
      </c>
      <c r="BW58" s="19">
        <v>0</v>
      </c>
      <c r="BX58" s="19">
        <v>195370</v>
      </c>
      <c r="BY58" s="19">
        <v>0</v>
      </c>
      <c r="BZ58" s="19">
        <v>0</v>
      </c>
      <c r="CA58" s="19">
        <v>0</v>
      </c>
      <c r="CB58">
        <f t="shared" si="0"/>
        <v>2709879.0015566037</v>
      </c>
    </row>
    <row r="59" spans="1:80" x14ac:dyDescent="0.25">
      <c r="A59" s="17" t="s">
        <v>136</v>
      </c>
      <c r="B59" s="19">
        <v>171051</v>
      </c>
      <c r="C59" s="19">
        <v>97685</v>
      </c>
      <c r="D59" s="19">
        <v>55256.4</v>
      </c>
      <c r="E59" s="19">
        <v>97685</v>
      </c>
      <c r="F59" s="19">
        <v>195370</v>
      </c>
      <c r="G59" s="19">
        <v>0</v>
      </c>
      <c r="H59" s="19">
        <v>0</v>
      </c>
      <c r="I59" s="19">
        <v>195370</v>
      </c>
      <c r="J59" s="19">
        <v>75970</v>
      </c>
      <c r="K59" s="19">
        <v>1</v>
      </c>
      <c r="L59" s="19">
        <v>0</v>
      </c>
      <c r="M59" s="19">
        <v>55700</v>
      </c>
      <c r="N59" s="19">
        <v>0</v>
      </c>
      <c r="O59" s="19">
        <v>67656</v>
      </c>
      <c r="P59" s="19">
        <v>0</v>
      </c>
      <c r="Q59" s="19">
        <v>97685</v>
      </c>
      <c r="R59" s="19">
        <v>102372</v>
      </c>
      <c r="S59" s="19">
        <v>41134</v>
      </c>
      <c r="T59" s="19">
        <v>0</v>
      </c>
      <c r="U59" s="19">
        <v>97685</v>
      </c>
      <c r="V59" s="19">
        <v>97685</v>
      </c>
      <c r="W59" s="19">
        <v>97685</v>
      </c>
      <c r="X59" s="19">
        <v>97685</v>
      </c>
      <c r="Y59" s="19">
        <v>97685</v>
      </c>
      <c r="Z59" s="19">
        <v>28915</v>
      </c>
      <c r="AA59" s="19">
        <v>166064.5</v>
      </c>
      <c r="AB59" s="19">
        <v>57830</v>
      </c>
      <c r="AC59" s="19">
        <v>0</v>
      </c>
      <c r="AD59" s="19">
        <v>0</v>
      </c>
      <c r="AE59" s="19">
        <v>0</v>
      </c>
      <c r="AF59" s="19">
        <v>0</v>
      </c>
      <c r="AG59" s="19">
        <v>28915</v>
      </c>
      <c r="AH59" s="19">
        <v>195370</v>
      </c>
      <c r="AI59" s="19">
        <v>28915</v>
      </c>
      <c r="AJ59" s="19">
        <v>97685</v>
      </c>
      <c r="AK59" s="19">
        <v>195370</v>
      </c>
      <c r="AL59" s="19">
        <v>0</v>
      </c>
      <c r="AM59" s="19">
        <v>195370</v>
      </c>
      <c r="AN59" s="19">
        <v>185601.5</v>
      </c>
      <c r="AO59" s="19">
        <v>166064.5</v>
      </c>
      <c r="AP59" s="19">
        <v>0</v>
      </c>
      <c r="AQ59" s="19"/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5000</v>
      </c>
      <c r="BD59" s="19">
        <v>195370</v>
      </c>
      <c r="BE59" s="19">
        <v>0</v>
      </c>
      <c r="BF59" s="19">
        <v>0</v>
      </c>
      <c r="BG59" s="19">
        <v>80507.870999999999</v>
      </c>
      <c r="BH59" s="19">
        <v>32364</v>
      </c>
      <c r="BI59" s="19">
        <v>0</v>
      </c>
      <c r="BJ59" s="19">
        <v>0</v>
      </c>
      <c r="BK59" s="19">
        <v>0</v>
      </c>
      <c r="BL59" s="19">
        <v>23050.7</v>
      </c>
      <c r="BM59" s="19">
        <v>0</v>
      </c>
      <c r="BN59" s="19">
        <v>0</v>
      </c>
      <c r="BO59" s="19">
        <v>0</v>
      </c>
      <c r="BP59" s="19">
        <v>4280</v>
      </c>
      <c r="BQ59" s="19">
        <v>23000</v>
      </c>
      <c r="BR59" s="19">
        <v>0</v>
      </c>
      <c r="BS59" s="19">
        <v>0</v>
      </c>
      <c r="BT59" s="19">
        <v>0</v>
      </c>
      <c r="BU59" s="19">
        <v>100000</v>
      </c>
      <c r="BV59" s="19">
        <v>0</v>
      </c>
      <c r="BW59" s="19">
        <v>0</v>
      </c>
      <c r="BX59" s="19">
        <v>97685</v>
      </c>
      <c r="BY59" s="19">
        <v>0</v>
      </c>
      <c r="BZ59" s="19">
        <v>0</v>
      </c>
      <c r="CA59" s="19">
        <v>0</v>
      </c>
      <c r="CB59">
        <f t="shared" si="0"/>
        <v>3648718.4709999999</v>
      </c>
    </row>
    <row r="60" spans="1:80" x14ac:dyDescent="0.25">
      <c r="A60" s="17" t="s">
        <v>137</v>
      </c>
      <c r="B60" s="19">
        <v>171051</v>
      </c>
      <c r="C60" s="19">
        <v>97685</v>
      </c>
      <c r="D60" s="19">
        <v>165769.19999999998</v>
      </c>
      <c r="E60" s="19">
        <v>0</v>
      </c>
      <c r="F60" s="19">
        <v>293055</v>
      </c>
      <c r="G60" s="19">
        <v>0</v>
      </c>
      <c r="H60" s="19">
        <v>0</v>
      </c>
      <c r="I60" s="19">
        <v>293055</v>
      </c>
      <c r="J60" s="19">
        <v>75970</v>
      </c>
      <c r="K60" s="19">
        <v>1</v>
      </c>
      <c r="L60" s="19">
        <v>60706.5</v>
      </c>
      <c r="M60" s="19">
        <v>55700</v>
      </c>
      <c r="N60" s="19">
        <v>0</v>
      </c>
      <c r="O60" s="19">
        <v>67656</v>
      </c>
      <c r="P60" s="19">
        <v>0</v>
      </c>
      <c r="Q60" s="19">
        <v>0</v>
      </c>
      <c r="R60" s="19">
        <v>102372</v>
      </c>
      <c r="S60" s="19">
        <v>41134</v>
      </c>
      <c r="T60" s="19">
        <v>146527.5</v>
      </c>
      <c r="U60" s="19">
        <v>97685</v>
      </c>
      <c r="V60" s="19">
        <v>97685</v>
      </c>
      <c r="W60" s="19">
        <v>97685</v>
      </c>
      <c r="X60" s="19">
        <v>97685</v>
      </c>
      <c r="Y60" s="19">
        <v>293055</v>
      </c>
      <c r="Z60" s="19">
        <v>86745</v>
      </c>
      <c r="AA60" s="19">
        <v>146527.5</v>
      </c>
      <c r="AB60" s="19">
        <v>86745</v>
      </c>
      <c r="AC60" s="19">
        <v>0</v>
      </c>
      <c r="AD60" s="19">
        <v>0</v>
      </c>
      <c r="AE60" s="19">
        <v>0</v>
      </c>
      <c r="AF60" s="19">
        <v>0</v>
      </c>
      <c r="AG60" s="19">
        <v>86745</v>
      </c>
      <c r="AH60" s="19">
        <v>293055</v>
      </c>
      <c r="AI60" s="19">
        <v>0</v>
      </c>
      <c r="AJ60" s="19">
        <v>293055</v>
      </c>
      <c r="AK60" s="19">
        <v>293055</v>
      </c>
      <c r="AL60" s="19">
        <v>0</v>
      </c>
      <c r="AM60" s="19">
        <v>293055</v>
      </c>
      <c r="AN60" s="19">
        <v>146527.5</v>
      </c>
      <c r="AO60" s="19">
        <v>146527.5</v>
      </c>
      <c r="AP60" s="19">
        <v>0</v>
      </c>
      <c r="AQ60" s="19"/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5000</v>
      </c>
      <c r="BD60" s="19">
        <v>195370</v>
      </c>
      <c r="BE60" s="19">
        <v>48842.5</v>
      </c>
      <c r="BF60" s="19">
        <v>0</v>
      </c>
      <c r="BG60" s="19">
        <v>83636.022545454543</v>
      </c>
      <c r="BH60" s="19">
        <v>52113</v>
      </c>
      <c r="BI60" s="19">
        <v>0</v>
      </c>
      <c r="BJ60" s="19">
        <v>0</v>
      </c>
      <c r="BK60" s="19">
        <v>154800</v>
      </c>
      <c r="BL60" s="19">
        <v>33309.429166666669</v>
      </c>
      <c r="BM60" s="19">
        <v>0</v>
      </c>
      <c r="BN60" s="19">
        <v>0</v>
      </c>
      <c r="BO60" s="19">
        <v>0</v>
      </c>
      <c r="BP60" s="19">
        <v>5000</v>
      </c>
      <c r="BQ60" s="19">
        <v>23000</v>
      </c>
      <c r="BR60" s="19">
        <v>0</v>
      </c>
      <c r="BS60" s="19">
        <v>0</v>
      </c>
      <c r="BT60" s="19">
        <v>0</v>
      </c>
      <c r="BU60" s="19">
        <v>100000</v>
      </c>
      <c r="BV60" s="19">
        <v>0</v>
      </c>
      <c r="BW60" s="19">
        <v>0</v>
      </c>
      <c r="BX60" s="19">
        <v>293055</v>
      </c>
      <c r="BY60" s="19">
        <v>0</v>
      </c>
      <c r="BZ60" s="19">
        <v>0</v>
      </c>
      <c r="CA60" s="19">
        <v>0</v>
      </c>
      <c r="CB60">
        <f t="shared" si="0"/>
        <v>5120640.6517121205</v>
      </c>
    </row>
    <row r="61" spans="1:80" x14ac:dyDescent="0.25">
      <c r="A61" s="17" t="s">
        <v>138</v>
      </c>
      <c r="B61" s="19">
        <v>171051</v>
      </c>
      <c r="C61" s="19">
        <v>97685</v>
      </c>
      <c r="D61" s="19">
        <v>138141</v>
      </c>
      <c r="E61" s="19">
        <v>0</v>
      </c>
      <c r="F61" s="19">
        <v>293055</v>
      </c>
      <c r="G61" s="19">
        <v>0</v>
      </c>
      <c r="H61" s="19">
        <v>0</v>
      </c>
      <c r="I61" s="19">
        <v>195370</v>
      </c>
      <c r="J61" s="19">
        <v>75970</v>
      </c>
      <c r="K61" s="19">
        <v>1</v>
      </c>
      <c r="L61" s="19">
        <v>0</v>
      </c>
      <c r="M61" s="19">
        <v>55700</v>
      </c>
      <c r="N61" s="19">
        <v>0</v>
      </c>
      <c r="O61" s="19">
        <v>67656</v>
      </c>
      <c r="P61" s="19">
        <v>0</v>
      </c>
      <c r="Q61" s="19">
        <v>0</v>
      </c>
      <c r="R61" s="19">
        <v>51186</v>
      </c>
      <c r="S61" s="19">
        <v>41134</v>
      </c>
      <c r="T61" s="19">
        <v>0</v>
      </c>
      <c r="U61" s="19">
        <v>97685</v>
      </c>
      <c r="V61" s="19">
        <v>97685</v>
      </c>
      <c r="W61" s="19">
        <v>97685</v>
      </c>
      <c r="X61" s="19">
        <v>97685</v>
      </c>
      <c r="Y61" s="19">
        <v>293055</v>
      </c>
      <c r="Z61" s="19">
        <v>86745</v>
      </c>
      <c r="AA61" s="19">
        <v>0</v>
      </c>
      <c r="AB61" s="19">
        <v>86745</v>
      </c>
      <c r="AC61" s="19">
        <v>0</v>
      </c>
      <c r="AD61" s="19">
        <v>0</v>
      </c>
      <c r="AE61" s="19">
        <v>0</v>
      </c>
      <c r="AF61" s="19">
        <v>0</v>
      </c>
      <c r="AG61" s="19">
        <v>86745</v>
      </c>
      <c r="AH61" s="19">
        <v>293055</v>
      </c>
      <c r="AI61" s="19">
        <v>0</v>
      </c>
      <c r="AJ61" s="19">
        <v>293055</v>
      </c>
      <c r="AK61" s="19">
        <v>195370</v>
      </c>
      <c r="AL61" s="19">
        <v>0</v>
      </c>
      <c r="AM61" s="19">
        <v>195370</v>
      </c>
      <c r="AN61" s="19">
        <v>0</v>
      </c>
      <c r="AO61" s="19">
        <v>0</v>
      </c>
      <c r="AP61" s="19">
        <v>0</v>
      </c>
      <c r="AQ61" s="19"/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70134.846136363631</v>
      </c>
      <c r="BH61" s="19">
        <v>34104</v>
      </c>
      <c r="BI61" s="19">
        <v>0</v>
      </c>
      <c r="BJ61" s="19">
        <v>0</v>
      </c>
      <c r="BK61" s="19">
        <v>0</v>
      </c>
      <c r="BL61" s="19">
        <v>22346.209944751383</v>
      </c>
      <c r="BM61" s="19">
        <v>0</v>
      </c>
      <c r="BN61" s="19">
        <v>0</v>
      </c>
      <c r="BO61" s="19">
        <v>0</v>
      </c>
      <c r="BP61" s="19">
        <v>2320</v>
      </c>
      <c r="BQ61" s="19">
        <v>0</v>
      </c>
      <c r="BR61" s="19">
        <v>0</v>
      </c>
      <c r="BS61" s="19">
        <v>0</v>
      </c>
      <c r="BT61" s="19">
        <v>0</v>
      </c>
      <c r="BU61" s="19">
        <v>0</v>
      </c>
      <c r="BV61" s="19">
        <v>0</v>
      </c>
      <c r="BW61" s="19">
        <v>0</v>
      </c>
      <c r="BX61" s="19">
        <v>293055</v>
      </c>
      <c r="BY61" s="19">
        <v>0</v>
      </c>
      <c r="BZ61" s="19">
        <v>0</v>
      </c>
      <c r="CA61" s="19">
        <v>0</v>
      </c>
      <c r="CB61">
        <f t="shared" si="0"/>
        <v>3529789.0560811153</v>
      </c>
    </row>
    <row r="62" spans="1:80" x14ac:dyDescent="0.25">
      <c r="A62" s="17" t="s">
        <v>139</v>
      </c>
      <c r="B62" s="19">
        <v>171051</v>
      </c>
      <c r="C62" s="19">
        <v>0</v>
      </c>
      <c r="D62" s="19">
        <v>0</v>
      </c>
      <c r="E62" s="19">
        <v>0</v>
      </c>
      <c r="F62" s="19">
        <v>0</v>
      </c>
      <c r="G62" s="19">
        <v>322360.5</v>
      </c>
      <c r="H62" s="19">
        <v>390740</v>
      </c>
      <c r="I62" s="19">
        <v>0</v>
      </c>
      <c r="J62" s="19">
        <v>0</v>
      </c>
      <c r="K62" s="19">
        <v>1</v>
      </c>
      <c r="L62" s="19">
        <v>0</v>
      </c>
      <c r="M62" s="19">
        <v>55700</v>
      </c>
      <c r="N62" s="19">
        <v>0</v>
      </c>
      <c r="O62" s="19">
        <v>67656</v>
      </c>
      <c r="P62" s="19">
        <v>0</v>
      </c>
      <c r="Q62" s="19">
        <v>0</v>
      </c>
      <c r="R62" s="19">
        <v>51186</v>
      </c>
      <c r="S62" s="19">
        <v>41134</v>
      </c>
      <c r="T62" s="19">
        <v>0</v>
      </c>
      <c r="U62" s="19">
        <v>97685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234444</v>
      </c>
      <c r="AF62" s="19">
        <v>293055</v>
      </c>
      <c r="AG62" s="19">
        <v>0</v>
      </c>
      <c r="AH62" s="19">
        <v>0</v>
      </c>
      <c r="AI62" s="19">
        <v>0</v>
      </c>
      <c r="AJ62" s="19">
        <v>0</v>
      </c>
      <c r="AK62" s="19">
        <v>0</v>
      </c>
      <c r="AL62" s="19">
        <v>152629.12800000003</v>
      </c>
      <c r="AM62" s="19">
        <v>0</v>
      </c>
      <c r="AN62" s="19">
        <v>0</v>
      </c>
      <c r="AO62" s="19">
        <v>0</v>
      </c>
      <c r="AP62" s="19">
        <v>0</v>
      </c>
      <c r="AQ62" s="19"/>
      <c r="AR62" s="19">
        <v>0</v>
      </c>
      <c r="AS62" s="19">
        <v>0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0</v>
      </c>
      <c r="AZ62" s="19">
        <v>0</v>
      </c>
      <c r="BA62" s="19">
        <v>0</v>
      </c>
      <c r="BB62" s="19">
        <v>0</v>
      </c>
      <c r="BC62" s="19">
        <v>0</v>
      </c>
      <c r="BD62" s="19">
        <v>0</v>
      </c>
      <c r="BE62" s="19">
        <v>0</v>
      </c>
      <c r="BF62" s="19">
        <v>0</v>
      </c>
      <c r="BG62" s="19">
        <v>38013.436523270961</v>
      </c>
      <c r="BH62" s="19">
        <v>31535</v>
      </c>
      <c r="BI62" s="19">
        <v>150000</v>
      </c>
      <c r="BJ62" s="19">
        <v>101560.06446048801</v>
      </c>
      <c r="BK62" s="19">
        <v>0</v>
      </c>
      <c r="BL62" s="19">
        <v>41008.061000000002</v>
      </c>
      <c r="BM62" s="19">
        <v>0</v>
      </c>
      <c r="BN62" s="19">
        <v>0</v>
      </c>
      <c r="BO62" s="19">
        <v>0</v>
      </c>
      <c r="BP62" s="19">
        <v>0</v>
      </c>
      <c r="BQ62" s="19">
        <v>0</v>
      </c>
      <c r="BR62" s="19">
        <v>12240</v>
      </c>
      <c r="BS62" s="19">
        <v>0</v>
      </c>
      <c r="BT62" s="19">
        <v>0</v>
      </c>
      <c r="BU62" s="19">
        <v>0</v>
      </c>
      <c r="BV62" s="19">
        <v>0</v>
      </c>
      <c r="BW62" s="19">
        <v>0</v>
      </c>
      <c r="BX62" s="19">
        <v>0</v>
      </c>
      <c r="BY62" s="19">
        <v>0</v>
      </c>
      <c r="BZ62" s="19">
        <v>0</v>
      </c>
      <c r="CA62" s="19">
        <v>0</v>
      </c>
      <c r="CB62">
        <f t="shared" si="0"/>
        <v>2251998.1899837595</v>
      </c>
    </row>
    <row r="63" spans="1:80" x14ac:dyDescent="0.25">
      <c r="A63" s="17" t="s">
        <v>140</v>
      </c>
      <c r="B63" s="19">
        <v>171051</v>
      </c>
      <c r="C63" s="19">
        <v>97685</v>
      </c>
      <c r="D63" s="19">
        <v>69070.5</v>
      </c>
      <c r="E63" s="19">
        <v>97685</v>
      </c>
      <c r="F63" s="19">
        <v>0</v>
      </c>
      <c r="G63" s="19">
        <v>0</v>
      </c>
      <c r="H63" s="19">
        <v>0</v>
      </c>
      <c r="I63" s="19">
        <v>0</v>
      </c>
      <c r="J63" s="19">
        <v>37985</v>
      </c>
      <c r="K63" s="19">
        <v>1</v>
      </c>
      <c r="L63" s="19">
        <v>0</v>
      </c>
      <c r="M63" s="19">
        <v>55700</v>
      </c>
      <c r="N63" s="19">
        <v>0</v>
      </c>
      <c r="O63" s="19">
        <v>67656</v>
      </c>
      <c r="P63" s="19">
        <v>0</v>
      </c>
      <c r="Q63" s="19">
        <v>0</v>
      </c>
      <c r="R63" s="19">
        <v>0</v>
      </c>
      <c r="S63" s="19">
        <v>41134</v>
      </c>
      <c r="T63" s="19">
        <v>0</v>
      </c>
      <c r="U63" s="19">
        <v>48842.5</v>
      </c>
      <c r="V63" s="19">
        <v>48842.5</v>
      </c>
      <c r="W63" s="19">
        <v>48842.5</v>
      </c>
      <c r="X63" s="19">
        <v>48842.5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9">
        <v>0</v>
      </c>
      <c r="AJ63" s="19">
        <v>0</v>
      </c>
      <c r="AK63" s="19">
        <v>0</v>
      </c>
      <c r="AL63" s="19">
        <v>0</v>
      </c>
      <c r="AM63" s="19">
        <v>0</v>
      </c>
      <c r="AN63" s="19">
        <v>341897.5</v>
      </c>
      <c r="AO63" s="19">
        <v>283286.5</v>
      </c>
      <c r="AP63" s="19">
        <v>0</v>
      </c>
      <c r="AQ63" s="19">
        <v>101560</v>
      </c>
      <c r="AR63" s="19">
        <v>0</v>
      </c>
      <c r="AS63" s="19">
        <v>0</v>
      </c>
      <c r="AT63" s="19">
        <v>0</v>
      </c>
      <c r="AU63" s="19">
        <v>0</v>
      </c>
      <c r="AV63" s="19">
        <v>0</v>
      </c>
      <c r="AW63" s="19">
        <v>0</v>
      </c>
      <c r="AX63" s="19">
        <v>0</v>
      </c>
      <c r="AY63" s="19">
        <v>0</v>
      </c>
      <c r="AZ63" s="19">
        <v>0</v>
      </c>
      <c r="BA63" s="19">
        <v>0</v>
      </c>
      <c r="BB63" s="19">
        <v>0</v>
      </c>
      <c r="BC63" s="19">
        <v>5000</v>
      </c>
      <c r="BD63" s="19">
        <v>97685</v>
      </c>
      <c r="BE63" s="19">
        <v>0</v>
      </c>
      <c r="BF63" s="19">
        <v>0</v>
      </c>
      <c r="BG63" s="19">
        <v>32169.4575</v>
      </c>
      <c r="BH63" s="19">
        <v>12354</v>
      </c>
      <c r="BI63" s="19">
        <v>0</v>
      </c>
      <c r="BJ63" s="19">
        <v>0</v>
      </c>
      <c r="BK63" s="19">
        <v>0</v>
      </c>
      <c r="BL63" s="19">
        <v>14691.140740740741</v>
      </c>
      <c r="BM63" s="19">
        <v>0</v>
      </c>
      <c r="BN63" s="19">
        <v>0</v>
      </c>
      <c r="BO63" s="19">
        <v>0</v>
      </c>
      <c r="BP63" s="19">
        <v>1960</v>
      </c>
      <c r="BQ63" s="19">
        <v>23000</v>
      </c>
      <c r="BR63" s="19">
        <v>0</v>
      </c>
      <c r="BS63" s="19">
        <v>0</v>
      </c>
      <c r="BT63" s="19">
        <v>0</v>
      </c>
      <c r="BU63" s="19">
        <v>100000</v>
      </c>
      <c r="BV63" s="19">
        <v>0</v>
      </c>
      <c r="BW63" s="19">
        <v>0</v>
      </c>
      <c r="BX63" s="19">
        <v>0</v>
      </c>
      <c r="BY63" s="19">
        <v>0</v>
      </c>
      <c r="BZ63" s="19">
        <v>0</v>
      </c>
      <c r="CA63" s="19">
        <v>0</v>
      </c>
      <c r="CB63">
        <f t="shared" si="0"/>
        <v>1846941.0982407408</v>
      </c>
    </row>
    <row r="64" spans="1:80" x14ac:dyDescent="0.25">
      <c r="A64" s="17" t="s">
        <v>141</v>
      </c>
      <c r="B64" s="19">
        <v>171051</v>
      </c>
      <c r="C64" s="19">
        <v>97685</v>
      </c>
      <c r="D64" s="19">
        <v>0</v>
      </c>
      <c r="E64" s="19">
        <v>0</v>
      </c>
      <c r="F64" s="19">
        <v>195370</v>
      </c>
      <c r="G64" s="19">
        <v>0</v>
      </c>
      <c r="H64" s="19">
        <v>0</v>
      </c>
      <c r="I64" s="19">
        <v>97685</v>
      </c>
      <c r="J64" s="19">
        <v>37985</v>
      </c>
      <c r="K64" s="19">
        <v>2</v>
      </c>
      <c r="L64" s="19">
        <v>0</v>
      </c>
      <c r="M64" s="19">
        <v>55700</v>
      </c>
      <c r="N64" s="19">
        <v>0</v>
      </c>
      <c r="O64" s="19">
        <v>67656</v>
      </c>
      <c r="P64" s="19">
        <v>0</v>
      </c>
      <c r="Q64" s="19">
        <v>0</v>
      </c>
      <c r="R64" s="19">
        <v>51186</v>
      </c>
      <c r="S64" s="19">
        <v>82268</v>
      </c>
      <c r="T64" s="19">
        <v>0</v>
      </c>
      <c r="U64" s="19">
        <v>48842.5</v>
      </c>
      <c r="V64" s="19">
        <v>97685</v>
      </c>
      <c r="W64" s="19">
        <v>97685</v>
      </c>
      <c r="X64" s="19">
        <v>97685</v>
      </c>
      <c r="Y64" s="19">
        <v>195370</v>
      </c>
      <c r="Z64" s="19">
        <v>57830</v>
      </c>
      <c r="AA64" s="19">
        <v>0</v>
      </c>
      <c r="AB64" s="19">
        <v>57830</v>
      </c>
      <c r="AC64" s="19">
        <v>0</v>
      </c>
      <c r="AD64" s="19">
        <v>0</v>
      </c>
      <c r="AE64" s="19">
        <v>0</v>
      </c>
      <c r="AF64" s="19">
        <v>0</v>
      </c>
      <c r="AG64" s="19">
        <v>57830</v>
      </c>
      <c r="AH64" s="19">
        <v>97685</v>
      </c>
      <c r="AI64" s="19">
        <v>0</v>
      </c>
      <c r="AJ64" s="19">
        <v>195370</v>
      </c>
      <c r="AK64" s="19">
        <v>195370</v>
      </c>
      <c r="AL64" s="19">
        <v>0</v>
      </c>
      <c r="AM64" s="19">
        <v>195370</v>
      </c>
      <c r="AN64" s="19">
        <v>0</v>
      </c>
      <c r="AO64" s="19">
        <v>0</v>
      </c>
      <c r="AP64" s="19">
        <v>0</v>
      </c>
      <c r="AQ64" s="19"/>
      <c r="AR64" s="19">
        <v>0</v>
      </c>
      <c r="AS64" s="19">
        <v>0</v>
      </c>
      <c r="AT64" s="19">
        <v>0</v>
      </c>
      <c r="AU64" s="19">
        <v>0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  <c r="BA64" s="19">
        <v>0</v>
      </c>
      <c r="BB64" s="19">
        <v>0</v>
      </c>
      <c r="BC64" s="19">
        <v>0</v>
      </c>
      <c r="BD64" s="19">
        <v>0</v>
      </c>
      <c r="BE64" s="19">
        <v>0</v>
      </c>
      <c r="BF64" s="19">
        <v>0</v>
      </c>
      <c r="BG64" s="19">
        <v>47303.332499999997</v>
      </c>
      <c r="BH64" s="19">
        <v>22707</v>
      </c>
      <c r="BI64" s="19">
        <v>0</v>
      </c>
      <c r="BJ64" s="19">
        <v>0</v>
      </c>
      <c r="BK64" s="19">
        <v>46800</v>
      </c>
      <c r="BL64" s="19">
        <v>15237.471153846154</v>
      </c>
      <c r="BM64" s="19">
        <v>0</v>
      </c>
      <c r="BN64" s="19">
        <v>0</v>
      </c>
      <c r="BO64" s="19">
        <v>0</v>
      </c>
      <c r="BP64" s="19">
        <v>9240</v>
      </c>
      <c r="BQ64" s="19">
        <v>0</v>
      </c>
      <c r="BR64" s="19">
        <v>0</v>
      </c>
      <c r="BS64" s="19">
        <v>0</v>
      </c>
      <c r="BT64" s="19">
        <v>0</v>
      </c>
      <c r="BU64" s="19">
        <v>0</v>
      </c>
      <c r="BV64" s="19">
        <v>0</v>
      </c>
      <c r="BW64" s="19">
        <v>0</v>
      </c>
      <c r="BX64" s="19">
        <v>195370</v>
      </c>
      <c r="BY64" s="19">
        <v>0</v>
      </c>
      <c r="BZ64" s="19">
        <v>0</v>
      </c>
      <c r="CA64" s="19">
        <v>0</v>
      </c>
      <c r="CB64">
        <f t="shared" si="0"/>
        <v>2587798.303653846</v>
      </c>
    </row>
    <row r="65" spans="1:80" x14ac:dyDescent="0.25">
      <c r="A65" s="17" t="s">
        <v>142</v>
      </c>
      <c r="B65" s="19">
        <v>171051</v>
      </c>
      <c r="C65" s="19">
        <v>97685</v>
      </c>
      <c r="D65" s="19">
        <v>138141</v>
      </c>
      <c r="E65" s="19">
        <v>0</v>
      </c>
      <c r="F65" s="19">
        <v>293055</v>
      </c>
      <c r="G65" s="19">
        <v>0</v>
      </c>
      <c r="H65" s="19">
        <v>0</v>
      </c>
      <c r="I65" s="19">
        <v>293055</v>
      </c>
      <c r="J65" s="19">
        <v>75970</v>
      </c>
      <c r="K65" s="19">
        <v>3</v>
      </c>
      <c r="L65" s="19">
        <v>40471</v>
      </c>
      <c r="M65" s="19">
        <v>55700</v>
      </c>
      <c r="N65" s="19">
        <v>0</v>
      </c>
      <c r="O65" s="19">
        <v>67656</v>
      </c>
      <c r="P65" s="19">
        <v>0</v>
      </c>
      <c r="Q65" s="19">
        <v>0</v>
      </c>
      <c r="R65" s="19">
        <v>51186</v>
      </c>
      <c r="S65" s="19">
        <v>123402</v>
      </c>
      <c r="T65" s="19">
        <v>146527.5</v>
      </c>
      <c r="U65" s="19">
        <v>97685</v>
      </c>
      <c r="V65" s="19">
        <v>97685</v>
      </c>
      <c r="W65" s="19">
        <v>97685</v>
      </c>
      <c r="X65" s="19">
        <v>97685</v>
      </c>
      <c r="Y65" s="19">
        <v>0</v>
      </c>
      <c r="Z65" s="19">
        <v>0</v>
      </c>
      <c r="AA65" s="19">
        <v>0</v>
      </c>
      <c r="AB65" s="19">
        <v>86745</v>
      </c>
      <c r="AC65" s="19">
        <v>0</v>
      </c>
      <c r="AD65" s="19">
        <v>0</v>
      </c>
      <c r="AE65" s="19">
        <v>0</v>
      </c>
      <c r="AF65" s="19">
        <v>0</v>
      </c>
      <c r="AG65" s="19">
        <v>57830</v>
      </c>
      <c r="AH65" s="19">
        <v>293055</v>
      </c>
      <c r="AI65" s="19">
        <v>0</v>
      </c>
      <c r="AJ65" s="19">
        <v>293055</v>
      </c>
      <c r="AK65" s="19">
        <v>293055</v>
      </c>
      <c r="AL65" s="19">
        <v>0</v>
      </c>
      <c r="AM65" s="19">
        <v>195370</v>
      </c>
      <c r="AN65" s="19">
        <v>0</v>
      </c>
      <c r="AO65" s="19">
        <v>0</v>
      </c>
      <c r="AP65" s="19">
        <v>0</v>
      </c>
      <c r="AQ65" s="19"/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56247.892499999994</v>
      </c>
      <c r="BH65" s="19">
        <v>35061</v>
      </c>
      <c r="BI65" s="19">
        <v>0</v>
      </c>
      <c r="BJ65" s="19">
        <v>0</v>
      </c>
      <c r="BK65" s="19">
        <v>0</v>
      </c>
      <c r="BL65" s="19">
        <v>22500.838783783784</v>
      </c>
      <c r="BM65" s="19">
        <v>0</v>
      </c>
      <c r="BN65" s="19">
        <v>0</v>
      </c>
      <c r="BO65" s="19">
        <v>0</v>
      </c>
      <c r="BP65" s="19">
        <v>0</v>
      </c>
      <c r="BQ65" s="19">
        <v>0</v>
      </c>
      <c r="BR65" s="19">
        <v>0</v>
      </c>
      <c r="BS65" s="19">
        <v>0</v>
      </c>
      <c r="BT65" s="19">
        <v>0</v>
      </c>
      <c r="BU65" s="19">
        <v>0</v>
      </c>
      <c r="BV65" s="19">
        <v>0</v>
      </c>
      <c r="BW65" s="19">
        <v>0</v>
      </c>
      <c r="BX65" s="19">
        <v>195370</v>
      </c>
      <c r="BY65" s="19">
        <v>0</v>
      </c>
      <c r="BZ65" s="19">
        <v>0</v>
      </c>
      <c r="CA65" s="19">
        <v>0</v>
      </c>
      <c r="CB65">
        <f t="shared" si="0"/>
        <v>3472932.2312837839</v>
      </c>
    </row>
    <row r="66" spans="1:80" x14ac:dyDescent="0.25">
      <c r="A66" s="17" t="s">
        <v>143</v>
      </c>
      <c r="B66" s="19">
        <v>171051</v>
      </c>
      <c r="C66" s="19">
        <v>97685</v>
      </c>
      <c r="D66" s="19">
        <v>138141</v>
      </c>
      <c r="E66" s="19">
        <v>0</v>
      </c>
      <c r="F66" s="19">
        <v>293055</v>
      </c>
      <c r="G66" s="19">
        <v>0</v>
      </c>
      <c r="H66" s="19">
        <v>0</v>
      </c>
      <c r="I66" s="19">
        <v>195370</v>
      </c>
      <c r="J66" s="19">
        <v>75970</v>
      </c>
      <c r="K66" s="19">
        <v>2</v>
      </c>
      <c r="L66" s="19">
        <v>0</v>
      </c>
      <c r="M66" s="19">
        <v>55700</v>
      </c>
      <c r="N66" s="19">
        <v>0</v>
      </c>
      <c r="O66" s="19">
        <v>67656</v>
      </c>
      <c r="P66" s="19">
        <v>0</v>
      </c>
      <c r="Q66" s="19">
        <v>195370</v>
      </c>
      <c r="R66" s="19">
        <v>102372</v>
      </c>
      <c r="S66" s="19">
        <v>82268</v>
      </c>
      <c r="T66" s="19">
        <v>0</v>
      </c>
      <c r="U66" s="19">
        <v>97685</v>
      </c>
      <c r="V66" s="19">
        <v>195370</v>
      </c>
      <c r="W66" s="19">
        <v>97685</v>
      </c>
      <c r="X66" s="19">
        <v>97685</v>
      </c>
      <c r="Y66" s="19">
        <v>195370</v>
      </c>
      <c r="Z66" s="19">
        <v>57830</v>
      </c>
      <c r="AA66" s="19">
        <v>0</v>
      </c>
      <c r="AB66" s="19">
        <v>86745</v>
      </c>
      <c r="AC66" s="19">
        <v>0</v>
      </c>
      <c r="AD66" s="19">
        <v>0</v>
      </c>
      <c r="AE66" s="19">
        <v>0</v>
      </c>
      <c r="AF66" s="19">
        <v>0</v>
      </c>
      <c r="AG66" s="19">
        <v>57830</v>
      </c>
      <c r="AH66" s="19">
        <v>293055</v>
      </c>
      <c r="AI66" s="19">
        <v>57830</v>
      </c>
      <c r="AJ66" s="19">
        <v>195370</v>
      </c>
      <c r="AK66" s="19">
        <v>293055</v>
      </c>
      <c r="AL66" s="19">
        <v>0</v>
      </c>
      <c r="AM66" s="19">
        <v>195370</v>
      </c>
      <c r="AN66" s="19">
        <v>0</v>
      </c>
      <c r="AO66" s="19">
        <v>0</v>
      </c>
      <c r="AP66" s="19">
        <v>0</v>
      </c>
      <c r="AQ66" s="19"/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48842.5</v>
      </c>
      <c r="BF66" s="19">
        <v>128716</v>
      </c>
      <c r="BG66" s="19">
        <v>78799.19249999999</v>
      </c>
      <c r="BH66" s="19">
        <v>34365</v>
      </c>
      <c r="BI66" s="19">
        <v>0</v>
      </c>
      <c r="BJ66" s="19">
        <v>0</v>
      </c>
      <c r="BK66" s="19">
        <v>0</v>
      </c>
      <c r="BL66" s="19">
        <v>21306.744680851065</v>
      </c>
      <c r="BM66" s="19">
        <v>0</v>
      </c>
      <c r="BN66" s="19">
        <v>0</v>
      </c>
      <c r="BO66" s="19">
        <v>0</v>
      </c>
      <c r="BP66" s="19">
        <v>2840</v>
      </c>
      <c r="BQ66" s="19">
        <v>0</v>
      </c>
      <c r="BR66" s="19">
        <v>0</v>
      </c>
      <c r="BS66" s="19">
        <v>0</v>
      </c>
      <c r="BT66" s="19">
        <v>0</v>
      </c>
      <c r="BU66" s="19">
        <v>0</v>
      </c>
      <c r="BV66" s="19">
        <v>0</v>
      </c>
      <c r="BW66" s="19">
        <v>0</v>
      </c>
      <c r="BX66" s="19">
        <v>195370</v>
      </c>
      <c r="BY66" s="19">
        <v>0</v>
      </c>
      <c r="BZ66" s="19">
        <v>0</v>
      </c>
      <c r="CA66" s="19">
        <v>0</v>
      </c>
      <c r="CB66">
        <f t="shared" si="0"/>
        <v>3905759.4371808511</v>
      </c>
    </row>
    <row r="67" spans="1:80" x14ac:dyDescent="0.25">
      <c r="A67" s="17" t="s">
        <v>144</v>
      </c>
      <c r="B67" s="19">
        <v>171051</v>
      </c>
      <c r="C67" s="19">
        <v>97685</v>
      </c>
      <c r="D67" s="19">
        <v>138141</v>
      </c>
      <c r="E67" s="19">
        <v>0</v>
      </c>
      <c r="F67" s="19">
        <v>293055</v>
      </c>
      <c r="G67" s="19">
        <v>0</v>
      </c>
      <c r="H67" s="19">
        <v>0</v>
      </c>
      <c r="I67" s="19">
        <v>293055</v>
      </c>
      <c r="J67" s="19">
        <v>75970</v>
      </c>
      <c r="K67" s="19">
        <v>0</v>
      </c>
      <c r="L67" s="19">
        <v>40471</v>
      </c>
      <c r="M67" s="19">
        <v>55700</v>
      </c>
      <c r="N67" s="19">
        <v>0</v>
      </c>
      <c r="O67" s="19">
        <v>67656</v>
      </c>
      <c r="P67" s="19">
        <v>0</v>
      </c>
      <c r="Q67" s="19">
        <v>97685</v>
      </c>
      <c r="R67" s="19">
        <v>102372</v>
      </c>
      <c r="S67" s="19">
        <v>0</v>
      </c>
      <c r="T67" s="19">
        <v>146527.5</v>
      </c>
      <c r="U67" s="19">
        <v>97685</v>
      </c>
      <c r="V67" s="19">
        <v>97685</v>
      </c>
      <c r="W67" s="19">
        <v>97685</v>
      </c>
      <c r="X67" s="19">
        <v>97685</v>
      </c>
      <c r="Y67" s="19">
        <v>195370</v>
      </c>
      <c r="Z67" s="19">
        <v>57830</v>
      </c>
      <c r="AA67" s="19">
        <v>0</v>
      </c>
      <c r="AB67" s="19">
        <v>86745</v>
      </c>
      <c r="AC67" s="19">
        <v>0</v>
      </c>
      <c r="AD67" s="19">
        <v>0</v>
      </c>
      <c r="AE67" s="19">
        <v>0</v>
      </c>
      <c r="AF67" s="19">
        <v>0</v>
      </c>
      <c r="AG67" s="19">
        <v>57830</v>
      </c>
      <c r="AH67" s="19">
        <v>293055</v>
      </c>
      <c r="AI67" s="19">
        <v>28915</v>
      </c>
      <c r="AJ67" s="19">
        <v>195370</v>
      </c>
      <c r="AK67" s="19">
        <v>195370</v>
      </c>
      <c r="AL67" s="19">
        <v>0</v>
      </c>
      <c r="AM67" s="19">
        <v>195370</v>
      </c>
      <c r="AN67" s="19">
        <v>0</v>
      </c>
      <c r="AO67" s="19">
        <v>0</v>
      </c>
      <c r="AP67" s="19">
        <v>0</v>
      </c>
      <c r="AQ67" s="19"/>
      <c r="AR67" s="19">
        <v>0</v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v>0</v>
      </c>
      <c r="BA67" s="19">
        <v>0</v>
      </c>
      <c r="BB67" s="19">
        <v>0</v>
      </c>
      <c r="BC67" s="19">
        <v>0</v>
      </c>
      <c r="BD67" s="19">
        <v>0</v>
      </c>
      <c r="BE67" s="19">
        <v>0</v>
      </c>
      <c r="BF67" s="19">
        <v>0</v>
      </c>
      <c r="BG67" s="19">
        <v>58730.343409090907</v>
      </c>
      <c r="BH67" s="19">
        <v>34887</v>
      </c>
      <c r="BI67" s="19">
        <v>0</v>
      </c>
      <c r="BJ67" s="19">
        <v>0</v>
      </c>
      <c r="BK67" s="19">
        <v>0</v>
      </c>
      <c r="BL67" s="19">
        <v>21515.902061855668</v>
      </c>
      <c r="BM67" s="19">
        <v>0</v>
      </c>
      <c r="BN67" s="19">
        <v>0</v>
      </c>
      <c r="BO67" s="19">
        <v>0</v>
      </c>
      <c r="BP67" s="19">
        <v>0</v>
      </c>
      <c r="BQ67" s="19">
        <v>0</v>
      </c>
      <c r="BR67" s="19">
        <v>0</v>
      </c>
      <c r="BS67" s="19">
        <v>0</v>
      </c>
      <c r="BT67" s="19">
        <v>0</v>
      </c>
      <c r="BU67" s="19">
        <v>0</v>
      </c>
      <c r="BV67" s="19">
        <v>0</v>
      </c>
      <c r="BW67" s="19">
        <v>0</v>
      </c>
      <c r="BX67" s="19">
        <v>195370</v>
      </c>
      <c r="BY67" s="19">
        <v>0</v>
      </c>
      <c r="BZ67" s="19">
        <v>0</v>
      </c>
      <c r="CA67" s="19">
        <v>0</v>
      </c>
      <c r="CB67">
        <f t="shared" si="0"/>
        <v>3586466.7454709467</v>
      </c>
    </row>
    <row r="68" spans="1:80" x14ac:dyDescent="0.25">
      <c r="A68" s="17" t="s">
        <v>145</v>
      </c>
      <c r="B68" s="19">
        <v>85525.5</v>
      </c>
      <c r="C68" s="19">
        <v>97685</v>
      </c>
      <c r="D68" s="19">
        <v>234839.69999999998</v>
      </c>
      <c r="E68" s="19">
        <v>97685</v>
      </c>
      <c r="F68" s="19">
        <v>0</v>
      </c>
      <c r="G68" s="19">
        <v>0</v>
      </c>
      <c r="H68" s="19">
        <v>0</v>
      </c>
      <c r="I68" s="19">
        <v>0</v>
      </c>
      <c r="J68" s="19">
        <v>37985</v>
      </c>
      <c r="K68" s="19">
        <v>1</v>
      </c>
      <c r="L68" s="19">
        <v>0</v>
      </c>
      <c r="M68" s="19">
        <v>55700</v>
      </c>
      <c r="N68" s="19">
        <v>0</v>
      </c>
      <c r="O68" s="19">
        <v>67656</v>
      </c>
      <c r="P68" s="19">
        <v>0</v>
      </c>
      <c r="Q68" s="19">
        <v>0</v>
      </c>
      <c r="R68" s="19">
        <v>102372</v>
      </c>
      <c r="S68" s="19">
        <v>41134</v>
      </c>
      <c r="T68" s="19">
        <v>0</v>
      </c>
      <c r="U68" s="19">
        <v>48842.5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273518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361434.5</v>
      </c>
      <c r="AO68" s="19">
        <v>351666</v>
      </c>
      <c r="AP68" s="19">
        <v>0</v>
      </c>
      <c r="AQ68" s="19"/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5000</v>
      </c>
      <c r="BD68" s="19">
        <v>195370</v>
      </c>
      <c r="BE68" s="19">
        <v>0</v>
      </c>
      <c r="BF68" s="19">
        <v>0</v>
      </c>
      <c r="BG68" s="19">
        <v>46451.422772727274</v>
      </c>
      <c r="BH68" s="19">
        <v>19227</v>
      </c>
      <c r="BI68" s="19">
        <v>0</v>
      </c>
      <c r="BJ68" s="19">
        <v>0</v>
      </c>
      <c r="BK68" s="19">
        <v>0</v>
      </c>
      <c r="BL68" s="19">
        <v>20201.686111111114</v>
      </c>
      <c r="BM68" s="19">
        <v>0</v>
      </c>
      <c r="BN68" s="19">
        <v>0</v>
      </c>
      <c r="BO68" s="19">
        <v>0</v>
      </c>
      <c r="BP68" s="19">
        <v>2700</v>
      </c>
      <c r="BQ68" s="19">
        <v>23000</v>
      </c>
      <c r="BR68" s="19">
        <v>0</v>
      </c>
      <c r="BS68" s="19">
        <v>0</v>
      </c>
      <c r="BT68" s="19">
        <v>0</v>
      </c>
      <c r="BU68" s="19">
        <v>100000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>
        <f t="shared" si="0"/>
        <v>2267994.3088838384</v>
      </c>
    </row>
    <row r="69" spans="1:80" x14ac:dyDescent="0.25">
      <c r="A69" s="17" t="s">
        <v>146</v>
      </c>
      <c r="B69" s="19">
        <v>85525.5</v>
      </c>
      <c r="C69" s="19">
        <v>97685</v>
      </c>
      <c r="D69" s="19">
        <v>290096.10000000003</v>
      </c>
      <c r="E69" s="19">
        <v>0</v>
      </c>
      <c r="F69" s="19">
        <v>0</v>
      </c>
      <c r="G69" s="19">
        <v>498193.49999999994</v>
      </c>
      <c r="H69" s="19">
        <v>761943</v>
      </c>
      <c r="I69" s="19">
        <v>0</v>
      </c>
      <c r="J69" s="19">
        <v>75970</v>
      </c>
      <c r="K69" s="19">
        <v>2</v>
      </c>
      <c r="L69" s="19">
        <v>64753.600000000006</v>
      </c>
      <c r="M69" s="19">
        <v>55700</v>
      </c>
      <c r="N69" s="19">
        <v>58487</v>
      </c>
      <c r="O69" s="19">
        <v>67656</v>
      </c>
      <c r="P69" s="19">
        <v>47542</v>
      </c>
      <c r="Q69" s="19">
        <v>0</v>
      </c>
      <c r="R69" s="19">
        <v>153558</v>
      </c>
      <c r="S69" s="19">
        <v>82268</v>
      </c>
      <c r="T69" s="19">
        <v>0</v>
      </c>
      <c r="U69" s="19">
        <v>97685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566573</v>
      </c>
      <c r="AF69" s="19">
        <v>781480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290084.60000000003</v>
      </c>
      <c r="AM69" s="19">
        <v>0</v>
      </c>
      <c r="AN69" s="19">
        <v>0</v>
      </c>
      <c r="AO69" s="19">
        <v>0</v>
      </c>
      <c r="AP69" s="19">
        <v>0</v>
      </c>
      <c r="AQ69" s="19"/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</v>
      </c>
      <c r="AX69" s="19">
        <v>0</v>
      </c>
      <c r="AY69" s="19">
        <v>0</v>
      </c>
      <c r="AZ69" s="19">
        <v>0</v>
      </c>
      <c r="BA69" s="19">
        <v>87556</v>
      </c>
      <c r="BB69" s="19">
        <v>97685</v>
      </c>
      <c r="BC69" s="19">
        <v>0</v>
      </c>
      <c r="BD69" s="19">
        <v>0</v>
      </c>
      <c r="BE69" s="19">
        <v>0</v>
      </c>
      <c r="BF69" s="19">
        <v>0</v>
      </c>
      <c r="BG69" s="19">
        <v>68312.695239634588</v>
      </c>
      <c r="BH69" s="19">
        <v>55593</v>
      </c>
      <c r="BI69" s="19">
        <v>0</v>
      </c>
      <c r="BJ69" s="19">
        <v>0</v>
      </c>
      <c r="BK69" s="19">
        <v>0</v>
      </c>
      <c r="BL69" s="19">
        <v>82712.003750000003</v>
      </c>
      <c r="BM69" s="19">
        <v>0</v>
      </c>
      <c r="BN69" s="19">
        <v>0</v>
      </c>
      <c r="BO69" s="19">
        <v>0</v>
      </c>
      <c r="BP69" s="19">
        <v>5060</v>
      </c>
      <c r="BQ69" s="19">
        <v>0</v>
      </c>
      <c r="BR69" s="19">
        <v>12240</v>
      </c>
      <c r="BS69" s="19">
        <v>101560.06446048801</v>
      </c>
      <c r="BT69" s="19">
        <v>99697</v>
      </c>
      <c r="BU69" s="19">
        <v>0</v>
      </c>
      <c r="BV69" s="19">
        <v>110000</v>
      </c>
      <c r="BW69" s="19">
        <v>268054</v>
      </c>
      <c r="BX69" s="19">
        <v>0</v>
      </c>
      <c r="BY69" s="19">
        <v>0</v>
      </c>
      <c r="BZ69" s="19">
        <v>0</v>
      </c>
      <c r="CA69" s="19">
        <v>0</v>
      </c>
      <c r="CB69">
        <f t="shared" ref="CB69:CB120" si="1">SUM(B69:CA69)</f>
        <v>5063672.0634501232</v>
      </c>
    </row>
    <row r="70" spans="1:80" x14ac:dyDescent="0.25">
      <c r="A70" s="17" t="s">
        <v>147</v>
      </c>
      <c r="B70" s="19">
        <v>171051</v>
      </c>
      <c r="C70" s="19">
        <v>97685</v>
      </c>
      <c r="D70" s="19">
        <v>138141</v>
      </c>
      <c r="E70" s="19">
        <v>0</v>
      </c>
      <c r="F70" s="19">
        <v>195370</v>
      </c>
      <c r="G70" s="19">
        <v>0</v>
      </c>
      <c r="H70" s="19">
        <v>0</v>
      </c>
      <c r="I70" s="19">
        <v>195370</v>
      </c>
      <c r="J70" s="19">
        <v>75970</v>
      </c>
      <c r="K70" s="19">
        <v>0</v>
      </c>
      <c r="L70" s="19">
        <v>0</v>
      </c>
      <c r="M70" s="19">
        <v>55700</v>
      </c>
      <c r="N70" s="19">
        <v>0</v>
      </c>
      <c r="O70" s="19">
        <v>67656</v>
      </c>
      <c r="P70" s="19">
        <v>0</v>
      </c>
      <c r="Q70" s="19">
        <v>293055</v>
      </c>
      <c r="R70" s="19">
        <v>204744</v>
      </c>
      <c r="S70" s="19">
        <v>0</v>
      </c>
      <c r="T70" s="19">
        <v>293055</v>
      </c>
      <c r="U70" s="19">
        <v>97685</v>
      </c>
      <c r="V70" s="19">
        <v>97685</v>
      </c>
      <c r="W70" s="19">
        <v>97685</v>
      </c>
      <c r="X70" s="19">
        <v>97685</v>
      </c>
      <c r="Y70" s="19">
        <v>195370</v>
      </c>
      <c r="Z70" s="19">
        <v>57830</v>
      </c>
      <c r="AA70" s="19">
        <v>0</v>
      </c>
      <c r="AB70" s="19">
        <v>57830</v>
      </c>
      <c r="AC70" s="19">
        <v>0</v>
      </c>
      <c r="AD70" s="19">
        <v>0</v>
      </c>
      <c r="AE70" s="19">
        <v>0</v>
      </c>
      <c r="AF70" s="19">
        <v>0</v>
      </c>
      <c r="AG70" s="19">
        <v>28915</v>
      </c>
      <c r="AH70" s="19">
        <v>195370</v>
      </c>
      <c r="AI70" s="19">
        <v>86745</v>
      </c>
      <c r="AJ70" s="19">
        <v>195370</v>
      </c>
      <c r="AK70" s="19">
        <v>195370</v>
      </c>
      <c r="AL70" s="19">
        <v>0</v>
      </c>
      <c r="AM70" s="19">
        <v>195370</v>
      </c>
      <c r="AN70" s="19">
        <v>0</v>
      </c>
      <c r="AO70" s="19">
        <v>0</v>
      </c>
      <c r="AP70" s="19">
        <v>0</v>
      </c>
      <c r="AQ70" s="19"/>
      <c r="AR70" s="19">
        <v>0</v>
      </c>
      <c r="AS70" s="19">
        <v>0</v>
      </c>
      <c r="AT70" s="19">
        <v>0</v>
      </c>
      <c r="AU70" s="19">
        <v>0</v>
      </c>
      <c r="AV70" s="19">
        <v>0</v>
      </c>
      <c r="AW70" s="19">
        <v>0</v>
      </c>
      <c r="AX70" s="19">
        <v>0</v>
      </c>
      <c r="AY70" s="19">
        <v>0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0</v>
      </c>
      <c r="BF70" s="19">
        <v>0</v>
      </c>
      <c r="BG70" s="19">
        <v>68601.360681818187</v>
      </c>
      <c r="BH70" s="19">
        <v>33147</v>
      </c>
      <c r="BI70" s="19">
        <v>0</v>
      </c>
      <c r="BJ70" s="19">
        <v>0</v>
      </c>
      <c r="BK70" s="19">
        <v>83160</v>
      </c>
      <c r="BL70" s="19">
        <v>20466.909090909092</v>
      </c>
      <c r="BM70" s="19">
        <v>0</v>
      </c>
      <c r="BN70" s="19">
        <v>0</v>
      </c>
      <c r="BO70" s="19">
        <v>0</v>
      </c>
      <c r="BP70" s="19">
        <v>5420</v>
      </c>
      <c r="BQ70" s="19">
        <v>0</v>
      </c>
      <c r="BR70" s="19">
        <v>0</v>
      </c>
      <c r="BS70" s="19">
        <v>0</v>
      </c>
      <c r="BT70" s="19">
        <v>0</v>
      </c>
      <c r="BU70" s="19">
        <v>0</v>
      </c>
      <c r="BV70" s="19">
        <v>0</v>
      </c>
      <c r="BW70" s="19">
        <v>0</v>
      </c>
      <c r="BX70" s="19">
        <v>97685</v>
      </c>
      <c r="BY70" s="19">
        <v>0</v>
      </c>
      <c r="BZ70" s="19">
        <v>0</v>
      </c>
      <c r="CA70" s="19">
        <v>0</v>
      </c>
      <c r="CB70">
        <f t="shared" si="1"/>
        <v>3695187.2697727275</v>
      </c>
    </row>
    <row r="71" spans="1:80" x14ac:dyDescent="0.25">
      <c r="A71" s="17" t="s">
        <v>148</v>
      </c>
      <c r="B71" s="19">
        <v>171051</v>
      </c>
      <c r="C71" s="19">
        <v>97685</v>
      </c>
      <c r="D71" s="19">
        <v>138141</v>
      </c>
      <c r="E71" s="19">
        <v>0</v>
      </c>
      <c r="F71" s="19">
        <v>293055</v>
      </c>
      <c r="G71" s="19">
        <v>0</v>
      </c>
      <c r="H71" s="19">
        <v>0</v>
      </c>
      <c r="I71" s="19">
        <v>293055</v>
      </c>
      <c r="J71" s="19">
        <v>75970</v>
      </c>
      <c r="K71" s="19">
        <v>2</v>
      </c>
      <c r="L71" s="19">
        <v>40471</v>
      </c>
      <c r="M71" s="19">
        <v>55700</v>
      </c>
      <c r="N71" s="19">
        <v>0</v>
      </c>
      <c r="O71" s="19">
        <v>67656</v>
      </c>
      <c r="P71" s="19">
        <v>0</v>
      </c>
      <c r="Q71" s="19">
        <v>97685</v>
      </c>
      <c r="R71" s="19">
        <v>51186</v>
      </c>
      <c r="S71" s="19">
        <v>82268</v>
      </c>
      <c r="T71" s="19">
        <v>146527.5</v>
      </c>
      <c r="U71" s="19">
        <v>97685</v>
      </c>
      <c r="V71" s="19">
        <v>97685</v>
      </c>
      <c r="W71" s="19">
        <v>97685</v>
      </c>
      <c r="X71" s="19">
        <v>97685</v>
      </c>
      <c r="Y71" s="19">
        <v>195370</v>
      </c>
      <c r="Z71" s="19">
        <v>57830</v>
      </c>
      <c r="AA71" s="19">
        <v>0</v>
      </c>
      <c r="AB71" s="19">
        <v>86745</v>
      </c>
      <c r="AC71" s="19">
        <v>0</v>
      </c>
      <c r="AD71" s="19">
        <v>0</v>
      </c>
      <c r="AE71" s="19">
        <v>0</v>
      </c>
      <c r="AF71" s="19">
        <v>0</v>
      </c>
      <c r="AG71" s="19">
        <v>57830</v>
      </c>
      <c r="AH71" s="19">
        <v>293055</v>
      </c>
      <c r="AI71" s="19">
        <v>28915</v>
      </c>
      <c r="AJ71" s="19">
        <v>293055</v>
      </c>
      <c r="AK71" s="19">
        <v>195370</v>
      </c>
      <c r="AL71" s="19">
        <v>0</v>
      </c>
      <c r="AM71" s="19">
        <v>195370</v>
      </c>
      <c r="AN71" s="19">
        <v>0</v>
      </c>
      <c r="AO71" s="19">
        <v>0</v>
      </c>
      <c r="AP71" s="19">
        <v>0</v>
      </c>
      <c r="AQ71" s="19"/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63226.8825</v>
      </c>
      <c r="BH71" s="19">
        <v>36366</v>
      </c>
      <c r="BI71" s="19">
        <v>0</v>
      </c>
      <c r="BJ71" s="19">
        <v>0</v>
      </c>
      <c r="BK71" s="19">
        <v>0</v>
      </c>
      <c r="BL71" s="19">
        <v>24144.104166666668</v>
      </c>
      <c r="BM71" s="19">
        <v>0</v>
      </c>
      <c r="BN71" s="19">
        <v>0</v>
      </c>
      <c r="BO71" s="19">
        <v>0</v>
      </c>
      <c r="BP71" s="19">
        <v>14840</v>
      </c>
      <c r="BQ71" s="19">
        <v>0</v>
      </c>
      <c r="BR71" s="19">
        <v>0</v>
      </c>
      <c r="BS71" s="19">
        <v>0</v>
      </c>
      <c r="BT71" s="19">
        <v>0</v>
      </c>
      <c r="BU71" s="19">
        <v>0</v>
      </c>
      <c r="BV71" s="19">
        <v>0</v>
      </c>
      <c r="BW71" s="19">
        <v>0</v>
      </c>
      <c r="BX71" s="19">
        <v>195370</v>
      </c>
      <c r="BY71" s="19">
        <v>0</v>
      </c>
      <c r="BZ71" s="19">
        <v>0</v>
      </c>
      <c r="CA71" s="19">
        <v>97685</v>
      </c>
      <c r="CB71">
        <f t="shared" si="1"/>
        <v>3836364.4866666663</v>
      </c>
    </row>
    <row r="72" spans="1:80" x14ac:dyDescent="0.25">
      <c r="A72" s="17" t="s">
        <v>149</v>
      </c>
      <c r="B72" s="19">
        <v>171051</v>
      </c>
      <c r="C72" s="19">
        <v>97685</v>
      </c>
      <c r="D72" s="19">
        <v>193397.4</v>
      </c>
      <c r="E72" s="19">
        <v>0</v>
      </c>
      <c r="F72" s="19">
        <v>390740</v>
      </c>
      <c r="G72" s="19">
        <v>0</v>
      </c>
      <c r="H72" s="19">
        <v>0</v>
      </c>
      <c r="I72" s="19">
        <v>488425</v>
      </c>
      <c r="J72" s="19">
        <v>75970</v>
      </c>
      <c r="K72" s="19">
        <v>2</v>
      </c>
      <c r="L72" s="19">
        <v>56659.399999999994</v>
      </c>
      <c r="M72" s="19">
        <v>55700</v>
      </c>
      <c r="N72" s="19">
        <v>0</v>
      </c>
      <c r="O72" s="19">
        <v>67656</v>
      </c>
      <c r="P72" s="19">
        <v>0</v>
      </c>
      <c r="Q72" s="19">
        <v>0</v>
      </c>
      <c r="R72" s="19">
        <v>102372</v>
      </c>
      <c r="S72" s="19">
        <v>82268</v>
      </c>
      <c r="T72" s="19">
        <v>146527.5</v>
      </c>
      <c r="U72" s="19">
        <v>97685</v>
      </c>
      <c r="V72" s="19">
        <v>97685</v>
      </c>
      <c r="W72" s="19">
        <v>97685</v>
      </c>
      <c r="X72" s="19">
        <v>97685</v>
      </c>
      <c r="Y72" s="19">
        <v>0</v>
      </c>
      <c r="Z72" s="19">
        <v>0</v>
      </c>
      <c r="AA72" s="19">
        <v>0</v>
      </c>
      <c r="AB72" s="19">
        <v>115660</v>
      </c>
      <c r="AC72" s="19">
        <v>0</v>
      </c>
      <c r="AD72" s="19">
        <v>0</v>
      </c>
      <c r="AE72" s="19">
        <v>0</v>
      </c>
      <c r="AF72" s="19">
        <v>0</v>
      </c>
      <c r="AG72" s="19">
        <v>86745</v>
      </c>
      <c r="AH72" s="19">
        <v>390740</v>
      </c>
      <c r="AI72" s="19">
        <v>0</v>
      </c>
      <c r="AJ72" s="19">
        <v>488425</v>
      </c>
      <c r="AK72" s="19">
        <v>390740</v>
      </c>
      <c r="AL72" s="19">
        <v>0</v>
      </c>
      <c r="AM72" s="19">
        <v>488425</v>
      </c>
      <c r="AN72" s="19">
        <v>0</v>
      </c>
      <c r="AO72" s="19">
        <v>0</v>
      </c>
      <c r="AP72" s="19">
        <v>0</v>
      </c>
      <c r="AQ72" s="19"/>
      <c r="AR72" s="19">
        <v>0</v>
      </c>
      <c r="AS72" s="19">
        <v>0</v>
      </c>
      <c r="AT72" s="19">
        <v>0</v>
      </c>
      <c r="AU72" s="19">
        <v>0</v>
      </c>
      <c r="AV72" s="19">
        <v>0</v>
      </c>
      <c r="AW72" s="19">
        <v>0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</v>
      </c>
      <c r="BD72" s="19">
        <v>0</v>
      </c>
      <c r="BE72" s="19">
        <v>0</v>
      </c>
      <c r="BF72" s="19">
        <v>0</v>
      </c>
      <c r="BG72" s="19">
        <v>80018.006999999998</v>
      </c>
      <c r="BH72" s="19">
        <v>50112</v>
      </c>
      <c r="BI72" s="19">
        <v>0</v>
      </c>
      <c r="BJ72" s="19">
        <v>0</v>
      </c>
      <c r="BK72" s="19">
        <v>0</v>
      </c>
      <c r="BL72" s="19">
        <v>28134.883720930233</v>
      </c>
      <c r="BM72" s="19">
        <v>0</v>
      </c>
      <c r="BN72" s="19">
        <v>0</v>
      </c>
      <c r="BO72" s="19">
        <v>0</v>
      </c>
      <c r="BP72" s="19">
        <v>0</v>
      </c>
      <c r="BQ72" s="19">
        <v>0</v>
      </c>
      <c r="BR72" s="19">
        <v>0</v>
      </c>
      <c r="BS72" s="19">
        <v>0</v>
      </c>
      <c r="BT72" s="19">
        <v>0</v>
      </c>
      <c r="BU72" s="19">
        <v>0</v>
      </c>
      <c r="BV72" s="19">
        <v>0</v>
      </c>
      <c r="BW72" s="19">
        <v>0</v>
      </c>
      <c r="BX72" s="19">
        <v>293055</v>
      </c>
      <c r="BY72" s="19">
        <v>0</v>
      </c>
      <c r="BZ72" s="19">
        <v>0</v>
      </c>
      <c r="CA72" s="19">
        <v>0</v>
      </c>
      <c r="CB72">
        <f t="shared" si="1"/>
        <v>4731248.1907209307</v>
      </c>
    </row>
    <row r="73" spans="1:80" x14ac:dyDescent="0.25">
      <c r="A73" s="17" t="s">
        <v>150</v>
      </c>
      <c r="B73" s="19">
        <v>171051</v>
      </c>
      <c r="C73" s="19">
        <v>97685</v>
      </c>
      <c r="D73" s="19">
        <v>138141</v>
      </c>
      <c r="E73" s="19">
        <v>0</v>
      </c>
      <c r="F73" s="19">
        <v>293055</v>
      </c>
      <c r="G73" s="19">
        <v>0</v>
      </c>
      <c r="H73" s="19">
        <v>0</v>
      </c>
      <c r="I73" s="19">
        <v>293055</v>
      </c>
      <c r="J73" s="19">
        <v>75970</v>
      </c>
      <c r="K73" s="19">
        <v>2</v>
      </c>
      <c r="L73" s="19">
        <v>40471</v>
      </c>
      <c r="M73" s="19">
        <v>55700</v>
      </c>
      <c r="N73" s="19">
        <v>0</v>
      </c>
      <c r="O73" s="19">
        <v>67656</v>
      </c>
      <c r="P73" s="19">
        <v>0</v>
      </c>
      <c r="Q73" s="19">
        <v>586110</v>
      </c>
      <c r="R73" s="19">
        <v>0</v>
      </c>
      <c r="S73" s="19">
        <v>82268</v>
      </c>
      <c r="T73" s="19">
        <v>244212.5</v>
      </c>
      <c r="U73" s="19">
        <v>97685</v>
      </c>
      <c r="V73" s="19">
        <v>97685</v>
      </c>
      <c r="W73" s="19">
        <v>97685</v>
      </c>
      <c r="X73" s="19">
        <v>97685</v>
      </c>
      <c r="Y73" s="19">
        <v>0</v>
      </c>
      <c r="Z73" s="19">
        <v>0</v>
      </c>
      <c r="AA73" s="19">
        <v>0</v>
      </c>
      <c r="AB73" s="19">
        <v>86745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293055</v>
      </c>
      <c r="AI73" s="19">
        <v>173490</v>
      </c>
      <c r="AJ73" s="19">
        <v>195370</v>
      </c>
      <c r="AK73" s="19">
        <v>293055</v>
      </c>
      <c r="AL73" s="19">
        <v>0</v>
      </c>
      <c r="AM73" s="19">
        <v>195370</v>
      </c>
      <c r="AN73" s="19">
        <v>0</v>
      </c>
      <c r="AO73" s="19">
        <v>0</v>
      </c>
      <c r="AP73" s="19">
        <v>0</v>
      </c>
      <c r="AQ73" s="19"/>
      <c r="AR73" s="19">
        <v>0</v>
      </c>
      <c r="AS73" s="19">
        <v>0</v>
      </c>
      <c r="AT73" s="19">
        <v>0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0</v>
      </c>
      <c r="BF73" s="19">
        <v>0</v>
      </c>
      <c r="BG73" s="19">
        <v>65867.181136363637</v>
      </c>
      <c r="BH73" s="19">
        <v>35148</v>
      </c>
      <c r="BI73" s="19">
        <v>0</v>
      </c>
      <c r="BJ73" s="19">
        <v>0</v>
      </c>
      <c r="BK73" s="19">
        <v>111760</v>
      </c>
      <c r="BL73" s="19">
        <v>23458.95</v>
      </c>
      <c r="BM73" s="19">
        <v>0</v>
      </c>
      <c r="BN73" s="19">
        <v>0</v>
      </c>
      <c r="BO73" s="19">
        <v>0</v>
      </c>
      <c r="BP73" s="19">
        <v>12680</v>
      </c>
      <c r="BQ73" s="19">
        <v>0</v>
      </c>
      <c r="BR73" s="19">
        <v>0</v>
      </c>
      <c r="BS73" s="19">
        <v>0</v>
      </c>
      <c r="BT73" s="19">
        <v>0</v>
      </c>
      <c r="BU73" s="19">
        <v>0</v>
      </c>
      <c r="BV73" s="19">
        <v>0</v>
      </c>
      <c r="BW73" s="19">
        <v>0</v>
      </c>
      <c r="BX73" s="19">
        <v>0</v>
      </c>
      <c r="BY73" s="19">
        <v>0</v>
      </c>
      <c r="BZ73" s="19">
        <v>0</v>
      </c>
      <c r="CA73" s="19">
        <v>97685</v>
      </c>
      <c r="CB73">
        <f t="shared" si="1"/>
        <v>4119800.6311363638</v>
      </c>
    </row>
    <row r="74" spans="1:80" x14ac:dyDescent="0.25">
      <c r="A74" s="17" t="s">
        <v>151</v>
      </c>
      <c r="B74" s="19">
        <v>171051</v>
      </c>
      <c r="C74" s="19">
        <v>97685</v>
      </c>
      <c r="D74" s="19">
        <v>0</v>
      </c>
      <c r="E74" s="19">
        <v>0</v>
      </c>
      <c r="F74" s="19">
        <v>195370</v>
      </c>
      <c r="G74" s="19">
        <v>0</v>
      </c>
      <c r="H74" s="19">
        <v>0</v>
      </c>
      <c r="I74" s="19">
        <v>195370</v>
      </c>
      <c r="J74" s="19">
        <v>75970</v>
      </c>
      <c r="K74" s="19">
        <v>1</v>
      </c>
      <c r="L74" s="19">
        <v>0</v>
      </c>
      <c r="M74" s="19">
        <v>55700</v>
      </c>
      <c r="N74" s="19">
        <v>0</v>
      </c>
      <c r="O74" s="19">
        <v>67656</v>
      </c>
      <c r="P74" s="19">
        <v>0</v>
      </c>
      <c r="Q74" s="19">
        <v>0</v>
      </c>
      <c r="R74" s="19">
        <v>51186</v>
      </c>
      <c r="S74" s="19">
        <v>41134</v>
      </c>
      <c r="T74" s="19">
        <v>0</v>
      </c>
      <c r="U74" s="19">
        <v>48842.5</v>
      </c>
      <c r="V74" s="19">
        <v>97685</v>
      </c>
      <c r="W74" s="19">
        <v>97685</v>
      </c>
      <c r="X74" s="19">
        <v>97685</v>
      </c>
      <c r="Y74" s="19">
        <v>97685</v>
      </c>
      <c r="Z74" s="19">
        <v>28915</v>
      </c>
      <c r="AA74" s="19">
        <v>0</v>
      </c>
      <c r="AB74" s="19">
        <v>57830</v>
      </c>
      <c r="AC74" s="19">
        <v>0</v>
      </c>
      <c r="AD74" s="19">
        <v>0</v>
      </c>
      <c r="AE74" s="19">
        <v>0</v>
      </c>
      <c r="AF74" s="19">
        <v>0</v>
      </c>
      <c r="AG74" s="19">
        <v>28915</v>
      </c>
      <c r="AH74" s="19">
        <v>97685</v>
      </c>
      <c r="AI74" s="19">
        <v>0</v>
      </c>
      <c r="AJ74" s="19">
        <v>97685</v>
      </c>
      <c r="AK74" s="19">
        <v>97685</v>
      </c>
      <c r="AL74" s="19">
        <v>0</v>
      </c>
      <c r="AM74" s="19">
        <v>97685</v>
      </c>
      <c r="AN74" s="19">
        <v>0</v>
      </c>
      <c r="AO74" s="19">
        <v>0</v>
      </c>
      <c r="AP74" s="19">
        <v>0</v>
      </c>
      <c r="AQ74" s="19"/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46176.254999999997</v>
      </c>
      <c r="BH74" s="19">
        <v>16182</v>
      </c>
      <c r="BI74" s="19">
        <v>0</v>
      </c>
      <c r="BJ74" s="19">
        <v>0</v>
      </c>
      <c r="BK74" s="19">
        <v>39960</v>
      </c>
      <c r="BL74" s="19">
        <v>11357.122762148338</v>
      </c>
      <c r="BM74" s="19">
        <v>0</v>
      </c>
      <c r="BN74" s="19">
        <v>0</v>
      </c>
      <c r="BO74" s="19">
        <v>0</v>
      </c>
      <c r="BP74" s="19">
        <v>2660</v>
      </c>
      <c r="BQ74" s="19">
        <v>0</v>
      </c>
      <c r="BR74" s="19">
        <v>0</v>
      </c>
      <c r="BS74" s="19">
        <v>0</v>
      </c>
      <c r="BT74" s="19">
        <v>0</v>
      </c>
      <c r="BU74" s="19">
        <v>0</v>
      </c>
      <c r="BV74" s="19">
        <v>0</v>
      </c>
      <c r="BW74" s="19">
        <v>0</v>
      </c>
      <c r="BX74" s="19">
        <v>97685</v>
      </c>
      <c r="BY74" s="19">
        <v>0</v>
      </c>
      <c r="BZ74" s="19">
        <v>0</v>
      </c>
      <c r="CA74" s="19">
        <v>0</v>
      </c>
      <c r="CB74">
        <f t="shared" si="1"/>
        <v>2111125.8777621482</v>
      </c>
    </row>
    <row r="75" spans="1:80" x14ac:dyDescent="0.25">
      <c r="A75" s="17" t="s">
        <v>152</v>
      </c>
      <c r="B75" s="19">
        <v>171051</v>
      </c>
      <c r="C75" s="19">
        <v>97685</v>
      </c>
      <c r="D75" s="19">
        <v>151955.1</v>
      </c>
      <c r="E75" s="19">
        <v>0</v>
      </c>
      <c r="F75" s="19">
        <v>293055</v>
      </c>
      <c r="G75" s="19">
        <v>0</v>
      </c>
      <c r="H75" s="19">
        <v>0</v>
      </c>
      <c r="I75" s="19">
        <v>293055</v>
      </c>
      <c r="J75" s="19">
        <v>75970</v>
      </c>
      <c r="K75" s="19">
        <v>2</v>
      </c>
      <c r="L75" s="19">
        <v>44518.100000000006</v>
      </c>
      <c r="M75" s="19">
        <v>55700</v>
      </c>
      <c r="N75" s="19">
        <v>0</v>
      </c>
      <c r="O75" s="19">
        <v>67656</v>
      </c>
      <c r="P75" s="19">
        <v>0</v>
      </c>
      <c r="Q75" s="19">
        <v>0</v>
      </c>
      <c r="R75" s="19">
        <v>51186</v>
      </c>
      <c r="S75" s="19">
        <v>82268</v>
      </c>
      <c r="T75" s="19">
        <v>146527.5</v>
      </c>
      <c r="U75" s="19">
        <v>97685</v>
      </c>
      <c r="V75" s="19">
        <v>97685</v>
      </c>
      <c r="W75" s="19">
        <v>97685</v>
      </c>
      <c r="X75" s="19">
        <v>97685</v>
      </c>
      <c r="Y75" s="19">
        <v>293055</v>
      </c>
      <c r="Z75" s="19">
        <v>86745</v>
      </c>
      <c r="AA75" s="19">
        <v>0</v>
      </c>
      <c r="AB75" s="19">
        <v>86745</v>
      </c>
      <c r="AC75" s="19">
        <v>0</v>
      </c>
      <c r="AD75" s="19">
        <v>0</v>
      </c>
      <c r="AE75" s="19">
        <v>0</v>
      </c>
      <c r="AF75" s="19">
        <v>0</v>
      </c>
      <c r="AG75" s="19">
        <v>86745</v>
      </c>
      <c r="AH75" s="19">
        <v>293055</v>
      </c>
      <c r="AI75" s="19">
        <v>0</v>
      </c>
      <c r="AJ75" s="19">
        <v>293055</v>
      </c>
      <c r="AK75" s="19">
        <v>195370</v>
      </c>
      <c r="AL75" s="19">
        <v>0</v>
      </c>
      <c r="AM75" s="19">
        <v>293055</v>
      </c>
      <c r="AN75" s="19">
        <v>0</v>
      </c>
      <c r="AO75" s="19">
        <v>0</v>
      </c>
      <c r="AP75" s="19">
        <v>0</v>
      </c>
      <c r="AQ75" s="19"/>
      <c r="AR75" s="19">
        <v>0</v>
      </c>
      <c r="AS75" s="19">
        <v>0</v>
      </c>
      <c r="AT75" s="19">
        <v>0</v>
      </c>
      <c r="AU75" s="19">
        <v>0</v>
      </c>
      <c r="AV75" s="19">
        <v>0</v>
      </c>
      <c r="AW75" s="19">
        <v>97685</v>
      </c>
      <c r="AX75" s="19">
        <v>0</v>
      </c>
      <c r="AY75" s="19">
        <v>0</v>
      </c>
      <c r="AZ75" s="19">
        <v>0</v>
      </c>
      <c r="BA75" s="19">
        <v>0</v>
      </c>
      <c r="BB75" s="19">
        <v>0</v>
      </c>
      <c r="BC75" s="19">
        <v>0</v>
      </c>
      <c r="BD75" s="19">
        <v>0</v>
      </c>
      <c r="BE75" s="19">
        <v>0</v>
      </c>
      <c r="BF75" s="19">
        <v>0</v>
      </c>
      <c r="BG75" s="19">
        <v>68690.953909090909</v>
      </c>
      <c r="BH75" s="19">
        <v>36627</v>
      </c>
      <c r="BI75" s="19">
        <v>0</v>
      </c>
      <c r="BJ75" s="19">
        <v>0</v>
      </c>
      <c r="BK75" s="19">
        <v>146600</v>
      </c>
      <c r="BL75" s="19">
        <v>23921.737499999999</v>
      </c>
      <c r="BM75" s="19">
        <v>0</v>
      </c>
      <c r="BN75" s="19">
        <v>0</v>
      </c>
      <c r="BO75" s="19">
        <v>0</v>
      </c>
      <c r="BP75" s="19">
        <v>13280</v>
      </c>
      <c r="BQ75" s="19">
        <v>0</v>
      </c>
      <c r="BR75" s="19">
        <v>0</v>
      </c>
      <c r="BS75" s="19">
        <v>0</v>
      </c>
      <c r="BT75" s="19">
        <v>0</v>
      </c>
      <c r="BU75" s="19">
        <v>0</v>
      </c>
      <c r="BV75" s="19">
        <v>0</v>
      </c>
      <c r="BW75" s="19">
        <v>0</v>
      </c>
      <c r="BX75" s="19">
        <v>293055</v>
      </c>
      <c r="BY75" s="19">
        <v>0</v>
      </c>
      <c r="BZ75" s="19">
        <v>0</v>
      </c>
      <c r="CA75" s="19">
        <v>0</v>
      </c>
      <c r="CB75">
        <f t="shared" si="1"/>
        <v>4229053.3914090907</v>
      </c>
    </row>
    <row r="76" spans="1:80" x14ac:dyDescent="0.25">
      <c r="A76" s="17" t="s">
        <v>153</v>
      </c>
      <c r="B76" s="19">
        <v>171051</v>
      </c>
      <c r="C76" s="19">
        <v>195370</v>
      </c>
      <c r="D76" s="19">
        <v>262467.89999999997</v>
      </c>
      <c r="E76" s="19">
        <v>97685</v>
      </c>
      <c r="F76" s="19">
        <v>293055</v>
      </c>
      <c r="G76" s="19">
        <v>0</v>
      </c>
      <c r="H76" s="19">
        <v>0</v>
      </c>
      <c r="I76" s="19">
        <v>390740</v>
      </c>
      <c r="J76" s="19">
        <v>75970</v>
      </c>
      <c r="K76" s="19">
        <v>1</v>
      </c>
      <c r="L76" s="19">
        <v>68800.7</v>
      </c>
      <c r="M76" s="19">
        <v>55700</v>
      </c>
      <c r="N76" s="19">
        <v>0</v>
      </c>
      <c r="O76" s="19">
        <v>135312</v>
      </c>
      <c r="P76" s="19">
        <v>0</v>
      </c>
      <c r="Q76" s="19">
        <v>0</v>
      </c>
      <c r="R76" s="19">
        <v>153558</v>
      </c>
      <c r="S76" s="19">
        <v>41134</v>
      </c>
      <c r="T76" s="19">
        <v>341897.5</v>
      </c>
      <c r="U76" s="19">
        <v>195370</v>
      </c>
      <c r="V76" s="19">
        <v>97685</v>
      </c>
      <c r="W76" s="19">
        <v>97685</v>
      </c>
      <c r="X76" s="19">
        <v>97685</v>
      </c>
      <c r="Y76" s="19">
        <v>0</v>
      </c>
      <c r="Z76" s="19">
        <v>0</v>
      </c>
      <c r="AA76" s="19">
        <v>361434.5</v>
      </c>
      <c r="AB76" s="19">
        <v>86745</v>
      </c>
      <c r="AC76" s="19">
        <v>0</v>
      </c>
      <c r="AD76" s="19">
        <v>0</v>
      </c>
      <c r="AE76" s="19">
        <v>0</v>
      </c>
      <c r="AF76" s="19">
        <v>0</v>
      </c>
      <c r="AG76" s="19">
        <v>57830</v>
      </c>
      <c r="AH76" s="19">
        <v>390740</v>
      </c>
      <c r="AI76" s="19">
        <v>0</v>
      </c>
      <c r="AJ76" s="19">
        <v>390740</v>
      </c>
      <c r="AK76" s="19">
        <v>390740</v>
      </c>
      <c r="AL76" s="19">
        <v>0</v>
      </c>
      <c r="AM76" s="19">
        <v>390740</v>
      </c>
      <c r="AN76" s="19">
        <v>351666</v>
      </c>
      <c r="AO76" s="19">
        <v>371203</v>
      </c>
      <c r="AP76" s="19">
        <v>0</v>
      </c>
      <c r="AQ76" s="19"/>
      <c r="AR76" s="19">
        <v>0</v>
      </c>
      <c r="AS76" s="19">
        <v>0</v>
      </c>
      <c r="AT76" s="19">
        <v>0</v>
      </c>
      <c r="AU76" s="19">
        <v>0</v>
      </c>
      <c r="AV76" s="19">
        <v>0</v>
      </c>
      <c r="AW76" s="19">
        <v>0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5000</v>
      </c>
      <c r="BD76" s="19">
        <v>195370</v>
      </c>
      <c r="BE76" s="19">
        <v>0</v>
      </c>
      <c r="BF76" s="19">
        <v>0</v>
      </c>
      <c r="BG76" s="19">
        <v>113951.6565</v>
      </c>
      <c r="BH76" s="19">
        <v>58899</v>
      </c>
      <c r="BI76" s="19">
        <v>0</v>
      </c>
      <c r="BJ76" s="19">
        <v>0</v>
      </c>
      <c r="BK76" s="19">
        <v>0</v>
      </c>
      <c r="BL76" s="19">
        <v>38827.929376854605</v>
      </c>
      <c r="BM76" s="19">
        <v>0</v>
      </c>
      <c r="BN76" s="19">
        <v>0</v>
      </c>
      <c r="BO76" s="19">
        <v>0</v>
      </c>
      <c r="BP76" s="19">
        <v>0</v>
      </c>
      <c r="BQ76" s="19">
        <v>23000</v>
      </c>
      <c r="BR76" s="19">
        <v>0</v>
      </c>
      <c r="BS76" s="19">
        <v>0</v>
      </c>
      <c r="BT76" s="19">
        <v>0</v>
      </c>
      <c r="BU76" s="19">
        <v>100000</v>
      </c>
      <c r="BV76" s="19">
        <v>0</v>
      </c>
      <c r="BW76" s="19">
        <v>0</v>
      </c>
      <c r="BX76" s="19">
        <v>195370</v>
      </c>
      <c r="BY76" s="19">
        <v>0</v>
      </c>
      <c r="BZ76" s="19">
        <v>0</v>
      </c>
      <c r="CA76" s="19">
        <v>0</v>
      </c>
      <c r="CB76">
        <f t="shared" si="1"/>
        <v>6293424.1858768538</v>
      </c>
    </row>
    <row r="77" spans="1:80" x14ac:dyDescent="0.25">
      <c r="A77" s="17" t="s">
        <v>154</v>
      </c>
      <c r="B77" s="19">
        <v>171051</v>
      </c>
      <c r="C77" s="19">
        <v>97685</v>
      </c>
      <c r="D77" s="19">
        <v>138141</v>
      </c>
      <c r="E77" s="19">
        <v>0</v>
      </c>
      <c r="F77" s="19">
        <v>293055</v>
      </c>
      <c r="G77" s="19">
        <v>0</v>
      </c>
      <c r="H77" s="19">
        <v>0</v>
      </c>
      <c r="I77" s="19">
        <v>293055</v>
      </c>
      <c r="J77" s="19">
        <v>75970</v>
      </c>
      <c r="K77" s="19">
        <v>1</v>
      </c>
      <c r="L77" s="19">
        <v>0</v>
      </c>
      <c r="M77" s="19">
        <v>55700</v>
      </c>
      <c r="N77" s="19">
        <v>0</v>
      </c>
      <c r="O77" s="19">
        <v>67656</v>
      </c>
      <c r="P77" s="19">
        <v>0</v>
      </c>
      <c r="Q77" s="19">
        <v>0</v>
      </c>
      <c r="R77" s="19">
        <v>102372</v>
      </c>
      <c r="S77" s="19">
        <v>41134</v>
      </c>
      <c r="T77" s="19">
        <v>146527.5</v>
      </c>
      <c r="U77" s="19">
        <v>97685</v>
      </c>
      <c r="V77" s="19">
        <v>97685</v>
      </c>
      <c r="W77" s="19">
        <v>97685</v>
      </c>
      <c r="X77" s="19">
        <v>97685</v>
      </c>
      <c r="Y77" s="19">
        <v>195370</v>
      </c>
      <c r="Z77" s="19">
        <v>57830</v>
      </c>
      <c r="AA77" s="19">
        <v>0</v>
      </c>
      <c r="AB77" s="19">
        <v>86745</v>
      </c>
      <c r="AC77" s="19">
        <v>0</v>
      </c>
      <c r="AD77" s="19">
        <v>0</v>
      </c>
      <c r="AE77" s="19">
        <v>0</v>
      </c>
      <c r="AF77" s="19">
        <v>0</v>
      </c>
      <c r="AG77" s="19">
        <v>57830</v>
      </c>
      <c r="AH77" s="19">
        <v>293055</v>
      </c>
      <c r="AI77" s="19">
        <v>0</v>
      </c>
      <c r="AJ77" s="19">
        <v>293055</v>
      </c>
      <c r="AK77" s="19">
        <v>195370</v>
      </c>
      <c r="AL77" s="19">
        <v>0</v>
      </c>
      <c r="AM77" s="19">
        <v>195370</v>
      </c>
      <c r="AN77" s="19">
        <v>0</v>
      </c>
      <c r="AO77" s="19">
        <v>0</v>
      </c>
      <c r="AP77" s="19">
        <v>0</v>
      </c>
      <c r="AQ77" s="19"/>
      <c r="AR77" s="19">
        <v>0</v>
      </c>
      <c r="AS77" s="19">
        <v>0</v>
      </c>
      <c r="AT77" s="19">
        <v>0</v>
      </c>
      <c r="AU77" s="19">
        <v>0</v>
      </c>
      <c r="AV77" s="19">
        <v>0</v>
      </c>
      <c r="AW77" s="19">
        <v>0</v>
      </c>
      <c r="AX77" s="19">
        <v>0</v>
      </c>
      <c r="AY77" s="19">
        <v>0</v>
      </c>
      <c r="AZ77" s="19">
        <v>0</v>
      </c>
      <c r="BA77" s="19">
        <v>0</v>
      </c>
      <c r="BB77" s="19">
        <v>0</v>
      </c>
      <c r="BC77" s="19">
        <v>0</v>
      </c>
      <c r="BD77" s="19">
        <v>0</v>
      </c>
      <c r="BE77" s="19">
        <v>0</v>
      </c>
      <c r="BF77" s="19">
        <v>0</v>
      </c>
      <c r="BG77" s="19">
        <v>71966.684999999998</v>
      </c>
      <c r="BH77" s="19">
        <v>33930</v>
      </c>
      <c r="BI77" s="19">
        <v>0</v>
      </c>
      <c r="BJ77" s="19">
        <v>0</v>
      </c>
      <c r="BK77" s="19">
        <v>0</v>
      </c>
      <c r="BL77" s="19">
        <v>22637.989528795813</v>
      </c>
      <c r="BM77" s="19">
        <v>0</v>
      </c>
      <c r="BN77" s="19">
        <v>0</v>
      </c>
      <c r="BO77" s="19">
        <v>0</v>
      </c>
      <c r="BP77" s="19">
        <v>13360</v>
      </c>
      <c r="BQ77" s="19">
        <v>0</v>
      </c>
      <c r="BR77" s="19">
        <v>0</v>
      </c>
      <c r="BS77" s="19">
        <v>0</v>
      </c>
      <c r="BT77" s="19">
        <v>0</v>
      </c>
      <c r="BU77" s="19">
        <v>0</v>
      </c>
      <c r="BV77" s="19">
        <v>0</v>
      </c>
      <c r="BW77" s="19">
        <v>0</v>
      </c>
      <c r="BX77" s="19">
        <v>195370</v>
      </c>
      <c r="BY77" s="19">
        <v>0</v>
      </c>
      <c r="BZ77" s="19">
        <v>0</v>
      </c>
      <c r="CA77" s="19">
        <v>0</v>
      </c>
      <c r="CB77">
        <f t="shared" si="1"/>
        <v>3584977.1745287958</v>
      </c>
    </row>
    <row r="78" spans="1:80" x14ac:dyDescent="0.25">
      <c r="A78" s="17" t="s">
        <v>155</v>
      </c>
      <c r="B78" s="19">
        <v>171051</v>
      </c>
      <c r="C78" s="19">
        <v>97685</v>
      </c>
      <c r="D78" s="19">
        <v>110512.8</v>
      </c>
      <c r="E78" s="19">
        <v>0</v>
      </c>
      <c r="F78" s="19">
        <v>195370</v>
      </c>
      <c r="G78" s="19">
        <v>0</v>
      </c>
      <c r="H78" s="19">
        <v>0</v>
      </c>
      <c r="I78" s="19">
        <v>195370</v>
      </c>
      <c r="J78" s="19">
        <v>75970</v>
      </c>
      <c r="K78" s="19">
        <v>1</v>
      </c>
      <c r="L78" s="19">
        <v>0</v>
      </c>
      <c r="M78" s="19">
        <v>55700</v>
      </c>
      <c r="N78" s="19">
        <v>0</v>
      </c>
      <c r="O78" s="19">
        <v>67656</v>
      </c>
      <c r="P78" s="19">
        <v>0</v>
      </c>
      <c r="Q78" s="19">
        <v>0</v>
      </c>
      <c r="R78" s="19">
        <v>51186</v>
      </c>
      <c r="S78" s="19">
        <v>41134</v>
      </c>
      <c r="T78" s="19">
        <v>0</v>
      </c>
      <c r="U78" s="19">
        <v>97685</v>
      </c>
      <c r="V78" s="19">
        <v>97685</v>
      </c>
      <c r="W78" s="19">
        <v>97685</v>
      </c>
      <c r="X78" s="19">
        <v>97685</v>
      </c>
      <c r="Y78" s="19">
        <v>195370</v>
      </c>
      <c r="Z78" s="19">
        <v>57830</v>
      </c>
      <c r="AA78" s="19">
        <v>0</v>
      </c>
      <c r="AB78" s="19">
        <v>57830</v>
      </c>
      <c r="AC78" s="19">
        <v>0</v>
      </c>
      <c r="AD78" s="19">
        <v>0</v>
      </c>
      <c r="AE78" s="19">
        <v>0</v>
      </c>
      <c r="AF78" s="19">
        <v>0</v>
      </c>
      <c r="AG78" s="19">
        <v>57830</v>
      </c>
      <c r="AH78" s="19">
        <v>195370</v>
      </c>
      <c r="AI78" s="19">
        <v>0</v>
      </c>
      <c r="AJ78" s="19">
        <v>195370</v>
      </c>
      <c r="AK78" s="19">
        <v>195370</v>
      </c>
      <c r="AL78" s="19">
        <v>0</v>
      </c>
      <c r="AM78" s="19">
        <v>195370</v>
      </c>
      <c r="AN78" s="19">
        <v>0</v>
      </c>
      <c r="AO78" s="19">
        <v>0</v>
      </c>
      <c r="AP78" s="19">
        <v>0</v>
      </c>
      <c r="AQ78" s="19"/>
      <c r="AR78" s="19">
        <v>0</v>
      </c>
      <c r="AS78" s="19">
        <v>0</v>
      </c>
      <c r="AT78" s="19">
        <v>0</v>
      </c>
      <c r="AU78" s="19">
        <v>0</v>
      </c>
      <c r="AV78" s="19">
        <v>0</v>
      </c>
      <c r="AW78" s="19">
        <v>0</v>
      </c>
      <c r="AX78" s="19">
        <v>0</v>
      </c>
      <c r="AY78" s="19">
        <v>0</v>
      </c>
      <c r="AZ78" s="19">
        <v>0</v>
      </c>
      <c r="BA78" s="19">
        <v>0</v>
      </c>
      <c r="BB78" s="19">
        <v>0</v>
      </c>
      <c r="BC78" s="19">
        <v>0</v>
      </c>
      <c r="BD78" s="19">
        <v>0</v>
      </c>
      <c r="BE78" s="19">
        <v>0</v>
      </c>
      <c r="BF78" s="19">
        <v>0</v>
      </c>
      <c r="BG78" s="19">
        <v>61281.564954545451</v>
      </c>
      <c r="BH78" s="19">
        <v>27579</v>
      </c>
      <c r="BI78" s="19">
        <v>0</v>
      </c>
      <c r="BJ78" s="19">
        <v>0</v>
      </c>
      <c r="BK78" s="19">
        <v>0</v>
      </c>
      <c r="BL78" s="19">
        <v>19428.252873563219</v>
      </c>
      <c r="BM78" s="19">
        <v>0</v>
      </c>
      <c r="BN78" s="19">
        <v>0</v>
      </c>
      <c r="BO78" s="19">
        <v>0</v>
      </c>
      <c r="BP78" s="19">
        <v>3680</v>
      </c>
      <c r="BQ78" s="19">
        <v>0</v>
      </c>
      <c r="BR78" s="19">
        <v>0</v>
      </c>
      <c r="BS78" s="19">
        <v>0</v>
      </c>
      <c r="BT78" s="19">
        <v>0</v>
      </c>
      <c r="BU78" s="19">
        <v>0</v>
      </c>
      <c r="BV78" s="19">
        <v>0</v>
      </c>
      <c r="BW78" s="19">
        <v>0</v>
      </c>
      <c r="BX78" s="19">
        <v>195370</v>
      </c>
      <c r="BY78" s="19">
        <v>0</v>
      </c>
      <c r="BZ78" s="19">
        <v>0</v>
      </c>
      <c r="CA78" s="19">
        <v>0</v>
      </c>
      <c r="CB78">
        <f t="shared" si="1"/>
        <v>2910054.6178281084</v>
      </c>
    </row>
    <row r="79" spans="1:80" x14ac:dyDescent="0.25">
      <c r="A79" s="17" t="s">
        <v>156</v>
      </c>
      <c r="B79" s="19">
        <v>0</v>
      </c>
      <c r="C79" s="19">
        <v>97685</v>
      </c>
      <c r="D79" s="19">
        <v>138141</v>
      </c>
      <c r="E79" s="19">
        <v>0</v>
      </c>
      <c r="F79" s="19">
        <v>390740</v>
      </c>
      <c r="G79" s="19">
        <v>0</v>
      </c>
      <c r="H79" s="19">
        <v>0</v>
      </c>
      <c r="I79" s="19">
        <v>0</v>
      </c>
      <c r="J79" s="19">
        <v>37985</v>
      </c>
      <c r="K79" s="19">
        <v>0</v>
      </c>
      <c r="L79" s="19">
        <v>0</v>
      </c>
      <c r="M79" s="19">
        <v>55700</v>
      </c>
      <c r="N79" s="19">
        <v>0</v>
      </c>
      <c r="O79" s="19">
        <v>67656</v>
      </c>
      <c r="P79" s="19">
        <v>0</v>
      </c>
      <c r="Q79" s="19">
        <v>0</v>
      </c>
      <c r="R79" s="19">
        <v>102372</v>
      </c>
      <c r="S79" s="19">
        <v>0</v>
      </c>
      <c r="T79" s="19">
        <v>0</v>
      </c>
      <c r="U79" s="19">
        <v>48842.5</v>
      </c>
      <c r="V79" s="19">
        <v>97685</v>
      </c>
      <c r="W79" s="19">
        <v>97685</v>
      </c>
      <c r="X79" s="19">
        <v>97685</v>
      </c>
      <c r="Y79" s="19">
        <v>390740</v>
      </c>
      <c r="Z79" s="19">
        <v>115660</v>
      </c>
      <c r="AA79" s="19">
        <v>0</v>
      </c>
      <c r="AB79" s="19">
        <v>115660</v>
      </c>
      <c r="AC79" s="19">
        <v>0</v>
      </c>
      <c r="AD79" s="19">
        <v>0</v>
      </c>
      <c r="AE79" s="19">
        <v>0</v>
      </c>
      <c r="AF79" s="19">
        <v>0</v>
      </c>
      <c r="AG79" s="19">
        <v>115660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19"/>
      <c r="AR79" s="19">
        <v>0</v>
      </c>
      <c r="AS79" s="19">
        <v>0</v>
      </c>
      <c r="AT79" s="19">
        <v>0</v>
      </c>
      <c r="AU79" s="19">
        <v>0</v>
      </c>
      <c r="AV79" s="19">
        <v>0</v>
      </c>
      <c r="AW79" s="19">
        <v>0</v>
      </c>
      <c r="AX79" s="19">
        <v>0</v>
      </c>
      <c r="AY79" s="19">
        <v>0</v>
      </c>
      <c r="AZ79" s="19">
        <v>0</v>
      </c>
      <c r="BA79" s="19">
        <v>0</v>
      </c>
      <c r="BB79" s="19">
        <v>0</v>
      </c>
      <c r="BC79" s="19">
        <v>0</v>
      </c>
      <c r="BD79" s="19">
        <v>0</v>
      </c>
      <c r="BE79" s="19">
        <v>0</v>
      </c>
      <c r="BF79" s="19">
        <v>0</v>
      </c>
      <c r="BG79" s="19">
        <v>38340.097499999996</v>
      </c>
      <c r="BH79" s="19">
        <v>19575</v>
      </c>
      <c r="BI79" s="19">
        <v>0</v>
      </c>
      <c r="BJ79" s="19">
        <v>0</v>
      </c>
      <c r="BK79" s="19">
        <v>0</v>
      </c>
      <c r="BL79" s="19">
        <v>13658.631578947368</v>
      </c>
      <c r="BM79" s="19">
        <v>0</v>
      </c>
      <c r="BN79" s="19">
        <v>0</v>
      </c>
      <c r="BO79" s="19">
        <v>0</v>
      </c>
      <c r="BP79" s="19">
        <v>0</v>
      </c>
      <c r="BQ79" s="19">
        <v>0</v>
      </c>
      <c r="BR79" s="19">
        <v>0</v>
      </c>
      <c r="BS79" s="19">
        <v>0</v>
      </c>
      <c r="BT79" s="19">
        <v>0</v>
      </c>
      <c r="BU79" s="19">
        <v>0</v>
      </c>
      <c r="BV79" s="19">
        <v>0</v>
      </c>
      <c r="BW79" s="19">
        <v>0</v>
      </c>
      <c r="BX79" s="19">
        <v>390740</v>
      </c>
      <c r="BY79" s="19">
        <v>0</v>
      </c>
      <c r="BZ79" s="19">
        <v>0</v>
      </c>
      <c r="CA79" s="19">
        <v>0</v>
      </c>
      <c r="CB79">
        <f t="shared" si="1"/>
        <v>2432210.2290789476</v>
      </c>
    </row>
    <row r="80" spans="1:80" x14ac:dyDescent="0.25">
      <c r="A80" s="17" t="s">
        <v>157</v>
      </c>
      <c r="B80" s="19">
        <v>171051</v>
      </c>
      <c r="C80" s="19">
        <v>97685</v>
      </c>
      <c r="D80" s="19">
        <v>138141</v>
      </c>
      <c r="E80" s="19">
        <v>0</v>
      </c>
      <c r="F80" s="19">
        <v>0</v>
      </c>
      <c r="G80" s="19">
        <v>449350.99999999994</v>
      </c>
      <c r="H80" s="19">
        <v>625184</v>
      </c>
      <c r="I80" s="19">
        <v>0</v>
      </c>
      <c r="J80" s="19">
        <v>75970</v>
      </c>
      <c r="K80" s="19">
        <v>1</v>
      </c>
      <c r="L80" s="19">
        <v>0</v>
      </c>
      <c r="M80" s="19">
        <v>55700</v>
      </c>
      <c r="N80" s="19">
        <v>58487</v>
      </c>
      <c r="O80" s="19">
        <v>67656</v>
      </c>
      <c r="P80" s="19">
        <v>47542</v>
      </c>
      <c r="Q80" s="19">
        <v>0</v>
      </c>
      <c r="R80" s="19">
        <v>102372</v>
      </c>
      <c r="S80" s="19">
        <v>41134</v>
      </c>
      <c r="T80" s="19">
        <v>0</v>
      </c>
      <c r="U80" s="19">
        <v>97685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380971.5</v>
      </c>
      <c r="AF80" s="19">
        <v>244212.5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133885.19999999998</v>
      </c>
      <c r="AM80" s="19">
        <v>0</v>
      </c>
      <c r="AN80" s="19">
        <v>0</v>
      </c>
      <c r="AO80" s="19">
        <v>0</v>
      </c>
      <c r="AP80" s="19">
        <v>0</v>
      </c>
      <c r="AQ80" s="19"/>
      <c r="AR80" s="19">
        <v>0</v>
      </c>
      <c r="AS80" s="19">
        <v>0</v>
      </c>
      <c r="AT80" s="19">
        <v>0</v>
      </c>
      <c r="AU80" s="19">
        <v>0</v>
      </c>
      <c r="AV80" s="19">
        <v>0</v>
      </c>
      <c r="AW80" s="19">
        <v>0</v>
      </c>
      <c r="AX80" s="19">
        <v>0</v>
      </c>
      <c r="AY80" s="19">
        <v>0</v>
      </c>
      <c r="AZ80" s="19">
        <v>0</v>
      </c>
      <c r="BA80" s="19">
        <v>87556</v>
      </c>
      <c r="BB80" s="19">
        <v>97685</v>
      </c>
      <c r="BC80" s="19">
        <v>0</v>
      </c>
      <c r="BD80" s="19">
        <v>0</v>
      </c>
      <c r="BE80" s="19">
        <v>0</v>
      </c>
      <c r="BF80" s="19">
        <v>0</v>
      </c>
      <c r="BG80" s="19">
        <v>51321.218057816419</v>
      </c>
      <c r="BH80" s="19">
        <v>27144</v>
      </c>
      <c r="BI80" s="19">
        <v>0</v>
      </c>
      <c r="BJ80" s="19">
        <v>0</v>
      </c>
      <c r="BK80" s="19">
        <v>0</v>
      </c>
      <c r="BL80" s="19">
        <v>43591.25</v>
      </c>
      <c r="BM80" s="19">
        <v>0</v>
      </c>
      <c r="BN80" s="19">
        <v>0</v>
      </c>
      <c r="BO80" s="19">
        <v>0</v>
      </c>
      <c r="BP80" s="19">
        <v>4220</v>
      </c>
      <c r="BQ80" s="19">
        <v>0</v>
      </c>
      <c r="BR80" s="19">
        <v>12240</v>
      </c>
      <c r="BS80" s="19">
        <v>101560.06446048801</v>
      </c>
      <c r="BT80" s="19">
        <v>99697</v>
      </c>
      <c r="BU80" s="19">
        <v>0</v>
      </c>
      <c r="BV80" s="19">
        <v>55000</v>
      </c>
      <c r="BW80" s="19">
        <v>134027</v>
      </c>
      <c r="BX80" s="19">
        <v>0</v>
      </c>
      <c r="BY80" s="19">
        <v>0</v>
      </c>
      <c r="BZ80" s="19">
        <v>0</v>
      </c>
      <c r="CA80" s="19">
        <v>0</v>
      </c>
      <c r="CB80">
        <f t="shared" si="1"/>
        <v>3501069.7325183046</v>
      </c>
    </row>
    <row r="81" spans="1:80" x14ac:dyDescent="0.25">
      <c r="A81" s="17" t="s">
        <v>158</v>
      </c>
      <c r="B81" s="19">
        <v>171051</v>
      </c>
      <c r="C81" s="19">
        <v>97685</v>
      </c>
      <c r="D81" s="19">
        <v>138141</v>
      </c>
      <c r="E81" s="19">
        <v>0</v>
      </c>
      <c r="F81" s="19">
        <v>293055</v>
      </c>
      <c r="G81" s="19">
        <v>0</v>
      </c>
      <c r="H81" s="19">
        <v>0</v>
      </c>
      <c r="I81" s="19">
        <v>293055</v>
      </c>
      <c r="J81" s="19">
        <v>75970</v>
      </c>
      <c r="K81" s="19">
        <v>2</v>
      </c>
      <c r="L81" s="19">
        <v>0</v>
      </c>
      <c r="M81" s="19">
        <v>55700</v>
      </c>
      <c r="N81" s="19">
        <v>0</v>
      </c>
      <c r="O81" s="19">
        <v>67656</v>
      </c>
      <c r="P81" s="19">
        <v>0</v>
      </c>
      <c r="Q81" s="19">
        <v>0</v>
      </c>
      <c r="R81" s="19">
        <v>51186</v>
      </c>
      <c r="S81" s="19">
        <v>82268</v>
      </c>
      <c r="T81" s="19">
        <v>97685</v>
      </c>
      <c r="U81" s="19">
        <v>97685</v>
      </c>
      <c r="V81" s="19">
        <v>97685</v>
      </c>
      <c r="W81" s="19">
        <v>97685</v>
      </c>
      <c r="X81" s="19">
        <v>97685</v>
      </c>
      <c r="Y81" s="19">
        <v>195370</v>
      </c>
      <c r="Z81" s="19">
        <v>57830</v>
      </c>
      <c r="AA81" s="19">
        <v>0</v>
      </c>
      <c r="AB81" s="19">
        <v>86745</v>
      </c>
      <c r="AC81" s="19">
        <v>0</v>
      </c>
      <c r="AD81" s="19">
        <v>0</v>
      </c>
      <c r="AE81" s="19">
        <v>0</v>
      </c>
      <c r="AF81" s="19">
        <v>0</v>
      </c>
      <c r="AG81" s="19">
        <v>57830</v>
      </c>
      <c r="AH81" s="19">
        <v>293055</v>
      </c>
      <c r="AI81" s="19">
        <v>0</v>
      </c>
      <c r="AJ81" s="19">
        <v>195370</v>
      </c>
      <c r="AK81" s="19">
        <v>293055</v>
      </c>
      <c r="AL81" s="19">
        <v>0</v>
      </c>
      <c r="AM81" s="19">
        <v>293055</v>
      </c>
      <c r="AN81" s="19">
        <v>0</v>
      </c>
      <c r="AO81" s="19">
        <v>0</v>
      </c>
      <c r="AP81" s="19">
        <v>0</v>
      </c>
      <c r="AQ81" s="19"/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48842.5</v>
      </c>
      <c r="BF81" s="19">
        <v>0</v>
      </c>
      <c r="BG81" s="19">
        <v>68017.904999999999</v>
      </c>
      <c r="BH81" s="19">
        <v>33930</v>
      </c>
      <c r="BI81" s="19">
        <v>0</v>
      </c>
      <c r="BJ81" s="19">
        <v>0</v>
      </c>
      <c r="BK81" s="19">
        <v>0</v>
      </c>
      <c r="BL81" s="19">
        <v>21661.758928571428</v>
      </c>
      <c r="BM81" s="19">
        <v>0</v>
      </c>
      <c r="BN81" s="19">
        <v>0</v>
      </c>
      <c r="BO81" s="19">
        <v>0</v>
      </c>
      <c r="BP81" s="19">
        <v>12440</v>
      </c>
      <c r="BQ81" s="19">
        <v>0</v>
      </c>
      <c r="BR81" s="19">
        <v>0</v>
      </c>
      <c r="BS81" s="19">
        <v>0</v>
      </c>
      <c r="BT81" s="19">
        <v>0</v>
      </c>
      <c r="BU81" s="19">
        <v>0</v>
      </c>
      <c r="BV81" s="19">
        <v>0</v>
      </c>
      <c r="BW81" s="19">
        <v>0</v>
      </c>
      <c r="BX81" s="19">
        <v>195370</v>
      </c>
      <c r="BY81" s="19">
        <v>0</v>
      </c>
      <c r="BZ81" s="19">
        <v>0</v>
      </c>
      <c r="CA81" s="19">
        <v>0</v>
      </c>
      <c r="CB81">
        <f t="shared" si="1"/>
        <v>3666766.1639285712</v>
      </c>
    </row>
    <row r="82" spans="1:80" x14ac:dyDescent="0.25">
      <c r="A82" s="17" t="s">
        <v>159</v>
      </c>
      <c r="B82" s="19">
        <v>171051</v>
      </c>
      <c r="C82" s="19">
        <v>97685</v>
      </c>
      <c r="D82" s="19">
        <v>179583.30000000002</v>
      </c>
      <c r="E82" s="19">
        <v>0</v>
      </c>
      <c r="F82" s="19">
        <v>293055</v>
      </c>
      <c r="G82" s="19">
        <v>0</v>
      </c>
      <c r="H82" s="19">
        <v>0</v>
      </c>
      <c r="I82" s="19">
        <v>293055</v>
      </c>
      <c r="J82" s="19">
        <v>75970</v>
      </c>
      <c r="K82" s="19">
        <v>1</v>
      </c>
      <c r="L82" s="19">
        <v>52612.3</v>
      </c>
      <c r="M82" s="19">
        <v>55700</v>
      </c>
      <c r="N82" s="19">
        <v>0</v>
      </c>
      <c r="O82" s="19">
        <v>67656</v>
      </c>
      <c r="P82" s="19">
        <v>0</v>
      </c>
      <c r="Q82" s="19">
        <v>586110</v>
      </c>
      <c r="R82" s="19">
        <v>102372</v>
      </c>
      <c r="S82" s="19">
        <v>41134</v>
      </c>
      <c r="T82" s="19">
        <v>146527.5</v>
      </c>
      <c r="U82" s="19">
        <v>97685</v>
      </c>
      <c r="V82" s="19">
        <v>97685</v>
      </c>
      <c r="W82" s="19">
        <v>97685</v>
      </c>
      <c r="X82" s="19">
        <v>97685</v>
      </c>
      <c r="Y82" s="19">
        <v>0</v>
      </c>
      <c r="Z82" s="19">
        <v>0</v>
      </c>
      <c r="AA82" s="19">
        <v>0</v>
      </c>
      <c r="AB82" s="19">
        <v>86745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390740</v>
      </c>
      <c r="AI82" s="19">
        <v>173490</v>
      </c>
      <c r="AJ82" s="19">
        <v>390740</v>
      </c>
      <c r="AK82" s="19">
        <v>293055</v>
      </c>
      <c r="AL82" s="19">
        <v>0</v>
      </c>
      <c r="AM82" s="19">
        <v>293055</v>
      </c>
      <c r="AN82" s="19">
        <v>0</v>
      </c>
      <c r="AO82" s="19">
        <v>0</v>
      </c>
      <c r="AP82" s="19">
        <v>0</v>
      </c>
      <c r="AQ82" s="19"/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97685</v>
      </c>
      <c r="BF82" s="19">
        <v>0</v>
      </c>
      <c r="BG82" s="19">
        <v>93254.603999999992</v>
      </c>
      <c r="BH82" s="19">
        <v>46632</v>
      </c>
      <c r="BI82" s="19">
        <v>0</v>
      </c>
      <c r="BJ82" s="19">
        <v>0</v>
      </c>
      <c r="BK82" s="19">
        <v>131040</v>
      </c>
      <c r="BL82" s="19">
        <v>28990.68</v>
      </c>
      <c r="BM82" s="19">
        <v>0</v>
      </c>
      <c r="BN82" s="19">
        <v>0</v>
      </c>
      <c r="BO82" s="19">
        <v>0</v>
      </c>
      <c r="BP82" s="19">
        <v>5320</v>
      </c>
      <c r="BQ82" s="19">
        <v>0</v>
      </c>
      <c r="BR82" s="19">
        <v>0</v>
      </c>
      <c r="BS82" s="19">
        <v>0</v>
      </c>
      <c r="BT82" s="19">
        <v>0</v>
      </c>
      <c r="BU82" s="19">
        <v>0</v>
      </c>
      <c r="BV82" s="19">
        <v>0</v>
      </c>
      <c r="BW82" s="19">
        <v>0</v>
      </c>
      <c r="BX82" s="19">
        <v>0</v>
      </c>
      <c r="BY82" s="19">
        <v>0</v>
      </c>
      <c r="BZ82" s="19">
        <v>0</v>
      </c>
      <c r="CA82" s="19">
        <v>0</v>
      </c>
      <c r="CB82">
        <f t="shared" si="1"/>
        <v>4583999.3839999996</v>
      </c>
    </row>
    <row r="83" spans="1:80" x14ac:dyDescent="0.25">
      <c r="A83" s="17" t="s">
        <v>160</v>
      </c>
      <c r="B83" s="19">
        <v>171051</v>
      </c>
      <c r="C83" s="19">
        <v>97685</v>
      </c>
      <c r="D83" s="19">
        <v>124326.90000000001</v>
      </c>
      <c r="E83" s="19">
        <v>0</v>
      </c>
      <c r="F83" s="19">
        <v>293055</v>
      </c>
      <c r="G83" s="19">
        <v>0</v>
      </c>
      <c r="H83" s="19">
        <v>0</v>
      </c>
      <c r="I83" s="19">
        <v>195370</v>
      </c>
      <c r="J83" s="19">
        <v>75970</v>
      </c>
      <c r="K83" s="19">
        <v>1</v>
      </c>
      <c r="L83" s="19">
        <v>0</v>
      </c>
      <c r="M83" s="19">
        <v>55700</v>
      </c>
      <c r="N83" s="19">
        <v>0</v>
      </c>
      <c r="O83" s="19">
        <v>67656</v>
      </c>
      <c r="P83" s="19">
        <v>0</v>
      </c>
      <c r="Q83" s="19">
        <v>97685</v>
      </c>
      <c r="R83" s="19">
        <v>102372</v>
      </c>
      <c r="S83" s="19">
        <v>41134</v>
      </c>
      <c r="T83" s="19">
        <v>0</v>
      </c>
      <c r="U83" s="19">
        <v>97685</v>
      </c>
      <c r="V83" s="19">
        <v>97685</v>
      </c>
      <c r="W83" s="19">
        <v>97685</v>
      </c>
      <c r="X83" s="19">
        <v>97685</v>
      </c>
      <c r="Y83" s="19">
        <v>195370</v>
      </c>
      <c r="Z83" s="19">
        <v>57830</v>
      </c>
      <c r="AA83" s="19">
        <v>0</v>
      </c>
      <c r="AB83" s="19">
        <v>86745</v>
      </c>
      <c r="AC83" s="19">
        <v>0</v>
      </c>
      <c r="AD83" s="19">
        <v>0</v>
      </c>
      <c r="AE83" s="19">
        <v>0</v>
      </c>
      <c r="AF83" s="19">
        <v>0</v>
      </c>
      <c r="AG83" s="19">
        <v>57830</v>
      </c>
      <c r="AH83" s="19">
        <v>195370</v>
      </c>
      <c r="AI83" s="19">
        <v>28915</v>
      </c>
      <c r="AJ83" s="19">
        <v>195370</v>
      </c>
      <c r="AK83" s="19">
        <v>195370</v>
      </c>
      <c r="AL83" s="19">
        <v>0</v>
      </c>
      <c r="AM83" s="19">
        <v>195370</v>
      </c>
      <c r="AN83" s="19">
        <v>0</v>
      </c>
      <c r="AO83" s="19">
        <v>0</v>
      </c>
      <c r="AP83" s="19">
        <v>0</v>
      </c>
      <c r="AQ83" s="19"/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59819.98554545454</v>
      </c>
      <c r="BH83" s="19">
        <v>29841</v>
      </c>
      <c r="BI83" s="19">
        <v>0</v>
      </c>
      <c r="BJ83" s="19">
        <v>0</v>
      </c>
      <c r="BK83" s="19">
        <v>0</v>
      </c>
      <c r="BL83" s="19">
        <v>19567.888888888891</v>
      </c>
      <c r="BM83" s="19">
        <v>3430</v>
      </c>
      <c r="BN83" s="19">
        <v>6779.5983618181854</v>
      </c>
      <c r="BO83" s="19">
        <v>378848.90909090918</v>
      </c>
      <c r="BP83" s="19">
        <v>4280</v>
      </c>
      <c r="BQ83" s="19">
        <v>0</v>
      </c>
      <c r="BR83" s="19">
        <v>0</v>
      </c>
      <c r="BS83" s="19">
        <v>0</v>
      </c>
      <c r="BT83" s="19">
        <v>0</v>
      </c>
      <c r="BU83" s="19">
        <v>0</v>
      </c>
      <c r="BV83" s="19">
        <v>0</v>
      </c>
      <c r="BW83" s="19">
        <v>0</v>
      </c>
      <c r="BX83" s="19">
        <v>195370</v>
      </c>
      <c r="BY83" s="19">
        <v>0</v>
      </c>
      <c r="BZ83" s="19">
        <v>0</v>
      </c>
      <c r="CA83" s="19">
        <v>0</v>
      </c>
      <c r="CB83">
        <f t="shared" si="1"/>
        <v>3618853.2818870707</v>
      </c>
    </row>
    <row r="84" spans="1:80" x14ac:dyDescent="0.25">
      <c r="A84" s="17" t="s">
        <v>161</v>
      </c>
      <c r="B84" s="19">
        <v>171051</v>
      </c>
      <c r="C84" s="19">
        <v>97685</v>
      </c>
      <c r="D84" s="19">
        <v>234839.69999999998</v>
      </c>
      <c r="E84" s="19">
        <v>97685</v>
      </c>
      <c r="F84" s="19">
        <v>293055</v>
      </c>
      <c r="G84" s="19">
        <v>0</v>
      </c>
      <c r="H84" s="19">
        <v>0</v>
      </c>
      <c r="I84" s="19">
        <v>293055</v>
      </c>
      <c r="J84" s="19">
        <v>75970</v>
      </c>
      <c r="K84" s="19">
        <v>3</v>
      </c>
      <c r="L84" s="19">
        <v>64753.600000000006</v>
      </c>
      <c r="M84" s="19">
        <v>55700</v>
      </c>
      <c r="N84" s="19">
        <v>0</v>
      </c>
      <c r="O84" s="19">
        <v>67656</v>
      </c>
      <c r="P84" s="19">
        <v>0</v>
      </c>
      <c r="Q84" s="19">
        <v>0</v>
      </c>
      <c r="R84" s="19">
        <v>51186</v>
      </c>
      <c r="S84" s="19">
        <v>123402</v>
      </c>
      <c r="T84" s="19">
        <v>195370</v>
      </c>
      <c r="U84" s="19">
        <v>97685</v>
      </c>
      <c r="V84" s="19">
        <v>97685</v>
      </c>
      <c r="W84" s="19">
        <v>97685</v>
      </c>
      <c r="X84" s="19">
        <v>97685</v>
      </c>
      <c r="Y84" s="19">
        <v>293055</v>
      </c>
      <c r="Z84" s="19">
        <v>86745</v>
      </c>
      <c r="AA84" s="19">
        <v>244212.5</v>
      </c>
      <c r="AB84" s="19">
        <v>86745</v>
      </c>
      <c r="AC84" s="19">
        <v>0</v>
      </c>
      <c r="AD84" s="19">
        <v>0</v>
      </c>
      <c r="AE84" s="19">
        <v>0</v>
      </c>
      <c r="AF84" s="19">
        <v>0</v>
      </c>
      <c r="AG84" s="19">
        <v>86745</v>
      </c>
      <c r="AH84" s="19">
        <v>293055</v>
      </c>
      <c r="AI84" s="19">
        <v>0</v>
      </c>
      <c r="AJ84" s="19">
        <v>293055</v>
      </c>
      <c r="AK84" s="19">
        <v>293055</v>
      </c>
      <c r="AL84" s="19">
        <v>0</v>
      </c>
      <c r="AM84" s="19">
        <v>293055</v>
      </c>
      <c r="AN84" s="19">
        <v>273518</v>
      </c>
      <c r="AO84" s="19">
        <v>234444</v>
      </c>
      <c r="AP84" s="19">
        <v>0</v>
      </c>
      <c r="AQ84" s="19"/>
      <c r="AR84" s="19">
        <v>0</v>
      </c>
      <c r="AS84" s="19">
        <v>0</v>
      </c>
      <c r="AT84" s="19">
        <v>0</v>
      </c>
      <c r="AU84" s="19">
        <v>0</v>
      </c>
      <c r="AV84" s="19">
        <v>0</v>
      </c>
      <c r="AW84" s="19">
        <v>0</v>
      </c>
      <c r="AX84" s="19">
        <v>0</v>
      </c>
      <c r="AY84" s="19">
        <v>0</v>
      </c>
      <c r="AZ84" s="19">
        <v>0</v>
      </c>
      <c r="BA84" s="19">
        <v>0</v>
      </c>
      <c r="BB84" s="19">
        <v>0</v>
      </c>
      <c r="BC84" s="19">
        <v>5000</v>
      </c>
      <c r="BD84" s="19">
        <v>195370</v>
      </c>
      <c r="BE84" s="19">
        <v>0</v>
      </c>
      <c r="BF84" s="19">
        <v>0</v>
      </c>
      <c r="BG84" s="19">
        <v>123492.73199999999</v>
      </c>
      <c r="BH84" s="19">
        <v>54723</v>
      </c>
      <c r="BI84" s="19">
        <v>0</v>
      </c>
      <c r="BJ84" s="19">
        <v>0</v>
      </c>
      <c r="BK84" s="19">
        <v>0</v>
      </c>
      <c r="BL84" s="19">
        <v>35587.272357723574</v>
      </c>
      <c r="BM84" s="19">
        <v>6290</v>
      </c>
      <c r="BN84" s="19">
        <v>13995.842960000009</v>
      </c>
      <c r="BO84" s="19">
        <v>776606</v>
      </c>
      <c r="BP84" s="19">
        <v>7500</v>
      </c>
      <c r="BQ84" s="19">
        <v>23000</v>
      </c>
      <c r="BR84" s="19">
        <v>0</v>
      </c>
      <c r="BS84" s="19">
        <v>0</v>
      </c>
      <c r="BT84" s="19">
        <v>0</v>
      </c>
      <c r="BU84" s="19">
        <v>100000</v>
      </c>
      <c r="BV84" s="19">
        <v>0</v>
      </c>
      <c r="BW84" s="19">
        <v>0</v>
      </c>
      <c r="BX84" s="19">
        <v>293055</v>
      </c>
      <c r="BY84" s="19">
        <v>0</v>
      </c>
      <c r="BZ84" s="19">
        <v>0</v>
      </c>
      <c r="CA84" s="19">
        <v>0</v>
      </c>
      <c r="CB84">
        <f t="shared" si="1"/>
        <v>6324455.6473177234</v>
      </c>
    </row>
    <row r="85" spans="1:80" x14ac:dyDescent="0.25">
      <c r="A85" s="17" t="s">
        <v>162</v>
      </c>
      <c r="B85" s="19">
        <v>171051</v>
      </c>
      <c r="C85" s="19">
        <v>97685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37985</v>
      </c>
      <c r="K85" s="19">
        <v>2</v>
      </c>
      <c r="L85" s="19">
        <v>0</v>
      </c>
      <c r="M85" s="19">
        <v>55700</v>
      </c>
      <c r="N85" s="19">
        <v>0</v>
      </c>
      <c r="O85" s="19">
        <v>67656</v>
      </c>
      <c r="P85" s="19">
        <v>0</v>
      </c>
      <c r="Q85" s="19">
        <v>0</v>
      </c>
      <c r="R85" s="19">
        <v>51186</v>
      </c>
      <c r="S85" s="19">
        <v>82268</v>
      </c>
      <c r="T85" s="19">
        <v>0</v>
      </c>
      <c r="U85" s="19">
        <v>48842.5</v>
      </c>
      <c r="V85" s="19">
        <v>97685</v>
      </c>
      <c r="W85" s="19">
        <v>97685</v>
      </c>
      <c r="X85" s="19">
        <v>97685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586110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/>
      <c r="AR85" s="19">
        <v>0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195370</v>
      </c>
      <c r="BE85" s="19">
        <v>0</v>
      </c>
      <c r="BF85" s="19">
        <v>0</v>
      </c>
      <c r="BG85" s="19">
        <v>69624.852954545451</v>
      </c>
      <c r="BH85" s="19">
        <v>12441</v>
      </c>
      <c r="BI85" s="19">
        <v>0</v>
      </c>
      <c r="BJ85" s="19">
        <v>0</v>
      </c>
      <c r="BK85" s="19">
        <v>0</v>
      </c>
      <c r="BL85" s="19">
        <v>24874.85</v>
      </c>
      <c r="BM85" s="19">
        <v>0</v>
      </c>
      <c r="BN85" s="19">
        <v>0</v>
      </c>
      <c r="BO85" s="19">
        <v>0</v>
      </c>
      <c r="BP85" s="19">
        <v>1400</v>
      </c>
      <c r="BQ85" s="19">
        <v>0</v>
      </c>
      <c r="BR85" s="19">
        <v>0</v>
      </c>
      <c r="BS85" s="19">
        <v>0</v>
      </c>
      <c r="BT85" s="19">
        <v>0</v>
      </c>
      <c r="BU85" s="19">
        <v>0</v>
      </c>
      <c r="BV85" s="19">
        <v>0</v>
      </c>
      <c r="BW85" s="19">
        <v>0</v>
      </c>
      <c r="BX85" s="19">
        <v>0</v>
      </c>
      <c r="BY85" s="19">
        <v>0</v>
      </c>
      <c r="BZ85" s="19">
        <v>0</v>
      </c>
      <c r="CA85" s="19">
        <v>0</v>
      </c>
      <c r="CB85">
        <f t="shared" si="1"/>
        <v>1795251.2029545456</v>
      </c>
    </row>
    <row r="86" spans="1:80" x14ac:dyDescent="0.25">
      <c r="A86" s="17" t="s">
        <v>163</v>
      </c>
      <c r="B86" s="19">
        <v>171051</v>
      </c>
      <c r="C86" s="19">
        <v>97685</v>
      </c>
      <c r="D86" s="19">
        <v>0</v>
      </c>
      <c r="E86" s="19">
        <v>0</v>
      </c>
      <c r="F86" s="19">
        <v>0</v>
      </c>
      <c r="G86" s="19">
        <v>429814.00000000006</v>
      </c>
      <c r="H86" s="19">
        <v>468888</v>
      </c>
      <c r="I86" s="19">
        <v>0</v>
      </c>
      <c r="J86" s="19">
        <v>75970</v>
      </c>
      <c r="K86" s="19">
        <v>2</v>
      </c>
      <c r="L86" s="19">
        <v>0</v>
      </c>
      <c r="M86" s="19">
        <v>55700</v>
      </c>
      <c r="N86" s="19">
        <v>58487</v>
      </c>
      <c r="O86" s="19">
        <v>67656</v>
      </c>
      <c r="P86" s="19">
        <v>47542</v>
      </c>
      <c r="Q86" s="19">
        <v>0</v>
      </c>
      <c r="R86" s="19">
        <v>51186</v>
      </c>
      <c r="S86" s="19">
        <v>82268</v>
      </c>
      <c r="T86" s="19">
        <v>97685</v>
      </c>
      <c r="U86" s="19">
        <v>48842.5</v>
      </c>
      <c r="V86" s="19">
        <v>97685</v>
      </c>
      <c r="W86" s="19">
        <v>97685</v>
      </c>
      <c r="X86" s="19">
        <v>97685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0</v>
      </c>
      <c r="AK86" s="19">
        <v>0</v>
      </c>
      <c r="AL86" s="19">
        <v>111571</v>
      </c>
      <c r="AM86" s="19">
        <v>0</v>
      </c>
      <c r="AN86" s="19">
        <v>0</v>
      </c>
      <c r="AO86" s="19">
        <v>0</v>
      </c>
      <c r="AP86" s="19">
        <v>0</v>
      </c>
      <c r="AQ86" s="19"/>
      <c r="AR86" s="19">
        <v>0</v>
      </c>
      <c r="AS86" s="19">
        <v>10000</v>
      </c>
      <c r="AT86" s="19">
        <v>30000</v>
      </c>
      <c r="AU86" s="19">
        <v>0</v>
      </c>
      <c r="AV86" s="19">
        <v>0</v>
      </c>
      <c r="AW86" s="19">
        <v>0</v>
      </c>
      <c r="AX86" s="19">
        <v>0</v>
      </c>
      <c r="AY86" s="19">
        <v>138141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44207.936875998224</v>
      </c>
      <c r="BH86" s="19">
        <v>19140</v>
      </c>
      <c r="BI86" s="19">
        <v>0</v>
      </c>
      <c r="BJ86" s="19">
        <v>0</v>
      </c>
      <c r="BK86" s="19">
        <v>0</v>
      </c>
      <c r="BL86" s="19">
        <v>42921.919999999998</v>
      </c>
      <c r="BM86" s="19">
        <v>0</v>
      </c>
      <c r="BN86" s="19">
        <v>0</v>
      </c>
      <c r="BO86" s="19">
        <v>0</v>
      </c>
      <c r="BP86" s="19">
        <v>7960</v>
      </c>
      <c r="BQ86" s="19">
        <v>0</v>
      </c>
      <c r="BR86" s="19">
        <v>12240</v>
      </c>
      <c r="BS86" s="19">
        <v>101560.06446048801</v>
      </c>
      <c r="BT86" s="19">
        <v>0</v>
      </c>
      <c r="BU86" s="19">
        <v>0</v>
      </c>
      <c r="BV86" s="19">
        <v>0</v>
      </c>
      <c r="BW86" s="19">
        <v>0</v>
      </c>
      <c r="BX86" s="19">
        <v>0</v>
      </c>
      <c r="BY86" s="19">
        <v>97685</v>
      </c>
      <c r="BZ86" s="19">
        <v>9000</v>
      </c>
      <c r="CA86" s="19">
        <v>0</v>
      </c>
      <c r="CB86">
        <f t="shared" si="1"/>
        <v>2670258.421336486</v>
      </c>
    </row>
    <row r="87" spans="1:80" x14ac:dyDescent="0.25">
      <c r="A87" s="17" t="s">
        <v>165</v>
      </c>
      <c r="B87" s="19">
        <v>171051</v>
      </c>
      <c r="C87" s="19">
        <v>97685</v>
      </c>
      <c r="D87" s="19">
        <v>317724.3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75970</v>
      </c>
      <c r="K87" s="19">
        <v>2</v>
      </c>
      <c r="L87" s="19">
        <v>68800.7</v>
      </c>
      <c r="M87" s="19">
        <v>55700</v>
      </c>
      <c r="N87" s="19">
        <v>58487</v>
      </c>
      <c r="O87" s="19">
        <v>67656</v>
      </c>
      <c r="P87" s="19">
        <v>47542</v>
      </c>
      <c r="Q87" s="19">
        <v>0</v>
      </c>
      <c r="R87" s="19">
        <v>51186</v>
      </c>
      <c r="S87" s="19">
        <v>82268</v>
      </c>
      <c r="T87" s="19">
        <v>0</v>
      </c>
      <c r="U87" s="19">
        <v>97685</v>
      </c>
      <c r="V87" s="19">
        <v>97685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3565502.5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0</v>
      </c>
      <c r="AK87" s="19">
        <v>0</v>
      </c>
      <c r="AL87" s="19">
        <v>301241.7</v>
      </c>
      <c r="AM87" s="19">
        <v>0</v>
      </c>
      <c r="AN87" s="19">
        <v>0</v>
      </c>
      <c r="AO87" s="19">
        <v>0</v>
      </c>
      <c r="AP87" s="19">
        <v>0</v>
      </c>
      <c r="AQ87" s="19">
        <v>101560</v>
      </c>
      <c r="AR87" s="19">
        <v>0</v>
      </c>
      <c r="AS87" s="19">
        <v>10000</v>
      </c>
      <c r="AT87" s="19">
        <v>30000</v>
      </c>
      <c r="AU87" s="19">
        <v>0</v>
      </c>
      <c r="AV87" s="19">
        <v>0</v>
      </c>
      <c r="AW87" s="19">
        <v>0</v>
      </c>
      <c r="AX87" s="19">
        <v>0</v>
      </c>
      <c r="AY87" s="19">
        <v>138141</v>
      </c>
      <c r="AZ87" s="19">
        <v>0</v>
      </c>
      <c r="BA87" s="19">
        <v>87556</v>
      </c>
      <c r="BB87" s="19">
        <v>97685</v>
      </c>
      <c r="BC87" s="19">
        <v>0</v>
      </c>
      <c r="BD87" s="19">
        <v>0</v>
      </c>
      <c r="BE87" s="19">
        <v>0</v>
      </c>
      <c r="BF87" s="19">
        <v>128716</v>
      </c>
      <c r="BG87" s="19">
        <v>133388.85493381461</v>
      </c>
      <c r="BH87" s="19">
        <v>59334</v>
      </c>
      <c r="BI87" s="19">
        <v>0</v>
      </c>
      <c r="BJ87" s="19">
        <v>101560.06446048801</v>
      </c>
      <c r="BK87" s="19">
        <v>0</v>
      </c>
      <c r="BL87" s="19">
        <v>89999.380601941753</v>
      </c>
      <c r="BM87" s="19">
        <v>0</v>
      </c>
      <c r="BN87" s="19">
        <v>0</v>
      </c>
      <c r="BO87" s="19">
        <v>0</v>
      </c>
      <c r="BP87" s="19">
        <v>23400</v>
      </c>
      <c r="BQ87" s="19">
        <v>0</v>
      </c>
      <c r="BR87" s="19">
        <v>12240</v>
      </c>
      <c r="BS87" s="19">
        <v>101560.06446048801</v>
      </c>
      <c r="BT87" s="19">
        <v>0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9000</v>
      </c>
      <c r="CA87" s="19">
        <v>0</v>
      </c>
      <c r="CB87">
        <f t="shared" si="1"/>
        <v>6280326.564456732</v>
      </c>
    </row>
    <row r="88" spans="1:80" x14ac:dyDescent="0.25">
      <c r="A88" s="17" t="s">
        <v>167</v>
      </c>
      <c r="B88" s="19">
        <v>171051</v>
      </c>
      <c r="C88" s="19">
        <v>97685</v>
      </c>
      <c r="D88" s="19">
        <v>138141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2</v>
      </c>
      <c r="L88" s="19">
        <v>52612.3</v>
      </c>
      <c r="M88" s="19">
        <v>55700</v>
      </c>
      <c r="N88" s="19">
        <v>58487</v>
      </c>
      <c r="O88" s="19">
        <v>67656</v>
      </c>
      <c r="P88" s="19">
        <v>47542</v>
      </c>
      <c r="Q88" s="19">
        <v>0</v>
      </c>
      <c r="R88" s="19">
        <v>51186</v>
      </c>
      <c r="S88" s="19">
        <v>82268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1626455.75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210590.26249999998</v>
      </c>
      <c r="AM88" s="19">
        <v>0</v>
      </c>
      <c r="AN88" s="19">
        <v>0</v>
      </c>
      <c r="AO88" s="19">
        <v>0</v>
      </c>
      <c r="AP88" s="19">
        <v>0</v>
      </c>
      <c r="AQ88" s="19"/>
      <c r="AR88" s="19">
        <v>0</v>
      </c>
      <c r="AS88" s="19">
        <v>0</v>
      </c>
      <c r="AT88" s="19">
        <v>0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48154.273154407318</v>
      </c>
      <c r="BH88" s="19">
        <v>44370</v>
      </c>
      <c r="BI88" s="19">
        <v>150000</v>
      </c>
      <c r="BJ88" s="19">
        <v>101560.06446048801</v>
      </c>
      <c r="BK88" s="19">
        <v>0</v>
      </c>
      <c r="BL88" s="19">
        <v>67135.912142857138</v>
      </c>
      <c r="BM88" s="19">
        <v>0</v>
      </c>
      <c r="BN88" s="19">
        <v>0</v>
      </c>
      <c r="BO88" s="19">
        <v>0</v>
      </c>
      <c r="BP88" s="19">
        <v>0</v>
      </c>
      <c r="BQ88" s="19">
        <v>0</v>
      </c>
      <c r="BR88" s="19">
        <v>12240</v>
      </c>
      <c r="BS88" s="19">
        <v>0</v>
      </c>
      <c r="BT88" s="19">
        <v>0</v>
      </c>
      <c r="BU88" s="19">
        <v>0</v>
      </c>
      <c r="BV88" s="19">
        <v>0</v>
      </c>
      <c r="BW88" s="19">
        <v>0</v>
      </c>
      <c r="BX88" s="19">
        <v>0</v>
      </c>
      <c r="BY88" s="19">
        <v>0</v>
      </c>
      <c r="BZ88" s="19">
        <v>0</v>
      </c>
      <c r="CA88" s="19">
        <v>0</v>
      </c>
      <c r="CB88">
        <f t="shared" si="1"/>
        <v>3082836.5622577523</v>
      </c>
    </row>
    <row r="89" spans="1:80" x14ac:dyDescent="0.25">
      <c r="A89" s="17" t="s">
        <v>168</v>
      </c>
      <c r="B89" s="19">
        <v>171051</v>
      </c>
      <c r="C89" s="19">
        <v>97685</v>
      </c>
      <c r="D89" s="19">
        <v>0</v>
      </c>
      <c r="E89" s="19">
        <v>0</v>
      </c>
      <c r="F89" s="19">
        <v>195370</v>
      </c>
      <c r="G89" s="19">
        <v>0</v>
      </c>
      <c r="H89" s="19">
        <v>0</v>
      </c>
      <c r="I89" s="19">
        <v>97685</v>
      </c>
      <c r="J89" s="19">
        <v>37985</v>
      </c>
      <c r="K89" s="19">
        <v>0</v>
      </c>
      <c r="L89" s="19">
        <v>0</v>
      </c>
      <c r="M89" s="19">
        <v>55700</v>
      </c>
      <c r="N89" s="19">
        <v>0</v>
      </c>
      <c r="O89" s="19">
        <v>67656</v>
      </c>
      <c r="P89" s="19">
        <v>0</v>
      </c>
      <c r="Q89" s="19">
        <v>0</v>
      </c>
      <c r="R89" s="19">
        <v>51186</v>
      </c>
      <c r="S89" s="19">
        <v>0</v>
      </c>
      <c r="T89" s="19">
        <v>97685</v>
      </c>
      <c r="U89" s="19">
        <v>48842.5</v>
      </c>
      <c r="V89" s="19">
        <v>97685</v>
      </c>
      <c r="W89" s="19">
        <v>97685</v>
      </c>
      <c r="X89" s="19">
        <v>97685</v>
      </c>
      <c r="Y89" s="19">
        <v>97685</v>
      </c>
      <c r="Z89" s="19">
        <v>28915</v>
      </c>
      <c r="AA89" s="19">
        <v>0</v>
      </c>
      <c r="AB89" s="19">
        <v>57830</v>
      </c>
      <c r="AC89" s="19">
        <v>0</v>
      </c>
      <c r="AD89" s="19">
        <v>0</v>
      </c>
      <c r="AE89" s="19">
        <v>0</v>
      </c>
      <c r="AF89" s="19">
        <v>0</v>
      </c>
      <c r="AG89" s="19">
        <v>28915</v>
      </c>
      <c r="AH89" s="19">
        <v>97685</v>
      </c>
      <c r="AI89" s="19">
        <v>0</v>
      </c>
      <c r="AJ89" s="19">
        <v>97685</v>
      </c>
      <c r="AK89" s="19">
        <v>97685</v>
      </c>
      <c r="AL89" s="19">
        <v>0</v>
      </c>
      <c r="AM89" s="19">
        <v>97685</v>
      </c>
      <c r="AN89" s="19">
        <v>0</v>
      </c>
      <c r="AO89" s="19">
        <v>0</v>
      </c>
      <c r="AP89" s="19">
        <v>0</v>
      </c>
      <c r="AQ89" s="19"/>
      <c r="AR89" s="19">
        <v>0</v>
      </c>
      <c r="AS89" s="19">
        <v>0</v>
      </c>
      <c r="AT89" s="19">
        <v>0</v>
      </c>
      <c r="AU89" s="19">
        <v>0</v>
      </c>
      <c r="AV89" s="19">
        <v>0</v>
      </c>
      <c r="AW89" s="19">
        <v>0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32398.244999999999</v>
      </c>
      <c r="BH89" s="19">
        <v>15051</v>
      </c>
      <c r="BI89" s="19">
        <v>0</v>
      </c>
      <c r="BJ89" s="19">
        <v>0</v>
      </c>
      <c r="BK89" s="19">
        <v>0</v>
      </c>
      <c r="BL89" s="19">
        <v>10736.409090909092</v>
      </c>
      <c r="BM89" s="19">
        <v>0</v>
      </c>
      <c r="BN89" s="19">
        <v>0</v>
      </c>
      <c r="BO89" s="19">
        <v>0</v>
      </c>
      <c r="BP89" s="19">
        <v>0</v>
      </c>
      <c r="BQ89" s="19">
        <v>0</v>
      </c>
      <c r="BR89" s="19">
        <v>0</v>
      </c>
      <c r="BS89" s="19">
        <v>0</v>
      </c>
      <c r="BT89" s="19">
        <v>0</v>
      </c>
      <c r="BU89" s="19">
        <v>0</v>
      </c>
      <c r="BV89" s="19">
        <v>0</v>
      </c>
      <c r="BW89" s="19">
        <v>0</v>
      </c>
      <c r="BX89" s="19">
        <v>97685</v>
      </c>
      <c r="BY89" s="19">
        <v>0</v>
      </c>
      <c r="BZ89" s="19">
        <v>0</v>
      </c>
      <c r="CA89" s="19">
        <v>0</v>
      </c>
      <c r="CB89">
        <f t="shared" si="1"/>
        <v>1973856.1540909093</v>
      </c>
    </row>
    <row r="90" spans="1:80" x14ac:dyDescent="0.25">
      <c r="A90" s="17" t="s">
        <v>169</v>
      </c>
      <c r="B90" s="19">
        <v>171051</v>
      </c>
      <c r="C90" s="19">
        <v>97685</v>
      </c>
      <c r="D90" s="19">
        <v>110512.8</v>
      </c>
      <c r="E90" s="19">
        <v>0</v>
      </c>
      <c r="F90" s="19">
        <v>195370</v>
      </c>
      <c r="G90" s="19">
        <v>0</v>
      </c>
      <c r="H90" s="19">
        <v>0</v>
      </c>
      <c r="I90" s="19">
        <v>195370</v>
      </c>
      <c r="J90" s="19">
        <v>75970</v>
      </c>
      <c r="K90" s="19">
        <v>1</v>
      </c>
      <c r="L90" s="19">
        <v>0</v>
      </c>
      <c r="M90" s="19">
        <v>55700</v>
      </c>
      <c r="N90" s="19">
        <v>0</v>
      </c>
      <c r="O90" s="19">
        <v>67656</v>
      </c>
      <c r="P90" s="19">
        <v>0</v>
      </c>
      <c r="Q90" s="19">
        <v>0</v>
      </c>
      <c r="R90" s="19">
        <v>51186</v>
      </c>
      <c r="S90" s="19">
        <v>41134</v>
      </c>
      <c r="T90" s="19">
        <v>0</v>
      </c>
      <c r="U90" s="19">
        <v>97685</v>
      </c>
      <c r="V90" s="19">
        <v>97685</v>
      </c>
      <c r="W90" s="19">
        <v>97685</v>
      </c>
      <c r="X90" s="19">
        <v>97685</v>
      </c>
      <c r="Y90" s="19">
        <v>195370</v>
      </c>
      <c r="Z90" s="19">
        <v>57830</v>
      </c>
      <c r="AA90" s="19">
        <v>0</v>
      </c>
      <c r="AB90" s="19">
        <v>57830</v>
      </c>
      <c r="AC90" s="19">
        <v>0</v>
      </c>
      <c r="AD90" s="19">
        <v>0</v>
      </c>
      <c r="AE90" s="19">
        <v>0</v>
      </c>
      <c r="AF90" s="19">
        <v>0</v>
      </c>
      <c r="AG90" s="19">
        <v>57830</v>
      </c>
      <c r="AH90" s="19">
        <v>195370</v>
      </c>
      <c r="AI90" s="19">
        <v>0</v>
      </c>
      <c r="AJ90" s="19">
        <v>195370</v>
      </c>
      <c r="AK90" s="19">
        <v>293055</v>
      </c>
      <c r="AL90" s="19">
        <v>0</v>
      </c>
      <c r="AM90" s="19">
        <v>195370</v>
      </c>
      <c r="AN90" s="19">
        <v>0</v>
      </c>
      <c r="AO90" s="19">
        <v>0</v>
      </c>
      <c r="AP90" s="19">
        <v>0</v>
      </c>
      <c r="AQ90" s="19"/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Y90" s="19">
        <v>0</v>
      </c>
      <c r="AZ90" s="19">
        <v>0</v>
      </c>
      <c r="BA90" s="19">
        <v>0</v>
      </c>
      <c r="BB90" s="19">
        <v>0</v>
      </c>
      <c r="BC90" s="19">
        <v>0</v>
      </c>
      <c r="BD90" s="19">
        <v>0</v>
      </c>
      <c r="BE90" s="19">
        <v>73263.75</v>
      </c>
      <c r="BF90" s="19">
        <v>0</v>
      </c>
      <c r="BG90" s="19">
        <v>53761.796999999999</v>
      </c>
      <c r="BH90" s="19">
        <v>27927</v>
      </c>
      <c r="BI90" s="19">
        <v>0</v>
      </c>
      <c r="BJ90" s="19">
        <v>0</v>
      </c>
      <c r="BK90" s="19">
        <v>102240</v>
      </c>
      <c r="BL90" s="19">
        <v>18196.197674418603</v>
      </c>
      <c r="BM90" s="19">
        <v>0</v>
      </c>
      <c r="BN90" s="19">
        <v>0</v>
      </c>
      <c r="BO90" s="19">
        <v>0</v>
      </c>
      <c r="BP90" s="19">
        <v>10560</v>
      </c>
      <c r="BQ90" s="19">
        <v>0</v>
      </c>
      <c r="BR90" s="19">
        <v>0</v>
      </c>
      <c r="BS90" s="19">
        <v>0</v>
      </c>
      <c r="BT90" s="19">
        <v>0</v>
      </c>
      <c r="BU90" s="19">
        <v>0</v>
      </c>
      <c r="BV90" s="19">
        <v>0</v>
      </c>
      <c r="BW90" s="19">
        <v>0</v>
      </c>
      <c r="BX90" s="19">
        <v>195370</v>
      </c>
      <c r="BY90" s="19">
        <v>0</v>
      </c>
      <c r="BZ90" s="19">
        <v>0</v>
      </c>
      <c r="CA90" s="19">
        <v>0</v>
      </c>
      <c r="CB90">
        <f t="shared" si="1"/>
        <v>3181719.5446744184</v>
      </c>
    </row>
    <row r="91" spans="1:80" x14ac:dyDescent="0.25">
      <c r="A91" s="17" t="s">
        <v>77</v>
      </c>
      <c r="B91" s="19">
        <v>0</v>
      </c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>
        <f t="shared" si="1"/>
        <v>0</v>
      </c>
    </row>
    <row r="92" spans="1:80" x14ac:dyDescent="0.25">
      <c r="A92" s="17" t="s">
        <v>170</v>
      </c>
      <c r="B92" s="19">
        <v>85525.5</v>
      </c>
      <c r="C92" s="19">
        <v>97685</v>
      </c>
      <c r="D92" s="19">
        <v>317724.3</v>
      </c>
      <c r="E92" s="19">
        <v>97685</v>
      </c>
      <c r="F92" s="19">
        <v>195370</v>
      </c>
      <c r="G92" s="19">
        <v>0</v>
      </c>
      <c r="H92" s="19">
        <v>0</v>
      </c>
      <c r="I92" s="19">
        <v>195370</v>
      </c>
      <c r="J92" s="19">
        <v>75970</v>
      </c>
      <c r="K92" s="19">
        <v>0</v>
      </c>
      <c r="L92" s="19">
        <v>48565.2</v>
      </c>
      <c r="M92" s="19">
        <v>55700</v>
      </c>
      <c r="N92" s="19">
        <v>0</v>
      </c>
      <c r="O92" s="19">
        <v>67656</v>
      </c>
      <c r="P92" s="19">
        <v>0</v>
      </c>
      <c r="Q92" s="19">
        <v>97685</v>
      </c>
      <c r="R92" s="19">
        <v>204744</v>
      </c>
      <c r="S92" s="19">
        <v>0</v>
      </c>
      <c r="T92" s="19">
        <v>0</v>
      </c>
      <c r="U92" s="19">
        <v>97685</v>
      </c>
      <c r="V92" s="19">
        <v>97685</v>
      </c>
      <c r="W92" s="19">
        <v>97685</v>
      </c>
      <c r="X92" s="19">
        <v>97685</v>
      </c>
      <c r="Y92" s="19">
        <v>195370</v>
      </c>
      <c r="Z92" s="19">
        <v>57830</v>
      </c>
      <c r="AA92" s="19">
        <v>224675.49999999997</v>
      </c>
      <c r="AB92" s="19">
        <v>57830</v>
      </c>
      <c r="AC92" s="19">
        <v>0</v>
      </c>
      <c r="AD92" s="19">
        <v>0</v>
      </c>
      <c r="AE92" s="19">
        <v>0</v>
      </c>
      <c r="AF92" s="19">
        <v>0</v>
      </c>
      <c r="AG92" s="19">
        <v>57830</v>
      </c>
      <c r="AH92" s="19">
        <v>195370</v>
      </c>
      <c r="AI92" s="19">
        <v>28915</v>
      </c>
      <c r="AJ92" s="19">
        <v>195370</v>
      </c>
      <c r="AK92" s="19">
        <v>195370</v>
      </c>
      <c r="AL92" s="19">
        <v>0</v>
      </c>
      <c r="AM92" s="19">
        <v>195370</v>
      </c>
      <c r="AN92" s="19">
        <v>185601.5</v>
      </c>
      <c r="AO92" s="19">
        <v>214907.00000000003</v>
      </c>
      <c r="AP92" s="19">
        <v>0</v>
      </c>
      <c r="AQ92" s="19"/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  <c r="BA92" s="19">
        <v>0</v>
      </c>
      <c r="BB92" s="19">
        <v>0</v>
      </c>
      <c r="BC92" s="19">
        <v>5000</v>
      </c>
      <c r="BD92" s="19">
        <v>195370</v>
      </c>
      <c r="BE92" s="19">
        <v>0</v>
      </c>
      <c r="BF92" s="19">
        <v>0</v>
      </c>
      <c r="BG92" s="19">
        <v>80937.997499999998</v>
      </c>
      <c r="BH92" s="19">
        <v>42108</v>
      </c>
      <c r="BI92" s="19">
        <v>0</v>
      </c>
      <c r="BJ92" s="19">
        <v>0</v>
      </c>
      <c r="BK92" s="19">
        <v>0</v>
      </c>
      <c r="BL92" s="19">
        <v>30515.607322654461</v>
      </c>
      <c r="BM92" s="19">
        <v>0</v>
      </c>
      <c r="BN92" s="19">
        <v>0</v>
      </c>
      <c r="BO92" s="19">
        <v>0</v>
      </c>
      <c r="BP92" s="19">
        <v>2440</v>
      </c>
      <c r="BQ92" s="19">
        <v>23000</v>
      </c>
      <c r="BR92" s="19">
        <v>0</v>
      </c>
      <c r="BS92" s="19">
        <v>0</v>
      </c>
      <c r="BT92" s="19">
        <v>0</v>
      </c>
      <c r="BU92" s="19">
        <v>100000</v>
      </c>
      <c r="BV92" s="19">
        <v>0</v>
      </c>
      <c r="BW92" s="19">
        <v>0</v>
      </c>
      <c r="BX92" s="19">
        <v>195370</v>
      </c>
      <c r="BY92" s="19">
        <v>0</v>
      </c>
      <c r="BZ92" s="19">
        <v>0</v>
      </c>
      <c r="CA92" s="19">
        <v>0</v>
      </c>
      <c r="CB92">
        <f t="shared" si="1"/>
        <v>4409600.6048226543</v>
      </c>
    </row>
    <row r="93" spans="1:80" x14ac:dyDescent="0.25">
      <c r="A93" s="17" t="s">
        <v>171</v>
      </c>
      <c r="B93" s="19">
        <v>85525.5</v>
      </c>
      <c r="C93" s="19">
        <v>97685</v>
      </c>
      <c r="D93" s="19">
        <v>276282</v>
      </c>
      <c r="E93" s="19">
        <v>0</v>
      </c>
      <c r="F93" s="19">
        <v>0</v>
      </c>
      <c r="G93" s="19">
        <v>576341.5</v>
      </c>
      <c r="H93" s="19">
        <v>566573</v>
      </c>
      <c r="I93" s="19">
        <v>0</v>
      </c>
      <c r="J93" s="19">
        <v>75970</v>
      </c>
      <c r="K93" s="19">
        <v>1</v>
      </c>
      <c r="L93" s="19">
        <v>60706.5</v>
      </c>
      <c r="M93" s="19">
        <v>55700</v>
      </c>
      <c r="N93" s="19">
        <v>58487</v>
      </c>
      <c r="O93" s="19">
        <v>135312</v>
      </c>
      <c r="P93" s="19">
        <v>47542</v>
      </c>
      <c r="Q93" s="19">
        <v>0</v>
      </c>
      <c r="R93" s="19">
        <v>102372</v>
      </c>
      <c r="S93" s="19">
        <v>41134</v>
      </c>
      <c r="T93" s="19">
        <v>0</v>
      </c>
      <c r="U93" s="19">
        <v>97685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664258</v>
      </c>
      <c r="AF93" s="19">
        <v>566573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256613.3</v>
      </c>
      <c r="AM93" s="19">
        <v>0</v>
      </c>
      <c r="AN93" s="19">
        <v>0</v>
      </c>
      <c r="AO93" s="19">
        <v>0</v>
      </c>
      <c r="AP93" s="19">
        <v>0</v>
      </c>
      <c r="AQ93" s="19"/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0</v>
      </c>
      <c r="BG93" s="19">
        <v>61657.985466907317</v>
      </c>
      <c r="BH93" s="19">
        <v>50895</v>
      </c>
      <c r="BI93" s="19">
        <v>0</v>
      </c>
      <c r="BJ93" s="19">
        <v>0</v>
      </c>
      <c r="BK93" s="19">
        <v>0</v>
      </c>
      <c r="BL93" s="19">
        <v>72269.75</v>
      </c>
      <c r="BM93" s="19">
        <v>0</v>
      </c>
      <c r="BN93" s="19">
        <v>0</v>
      </c>
      <c r="BO93" s="19">
        <v>0</v>
      </c>
      <c r="BP93" s="19">
        <v>0</v>
      </c>
      <c r="BQ93" s="19">
        <v>0</v>
      </c>
      <c r="BR93" s="19">
        <v>12240</v>
      </c>
      <c r="BS93" s="19">
        <v>101560.06446048801</v>
      </c>
      <c r="BT93" s="19">
        <v>0</v>
      </c>
      <c r="BU93" s="19">
        <v>0</v>
      </c>
      <c r="BV93" s="19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>
        <f t="shared" si="1"/>
        <v>4063383.5999273951</v>
      </c>
    </row>
    <row r="94" spans="1:80" x14ac:dyDescent="0.25">
      <c r="A94" s="17" t="s">
        <v>172</v>
      </c>
      <c r="B94" s="19">
        <v>171051</v>
      </c>
      <c r="C94" s="19">
        <v>97685</v>
      </c>
      <c r="D94" s="19">
        <v>110512.8</v>
      </c>
      <c r="E94" s="19">
        <v>0</v>
      </c>
      <c r="F94" s="19">
        <v>195370</v>
      </c>
      <c r="G94" s="19">
        <v>0</v>
      </c>
      <c r="H94" s="19">
        <v>0</v>
      </c>
      <c r="I94" s="19">
        <v>195370</v>
      </c>
      <c r="J94" s="19">
        <v>75970</v>
      </c>
      <c r="K94" s="19">
        <v>1</v>
      </c>
      <c r="L94" s="19">
        <v>0</v>
      </c>
      <c r="M94" s="19">
        <v>55700</v>
      </c>
      <c r="N94" s="19">
        <v>0</v>
      </c>
      <c r="O94" s="19">
        <v>67656</v>
      </c>
      <c r="P94" s="19">
        <v>0</v>
      </c>
      <c r="Q94" s="19">
        <v>0</v>
      </c>
      <c r="R94" s="19">
        <v>51186</v>
      </c>
      <c r="S94" s="19">
        <v>41134</v>
      </c>
      <c r="T94" s="19">
        <v>0</v>
      </c>
      <c r="U94" s="19">
        <v>97685</v>
      </c>
      <c r="V94" s="19">
        <v>97685</v>
      </c>
      <c r="W94" s="19">
        <v>97685</v>
      </c>
      <c r="X94" s="19">
        <v>97685</v>
      </c>
      <c r="Y94" s="19">
        <v>195370</v>
      </c>
      <c r="Z94" s="19">
        <v>57830</v>
      </c>
      <c r="AA94" s="19">
        <v>0</v>
      </c>
      <c r="AB94" s="19">
        <v>57830</v>
      </c>
      <c r="AC94" s="19">
        <v>0</v>
      </c>
      <c r="AD94" s="19">
        <v>0</v>
      </c>
      <c r="AE94" s="19">
        <v>0</v>
      </c>
      <c r="AF94" s="19">
        <v>0</v>
      </c>
      <c r="AG94" s="19">
        <v>57830</v>
      </c>
      <c r="AH94" s="19">
        <v>195370</v>
      </c>
      <c r="AI94" s="19">
        <v>0</v>
      </c>
      <c r="AJ94" s="19">
        <v>195370</v>
      </c>
      <c r="AK94" s="19">
        <v>195370</v>
      </c>
      <c r="AL94" s="19">
        <v>0</v>
      </c>
      <c r="AM94" s="19">
        <v>97685</v>
      </c>
      <c r="AN94" s="19">
        <v>0</v>
      </c>
      <c r="AO94" s="19">
        <v>0</v>
      </c>
      <c r="AP94" s="19">
        <v>0</v>
      </c>
      <c r="AQ94" s="19"/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57827.700409090903</v>
      </c>
      <c r="BH94" s="19">
        <v>26970</v>
      </c>
      <c r="BI94" s="19">
        <v>0</v>
      </c>
      <c r="BJ94" s="19">
        <v>0</v>
      </c>
      <c r="BK94" s="19">
        <v>0</v>
      </c>
      <c r="BL94" s="19">
        <v>17360.111111111109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195370</v>
      </c>
      <c r="BY94" s="19">
        <v>0</v>
      </c>
      <c r="BZ94" s="19">
        <v>0</v>
      </c>
      <c r="CA94" s="19">
        <v>0</v>
      </c>
      <c r="CB94">
        <f t="shared" si="1"/>
        <v>2802558.6115202019</v>
      </c>
    </row>
    <row r="95" spans="1:80" x14ac:dyDescent="0.25">
      <c r="A95" s="17" t="s">
        <v>173</v>
      </c>
      <c r="B95" s="19">
        <v>171051</v>
      </c>
      <c r="C95" s="19">
        <v>97685</v>
      </c>
      <c r="D95" s="19">
        <v>124326.90000000001</v>
      </c>
      <c r="E95" s="19">
        <v>0</v>
      </c>
      <c r="F95" s="19">
        <v>293055</v>
      </c>
      <c r="G95" s="19">
        <v>0</v>
      </c>
      <c r="H95" s="19">
        <v>0</v>
      </c>
      <c r="I95" s="19">
        <v>195370</v>
      </c>
      <c r="J95" s="19">
        <v>75970</v>
      </c>
      <c r="K95" s="19">
        <v>0</v>
      </c>
      <c r="L95" s="19">
        <v>0</v>
      </c>
      <c r="M95" s="19">
        <v>55700</v>
      </c>
      <c r="N95" s="19">
        <v>0</v>
      </c>
      <c r="O95" s="19">
        <v>67656</v>
      </c>
      <c r="P95" s="19">
        <v>0</v>
      </c>
      <c r="Q95" s="19">
        <v>0</v>
      </c>
      <c r="R95" s="19">
        <v>102372</v>
      </c>
      <c r="S95" s="19">
        <v>0</v>
      </c>
      <c r="T95" s="19">
        <v>97685</v>
      </c>
      <c r="U95" s="19">
        <v>97685</v>
      </c>
      <c r="V95" s="19">
        <v>97685</v>
      </c>
      <c r="W95" s="19">
        <v>97685</v>
      </c>
      <c r="X95" s="19">
        <v>97685</v>
      </c>
      <c r="Y95" s="19">
        <v>293055</v>
      </c>
      <c r="Z95" s="19">
        <v>86745</v>
      </c>
      <c r="AA95" s="19">
        <v>0</v>
      </c>
      <c r="AB95" s="19">
        <v>86745</v>
      </c>
      <c r="AC95" s="19">
        <v>0</v>
      </c>
      <c r="AD95" s="19">
        <v>0</v>
      </c>
      <c r="AE95" s="19">
        <v>0</v>
      </c>
      <c r="AF95" s="19">
        <v>0</v>
      </c>
      <c r="AG95" s="19">
        <v>86745</v>
      </c>
      <c r="AH95" s="19">
        <v>195370</v>
      </c>
      <c r="AI95" s="19">
        <v>0</v>
      </c>
      <c r="AJ95" s="19">
        <v>195370</v>
      </c>
      <c r="AK95" s="19">
        <v>293055</v>
      </c>
      <c r="AL95" s="19">
        <v>0</v>
      </c>
      <c r="AM95" s="19">
        <v>97685</v>
      </c>
      <c r="AN95" s="19">
        <v>0</v>
      </c>
      <c r="AO95" s="19">
        <v>0</v>
      </c>
      <c r="AP95" s="19">
        <v>0</v>
      </c>
      <c r="AQ95" s="19"/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73041.463499999998</v>
      </c>
      <c r="BH95" s="19">
        <v>32190</v>
      </c>
      <c r="BI95" s="19">
        <v>0</v>
      </c>
      <c r="BJ95" s="19">
        <v>0</v>
      </c>
      <c r="BK95" s="19">
        <v>0</v>
      </c>
      <c r="BL95" s="19">
        <v>21511</v>
      </c>
      <c r="BM95" s="19">
        <v>0</v>
      </c>
      <c r="BN95" s="19">
        <v>0</v>
      </c>
      <c r="BO95" s="19">
        <v>0</v>
      </c>
      <c r="BP95" s="19">
        <v>3780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293055</v>
      </c>
      <c r="BY95" s="19">
        <v>0</v>
      </c>
      <c r="BZ95" s="19">
        <v>0</v>
      </c>
      <c r="CA95" s="19">
        <v>0</v>
      </c>
      <c r="CB95">
        <f t="shared" si="1"/>
        <v>3429958.3635</v>
      </c>
    </row>
    <row r="96" spans="1:80" x14ac:dyDescent="0.25">
      <c r="A96" s="17" t="s">
        <v>174</v>
      </c>
      <c r="B96" s="19">
        <v>171051</v>
      </c>
      <c r="C96" s="19">
        <v>97685</v>
      </c>
      <c r="D96" s="19">
        <v>124326.90000000001</v>
      </c>
      <c r="E96" s="19">
        <v>0</v>
      </c>
      <c r="F96" s="19">
        <v>293055</v>
      </c>
      <c r="G96" s="19">
        <v>0</v>
      </c>
      <c r="H96" s="19">
        <v>0</v>
      </c>
      <c r="I96" s="19">
        <v>293055</v>
      </c>
      <c r="J96" s="19">
        <v>75970</v>
      </c>
      <c r="K96" s="19">
        <v>2</v>
      </c>
      <c r="L96" s="19">
        <v>0</v>
      </c>
      <c r="M96" s="19">
        <v>55700</v>
      </c>
      <c r="N96" s="19">
        <v>0</v>
      </c>
      <c r="O96" s="19">
        <v>67656</v>
      </c>
      <c r="P96" s="19">
        <v>0</v>
      </c>
      <c r="Q96" s="19">
        <v>0</v>
      </c>
      <c r="R96" s="19">
        <v>51186</v>
      </c>
      <c r="S96" s="19">
        <v>82268</v>
      </c>
      <c r="T96" s="19">
        <v>97685</v>
      </c>
      <c r="U96" s="19">
        <v>97685</v>
      </c>
      <c r="V96" s="19">
        <v>97685</v>
      </c>
      <c r="W96" s="19">
        <v>97685</v>
      </c>
      <c r="X96" s="19">
        <v>97685</v>
      </c>
      <c r="Y96" s="19">
        <v>195370</v>
      </c>
      <c r="Z96" s="19">
        <v>57830</v>
      </c>
      <c r="AA96" s="19">
        <v>0</v>
      </c>
      <c r="AB96" s="19">
        <v>86745</v>
      </c>
      <c r="AC96" s="19">
        <v>0</v>
      </c>
      <c r="AD96" s="19">
        <v>0</v>
      </c>
      <c r="AE96" s="19">
        <v>0</v>
      </c>
      <c r="AF96" s="19">
        <v>0</v>
      </c>
      <c r="AG96" s="19">
        <v>57830</v>
      </c>
      <c r="AH96" s="19">
        <v>293055</v>
      </c>
      <c r="AI96" s="19">
        <v>0</v>
      </c>
      <c r="AJ96" s="19">
        <v>195370</v>
      </c>
      <c r="AK96" s="19">
        <v>195370</v>
      </c>
      <c r="AL96" s="19">
        <v>0</v>
      </c>
      <c r="AM96" s="19">
        <v>195370</v>
      </c>
      <c r="AN96" s="19">
        <v>0</v>
      </c>
      <c r="AO96" s="19">
        <v>0</v>
      </c>
      <c r="AP96" s="19">
        <v>101560.06446048801</v>
      </c>
      <c r="AQ96" s="19"/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0</v>
      </c>
      <c r="BG96" s="19">
        <v>57940.094466907314</v>
      </c>
      <c r="BH96" s="19">
        <v>32277</v>
      </c>
      <c r="BI96" s="19">
        <v>0</v>
      </c>
      <c r="BJ96" s="19">
        <v>0</v>
      </c>
      <c r="BK96" s="19">
        <v>0</v>
      </c>
      <c r="BL96" s="19">
        <v>21548.587500000001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195370</v>
      </c>
      <c r="BY96" s="19">
        <v>0</v>
      </c>
      <c r="BZ96" s="19">
        <v>0</v>
      </c>
      <c r="CA96" s="19">
        <v>0</v>
      </c>
      <c r="CB96">
        <f t="shared" si="1"/>
        <v>3486015.6464273953</v>
      </c>
    </row>
    <row r="97" spans="1:80" x14ac:dyDescent="0.25">
      <c r="A97" s="17" t="s">
        <v>175</v>
      </c>
      <c r="B97" s="19">
        <v>171051</v>
      </c>
      <c r="C97" s="19">
        <v>97685</v>
      </c>
      <c r="D97" s="19">
        <v>0</v>
      </c>
      <c r="E97" s="19">
        <v>0</v>
      </c>
      <c r="F97" s="19">
        <v>195370</v>
      </c>
      <c r="G97" s="19">
        <v>0</v>
      </c>
      <c r="H97" s="19">
        <v>0</v>
      </c>
      <c r="I97" s="19">
        <v>195370</v>
      </c>
      <c r="J97" s="19">
        <v>37985</v>
      </c>
      <c r="K97" s="19">
        <v>1</v>
      </c>
      <c r="L97" s="19">
        <v>0</v>
      </c>
      <c r="M97" s="19">
        <v>55700</v>
      </c>
      <c r="N97" s="19">
        <v>0</v>
      </c>
      <c r="O97" s="19">
        <v>67656</v>
      </c>
      <c r="P97" s="19">
        <v>0</v>
      </c>
      <c r="Q97" s="19">
        <v>97685</v>
      </c>
      <c r="R97" s="19">
        <v>51186</v>
      </c>
      <c r="S97" s="19">
        <v>41134</v>
      </c>
      <c r="T97" s="19">
        <v>0</v>
      </c>
      <c r="U97" s="19">
        <v>48842.5</v>
      </c>
      <c r="V97" s="19">
        <v>97685</v>
      </c>
      <c r="W97" s="19">
        <v>97685</v>
      </c>
      <c r="X97" s="19">
        <v>97685</v>
      </c>
      <c r="Y97" s="19">
        <v>97685</v>
      </c>
      <c r="Z97" s="19">
        <v>28915</v>
      </c>
      <c r="AA97" s="19">
        <v>0</v>
      </c>
      <c r="AB97" s="19">
        <v>57830</v>
      </c>
      <c r="AC97" s="19">
        <v>0</v>
      </c>
      <c r="AD97" s="19">
        <v>0</v>
      </c>
      <c r="AE97" s="19">
        <v>0</v>
      </c>
      <c r="AF97" s="19">
        <v>0</v>
      </c>
      <c r="AG97" s="19">
        <v>28915</v>
      </c>
      <c r="AH97" s="19">
        <v>195370</v>
      </c>
      <c r="AI97" s="19">
        <v>28915</v>
      </c>
      <c r="AJ97" s="19">
        <v>195370</v>
      </c>
      <c r="AK97" s="19">
        <v>195370</v>
      </c>
      <c r="AL97" s="19">
        <v>0</v>
      </c>
      <c r="AM97" s="19">
        <v>195370</v>
      </c>
      <c r="AN97" s="19">
        <v>0</v>
      </c>
      <c r="AO97" s="19">
        <v>0</v>
      </c>
      <c r="AP97" s="19">
        <v>0</v>
      </c>
      <c r="AQ97" s="19"/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48684.640227272721</v>
      </c>
      <c r="BH97" s="19">
        <v>23055</v>
      </c>
      <c r="BI97" s="19">
        <v>0</v>
      </c>
      <c r="BJ97" s="19">
        <v>0</v>
      </c>
      <c r="BK97" s="19">
        <v>163080</v>
      </c>
      <c r="BL97" s="19">
        <v>16152.423076923076</v>
      </c>
      <c r="BM97" s="19">
        <v>0</v>
      </c>
      <c r="BN97" s="19">
        <v>0</v>
      </c>
      <c r="BO97" s="19">
        <v>0</v>
      </c>
      <c r="BP97" s="19">
        <v>8160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97685</v>
      </c>
      <c r="BY97" s="19">
        <v>0</v>
      </c>
      <c r="BZ97" s="19">
        <v>0</v>
      </c>
      <c r="CA97" s="19">
        <v>0</v>
      </c>
      <c r="CB97">
        <f t="shared" si="1"/>
        <v>2733277.5633041956</v>
      </c>
    </row>
    <row r="98" spans="1:80" x14ac:dyDescent="0.25">
      <c r="A98" s="17" t="s">
        <v>176</v>
      </c>
      <c r="B98" s="19">
        <v>171051</v>
      </c>
      <c r="C98" s="19">
        <v>97685</v>
      </c>
      <c r="D98" s="19">
        <v>0</v>
      </c>
      <c r="E98" s="19">
        <v>0</v>
      </c>
      <c r="F98" s="19">
        <v>195370</v>
      </c>
      <c r="G98" s="19">
        <v>0</v>
      </c>
      <c r="H98" s="19">
        <v>0</v>
      </c>
      <c r="I98" s="19">
        <v>97685</v>
      </c>
      <c r="J98" s="19">
        <v>37985</v>
      </c>
      <c r="K98" s="19">
        <v>0</v>
      </c>
      <c r="L98" s="19">
        <v>0</v>
      </c>
      <c r="M98" s="19">
        <v>55700</v>
      </c>
      <c r="N98" s="19">
        <v>0</v>
      </c>
      <c r="O98" s="19">
        <v>67656</v>
      </c>
      <c r="P98" s="19">
        <v>0</v>
      </c>
      <c r="Q98" s="19">
        <v>0</v>
      </c>
      <c r="R98" s="19">
        <v>102372</v>
      </c>
      <c r="S98" s="19">
        <v>0</v>
      </c>
      <c r="T98" s="19">
        <v>0</v>
      </c>
      <c r="U98" s="19">
        <v>48842.5</v>
      </c>
      <c r="V98" s="19">
        <v>97685</v>
      </c>
      <c r="W98" s="19">
        <v>97685</v>
      </c>
      <c r="X98" s="19">
        <v>97685</v>
      </c>
      <c r="Y98" s="19">
        <v>195370</v>
      </c>
      <c r="Z98" s="19">
        <v>57830</v>
      </c>
      <c r="AA98" s="19">
        <v>0</v>
      </c>
      <c r="AB98" s="19">
        <v>57830</v>
      </c>
      <c r="AC98" s="19">
        <v>0</v>
      </c>
      <c r="AD98" s="19">
        <v>0</v>
      </c>
      <c r="AE98" s="19">
        <v>0</v>
      </c>
      <c r="AF98" s="19">
        <v>0</v>
      </c>
      <c r="AG98" s="19">
        <v>57830</v>
      </c>
      <c r="AH98" s="19">
        <v>195370</v>
      </c>
      <c r="AI98" s="19">
        <v>0</v>
      </c>
      <c r="AJ98" s="19">
        <v>97685</v>
      </c>
      <c r="AK98" s="19">
        <v>195370</v>
      </c>
      <c r="AL98" s="19">
        <v>0</v>
      </c>
      <c r="AM98" s="19">
        <v>97685</v>
      </c>
      <c r="AN98" s="19">
        <v>0</v>
      </c>
      <c r="AO98" s="19">
        <v>0</v>
      </c>
      <c r="AP98" s="19">
        <v>0</v>
      </c>
      <c r="AQ98" s="19"/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97685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49337.572499999995</v>
      </c>
      <c r="BH98" s="19">
        <v>22533</v>
      </c>
      <c r="BI98" s="19">
        <v>0</v>
      </c>
      <c r="BJ98" s="19">
        <v>0</v>
      </c>
      <c r="BK98" s="19">
        <v>132120</v>
      </c>
      <c r="BL98" s="19">
        <v>14823.25</v>
      </c>
      <c r="BM98" s="19">
        <v>0</v>
      </c>
      <c r="BN98" s="19">
        <v>0</v>
      </c>
      <c r="BO98" s="19">
        <v>0</v>
      </c>
      <c r="BP98" s="19">
        <v>8120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195370</v>
      </c>
      <c r="BY98" s="19">
        <v>0</v>
      </c>
      <c r="BZ98" s="19">
        <v>0</v>
      </c>
      <c r="CA98" s="19">
        <v>0</v>
      </c>
      <c r="CB98">
        <f t="shared" si="1"/>
        <v>2642360.3224999998</v>
      </c>
    </row>
    <row r="99" spans="1:80" x14ac:dyDescent="0.25">
      <c r="A99" s="17" t="s">
        <v>177</v>
      </c>
      <c r="B99" s="19">
        <v>171051</v>
      </c>
      <c r="C99" s="19">
        <v>97685</v>
      </c>
      <c r="D99" s="19">
        <v>124326.90000000001</v>
      </c>
      <c r="E99" s="19">
        <v>97685</v>
      </c>
      <c r="F99" s="19">
        <v>0</v>
      </c>
      <c r="G99" s="19">
        <v>0</v>
      </c>
      <c r="H99" s="19">
        <v>0</v>
      </c>
      <c r="I99" s="19">
        <v>0</v>
      </c>
      <c r="J99" s="19">
        <v>37985</v>
      </c>
      <c r="K99" s="19">
        <v>2</v>
      </c>
      <c r="L99" s="19">
        <v>0</v>
      </c>
      <c r="M99" s="19">
        <v>55700</v>
      </c>
      <c r="N99" s="19">
        <v>0</v>
      </c>
      <c r="O99" s="19">
        <v>67656</v>
      </c>
      <c r="P99" s="19">
        <v>0</v>
      </c>
      <c r="Q99" s="19">
        <v>0</v>
      </c>
      <c r="R99" s="19">
        <v>51186</v>
      </c>
      <c r="S99" s="19">
        <v>82268</v>
      </c>
      <c r="T99" s="19">
        <v>0</v>
      </c>
      <c r="U99" s="19">
        <v>48842.5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361434.5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390740</v>
      </c>
      <c r="AO99" s="19">
        <v>400508.49999999994</v>
      </c>
      <c r="AP99" s="19">
        <v>0</v>
      </c>
      <c r="AQ99" s="19"/>
      <c r="AR99" s="19">
        <v>138141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97685</v>
      </c>
      <c r="BA99" s="19">
        <v>0</v>
      </c>
      <c r="BB99" s="19">
        <v>0</v>
      </c>
      <c r="BC99" s="19">
        <v>5000</v>
      </c>
      <c r="BD99" s="19">
        <v>195370</v>
      </c>
      <c r="BE99" s="19">
        <v>0</v>
      </c>
      <c r="BF99" s="19">
        <v>0</v>
      </c>
      <c r="BG99" s="19">
        <v>52262.615999999995</v>
      </c>
      <c r="BH99" s="19">
        <v>22620</v>
      </c>
      <c r="BI99" s="19">
        <v>0</v>
      </c>
      <c r="BJ99" s="19">
        <v>0</v>
      </c>
      <c r="BK99" s="19">
        <v>0</v>
      </c>
      <c r="BL99" s="19">
        <v>21508.440251572327</v>
      </c>
      <c r="BM99" s="19">
        <v>0</v>
      </c>
      <c r="BN99" s="19">
        <v>0</v>
      </c>
      <c r="BO99" s="19">
        <v>0</v>
      </c>
      <c r="BP99" s="19">
        <v>3780</v>
      </c>
      <c r="BQ99" s="19">
        <v>23000</v>
      </c>
      <c r="BR99" s="19">
        <v>0</v>
      </c>
      <c r="BS99" s="19">
        <v>0</v>
      </c>
      <c r="BT99" s="19">
        <v>0</v>
      </c>
      <c r="BU99" s="19">
        <v>100000</v>
      </c>
      <c r="BV99" s="19"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>
        <f t="shared" si="1"/>
        <v>2646437.4562515724</v>
      </c>
    </row>
    <row r="100" spans="1:80" x14ac:dyDescent="0.25">
      <c r="A100" s="17" t="s">
        <v>178</v>
      </c>
      <c r="B100" s="19">
        <v>171051</v>
      </c>
      <c r="C100" s="19">
        <v>97685</v>
      </c>
      <c r="D100" s="19">
        <v>179583.30000000002</v>
      </c>
      <c r="E100" s="19">
        <v>0</v>
      </c>
      <c r="F100" s="19">
        <v>293055</v>
      </c>
      <c r="G100" s="19">
        <v>0</v>
      </c>
      <c r="H100" s="19">
        <v>0</v>
      </c>
      <c r="I100" s="19">
        <v>293055</v>
      </c>
      <c r="J100" s="19">
        <v>75970</v>
      </c>
      <c r="K100" s="19">
        <v>2</v>
      </c>
      <c r="L100" s="19">
        <v>52612.3</v>
      </c>
      <c r="M100" s="19">
        <v>55700</v>
      </c>
      <c r="N100" s="19">
        <v>0</v>
      </c>
      <c r="O100" s="19">
        <v>67656</v>
      </c>
      <c r="P100" s="19">
        <v>0</v>
      </c>
      <c r="Q100" s="19">
        <v>0</v>
      </c>
      <c r="R100" s="19">
        <v>153558</v>
      </c>
      <c r="S100" s="19">
        <v>82268</v>
      </c>
      <c r="T100" s="19">
        <v>146527.5</v>
      </c>
      <c r="U100" s="19">
        <v>97685</v>
      </c>
      <c r="V100" s="19">
        <v>97685</v>
      </c>
      <c r="W100" s="19">
        <v>97685</v>
      </c>
      <c r="X100" s="19">
        <v>97685</v>
      </c>
      <c r="Y100" s="19">
        <v>195370</v>
      </c>
      <c r="Z100" s="19">
        <v>57830</v>
      </c>
      <c r="AA100" s="19">
        <v>0</v>
      </c>
      <c r="AB100" s="19">
        <v>86745</v>
      </c>
      <c r="AC100" s="19">
        <v>0</v>
      </c>
      <c r="AD100" s="19">
        <v>0</v>
      </c>
      <c r="AE100" s="19">
        <v>0</v>
      </c>
      <c r="AF100" s="19">
        <v>0</v>
      </c>
      <c r="AG100" s="19">
        <v>86745</v>
      </c>
      <c r="AH100" s="19">
        <v>293055</v>
      </c>
      <c r="AI100" s="19">
        <v>0</v>
      </c>
      <c r="AJ100" s="19">
        <v>390740</v>
      </c>
      <c r="AK100" s="19">
        <v>390740</v>
      </c>
      <c r="AL100" s="19">
        <v>0</v>
      </c>
      <c r="AM100" s="19">
        <v>390740</v>
      </c>
      <c r="AN100" s="19">
        <v>0</v>
      </c>
      <c r="AO100" s="19">
        <v>0</v>
      </c>
      <c r="AP100" s="19">
        <v>0</v>
      </c>
      <c r="AQ100" s="19"/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9">
        <v>0</v>
      </c>
      <c r="BD100" s="19">
        <v>0</v>
      </c>
      <c r="BE100" s="19">
        <v>48842.5</v>
      </c>
      <c r="BF100" s="19">
        <v>0</v>
      </c>
      <c r="BG100" s="19">
        <v>73924.141499999998</v>
      </c>
      <c r="BH100" s="19">
        <v>44457</v>
      </c>
      <c r="BI100" s="19">
        <v>0</v>
      </c>
      <c r="BJ100" s="19">
        <v>0</v>
      </c>
      <c r="BK100" s="19">
        <v>0</v>
      </c>
      <c r="BL100" s="19">
        <v>27316.237201365188</v>
      </c>
      <c r="BM100" s="19">
        <v>0</v>
      </c>
      <c r="BN100" s="19">
        <v>0</v>
      </c>
      <c r="BO100" s="19">
        <v>0</v>
      </c>
      <c r="BP100" s="19">
        <v>18040</v>
      </c>
      <c r="BQ100" s="19">
        <v>0</v>
      </c>
      <c r="BR100" s="19">
        <v>0</v>
      </c>
      <c r="BS100" s="19">
        <v>0</v>
      </c>
      <c r="BT100" s="19">
        <v>0</v>
      </c>
      <c r="BU100" s="19">
        <v>0</v>
      </c>
      <c r="BV100" s="19">
        <v>0</v>
      </c>
      <c r="BW100" s="19">
        <v>0</v>
      </c>
      <c r="BX100" s="19">
        <v>293055</v>
      </c>
      <c r="BY100" s="19">
        <v>0</v>
      </c>
      <c r="BZ100" s="19">
        <v>0</v>
      </c>
      <c r="CA100" s="19">
        <v>0</v>
      </c>
      <c r="CB100">
        <f t="shared" si="1"/>
        <v>4457062.9787013652</v>
      </c>
    </row>
    <row r="101" spans="1:80" x14ac:dyDescent="0.25">
      <c r="A101" s="17" t="s">
        <v>179</v>
      </c>
      <c r="B101" s="19">
        <v>171051</v>
      </c>
      <c r="C101" s="19">
        <v>97685</v>
      </c>
      <c r="D101" s="19">
        <v>151955.1</v>
      </c>
      <c r="E101" s="19">
        <v>0</v>
      </c>
      <c r="F101" s="19">
        <v>293055</v>
      </c>
      <c r="G101" s="19">
        <v>0</v>
      </c>
      <c r="H101" s="19">
        <v>0</v>
      </c>
      <c r="I101" s="19">
        <v>390740</v>
      </c>
      <c r="J101" s="19">
        <v>75970</v>
      </c>
      <c r="K101" s="19">
        <v>1</v>
      </c>
      <c r="L101" s="19">
        <v>44518.100000000006</v>
      </c>
      <c r="M101" s="19">
        <v>55700</v>
      </c>
      <c r="N101" s="19">
        <v>0</v>
      </c>
      <c r="O101" s="19">
        <v>67656</v>
      </c>
      <c r="P101" s="19">
        <v>0</v>
      </c>
      <c r="Q101" s="19">
        <v>0</v>
      </c>
      <c r="R101" s="19">
        <v>102372</v>
      </c>
      <c r="S101" s="19">
        <v>41134</v>
      </c>
      <c r="T101" s="19">
        <v>146527.5</v>
      </c>
      <c r="U101" s="19">
        <v>97685</v>
      </c>
      <c r="V101" s="19">
        <v>97685</v>
      </c>
      <c r="W101" s="19">
        <v>97685</v>
      </c>
      <c r="X101" s="19">
        <v>97685</v>
      </c>
      <c r="Y101" s="19">
        <v>0</v>
      </c>
      <c r="Z101" s="19">
        <v>0</v>
      </c>
      <c r="AA101" s="19">
        <v>0</v>
      </c>
      <c r="AB101" s="19">
        <v>86745</v>
      </c>
      <c r="AC101" s="19">
        <v>0</v>
      </c>
      <c r="AD101" s="19">
        <v>0</v>
      </c>
      <c r="AE101" s="19">
        <v>0</v>
      </c>
      <c r="AF101" s="19">
        <v>0</v>
      </c>
      <c r="AG101" s="19">
        <v>28915</v>
      </c>
      <c r="AH101" s="19">
        <v>390740</v>
      </c>
      <c r="AI101" s="19">
        <v>0</v>
      </c>
      <c r="AJ101" s="19">
        <v>390740</v>
      </c>
      <c r="AK101" s="19">
        <v>293055</v>
      </c>
      <c r="AL101" s="19">
        <v>0</v>
      </c>
      <c r="AM101" s="19">
        <v>293055</v>
      </c>
      <c r="AN101" s="19">
        <v>0</v>
      </c>
      <c r="AO101" s="19">
        <v>0</v>
      </c>
      <c r="AP101" s="19">
        <v>0</v>
      </c>
      <c r="AQ101" s="19"/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0</v>
      </c>
      <c r="BG101" s="19">
        <v>63674.868000000002</v>
      </c>
      <c r="BH101" s="19">
        <v>36714</v>
      </c>
      <c r="BI101" s="19">
        <v>0</v>
      </c>
      <c r="BJ101" s="19">
        <v>0</v>
      </c>
      <c r="BK101" s="19">
        <v>0</v>
      </c>
      <c r="BL101" s="19">
        <v>23825.0917721519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  <c r="BT101" s="19">
        <v>0</v>
      </c>
      <c r="BU101" s="19">
        <v>0</v>
      </c>
      <c r="BV101" s="19">
        <v>0</v>
      </c>
      <c r="BW101" s="19">
        <v>0</v>
      </c>
      <c r="BX101" s="19">
        <v>97685</v>
      </c>
      <c r="BY101" s="19">
        <v>0</v>
      </c>
      <c r="BZ101" s="19">
        <v>0</v>
      </c>
      <c r="CA101" s="19">
        <v>0</v>
      </c>
      <c r="CB101">
        <f t="shared" si="1"/>
        <v>3734253.6597721521</v>
      </c>
    </row>
    <row r="102" spans="1:80" x14ac:dyDescent="0.25">
      <c r="A102" s="17" t="s">
        <v>180</v>
      </c>
      <c r="B102" s="19">
        <v>171051</v>
      </c>
      <c r="C102" s="19">
        <v>97685</v>
      </c>
      <c r="D102" s="19">
        <v>193397.4</v>
      </c>
      <c r="E102" s="19">
        <v>107453.50000000001</v>
      </c>
      <c r="F102" s="19">
        <v>0</v>
      </c>
      <c r="G102" s="19">
        <v>0</v>
      </c>
      <c r="H102" s="19">
        <v>0</v>
      </c>
      <c r="I102" s="19">
        <v>0</v>
      </c>
      <c r="J102" s="19">
        <v>75970</v>
      </c>
      <c r="K102" s="19">
        <v>1</v>
      </c>
      <c r="L102" s="19">
        <v>44518.100000000006</v>
      </c>
      <c r="M102" s="19">
        <v>55700</v>
      </c>
      <c r="N102" s="19">
        <v>0</v>
      </c>
      <c r="O102" s="19">
        <v>67656</v>
      </c>
      <c r="P102" s="19">
        <v>0</v>
      </c>
      <c r="Q102" s="19">
        <v>0</v>
      </c>
      <c r="R102" s="19">
        <v>102372</v>
      </c>
      <c r="S102" s="19">
        <v>41134</v>
      </c>
      <c r="T102" s="19">
        <v>0</v>
      </c>
      <c r="U102" s="19">
        <v>97685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615415.5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683795</v>
      </c>
      <c r="AO102" s="19">
        <v>634952.5</v>
      </c>
      <c r="AP102" s="19">
        <v>0</v>
      </c>
      <c r="AQ102" s="19"/>
      <c r="AR102" s="19">
        <v>138141</v>
      </c>
      <c r="AS102" s="19">
        <v>0</v>
      </c>
      <c r="AT102" s="19">
        <v>0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97685</v>
      </c>
      <c r="BA102" s="19">
        <v>0</v>
      </c>
      <c r="BB102" s="19">
        <v>0</v>
      </c>
      <c r="BC102" s="19">
        <v>5000</v>
      </c>
      <c r="BD102" s="19">
        <v>293055</v>
      </c>
      <c r="BE102" s="19">
        <v>0</v>
      </c>
      <c r="BF102" s="19">
        <v>0</v>
      </c>
      <c r="BG102" s="19">
        <v>65888.087727272723</v>
      </c>
      <c r="BH102" s="19">
        <v>37758</v>
      </c>
      <c r="BI102" s="19">
        <v>0</v>
      </c>
      <c r="BJ102" s="19">
        <v>0</v>
      </c>
      <c r="BK102" s="19">
        <v>0</v>
      </c>
      <c r="BL102" s="19">
        <v>33906.533333333333</v>
      </c>
      <c r="BM102" s="19">
        <v>0</v>
      </c>
      <c r="BN102" s="19">
        <v>0</v>
      </c>
      <c r="BO102" s="19">
        <v>0</v>
      </c>
      <c r="BP102" s="19">
        <v>2920</v>
      </c>
      <c r="BQ102" s="19">
        <v>23000</v>
      </c>
      <c r="BR102" s="19">
        <v>0</v>
      </c>
      <c r="BS102" s="19">
        <v>0</v>
      </c>
      <c r="BT102" s="19">
        <v>0</v>
      </c>
      <c r="BU102" s="19">
        <v>100000</v>
      </c>
      <c r="BV102" s="19"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>
        <f t="shared" si="1"/>
        <v>3786139.6210606061</v>
      </c>
    </row>
    <row r="103" spans="1:80" x14ac:dyDescent="0.25">
      <c r="A103" s="17" t="s">
        <v>181</v>
      </c>
      <c r="B103" s="19">
        <v>171051</v>
      </c>
      <c r="C103" s="19">
        <v>97685</v>
      </c>
      <c r="D103" s="19">
        <v>179583.30000000002</v>
      </c>
      <c r="E103" s="19">
        <v>97685</v>
      </c>
      <c r="F103" s="19">
        <v>195370</v>
      </c>
      <c r="G103" s="19">
        <v>0</v>
      </c>
      <c r="H103" s="19">
        <v>0</v>
      </c>
      <c r="I103" s="19">
        <v>293055</v>
      </c>
      <c r="J103" s="19">
        <v>75970</v>
      </c>
      <c r="K103" s="19">
        <v>2</v>
      </c>
      <c r="L103" s="19">
        <v>48565.2</v>
      </c>
      <c r="M103" s="19">
        <v>55700</v>
      </c>
      <c r="N103" s="19">
        <v>0</v>
      </c>
      <c r="O103" s="19">
        <v>67656</v>
      </c>
      <c r="P103" s="19">
        <v>0</v>
      </c>
      <c r="Q103" s="19">
        <v>0</v>
      </c>
      <c r="R103" s="19">
        <v>51186</v>
      </c>
      <c r="S103" s="19">
        <v>82268</v>
      </c>
      <c r="T103" s="19">
        <v>0</v>
      </c>
      <c r="U103" s="19">
        <v>97685</v>
      </c>
      <c r="V103" s="19">
        <v>97685</v>
      </c>
      <c r="W103" s="19">
        <v>97685</v>
      </c>
      <c r="X103" s="19">
        <v>97685</v>
      </c>
      <c r="Y103" s="19">
        <v>195370</v>
      </c>
      <c r="Z103" s="19">
        <v>57830</v>
      </c>
      <c r="AA103" s="19">
        <v>146527.5</v>
      </c>
      <c r="AB103" s="19">
        <v>57830</v>
      </c>
      <c r="AC103" s="19">
        <v>0</v>
      </c>
      <c r="AD103" s="19">
        <v>0</v>
      </c>
      <c r="AE103" s="19">
        <v>0</v>
      </c>
      <c r="AF103" s="19">
        <v>0</v>
      </c>
      <c r="AG103" s="19">
        <v>57830</v>
      </c>
      <c r="AH103" s="19">
        <v>195370</v>
      </c>
      <c r="AI103" s="19">
        <v>0</v>
      </c>
      <c r="AJ103" s="19">
        <v>195370</v>
      </c>
      <c r="AK103" s="19">
        <v>195370</v>
      </c>
      <c r="AL103" s="19">
        <v>0</v>
      </c>
      <c r="AM103" s="19">
        <v>195370</v>
      </c>
      <c r="AN103" s="19">
        <v>166064.5</v>
      </c>
      <c r="AO103" s="19">
        <v>195370</v>
      </c>
      <c r="AP103" s="19">
        <v>0</v>
      </c>
      <c r="AQ103" s="19"/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5000</v>
      </c>
      <c r="BD103" s="19">
        <v>195370</v>
      </c>
      <c r="BE103" s="19">
        <v>97685</v>
      </c>
      <c r="BF103" s="19">
        <v>0</v>
      </c>
      <c r="BG103" s="19">
        <v>87712.822499999995</v>
      </c>
      <c r="BH103" s="19">
        <v>40629</v>
      </c>
      <c r="BI103" s="19">
        <v>0</v>
      </c>
      <c r="BJ103" s="19">
        <v>0</v>
      </c>
      <c r="BK103" s="19">
        <v>0</v>
      </c>
      <c r="BL103" s="19">
        <v>30161.677777777775</v>
      </c>
      <c r="BM103" s="19">
        <v>0</v>
      </c>
      <c r="BN103" s="19">
        <v>0</v>
      </c>
      <c r="BO103" s="19">
        <v>0</v>
      </c>
      <c r="BP103" s="19">
        <v>4560</v>
      </c>
      <c r="BQ103" s="19">
        <v>23000</v>
      </c>
      <c r="BR103" s="19">
        <v>0</v>
      </c>
      <c r="BS103" s="19">
        <v>0</v>
      </c>
      <c r="BT103" s="19">
        <v>0</v>
      </c>
      <c r="BU103" s="19">
        <v>100000</v>
      </c>
      <c r="BV103" s="19">
        <v>0</v>
      </c>
      <c r="BW103" s="19">
        <v>0</v>
      </c>
      <c r="BX103" s="19">
        <v>195370</v>
      </c>
      <c r="BY103" s="19">
        <v>0</v>
      </c>
      <c r="BZ103" s="19">
        <v>0</v>
      </c>
      <c r="CA103" s="19">
        <v>0</v>
      </c>
      <c r="CB103">
        <f t="shared" si="1"/>
        <v>4244307.0002777781</v>
      </c>
    </row>
    <row r="104" spans="1:80" x14ac:dyDescent="0.25">
      <c r="A104" s="17" t="s">
        <v>182</v>
      </c>
      <c r="B104" s="19">
        <v>171051</v>
      </c>
      <c r="C104" s="19">
        <v>97685</v>
      </c>
      <c r="D104" s="19">
        <v>151955.1</v>
      </c>
      <c r="E104" s="19">
        <v>0</v>
      </c>
      <c r="F104" s="19">
        <v>293055</v>
      </c>
      <c r="G104" s="19">
        <v>0</v>
      </c>
      <c r="H104" s="19">
        <v>0</v>
      </c>
      <c r="I104" s="19">
        <v>293055</v>
      </c>
      <c r="J104" s="19">
        <v>75970</v>
      </c>
      <c r="K104" s="19">
        <v>1</v>
      </c>
      <c r="L104" s="19">
        <v>44518.100000000006</v>
      </c>
      <c r="M104" s="19">
        <v>55700</v>
      </c>
      <c r="N104" s="19">
        <v>0</v>
      </c>
      <c r="O104" s="19">
        <v>67656</v>
      </c>
      <c r="P104" s="19">
        <v>0</v>
      </c>
      <c r="Q104" s="19">
        <v>97685</v>
      </c>
      <c r="R104" s="19">
        <v>51186</v>
      </c>
      <c r="S104" s="19">
        <v>41134</v>
      </c>
      <c r="T104" s="19">
        <v>146527.5</v>
      </c>
      <c r="U104" s="19">
        <v>97685</v>
      </c>
      <c r="V104" s="19">
        <v>97685</v>
      </c>
      <c r="W104" s="19">
        <v>97685</v>
      </c>
      <c r="X104" s="19">
        <v>97685</v>
      </c>
      <c r="Y104" s="19">
        <v>195370</v>
      </c>
      <c r="Z104" s="19">
        <v>57830</v>
      </c>
      <c r="AA104" s="19">
        <v>0</v>
      </c>
      <c r="AB104" s="19">
        <v>86745</v>
      </c>
      <c r="AC104" s="19">
        <v>0</v>
      </c>
      <c r="AD104" s="19">
        <v>0</v>
      </c>
      <c r="AE104" s="19">
        <v>0</v>
      </c>
      <c r="AF104" s="19">
        <v>0</v>
      </c>
      <c r="AG104" s="19">
        <v>57830</v>
      </c>
      <c r="AH104" s="19">
        <v>293055</v>
      </c>
      <c r="AI104" s="19">
        <v>28915</v>
      </c>
      <c r="AJ104" s="19">
        <v>293055</v>
      </c>
      <c r="AK104" s="19">
        <v>293055</v>
      </c>
      <c r="AL104" s="19">
        <v>0</v>
      </c>
      <c r="AM104" s="19">
        <v>195370</v>
      </c>
      <c r="AN104" s="19">
        <v>0</v>
      </c>
      <c r="AO104" s="19">
        <v>0</v>
      </c>
      <c r="AP104" s="19">
        <v>0</v>
      </c>
      <c r="AQ104" s="19"/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79832.255727272743</v>
      </c>
      <c r="BH104" s="19">
        <v>37236</v>
      </c>
      <c r="BI104" s="19">
        <v>0</v>
      </c>
      <c r="BJ104" s="19">
        <v>0</v>
      </c>
      <c r="BK104" s="19">
        <v>0</v>
      </c>
      <c r="BL104" s="19">
        <v>24172.936708860761</v>
      </c>
      <c r="BM104" s="19">
        <v>4280</v>
      </c>
      <c r="BN104" s="19">
        <v>9047.6556490909134</v>
      </c>
      <c r="BO104" s="19">
        <v>532926.54545454541</v>
      </c>
      <c r="BP104" s="19">
        <v>6300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195370</v>
      </c>
      <c r="BY104" s="19">
        <v>0</v>
      </c>
      <c r="BZ104" s="19">
        <v>0</v>
      </c>
      <c r="CA104" s="19">
        <v>0</v>
      </c>
      <c r="CB104">
        <f t="shared" si="1"/>
        <v>4368309.0935397707</v>
      </c>
    </row>
    <row r="105" spans="1:80" x14ac:dyDescent="0.25">
      <c r="A105" s="17" t="s">
        <v>183</v>
      </c>
      <c r="B105" s="19">
        <v>171051</v>
      </c>
      <c r="C105" s="19">
        <v>97685</v>
      </c>
      <c r="D105" s="19">
        <v>110512.8</v>
      </c>
      <c r="E105" s="19">
        <v>0</v>
      </c>
      <c r="F105" s="19">
        <v>195370</v>
      </c>
      <c r="G105" s="19">
        <v>0</v>
      </c>
      <c r="H105" s="19">
        <v>0</v>
      </c>
      <c r="I105" s="19">
        <v>195370</v>
      </c>
      <c r="J105" s="19">
        <v>75970</v>
      </c>
      <c r="K105" s="19">
        <v>1</v>
      </c>
      <c r="L105" s="19">
        <v>0</v>
      </c>
      <c r="M105" s="19">
        <v>55700</v>
      </c>
      <c r="N105" s="19">
        <v>0</v>
      </c>
      <c r="O105" s="19">
        <v>67656</v>
      </c>
      <c r="P105" s="19">
        <v>0</v>
      </c>
      <c r="Q105" s="19">
        <v>390740</v>
      </c>
      <c r="R105" s="19">
        <v>51186</v>
      </c>
      <c r="S105" s="19">
        <v>41134</v>
      </c>
      <c r="T105" s="19">
        <v>0</v>
      </c>
      <c r="U105" s="19">
        <v>97685</v>
      </c>
      <c r="V105" s="19">
        <v>97685</v>
      </c>
      <c r="W105" s="19">
        <v>97685</v>
      </c>
      <c r="X105" s="19">
        <v>97685</v>
      </c>
      <c r="Y105" s="19">
        <v>0</v>
      </c>
      <c r="Z105" s="19">
        <v>0</v>
      </c>
      <c r="AA105" s="19">
        <v>0</v>
      </c>
      <c r="AB105" s="19">
        <v>57830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195370</v>
      </c>
      <c r="AI105" s="19">
        <v>115660</v>
      </c>
      <c r="AJ105" s="19">
        <v>195370</v>
      </c>
      <c r="AK105" s="19">
        <v>195370</v>
      </c>
      <c r="AL105" s="19">
        <v>0</v>
      </c>
      <c r="AM105" s="19">
        <v>195370</v>
      </c>
      <c r="AN105" s="19">
        <v>0</v>
      </c>
      <c r="AO105" s="19">
        <v>0</v>
      </c>
      <c r="AP105" s="19">
        <v>101560.06446048801</v>
      </c>
      <c r="AQ105" s="19"/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60347.097966907313</v>
      </c>
      <c r="BH105" s="19">
        <v>26448</v>
      </c>
      <c r="BI105" s="19">
        <v>0</v>
      </c>
      <c r="BJ105" s="19">
        <v>0</v>
      </c>
      <c r="BK105" s="19">
        <v>48960</v>
      </c>
      <c r="BL105" s="19">
        <v>18254.5</v>
      </c>
      <c r="BM105" s="19">
        <v>0</v>
      </c>
      <c r="BN105" s="19">
        <v>0</v>
      </c>
      <c r="BO105" s="19">
        <v>0</v>
      </c>
      <c r="BP105" s="19">
        <v>2640</v>
      </c>
      <c r="BQ105" s="19">
        <v>0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>
        <f t="shared" si="1"/>
        <v>3056295.4624273954</v>
      </c>
    </row>
    <row r="106" spans="1:80" x14ac:dyDescent="0.25">
      <c r="A106" s="17" t="s">
        <v>184</v>
      </c>
      <c r="B106" s="19">
        <v>171051</v>
      </c>
      <c r="C106" s="19">
        <v>97685</v>
      </c>
      <c r="D106" s="19">
        <v>276282</v>
      </c>
      <c r="E106" s="19">
        <v>97685</v>
      </c>
      <c r="F106" s="19">
        <v>293055</v>
      </c>
      <c r="G106" s="19">
        <v>0</v>
      </c>
      <c r="H106" s="19">
        <v>0</v>
      </c>
      <c r="I106" s="19">
        <v>293055</v>
      </c>
      <c r="J106" s="19">
        <v>75970</v>
      </c>
      <c r="K106" s="19">
        <v>1</v>
      </c>
      <c r="L106" s="19">
        <v>72847.8</v>
      </c>
      <c r="M106" s="19">
        <v>55700</v>
      </c>
      <c r="N106" s="19">
        <v>0</v>
      </c>
      <c r="O106" s="19">
        <v>67656</v>
      </c>
      <c r="P106" s="19">
        <v>0</v>
      </c>
      <c r="Q106" s="19">
        <v>0</v>
      </c>
      <c r="R106" s="19">
        <v>102372</v>
      </c>
      <c r="S106" s="19">
        <v>41134</v>
      </c>
      <c r="T106" s="19">
        <v>146527.5</v>
      </c>
      <c r="U106" s="19">
        <v>97685</v>
      </c>
      <c r="V106" s="19">
        <v>97685</v>
      </c>
      <c r="W106" s="19">
        <v>97685</v>
      </c>
      <c r="X106" s="19">
        <v>97685</v>
      </c>
      <c r="Y106" s="19">
        <v>293055</v>
      </c>
      <c r="Z106" s="19">
        <v>86745</v>
      </c>
      <c r="AA106" s="19">
        <v>234444</v>
      </c>
      <c r="AB106" s="19">
        <v>86745</v>
      </c>
      <c r="AC106" s="19">
        <v>0</v>
      </c>
      <c r="AD106" s="19">
        <v>0</v>
      </c>
      <c r="AE106" s="19">
        <v>0</v>
      </c>
      <c r="AF106" s="19">
        <v>0</v>
      </c>
      <c r="AG106" s="19">
        <v>86745</v>
      </c>
      <c r="AH106" s="19">
        <v>293055</v>
      </c>
      <c r="AI106" s="19">
        <v>0</v>
      </c>
      <c r="AJ106" s="19">
        <v>293055</v>
      </c>
      <c r="AK106" s="19">
        <v>293055</v>
      </c>
      <c r="AL106" s="19">
        <v>0</v>
      </c>
      <c r="AM106" s="19">
        <v>293055</v>
      </c>
      <c r="AN106" s="19">
        <v>380971.5</v>
      </c>
      <c r="AO106" s="19">
        <v>234444</v>
      </c>
      <c r="AP106" s="19">
        <v>0</v>
      </c>
      <c r="AQ106" s="19"/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5000</v>
      </c>
      <c r="BD106" s="19">
        <v>195370</v>
      </c>
      <c r="BE106" s="19">
        <v>97685</v>
      </c>
      <c r="BF106" s="19">
        <v>0</v>
      </c>
      <c r="BG106" s="19">
        <v>120850.72199999999</v>
      </c>
      <c r="BH106" s="19">
        <v>62901</v>
      </c>
      <c r="BI106" s="19">
        <v>0</v>
      </c>
      <c r="BJ106" s="19">
        <v>0</v>
      </c>
      <c r="BK106" s="19">
        <v>240120</v>
      </c>
      <c r="BL106" s="19">
        <v>40769.840221402214</v>
      </c>
      <c r="BM106" s="19">
        <v>0</v>
      </c>
      <c r="BN106" s="19">
        <v>0</v>
      </c>
      <c r="BO106" s="19">
        <v>0</v>
      </c>
      <c r="BP106" s="19">
        <v>9320</v>
      </c>
      <c r="BQ106" s="19">
        <v>23000</v>
      </c>
      <c r="BR106" s="19">
        <v>0</v>
      </c>
      <c r="BS106" s="19">
        <v>0</v>
      </c>
      <c r="BT106" s="19">
        <v>0</v>
      </c>
      <c r="BU106" s="19">
        <v>100000</v>
      </c>
      <c r="BV106" s="19">
        <v>0</v>
      </c>
      <c r="BW106" s="19">
        <v>0</v>
      </c>
      <c r="BX106" s="19">
        <v>293055</v>
      </c>
      <c r="BY106" s="19">
        <v>0</v>
      </c>
      <c r="BZ106" s="19">
        <v>0</v>
      </c>
      <c r="CA106" s="19">
        <v>0</v>
      </c>
      <c r="CB106">
        <f t="shared" si="1"/>
        <v>5945202.3622214021</v>
      </c>
    </row>
    <row r="107" spans="1:80" x14ac:dyDescent="0.25">
      <c r="A107" s="17" t="s">
        <v>185</v>
      </c>
      <c r="B107" s="19">
        <v>171051</v>
      </c>
      <c r="C107" s="19">
        <v>97685</v>
      </c>
      <c r="D107" s="19">
        <v>179583.30000000002</v>
      </c>
      <c r="E107" s="19">
        <v>0</v>
      </c>
      <c r="F107" s="19">
        <v>293055</v>
      </c>
      <c r="G107" s="19">
        <v>0</v>
      </c>
      <c r="H107" s="19">
        <v>0</v>
      </c>
      <c r="I107" s="19">
        <v>390740</v>
      </c>
      <c r="J107" s="19">
        <v>75970</v>
      </c>
      <c r="K107" s="19">
        <v>3</v>
      </c>
      <c r="L107" s="19">
        <v>52612.3</v>
      </c>
      <c r="M107" s="19">
        <v>55700</v>
      </c>
      <c r="N107" s="19">
        <v>0</v>
      </c>
      <c r="O107" s="19">
        <v>67656</v>
      </c>
      <c r="P107" s="19">
        <v>0</v>
      </c>
      <c r="Q107" s="19">
        <v>390740</v>
      </c>
      <c r="R107" s="19">
        <v>51186</v>
      </c>
      <c r="S107" s="19">
        <v>123402</v>
      </c>
      <c r="T107" s="19">
        <v>146527.5</v>
      </c>
      <c r="U107" s="19">
        <v>97685</v>
      </c>
      <c r="V107" s="19">
        <v>97685</v>
      </c>
      <c r="W107" s="19">
        <v>97685</v>
      </c>
      <c r="X107" s="19">
        <v>97685</v>
      </c>
      <c r="Y107" s="19">
        <v>0</v>
      </c>
      <c r="Z107" s="19">
        <v>0</v>
      </c>
      <c r="AA107" s="19">
        <v>0</v>
      </c>
      <c r="AB107" s="19">
        <v>86745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390740</v>
      </c>
      <c r="AI107" s="19">
        <v>115660</v>
      </c>
      <c r="AJ107" s="19">
        <v>293055</v>
      </c>
      <c r="AK107" s="19">
        <v>390740</v>
      </c>
      <c r="AL107" s="19">
        <v>0</v>
      </c>
      <c r="AM107" s="19">
        <v>390740</v>
      </c>
      <c r="AN107" s="19">
        <v>0</v>
      </c>
      <c r="AO107" s="19">
        <v>0</v>
      </c>
      <c r="AP107" s="19">
        <v>0</v>
      </c>
      <c r="AQ107" s="19"/>
      <c r="AR107" s="19">
        <v>0</v>
      </c>
      <c r="AS107" s="19">
        <v>0</v>
      </c>
      <c r="AT107" s="19">
        <v>0</v>
      </c>
      <c r="AU107" s="19">
        <v>0</v>
      </c>
      <c r="AV107" s="19">
        <v>0</v>
      </c>
      <c r="AW107" s="19">
        <v>0</v>
      </c>
      <c r="AX107" s="19">
        <v>0</v>
      </c>
      <c r="AY107" s="19">
        <v>0</v>
      </c>
      <c r="AZ107" s="19">
        <v>0</v>
      </c>
      <c r="BA107" s="19">
        <v>0</v>
      </c>
      <c r="BB107" s="19">
        <v>0</v>
      </c>
      <c r="BC107" s="19">
        <v>0</v>
      </c>
      <c r="BD107" s="19">
        <v>0</v>
      </c>
      <c r="BE107" s="19">
        <v>122106.25</v>
      </c>
      <c r="BF107" s="19">
        <v>0</v>
      </c>
      <c r="BG107" s="19">
        <v>98782.696499999991</v>
      </c>
      <c r="BH107" s="19">
        <v>45240</v>
      </c>
      <c r="BI107" s="19">
        <v>0</v>
      </c>
      <c r="BJ107" s="19">
        <v>0</v>
      </c>
      <c r="BK107" s="19">
        <v>0</v>
      </c>
      <c r="BL107" s="19">
        <v>27499.200000000001</v>
      </c>
      <c r="BM107" s="19">
        <v>0</v>
      </c>
      <c r="BN107" s="19">
        <v>0</v>
      </c>
      <c r="BO107" s="19">
        <v>0</v>
      </c>
      <c r="BP107" s="19">
        <v>6540</v>
      </c>
      <c r="BQ107" s="19">
        <v>0</v>
      </c>
      <c r="BR107" s="19">
        <v>0</v>
      </c>
      <c r="BS107" s="19">
        <v>0</v>
      </c>
      <c r="BT107" s="19">
        <v>0</v>
      </c>
      <c r="BU107" s="19">
        <v>0</v>
      </c>
      <c r="BV107" s="19">
        <v>0</v>
      </c>
      <c r="BW107" s="19">
        <v>0</v>
      </c>
      <c r="BX107" s="19">
        <v>0</v>
      </c>
      <c r="BY107" s="19">
        <v>0</v>
      </c>
      <c r="BZ107" s="19">
        <v>0</v>
      </c>
      <c r="CA107" s="19">
        <v>0</v>
      </c>
      <c r="CB107">
        <f t="shared" si="1"/>
        <v>4454499.2464999994</v>
      </c>
    </row>
    <row r="108" spans="1:80" x14ac:dyDescent="0.25">
      <c r="A108" s="17" t="s">
        <v>186</v>
      </c>
      <c r="B108" s="19">
        <v>171051</v>
      </c>
      <c r="C108" s="19">
        <v>97685</v>
      </c>
      <c r="D108" s="19">
        <v>179583.30000000002</v>
      </c>
      <c r="E108" s="19">
        <v>0</v>
      </c>
      <c r="F108" s="19">
        <v>390740</v>
      </c>
      <c r="G108" s="19">
        <v>0</v>
      </c>
      <c r="H108" s="19">
        <v>0</v>
      </c>
      <c r="I108" s="19">
        <v>293055</v>
      </c>
      <c r="J108" s="19">
        <v>75970</v>
      </c>
      <c r="K108" s="19">
        <v>2</v>
      </c>
      <c r="L108" s="19">
        <v>52612.3</v>
      </c>
      <c r="M108" s="19">
        <v>55700</v>
      </c>
      <c r="N108" s="19">
        <v>0</v>
      </c>
      <c r="O108" s="19">
        <v>67656</v>
      </c>
      <c r="P108" s="19">
        <v>0</v>
      </c>
      <c r="Q108" s="19">
        <v>97685</v>
      </c>
      <c r="R108" s="19">
        <v>51186</v>
      </c>
      <c r="S108" s="19">
        <v>82268</v>
      </c>
      <c r="T108" s="19">
        <v>195370</v>
      </c>
      <c r="U108" s="19">
        <v>97685</v>
      </c>
      <c r="V108" s="19">
        <v>97685</v>
      </c>
      <c r="W108" s="19">
        <v>97685</v>
      </c>
      <c r="X108" s="19">
        <v>97685</v>
      </c>
      <c r="Y108" s="19">
        <v>195370</v>
      </c>
      <c r="Z108" s="19">
        <v>57830</v>
      </c>
      <c r="AA108" s="19">
        <v>0</v>
      </c>
      <c r="AB108" s="19">
        <v>115660</v>
      </c>
      <c r="AC108" s="19">
        <v>0</v>
      </c>
      <c r="AD108" s="19">
        <v>0</v>
      </c>
      <c r="AE108" s="19">
        <v>0</v>
      </c>
      <c r="AF108" s="19">
        <v>0</v>
      </c>
      <c r="AG108" s="19">
        <v>57830</v>
      </c>
      <c r="AH108" s="19">
        <v>390740</v>
      </c>
      <c r="AI108" s="19">
        <v>28915</v>
      </c>
      <c r="AJ108" s="19">
        <v>293055</v>
      </c>
      <c r="AK108" s="19">
        <v>293055</v>
      </c>
      <c r="AL108" s="19">
        <v>0</v>
      </c>
      <c r="AM108" s="19">
        <v>293055</v>
      </c>
      <c r="AN108" s="19">
        <v>0</v>
      </c>
      <c r="AO108" s="19">
        <v>0</v>
      </c>
      <c r="AP108" s="19">
        <v>101560.06446048801</v>
      </c>
      <c r="AQ108" s="19"/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73263.75</v>
      </c>
      <c r="BF108" s="19">
        <v>0</v>
      </c>
      <c r="BG108" s="19">
        <v>85179.80360327095</v>
      </c>
      <c r="BH108" s="19">
        <v>44718</v>
      </c>
      <c r="BI108" s="19">
        <v>0</v>
      </c>
      <c r="BJ108" s="19">
        <v>0</v>
      </c>
      <c r="BK108" s="19">
        <v>0</v>
      </c>
      <c r="BL108" s="19">
        <v>27545.018867924529</v>
      </c>
      <c r="BM108" s="19">
        <v>5140</v>
      </c>
      <c r="BN108" s="19">
        <v>9653.7110750373686</v>
      </c>
      <c r="BO108" s="19">
        <v>553438.72727272753</v>
      </c>
      <c r="BP108" s="19">
        <v>17880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 s="19">
        <v>0</v>
      </c>
      <c r="BW108" s="19">
        <v>0</v>
      </c>
      <c r="BX108" s="19">
        <v>195370</v>
      </c>
      <c r="BY108" s="19">
        <v>0</v>
      </c>
      <c r="BZ108" s="19">
        <v>0</v>
      </c>
      <c r="CA108" s="19">
        <v>0</v>
      </c>
      <c r="CB108">
        <f t="shared" si="1"/>
        <v>5040562.6752794487</v>
      </c>
    </row>
    <row r="109" spans="1:80" x14ac:dyDescent="0.25">
      <c r="A109" s="17" t="s">
        <v>187</v>
      </c>
      <c r="B109" s="19">
        <v>171051</v>
      </c>
      <c r="C109" s="19">
        <v>97685</v>
      </c>
      <c r="D109" s="19">
        <v>179583.30000000002</v>
      </c>
      <c r="E109" s="19">
        <v>0</v>
      </c>
      <c r="F109" s="19">
        <v>390740</v>
      </c>
      <c r="G109" s="19">
        <v>0</v>
      </c>
      <c r="H109" s="19">
        <v>0</v>
      </c>
      <c r="I109" s="19">
        <v>293055</v>
      </c>
      <c r="J109" s="19">
        <v>75970</v>
      </c>
      <c r="K109" s="19">
        <v>0</v>
      </c>
      <c r="L109" s="19">
        <v>52612.3</v>
      </c>
      <c r="M109" s="19">
        <v>55700</v>
      </c>
      <c r="N109" s="19">
        <v>0</v>
      </c>
      <c r="O109" s="19">
        <v>67656</v>
      </c>
      <c r="P109" s="19">
        <v>0</v>
      </c>
      <c r="Q109" s="19">
        <v>0</v>
      </c>
      <c r="R109" s="19">
        <v>153558</v>
      </c>
      <c r="S109" s="19">
        <v>0</v>
      </c>
      <c r="T109" s="19">
        <v>146527.5</v>
      </c>
      <c r="U109" s="19">
        <v>97685</v>
      </c>
      <c r="V109" s="19">
        <v>97685</v>
      </c>
      <c r="W109" s="19">
        <v>97685</v>
      </c>
      <c r="X109" s="19">
        <v>97685</v>
      </c>
      <c r="Y109" s="19">
        <v>390740</v>
      </c>
      <c r="Z109" s="19">
        <v>115660</v>
      </c>
      <c r="AA109" s="19">
        <v>0</v>
      </c>
      <c r="AB109" s="19">
        <v>115660</v>
      </c>
      <c r="AC109" s="19">
        <v>0</v>
      </c>
      <c r="AD109" s="19">
        <v>0</v>
      </c>
      <c r="AE109" s="19">
        <v>0</v>
      </c>
      <c r="AF109" s="19">
        <v>0</v>
      </c>
      <c r="AG109" s="19">
        <v>115660</v>
      </c>
      <c r="AH109" s="19">
        <v>390740</v>
      </c>
      <c r="AI109" s="19">
        <v>0</v>
      </c>
      <c r="AJ109" s="19">
        <v>293055</v>
      </c>
      <c r="AK109" s="19">
        <v>293055</v>
      </c>
      <c r="AL109" s="19">
        <v>0</v>
      </c>
      <c r="AM109" s="19">
        <v>293055</v>
      </c>
      <c r="AN109" s="19">
        <v>0</v>
      </c>
      <c r="AO109" s="19">
        <v>0</v>
      </c>
      <c r="AP109" s="19">
        <v>0</v>
      </c>
      <c r="AQ109" s="19"/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87852.833999999988</v>
      </c>
      <c r="BH109" s="19">
        <v>45414</v>
      </c>
      <c r="BI109" s="19">
        <v>0</v>
      </c>
      <c r="BJ109" s="19">
        <v>0</v>
      </c>
      <c r="BK109" s="19">
        <v>0</v>
      </c>
      <c r="BL109" s="19">
        <v>27339.851063829788</v>
      </c>
      <c r="BM109" s="19">
        <v>0</v>
      </c>
      <c r="BN109" s="19">
        <v>0</v>
      </c>
      <c r="BO109" s="19">
        <v>0</v>
      </c>
      <c r="BP109" s="19">
        <v>4100</v>
      </c>
      <c r="BQ109" s="19">
        <v>0</v>
      </c>
      <c r="BR109" s="19">
        <v>0</v>
      </c>
      <c r="BS109" s="19">
        <v>0</v>
      </c>
      <c r="BT109" s="19">
        <v>0</v>
      </c>
      <c r="BU109" s="19">
        <v>0</v>
      </c>
      <c r="BV109" s="19">
        <v>0</v>
      </c>
      <c r="BW109" s="19">
        <v>0</v>
      </c>
      <c r="BX109" s="19">
        <v>390740</v>
      </c>
      <c r="BY109" s="19">
        <v>0</v>
      </c>
      <c r="BZ109" s="19">
        <v>0</v>
      </c>
      <c r="CA109" s="19">
        <v>0</v>
      </c>
      <c r="CB109">
        <f t="shared" si="1"/>
        <v>4637949.7850638302</v>
      </c>
    </row>
    <row r="110" spans="1:80" x14ac:dyDescent="0.25">
      <c r="A110" s="17" t="s">
        <v>188</v>
      </c>
      <c r="B110" s="19">
        <v>171051</v>
      </c>
      <c r="C110" s="19">
        <v>97685</v>
      </c>
      <c r="D110" s="19">
        <v>0</v>
      </c>
      <c r="E110" s="19">
        <v>0</v>
      </c>
      <c r="F110" s="19">
        <v>195370</v>
      </c>
      <c r="G110" s="19">
        <v>0</v>
      </c>
      <c r="H110" s="19">
        <v>0</v>
      </c>
      <c r="I110" s="19">
        <v>195370</v>
      </c>
      <c r="J110" s="19">
        <v>37985</v>
      </c>
      <c r="K110" s="19">
        <v>1</v>
      </c>
      <c r="L110" s="19">
        <v>0</v>
      </c>
      <c r="M110" s="19">
        <v>55700</v>
      </c>
      <c r="N110" s="19">
        <v>0</v>
      </c>
      <c r="O110" s="19">
        <v>67656</v>
      </c>
      <c r="P110" s="19">
        <v>0</v>
      </c>
      <c r="Q110" s="19">
        <v>97685</v>
      </c>
      <c r="R110" s="19">
        <v>51186</v>
      </c>
      <c r="S110" s="19">
        <v>41134</v>
      </c>
      <c r="T110" s="19">
        <v>0</v>
      </c>
      <c r="U110" s="19">
        <v>48842.5</v>
      </c>
      <c r="V110" s="19">
        <v>97685</v>
      </c>
      <c r="W110" s="19">
        <v>97685</v>
      </c>
      <c r="X110" s="19">
        <v>97685</v>
      </c>
      <c r="Y110" s="19">
        <v>195370</v>
      </c>
      <c r="Z110" s="19">
        <v>57830</v>
      </c>
      <c r="AA110" s="19">
        <v>0</v>
      </c>
      <c r="AB110" s="19">
        <v>57830</v>
      </c>
      <c r="AC110" s="19">
        <v>0</v>
      </c>
      <c r="AD110" s="19">
        <v>0</v>
      </c>
      <c r="AE110" s="19">
        <v>0</v>
      </c>
      <c r="AF110" s="19">
        <v>0</v>
      </c>
      <c r="AG110" s="19">
        <v>57830</v>
      </c>
      <c r="AH110" s="19">
        <v>195370</v>
      </c>
      <c r="AI110" s="19">
        <v>28915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/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38724.550909090904</v>
      </c>
      <c r="BH110" s="19">
        <v>19140</v>
      </c>
      <c r="BI110" s="19">
        <v>0</v>
      </c>
      <c r="BJ110" s="19">
        <v>0</v>
      </c>
      <c r="BK110" s="19">
        <v>0</v>
      </c>
      <c r="BL110" s="19">
        <v>13792.864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0</v>
      </c>
      <c r="BX110" s="19">
        <v>195370</v>
      </c>
      <c r="BY110" s="19">
        <v>0</v>
      </c>
      <c r="BZ110" s="19">
        <v>0</v>
      </c>
      <c r="CA110" s="19">
        <v>0</v>
      </c>
      <c r="CB110">
        <f t="shared" si="1"/>
        <v>2212892.9149090908</v>
      </c>
    </row>
    <row r="111" spans="1:80" x14ac:dyDescent="0.25">
      <c r="A111" s="17" t="s">
        <v>189</v>
      </c>
      <c r="B111" s="19">
        <v>171051</v>
      </c>
      <c r="C111" s="19">
        <v>97685</v>
      </c>
      <c r="D111" s="19">
        <v>179583.30000000002</v>
      </c>
      <c r="E111" s="19">
        <v>97685</v>
      </c>
      <c r="F111" s="19">
        <v>293055</v>
      </c>
      <c r="G111" s="19">
        <v>0</v>
      </c>
      <c r="H111" s="19">
        <v>0</v>
      </c>
      <c r="I111" s="19">
        <v>195370</v>
      </c>
      <c r="J111" s="19">
        <v>75970</v>
      </c>
      <c r="K111" s="19">
        <v>2</v>
      </c>
      <c r="L111" s="19">
        <v>48565.2</v>
      </c>
      <c r="M111" s="19">
        <v>55700</v>
      </c>
      <c r="N111" s="19">
        <v>0</v>
      </c>
      <c r="O111" s="19">
        <v>67656</v>
      </c>
      <c r="P111" s="19">
        <v>0</v>
      </c>
      <c r="Q111" s="19">
        <v>97685</v>
      </c>
      <c r="R111" s="19">
        <v>51186</v>
      </c>
      <c r="S111" s="19">
        <v>82268</v>
      </c>
      <c r="T111" s="19">
        <v>0</v>
      </c>
      <c r="U111" s="19">
        <v>97685</v>
      </c>
      <c r="V111" s="19">
        <v>97685</v>
      </c>
      <c r="W111" s="19">
        <v>97685</v>
      </c>
      <c r="X111" s="19">
        <v>97685</v>
      </c>
      <c r="Y111" s="19">
        <v>195370</v>
      </c>
      <c r="Z111" s="19">
        <v>57830</v>
      </c>
      <c r="AA111" s="19">
        <v>146527.5</v>
      </c>
      <c r="AB111" s="19">
        <v>86745</v>
      </c>
      <c r="AC111" s="19">
        <v>0</v>
      </c>
      <c r="AD111" s="19">
        <v>0</v>
      </c>
      <c r="AE111" s="19">
        <v>0</v>
      </c>
      <c r="AF111" s="19">
        <v>0</v>
      </c>
      <c r="AG111" s="19">
        <v>57830</v>
      </c>
      <c r="AH111" s="19">
        <v>293055</v>
      </c>
      <c r="AI111" s="19">
        <v>28915</v>
      </c>
      <c r="AJ111" s="19">
        <v>195370</v>
      </c>
      <c r="AK111" s="19">
        <v>195370</v>
      </c>
      <c r="AL111" s="19">
        <v>0</v>
      </c>
      <c r="AM111" s="19">
        <v>195370</v>
      </c>
      <c r="AN111" s="19">
        <v>146527.5</v>
      </c>
      <c r="AO111" s="19">
        <v>117222</v>
      </c>
      <c r="AP111" s="19">
        <v>0</v>
      </c>
      <c r="AQ111" s="19"/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5000</v>
      </c>
      <c r="BD111" s="19">
        <v>195370</v>
      </c>
      <c r="BE111" s="19">
        <v>0</v>
      </c>
      <c r="BF111" s="19">
        <v>0</v>
      </c>
      <c r="BG111" s="19">
        <v>85381.703181818186</v>
      </c>
      <c r="BH111" s="19">
        <v>41586</v>
      </c>
      <c r="BI111" s="19">
        <v>0</v>
      </c>
      <c r="BJ111" s="19">
        <v>0</v>
      </c>
      <c r="BK111" s="19">
        <v>0</v>
      </c>
      <c r="BL111" s="19">
        <v>27492.885714285716</v>
      </c>
      <c r="BM111" s="19">
        <v>0</v>
      </c>
      <c r="BN111" s="19">
        <v>0</v>
      </c>
      <c r="BO111" s="19">
        <v>0</v>
      </c>
      <c r="BP111" s="19">
        <v>15400</v>
      </c>
      <c r="BQ111" s="19">
        <v>23000</v>
      </c>
      <c r="BR111" s="19">
        <v>0</v>
      </c>
      <c r="BS111" s="19">
        <v>0</v>
      </c>
      <c r="BT111" s="19">
        <v>0</v>
      </c>
      <c r="BU111" s="19">
        <v>100000</v>
      </c>
      <c r="BV111" s="19">
        <v>0</v>
      </c>
      <c r="BW111" s="19">
        <v>0</v>
      </c>
      <c r="BX111" s="19">
        <v>195370</v>
      </c>
      <c r="BY111" s="19">
        <v>0</v>
      </c>
      <c r="BZ111" s="19">
        <v>0</v>
      </c>
      <c r="CA111" s="19">
        <v>0</v>
      </c>
      <c r="CB111">
        <f t="shared" si="1"/>
        <v>4308934.0888961032</v>
      </c>
    </row>
    <row r="112" spans="1:80" x14ac:dyDescent="0.25">
      <c r="A112" s="17" t="s">
        <v>190</v>
      </c>
      <c r="B112" s="19">
        <v>85525.5</v>
      </c>
      <c r="C112" s="19">
        <v>97685</v>
      </c>
      <c r="D112" s="19">
        <v>138141</v>
      </c>
      <c r="E112" s="19">
        <v>0</v>
      </c>
      <c r="F112" s="19">
        <v>0</v>
      </c>
      <c r="G112" s="19">
        <v>117222</v>
      </c>
      <c r="H112" s="19">
        <v>205138.5</v>
      </c>
      <c r="I112" s="19">
        <v>0</v>
      </c>
      <c r="J112" s="19">
        <v>37985</v>
      </c>
      <c r="K112" s="19">
        <v>2</v>
      </c>
      <c r="L112" s="19">
        <v>0</v>
      </c>
      <c r="M112" s="19">
        <v>55700</v>
      </c>
      <c r="N112" s="19">
        <v>175461</v>
      </c>
      <c r="O112" s="19">
        <v>33828</v>
      </c>
      <c r="P112" s="19">
        <v>47542</v>
      </c>
      <c r="Q112" s="19">
        <v>0</v>
      </c>
      <c r="R112" s="19">
        <v>51186</v>
      </c>
      <c r="S112" s="19">
        <v>82268</v>
      </c>
      <c r="T112" s="19">
        <v>0</v>
      </c>
      <c r="U112" s="19">
        <v>48842.5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244212.5</v>
      </c>
      <c r="AB112" s="19">
        <v>0</v>
      </c>
      <c r="AC112" s="19">
        <v>0</v>
      </c>
      <c r="AD112" s="19">
        <v>0</v>
      </c>
      <c r="AE112" s="19">
        <v>97685</v>
      </c>
      <c r="AF112" s="19">
        <v>166064.5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122728.1</v>
      </c>
      <c r="AM112" s="19">
        <v>0</v>
      </c>
      <c r="AN112" s="19">
        <v>0</v>
      </c>
      <c r="AO112" s="19">
        <v>0</v>
      </c>
      <c r="AP112" s="19">
        <v>0</v>
      </c>
      <c r="AQ112" s="19"/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42667.204909090906</v>
      </c>
      <c r="BH112" s="19">
        <v>17400</v>
      </c>
      <c r="BI112" s="19">
        <v>150000</v>
      </c>
      <c r="BJ112" s="19">
        <v>99451</v>
      </c>
      <c r="BK112" s="19">
        <v>0</v>
      </c>
      <c r="BL112" s="19">
        <v>24195.75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12240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97685</v>
      </c>
      <c r="CB112">
        <f t="shared" si="1"/>
        <v>2250855.554909091</v>
      </c>
    </row>
    <row r="113" spans="1:80" x14ac:dyDescent="0.25">
      <c r="A113" s="17" t="s">
        <v>192</v>
      </c>
      <c r="B113" s="19">
        <v>171051</v>
      </c>
      <c r="C113" s="19">
        <v>97685</v>
      </c>
      <c r="D113" s="19">
        <v>151955.1</v>
      </c>
      <c r="E113" s="19">
        <v>0</v>
      </c>
      <c r="F113" s="19">
        <v>0</v>
      </c>
      <c r="G113" s="19">
        <v>0</v>
      </c>
      <c r="H113" s="19">
        <v>0</v>
      </c>
      <c r="I113" s="19">
        <v>390740</v>
      </c>
      <c r="J113" s="19">
        <v>75970</v>
      </c>
      <c r="K113" s="19">
        <v>0</v>
      </c>
      <c r="L113" s="19">
        <v>44518.100000000006</v>
      </c>
      <c r="M113" s="19">
        <v>55700</v>
      </c>
      <c r="N113" s="19">
        <v>0</v>
      </c>
      <c r="O113" s="19">
        <v>67656</v>
      </c>
      <c r="P113" s="19">
        <v>0</v>
      </c>
      <c r="Q113" s="19">
        <v>0</v>
      </c>
      <c r="R113" s="19">
        <v>153558</v>
      </c>
      <c r="S113" s="19">
        <v>0</v>
      </c>
      <c r="T113" s="19">
        <v>146527.5</v>
      </c>
      <c r="U113" s="19">
        <v>97685</v>
      </c>
      <c r="V113" s="19">
        <v>97685</v>
      </c>
      <c r="W113" s="19">
        <v>97685</v>
      </c>
      <c r="X113" s="19">
        <v>97685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390740</v>
      </c>
      <c r="AI113" s="19">
        <v>0</v>
      </c>
      <c r="AJ113" s="19">
        <v>390740</v>
      </c>
      <c r="AK113" s="19">
        <v>390740</v>
      </c>
      <c r="AL113" s="19">
        <v>0</v>
      </c>
      <c r="AM113" s="19">
        <v>390740</v>
      </c>
      <c r="AN113" s="19">
        <v>0</v>
      </c>
      <c r="AO113" s="19">
        <v>0</v>
      </c>
      <c r="AP113" s="19">
        <v>0</v>
      </c>
      <c r="AQ113" s="19"/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58161.146863636364</v>
      </c>
      <c r="BH113" s="19">
        <v>36888</v>
      </c>
      <c r="BI113" s="19">
        <v>0</v>
      </c>
      <c r="BJ113" s="19">
        <v>0</v>
      </c>
      <c r="BK113" s="19">
        <v>0</v>
      </c>
      <c r="BL113" s="19">
        <v>22554.827938671209</v>
      </c>
      <c r="BM113" s="19">
        <v>0</v>
      </c>
      <c r="BN113" s="19">
        <v>0</v>
      </c>
      <c r="BO113" s="19">
        <v>0</v>
      </c>
      <c r="BP113" s="19">
        <v>2360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>
        <f t="shared" si="1"/>
        <v>3429024.674802308</v>
      </c>
    </row>
    <row r="114" spans="1:80" x14ac:dyDescent="0.25">
      <c r="A114" s="17" t="s">
        <v>193</v>
      </c>
      <c r="B114" s="19">
        <v>171051</v>
      </c>
      <c r="C114" s="19">
        <v>97685</v>
      </c>
      <c r="D114" s="19">
        <v>27628.2</v>
      </c>
      <c r="E114" s="19">
        <v>97685</v>
      </c>
      <c r="F114" s="19">
        <v>195370</v>
      </c>
      <c r="G114" s="19">
        <v>0</v>
      </c>
      <c r="H114" s="19">
        <v>0</v>
      </c>
      <c r="I114" s="19">
        <v>195370</v>
      </c>
      <c r="J114" s="19">
        <v>75970</v>
      </c>
      <c r="K114" s="19">
        <v>1</v>
      </c>
      <c r="L114" s="19">
        <v>0</v>
      </c>
      <c r="M114" s="19">
        <v>55700</v>
      </c>
      <c r="N114" s="19">
        <v>0</v>
      </c>
      <c r="O114" s="19">
        <v>67656</v>
      </c>
      <c r="P114" s="19">
        <v>0</v>
      </c>
      <c r="Q114" s="19">
        <v>0</v>
      </c>
      <c r="R114" s="19">
        <v>51186</v>
      </c>
      <c r="S114" s="19">
        <v>41134</v>
      </c>
      <c r="T114" s="19">
        <v>0</v>
      </c>
      <c r="U114" s="19">
        <v>97685</v>
      </c>
      <c r="V114" s="19">
        <v>97685</v>
      </c>
      <c r="W114" s="19">
        <v>97685</v>
      </c>
      <c r="X114" s="19">
        <v>97685</v>
      </c>
      <c r="Y114" s="19">
        <v>195370</v>
      </c>
      <c r="Z114" s="19">
        <v>57830</v>
      </c>
      <c r="AA114" s="19">
        <v>87916.5</v>
      </c>
      <c r="AB114" s="19">
        <v>57830</v>
      </c>
      <c r="AC114" s="19">
        <v>0</v>
      </c>
      <c r="AD114" s="19">
        <v>0</v>
      </c>
      <c r="AE114" s="19">
        <v>0</v>
      </c>
      <c r="AF114" s="19">
        <v>0</v>
      </c>
      <c r="AG114" s="19">
        <v>57830</v>
      </c>
      <c r="AH114" s="19">
        <v>195370</v>
      </c>
      <c r="AI114" s="19">
        <v>0</v>
      </c>
      <c r="AJ114" s="19">
        <v>195370</v>
      </c>
      <c r="AK114" s="19">
        <v>195370</v>
      </c>
      <c r="AL114" s="19">
        <v>0</v>
      </c>
      <c r="AM114" s="19">
        <v>195370</v>
      </c>
      <c r="AN114" s="19">
        <v>117222</v>
      </c>
      <c r="AO114" s="19">
        <v>48842.5</v>
      </c>
      <c r="AP114" s="19">
        <v>0</v>
      </c>
      <c r="AQ114" s="19"/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97685</v>
      </c>
      <c r="BA114" s="19">
        <v>0</v>
      </c>
      <c r="BB114" s="19">
        <v>0</v>
      </c>
      <c r="BC114" s="19">
        <v>5000</v>
      </c>
      <c r="BD114" s="19">
        <v>195370</v>
      </c>
      <c r="BE114" s="19">
        <v>0</v>
      </c>
      <c r="BF114" s="19">
        <v>0</v>
      </c>
      <c r="BG114" s="19">
        <v>64353.655500000001</v>
      </c>
      <c r="BH114" s="19">
        <v>29928</v>
      </c>
      <c r="BI114" s="19">
        <v>0</v>
      </c>
      <c r="BJ114" s="19">
        <v>0</v>
      </c>
      <c r="BK114" s="19">
        <v>0</v>
      </c>
      <c r="BL114" s="19">
        <v>22170.987050359712</v>
      </c>
      <c r="BM114" s="19">
        <v>0</v>
      </c>
      <c r="BN114" s="19">
        <v>0</v>
      </c>
      <c r="BO114" s="19">
        <v>0</v>
      </c>
      <c r="BP114" s="19">
        <v>3360</v>
      </c>
      <c r="BQ114" s="19">
        <v>23000</v>
      </c>
      <c r="BR114" s="19">
        <v>0</v>
      </c>
      <c r="BS114" s="19">
        <v>0</v>
      </c>
      <c r="BT114" s="19">
        <v>0</v>
      </c>
      <c r="BU114" s="19">
        <v>100000</v>
      </c>
      <c r="BV114" s="19">
        <v>0</v>
      </c>
      <c r="BW114" s="19">
        <v>0</v>
      </c>
      <c r="BX114" s="19">
        <v>195370</v>
      </c>
      <c r="BY114" s="19">
        <v>0</v>
      </c>
      <c r="BZ114" s="19">
        <v>0</v>
      </c>
      <c r="CA114" s="19">
        <v>0</v>
      </c>
      <c r="CB114">
        <f t="shared" si="1"/>
        <v>3607734.8425503597</v>
      </c>
    </row>
    <row r="115" spans="1:80" x14ac:dyDescent="0.25">
      <c r="A115" s="17" t="s">
        <v>194</v>
      </c>
      <c r="B115" s="19">
        <v>171051</v>
      </c>
      <c r="C115" s="19">
        <v>97685</v>
      </c>
      <c r="D115" s="19">
        <v>41442.299999999996</v>
      </c>
      <c r="E115" s="19">
        <v>97685</v>
      </c>
      <c r="F115" s="19">
        <v>195370</v>
      </c>
      <c r="G115" s="19">
        <v>0</v>
      </c>
      <c r="H115" s="19">
        <v>0</v>
      </c>
      <c r="I115" s="19">
        <v>195370</v>
      </c>
      <c r="J115" s="19">
        <v>75970</v>
      </c>
      <c r="K115" s="19">
        <v>1</v>
      </c>
      <c r="L115" s="19">
        <v>0</v>
      </c>
      <c r="M115" s="19">
        <v>55700</v>
      </c>
      <c r="N115" s="19">
        <v>0</v>
      </c>
      <c r="O115" s="19">
        <v>67656</v>
      </c>
      <c r="P115" s="19">
        <v>0</v>
      </c>
      <c r="Q115" s="19">
        <v>195370</v>
      </c>
      <c r="R115" s="19">
        <v>102372</v>
      </c>
      <c r="S115" s="19">
        <v>41134</v>
      </c>
      <c r="T115" s="19">
        <v>97685</v>
      </c>
      <c r="U115" s="19">
        <v>97685</v>
      </c>
      <c r="V115" s="19">
        <v>97685</v>
      </c>
      <c r="W115" s="19">
        <v>97685</v>
      </c>
      <c r="X115" s="19">
        <v>97685</v>
      </c>
      <c r="Y115" s="19">
        <v>97685</v>
      </c>
      <c r="Z115" s="19">
        <v>28915</v>
      </c>
      <c r="AA115" s="19">
        <v>126990.5</v>
      </c>
      <c r="AB115" s="19">
        <v>57830</v>
      </c>
      <c r="AC115" s="19">
        <v>0</v>
      </c>
      <c r="AD115" s="19">
        <v>0</v>
      </c>
      <c r="AE115" s="19">
        <v>0</v>
      </c>
      <c r="AF115" s="19">
        <v>0</v>
      </c>
      <c r="AG115" s="19">
        <v>28915</v>
      </c>
      <c r="AH115" s="19">
        <v>97685</v>
      </c>
      <c r="AI115" s="19">
        <v>57830</v>
      </c>
      <c r="AJ115" s="19">
        <v>97685</v>
      </c>
      <c r="AK115" s="19">
        <v>195370</v>
      </c>
      <c r="AL115" s="19">
        <v>0</v>
      </c>
      <c r="AM115" s="19">
        <v>97685</v>
      </c>
      <c r="AN115" s="19">
        <v>146527.5</v>
      </c>
      <c r="AO115" s="19">
        <v>117222</v>
      </c>
      <c r="AP115" s="19">
        <v>0</v>
      </c>
      <c r="AQ115" s="19"/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5000</v>
      </c>
      <c r="BD115" s="19">
        <v>195370</v>
      </c>
      <c r="BE115" s="19">
        <v>0</v>
      </c>
      <c r="BF115" s="19">
        <v>0</v>
      </c>
      <c r="BG115" s="19">
        <v>64634.854499999994</v>
      </c>
      <c r="BH115" s="19">
        <v>28623</v>
      </c>
      <c r="BI115" s="19">
        <v>0</v>
      </c>
      <c r="BJ115" s="19">
        <v>0</v>
      </c>
      <c r="BK115" s="19">
        <v>61200</v>
      </c>
      <c r="BL115" s="19">
        <v>20121.3</v>
      </c>
      <c r="BM115" s="19">
        <v>0</v>
      </c>
      <c r="BN115" s="19">
        <v>0</v>
      </c>
      <c r="BO115" s="19">
        <v>0</v>
      </c>
      <c r="BP115" s="19">
        <v>10520</v>
      </c>
      <c r="BQ115" s="19">
        <v>23000</v>
      </c>
      <c r="BR115" s="19">
        <v>0</v>
      </c>
      <c r="BS115" s="19">
        <v>0</v>
      </c>
      <c r="BT115" s="19">
        <v>0</v>
      </c>
      <c r="BU115" s="19">
        <v>100000</v>
      </c>
      <c r="BV115" s="19">
        <v>0</v>
      </c>
      <c r="BW115" s="19">
        <v>0</v>
      </c>
      <c r="BX115" s="19">
        <v>97685</v>
      </c>
      <c r="BY115" s="19">
        <v>0</v>
      </c>
      <c r="BZ115" s="19">
        <v>0</v>
      </c>
      <c r="CA115" s="19">
        <v>0</v>
      </c>
      <c r="CB115">
        <f t="shared" si="1"/>
        <v>3581725.4544999995</v>
      </c>
    </row>
    <row r="116" spans="1:80" x14ac:dyDescent="0.25">
      <c r="A116" s="17" t="s">
        <v>195</v>
      </c>
      <c r="B116" s="19">
        <v>171051</v>
      </c>
      <c r="C116" s="19">
        <v>97685</v>
      </c>
      <c r="D116" s="19">
        <v>27628.2</v>
      </c>
      <c r="E116" s="19">
        <v>97685</v>
      </c>
      <c r="F116" s="19">
        <v>195370</v>
      </c>
      <c r="G116" s="19">
        <v>0</v>
      </c>
      <c r="H116" s="19">
        <v>0</v>
      </c>
      <c r="I116" s="19">
        <v>195370</v>
      </c>
      <c r="J116" s="19">
        <v>75970</v>
      </c>
      <c r="K116" s="19">
        <v>0</v>
      </c>
      <c r="L116" s="19">
        <v>0</v>
      </c>
      <c r="M116" s="19">
        <v>55700</v>
      </c>
      <c r="N116" s="19">
        <v>0</v>
      </c>
      <c r="O116" s="19">
        <v>67656</v>
      </c>
      <c r="P116" s="19">
        <v>0</v>
      </c>
      <c r="Q116" s="19">
        <v>97685</v>
      </c>
      <c r="R116" s="19">
        <v>153558</v>
      </c>
      <c r="S116" s="19">
        <v>0</v>
      </c>
      <c r="T116" s="19">
        <v>0</v>
      </c>
      <c r="U116" s="19">
        <v>97685</v>
      </c>
      <c r="V116" s="19">
        <v>97685</v>
      </c>
      <c r="W116" s="19">
        <v>97685</v>
      </c>
      <c r="X116" s="19">
        <v>97685</v>
      </c>
      <c r="Y116" s="19">
        <v>97685</v>
      </c>
      <c r="Z116" s="19">
        <v>28915</v>
      </c>
      <c r="AA116" s="19">
        <v>75970</v>
      </c>
      <c r="AB116" s="19">
        <v>57830</v>
      </c>
      <c r="AC116" s="19">
        <v>0</v>
      </c>
      <c r="AD116" s="19">
        <v>0</v>
      </c>
      <c r="AE116" s="19">
        <v>0</v>
      </c>
      <c r="AF116" s="19">
        <v>0</v>
      </c>
      <c r="AG116" s="19">
        <v>28915</v>
      </c>
      <c r="AH116" s="19">
        <v>195370</v>
      </c>
      <c r="AI116" s="19">
        <v>28915</v>
      </c>
      <c r="AJ116" s="19">
        <v>195370</v>
      </c>
      <c r="AK116" s="19">
        <v>195370</v>
      </c>
      <c r="AL116" s="19">
        <v>0</v>
      </c>
      <c r="AM116" s="19">
        <v>195370</v>
      </c>
      <c r="AN116" s="19">
        <v>117222</v>
      </c>
      <c r="AO116" s="19">
        <v>91164</v>
      </c>
      <c r="AP116" s="19">
        <v>0</v>
      </c>
      <c r="AQ116" s="19"/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5000</v>
      </c>
      <c r="BD116" s="19">
        <v>195370</v>
      </c>
      <c r="BE116" s="19">
        <v>0</v>
      </c>
      <c r="BF116" s="19">
        <v>0</v>
      </c>
      <c r="BG116" s="19">
        <v>75818.275500000003</v>
      </c>
      <c r="BH116" s="19">
        <v>28971</v>
      </c>
      <c r="BI116" s="19">
        <v>0</v>
      </c>
      <c r="BJ116" s="19">
        <v>0</v>
      </c>
      <c r="BK116" s="19">
        <v>148320</v>
      </c>
      <c r="BL116" s="19">
        <v>19828.780769230769</v>
      </c>
      <c r="BM116" s="19">
        <v>0</v>
      </c>
      <c r="BN116" s="19">
        <v>0</v>
      </c>
      <c r="BO116" s="19">
        <v>0</v>
      </c>
      <c r="BP116" s="19">
        <v>4340</v>
      </c>
      <c r="BQ116" s="19">
        <v>23000</v>
      </c>
      <c r="BR116" s="19">
        <v>0</v>
      </c>
      <c r="BS116" s="19">
        <v>0</v>
      </c>
      <c r="BT116" s="19">
        <v>0</v>
      </c>
      <c r="BU116" s="19">
        <v>100000</v>
      </c>
      <c r="BV116" s="19">
        <v>0</v>
      </c>
      <c r="BW116" s="19">
        <v>0</v>
      </c>
      <c r="BX116" s="19">
        <v>97685</v>
      </c>
      <c r="BY116" s="19">
        <v>0</v>
      </c>
      <c r="BZ116" s="19">
        <v>0</v>
      </c>
      <c r="CA116" s="19">
        <v>0</v>
      </c>
      <c r="CB116">
        <f t="shared" si="1"/>
        <v>3632527.256269231</v>
      </c>
    </row>
    <row r="117" spans="1:80" x14ac:dyDescent="0.25">
      <c r="A117" s="17" t="s">
        <v>196</v>
      </c>
      <c r="B117" s="19">
        <v>171051</v>
      </c>
      <c r="C117" s="19">
        <v>97685</v>
      </c>
      <c r="D117" s="19">
        <v>801217.79999999993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75970</v>
      </c>
      <c r="K117" s="19">
        <v>7</v>
      </c>
      <c r="L117" s="19">
        <v>178072.40000000002</v>
      </c>
      <c r="M117" s="19">
        <v>55700</v>
      </c>
      <c r="N117" s="19">
        <v>58487</v>
      </c>
      <c r="O117" s="19">
        <v>135312</v>
      </c>
      <c r="P117" s="19">
        <v>47542</v>
      </c>
      <c r="Q117" s="19">
        <v>0</v>
      </c>
      <c r="R117" s="19">
        <v>204744</v>
      </c>
      <c r="S117" s="19">
        <v>287938</v>
      </c>
      <c r="T117" s="19">
        <v>0</v>
      </c>
      <c r="U117" s="19">
        <v>97685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8107855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780997</v>
      </c>
      <c r="AM117" s="19">
        <v>0</v>
      </c>
      <c r="AN117" s="19">
        <v>0</v>
      </c>
      <c r="AO117" s="19">
        <v>0</v>
      </c>
      <c r="AP117" s="19">
        <v>0</v>
      </c>
      <c r="AQ117" s="19"/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87556</v>
      </c>
      <c r="BB117" s="19">
        <v>97685</v>
      </c>
      <c r="BC117" s="19">
        <v>0</v>
      </c>
      <c r="BD117" s="19">
        <v>0</v>
      </c>
      <c r="BE117" s="19">
        <v>0</v>
      </c>
      <c r="BF117" s="19">
        <v>0</v>
      </c>
      <c r="BG117" s="19">
        <v>215243.79493381461</v>
      </c>
      <c r="BH117" s="19">
        <v>151815</v>
      </c>
      <c r="BI117" s="19">
        <v>0</v>
      </c>
      <c r="BJ117" s="19">
        <v>101560.06446048801</v>
      </c>
      <c r="BK117" s="19">
        <v>0</v>
      </c>
      <c r="BL117" s="19">
        <v>219570.95294117648</v>
      </c>
      <c r="BM117" s="19">
        <v>0</v>
      </c>
      <c r="BN117" s="19">
        <v>0</v>
      </c>
      <c r="BO117" s="19">
        <v>0</v>
      </c>
      <c r="BP117" s="19">
        <v>12000</v>
      </c>
      <c r="BQ117" s="19">
        <v>0</v>
      </c>
      <c r="BR117" s="19">
        <v>12240</v>
      </c>
      <c r="BS117" s="19">
        <v>101560.06446048801</v>
      </c>
      <c r="BT117" s="19">
        <v>99697</v>
      </c>
      <c r="BU117" s="19">
        <v>0</v>
      </c>
      <c r="BV117" s="19">
        <v>55000</v>
      </c>
      <c r="BW117" s="19">
        <v>134027</v>
      </c>
      <c r="BX117" s="19">
        <v>0</v>
      </c>
      <c r="BY117" s="19">
        <v>0</v>
      </c>
      <c r="BZ117" s="19">
        <v>0</v>
      </c>
      <c r="CA117" s="19">
        <v>0</v>
      </c>
      <c r="CB117">
        <f t="shared" si="1"/>
        <v>12388218.076795967</v>
      </c>
    </row>
    <row r="118" spans="1:80" x14ac:dyDescent="0.25">
      <c r="A118" s="17" t="s">
        <v>197</v>
      </c>
      <c r="B118" s="19">
        <v>171051</v>
      </c>
      <c r="C118" s="19">
        <v>97685</v>
      </c>
      <c r="D118" s="19">
        <v>276282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75970</v>
      </c>
      <c r="K118" s="19">
        <v>5</v>
      </c>
      <c r="L118" s="19">
        <v>60706.5</v>
      </c>
      <c r="M118" s="19">
        <v>55700</v>
      </c>
      <c r="N118" s="19">
        <v>58487</v>
      </c>
      <c r="O118" s="19">
        <v>67656</v>
      </c>
      <c r="P118" s="19">
        <v>47542</v>
      </c>
      <c r="Q118" s="19">
        <v>0</v>
      </c>
      <c r="R118" s="19">
        <v>204744</v>
      </c>
      <c r="S118" s="19">
        <v>205670</v>
      </c>
      <c r="T118" s="19">
        <v>0</v>
      </c>
      <c r="U118" s="19">
        <v>97685</v>
      </c>
      <c r="V118" s="19">
        <v>97685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3152811.705264112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267770.39999999997</v>
      </c>
      <c r="AM118" s="19">
        <v>0</v>
      </c>
      <c r="AN118" s="19">
        <v>0</v>
      </c>
      <c r="AO118" s="19">
        <v>0</v>
      </c>
      <c r="AP118" s="19">
        <v>0</v>
      </c>
      <c r="AQ118" s="19"/>
      <c r="AR118" s="19">
        <v>0</v>
      </c>
      <c r="AS118" s="19">
        <v>10000</v>
      </c>
      <c r="AT118" s="19">
        <v>30000</v>
      </c>
      <c r="AU118" s="19">
        <v>0</v>
      </c>
      <c r="AV118" s="19">
        <v>0</v>
      </c>
      <c r="AW118" s="19">
        <v>0</v>
      </c>
      <c r="AX118" s="19">
        <v>0</v>
      </c>
      <c r="AY118" s="19">
        <v>138141</v>
      </c>
      <c r="AZ118" s="19">
        <v>0</v>
      </c>
      <c r="BA118" s="19">
        <v>87556</v>
      </c>
      <c r="BB118" s="19">
        <v>97685</v>
      </c>
      <c r="BC118" s="19">
        <v>0</v>
      </c>
      <c r="BD118" s="19">
        <v>0</v>
      </c>
      <c r="BE118" s="19">
        <v>48842.5</v>
      </c>
      <c r="BF118" s="19">
        <v>128716</v>
      </c>
      <c r="BG118" s="19">
        <v>111604.35624004905</v>
      </c>
      <c r="BH118" s="19">
        <v>52722</v>
      </c>
      <c r="BI118" s="19">
        <v>0</v>
      </c>
      <c r="BJ118" s="19">
        <v>101560.06446048801</v>
      </c>
      <c r="BK118" s="19">
        <v>0</v>
      </c>
      <c r="BL118" s="19">
        <v>80842.100000000006</v>
      </c>
      <c r="BM118" s="19">
        <v>0</v>
      </c>
      <c r="BN118" s="19">
        <v>0</v>
      </c>
      <c r="BO118" s="19">
        <v>0</v>
      </c>
      <c r="BP118" s="19">
        <v>19400</v>
      </c>
      <c r="BQ118" s="19">
        <v>0</v>
      </c>
      <c r="BR118" s="19">
        <v>12240</v>
      </c>
      <c r="BS118" s="19">
        <v>101560.06446048801</v>
      </c>
      <c r="BT118" s="19">
        <v>199394</v>
      </c>
      <c r="BU118" s="19">
        <v>0</v>
      </c>
      <c r="BV118" s="19">
        <v>110000</v>
      </c>
      <c r="BW118" s="19">
        <v>268054</v>
      </c>
      <c r="BX118" s="19">
        <v>0</v>
      </c>
      <c r="BY118" s="19">
        <v>0</v>
      </c>
      <c r="BZ118" s="19">
        <v>9000</v>
      </c>
      <c r="CA118" s="19">
        <v>0</v>
      </c>
      <c r="CB118">
        <f t="shared" si="1"/>
        <v>6544767.6904251371</v>
      </c>
    </row>
    <row r="119" spans="1:80" x14ac:dyDescent="0.25">
      <c r="A119" s="17" t="s">
        <v>198</v>
      </c>
      <c r="B119" s="19">
        <v>171051</v>
      </c>
      <c r="C119" s="19">
        <v>48842.5</v>
      </c>
      <c r="D119" s="19">
        <v>0</v>
      </c>
      <c r="E119" s="19">
        <v>0</v>
      </c>
      <c r="F119" s="19">
        <v>0</v>
      </c>
      <c r="G119" s="19">
        <v>97685</v>
      </c>
      <c r="H119" s="19">
        <v>97685</v>
      </c>
      <c r="I119" s="19">
        <v>0</v>
      </c>
      <c r="J119" s="19">
        <v>0</v>
      </c>
      <c r="K119" s="19">
        <v>0</v>
      </c>
      <c r="L119" s="19">
        <v>40471</v>
      </c>
      <c r="M119" s="19">
        <v>55700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48842.5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97685</v>
      </c>
      <c r="AB119" s="19">
        <v>0</v>
      </c>
      <c r="AC119" s="19">
        <v>0</v>
      </c>
      <c r="AD119" s="19">
        <v>371203</v>
      </c>
      <c r="AE119" s="19">
        <v>0</v>
      </c>
      <c r="AF119" s="19">
        <v>97685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97685</v>
      </c>
      <c r="AP119" s="19">
        <v>0</v>
      </c>
      <c r="AQ119" s="19"/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28025.519318181818</v>
      </c>
      <c r="BH119" s="19">
        <v>7917</v>
      </c>
      <c r="BI119" s="19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>
        <f t="shared" si="1"/>
        <v>1260477.5193181818</v>
      </c>
    </row>
    <row r="120" spans="1:80" x14ac:dyDescent="0.25">
      <c r="A120" s="17" t="s">
        <v>246</v>
      </c>
      <c r="B120" s="19">
        <v>18986661</v>
      </c>
      <c r="C120" s="19">
        <v>11038405</v>
      </c>
      <c r="D120" s="19">
        <v>17626791.600000005</v>
      </c>
      <c r="E120" s="19">
        <v>3028235</v>
      </c>
      <c r="F120" s="19">
        <v>20611535</v>
      </c>
      <c r="G120" s="19">
        <v>4708417</v>
      </c>
      <c r="H120" s="19">
        <v>5773183.5</v>
      </c>
      <c r="I120" s="19">
        <v>19537000</v>
      </c>
      <c r="J120" s="19">
        <v>7521030</v>
      </c>
      <c r="K120" s="19">
        <v>173</v>
      </c>
      <c r="L120" s="19">
        <v>3282198.1000000006</v>
      </c>
      <c r="M120" s="19">
        <v>6405500</v>
      </c>
      <c r="N120" s="19">
        <v>1579149</v>
      </c>
      <c r="O120" s="19">
        <v>8220204</v>
      </c>
      <c r="P120" s="19">
        <v>903298</v>
      </c>
      <c r="Q120" s="19">
        <v>7424060</v>
      </c>
      <c r="R120" s="19">
        <v>10237200</v>
      </c>
      <c r="S120" s="19">
        <v>7116182</v>
      </c>
      <c r="T120" s="19">
        <v>7521745</v>
      </c>
      <c r="U120" s="19">
        <v>9719657.5</v>
      </c>
      <c r="V120" s="19">
        <v>8449752.5</v>
      </c>
      <c r="W120" s="19">
        <v>7863642.5</v>
      </c>
      <c r="X120" s="19">
        <v>7863642.5</v>
      </c>
      <c r="Y120" s="19">
        <v>12015255</v>
      </c>
      <c r="Z120" s="19">
        <v>3556545</v>
      </c>
      <c r="AA120" s="19">
        <v>10205904.5</v>
      </c>
      <c r="AB120" s="19">
        <v>6101065</v>
      </c>
      <c r="AC120" s="19">
        <v>37438613.240114868</v>
      </c>
      <c r="AD120" s="19">
        <v>1113609</v>
      </c>
      <c r="AE120" s="19">
        <v>3985548</v>
      </c>
      <c r="AF120" s="19">
        <v>4337214</v>
      </c>
      <c r="AG120" s="19">
        <v>4366165</v>
      </c>
      <c r="AH120" s="19">
        <v>19927740</v>
      </c>
      <c r="AI120" s="19">
        <v>2342115</v>
      </c>
      <c r="AJ120" s="19">
        <v>18560150</v>
      </c>
      <c r="AK120" s="19">
        <v>18364780</v>
      </c>
      <c r="AL120" s="19">
        <v>5527562.0530000003</v>
      </c>
      <c r="AM120" s="19">
        <v>17485615</v>
      </c>
      <c r="AN120" s="19">
        <v>10901646</v>
      </c>
      <c r="AO120" s="19">
        <v>10660681</v>
      </c>
      <c r="AP120" s="19">
        <v>914040.51568390417</v>
      </c>
      <c r="AQ120" s="19">
        <v>203120</v>
      </c>
      <c r="AR120" s="19">
        <v>1243269</v>
      </c>
      <c r="AS120" s="19">
        <v>90000</v>
      </c>
      <c r="AT120" s="19">
        <v>270000</v>
      </c>
      <c r="AU120" s="19">
        <v>0</v>
      </c>
      <c r="AV120" s="19">
        <v>30000</v>
      </c>
      <c r="AW120" s="19">
        <v>195370</v>
      </c>
      <c r="AX120" s="19">
        <v>203120.12892097601</v>
      </c>
      <c r="AY120" s="19">
        <v>1243269</v>
      </c>
      <c r="AZ120" s="19">
        <v>683795</v>
      </c>
      <c r="BA120" s="19">
        <v>963116</v>
      </c>
      <c r="BB120" s="19">
        <v>1074535</v>
      </c>
      <c r="BC120" s="19">
        <v>145000</v>
      </c>
      <c r="BD120" s="19">
        <v>6154155</v>
      </c>
      <c r="BE120" s="19">
        <v>2417703.75</v>
      </c>
      <c r="BF120" s="19">
        <v>772296</v>
      </c>
      <c r="BG120" s="19">
        <v>8400138.8985690195</v>
      </c>
      <c r="BH120" s="19">
        <v>4334294</v>
      </c>
      <c r="BI120" s="19">
        <v>600000</v>
      </c>
      <c r="BJ120" s="19">
        <v>1419731.8379863442</v>
      </c>
      <c r="BK120" s="19">
        <v>3176880</v>
      </c>
      <c r="BL120" s="19">
        <v>3890222.3160952274</v>
      </c>
      <c r="BM120" s="19">
        <v>44870</v>
      </c>
      <c r="BN120" s="19">
        <v>97257.123251401004</v>
      </c>
      <c r="BO120" s="19">
        <v>5322840.9090909092</v>
      </c>
      <c r="BP120" s="19">
        <v>713380</v>
      </c>
      <c r="BQ120" s="19">
        <v>667000</v>
      </c>
      <c r="BR120" s="19">
        <v>244800</v>
      </c>
      <c r="BS120" s="19">
        <v>1523400.9669073203</v>
      </c>
      <c r="BT120" s="19">
        <v>897273</v>
      </c>
      <c r="BU120" s="19">
        <v>2900000</v>
      </c>
      <c r="BV120" s="19">
        <v>550000</v>
      </c>
      <c r="BW120" s="19">
        <v>1340270</v>
      </c>
      <c r="BX120" s="19">
        <v>14750435</v>
      </c>
      <c r="BY120" s="19">
        <v>293055</v>
      </c>
      <c r="BZ120" s="19">
        <v>81000</v>
      </c>
      <c r="CA120" s="19">
        <v>683795</v>
      </c>
      <c r="CB120">
        <f t="shared" si="1"/>
        <v>450841303.43961996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0"/>
  <sheetViews>
    <sheetView workbookViewId="0">
      <selection activeCell="CA22" sqref="CA22"/>
    </sheetView>
  </sheetViews>
  <sheetFormatPr defaultRowHeight="15" x14ac:dyDescent="0.25"/>
  <cols>
    <col min="1" max="1" width="40.28515625" bestFit="1" customWidth="1"/>
    <col min="2" max="2" width="23.42578125" bestFit="1" customWidth="1"/>
    <col min="3" max="6" width="24.42578125" bestFit="1" customWidth="1"/>
  </cols>
  <sheetData>
    <row r="3" spans="1:7" x14ac:dyDescent="0.25">
      <c r="A3" s="16" t="s">
        <v>245</v>
      </c>
      <c r="B3" t="s">
        <v>293</v>
      </c>
      <c r="C3" t="s">
        <v>294</v>
      </c>
      <c r="D3" t="s">
        <v>295</v>
      </c>
      <c r="E3" t="s">
        <v>296</v>
      </c>
      <c r="F3" t="s">
        <v>297</v>
      </c>
      <c r="G3" t="s">
        <v>235</v>
      </c>
    </row>
    <row r="4" spans="1:7" x14ac:dyDescent="0.25">
      <c r="A4" s="17" t="s">
        <v>79</v>
      </c>
      <c r="B4" s="19">
        <v>48842.5</v>
      </c>
      <c r="C4" s="19">
        <v>146527.5</v>
      </c>
      <c r="D4" s="19">
        <v>488425</v>
      </c>
      <c r="E4" s="19">
        <v>28915</v>
      </c>
      <c r="F4" s="19">
        <v>0</v>
      </c>
      <c r="G4">
        <f>SUM(B4:F4)</f>
        <v>712710</v>
      </c>
    </row>
    <row r="5" spans="1:7" x14ac:dyDescent="0.25">
      <c r="A5" s="17" t="s">
        <v>80</v>
      </c>
      <c r="B5" s="19">
        <v>97685</v>
      </c>
      <c r="C5" s="19">
        <v>195370</v>
      </c>
      <c r="D5" s="19">
        <v>683795</v>
      </c>
      <c r="E5" s="19">
        <v>57830</v>
      </c>
      <c r="F5" s="19">
        <v>0</v>
      </c>
      <c r="G5">
        <f t="shared" ref="G5:G68" si="0">SUM(B5:F5)</f>
        <v>1034680</v>
      </c>
    </row>
    <row r="6" spans="1:7" x14ac:dyDescent="0.25">
      <c r="A6" s="17" t="s">
        <v>81</v>
      </c>
      <c r="B6" s="19">
        <v>195370</v>
      </c>
      <c r="C6" s="19">
        <v>488425</v>
      </c>
      <c r="D6" s="19">
        <v>2051385</v>
      </c>
      <c r="E6" s="19">
        <v>346980</v>
      </c>
      <c r="F6" s="19">
        <v>135666</v>
      </c>
      <c r="G6">
        <f t="shared" si="0"/>
        <v>3217826</v>
      </c>
    </row>
    <row r="7" spans="1:7" x14ac:dyDescent="0.25">
      <c r="A7" s="17" t="s">
        <v>82</v>
      </c>
      <c r="B7" s="19">
        <v>97685</v>
      </c>
      <c r="C7" s="19">
        <v>488425</v>
      </c>
      <c r="D7" s="19">
        <v>2344440</v>
      </c>
      <c r="E7" s="19">
        <v>260235</v>
      </c>
      <c r="F7" s="19">
        <v>180888</v>
      </c>
      <c r="G7">
        <f t="shared" si="0"/>
        <v>3371673</v>
      </c>
    </row>
    <row r="8" spans="1:7" x14ac:dyDescent="0.25">
      <c r="A8" s="17" t="s">
        <v>83</v>
      </c>
      <c r="B8" s="19">
        <v>48842.5</v>
      </c>
      <c r="C8" s="19">
        <v>146527.5</v>
      </c>
      <c r="D8" s="19">
        <v>488425</v>
      </c>
      <c r="E8" s="19">
        <v>57830</v>
      </c>
      <c r="F8" s="19">
        <v>45222</v>
      </c>
      <c r="G8">
        <f t="shared" si="0"/>
        <v>786847</v>
      </c>
    </row>
    <row r="9" spans="1:7" x14ac:dyDescent="0.25">
      <c r="A9" s="17" t="s">
        <v>84</v>
      </c>
      <c r="B9" s="19">
        <v>97685</v>
      </c>
      <c r="C9" s="19">
        <v>97685</v>
      </c>
      <c r="D9" s="19">
        <v>488425</v>
      </c>
      <c r="E9" s="19">
        <v>28915</v>
      </c>
      <c r="F9" s="19">
        <v>0</v>
      </c>
      <c r="G9">
        <f t="shared" si="0"/>
        <v>712710</v>
      </c>
    </row>
    <row r="10" spans="1:7" x14ac:dyDescent="0.25">
      <c r="A10" s="17" t="s">
        <v>85</v>
      </c>
      <c r="B10" s="19">
        <v>48842.5</v>
      </c>
      <c r="C10" s="19">
        <v>97685</v>
      </c>
      <c r="D10" s="19">
        <v>879165</v>
      </c>
      <c r="E10" s="19">
        <v>231320</v>
      </c>
      <c r="F10" s="19">
        <v>0</v>
      </c>
      <c r="G10">
        <f t="shared" si="0"/>
        <v>1257012.5</v>
      </c>
    </row>
    <row r="11" spans="1:7" x14ac:dyDescent="0.25">
      <c r="A11" s="17" t="s">
        <v>86</v>
      </c>
      <c r="B11" s="19">
        <v>97685</v>
      </c>
      <c r="C11" s="19">
        <v>97685</v>
      </c>
      <c r="D11" s="19">
        <v>1172220</v>
      </c>
      <c r="E11" s="19">
        <v>289150</v>
      </c>
      <c r="F11" s="19">
        <v>0</v>
      </c>
      <c r="G11">
        <f t="shared" si="0"/>
        <v>1656740</v>
      </c>
    </row>
    <row r="12" spans="1:7" x14ac:dyDescent="0.25">
      <c r="A12" s="17" t="s">
        <v>87</v>
      </c>
      <c r="B12" s="19">
        <v>97685</v>
      </c>
      <c r="C12" s="19">
        <v>0</v>
      </c>
      <c r="D12" s="19">
        <v>48842.5</v>
      </c>
      <c r="E12" s="19">
        <v>0</v>
      </c>
      <c r="F12" s="19">
        <v>0</v>
      </c>
      <c r="G12">
        <f t="shared" si="0"/>
        <v>146527.5</v>
      </c>
    </row>
    <row r="13" spans="1:7" x14ac:dyDescent="0.25">
      <c r="A13" s="17" t="s">
        <v>88</v>
      </c>
      <c r="B13" s="19">
        <v>48842.5</v>
      </c>
      <c r="C13" s="19">
        <v>97685</v>
      </c>
      <c r="D13" s="19">
        <v>293055</v>
      </c>
      <c r="E13" s="19">
        <v>0</v>
      </c>
      <c r="F13" s="19">
        <v>0</v>
      </c>
      <c r="G13">
        <f t="shared" si="0"/>
        <v>439582.5</v>
      </c>
    </row>
    <row r="14" spans="1:7" x14ac:dyDescent="0.25">
      <c r="A14" s="17" t="s">
        <v>89</v>
      </c>
      <c r="B14" s="19">
        <v>48842.5</v>
      </c>
      <c r="C14" s="19">
        <v>195370</v>
      </c>
      <c r="D14" s="19">
        <v>586110</v>
      </c>
      <c r="E14" s="19">
        <v>0</v>
      </c>
      <c r="F14" s="19">
        <v>0</v>
      </c>
      <c r="G14">
        <f t="shared" si="0"/>
        <v>830322.5</v>
      </c>
    </row>
    <row r="15" spans="1:7" x14ac:dyDescent="0.25">
      <c r="A15" s="17" t="s">
        <v>90</v>
      </c>
      <c r="B15" s="19">
        <v>48842.5</v>
      </c>
      <c r="C15" s="19">
        <v>195370</v>
      </c>
      <c r="D15" s="19">
        <v>488425</v>
      </c>
      <c r="E15" s="19">
        <v>57830</v>
      </c>
      <c r="F15" s="19">
        <v>0</v>
      </c>
      <c r="G15">
        <f t="shared" si="0"/>
        <v>790467.5</v>
      </c>
    </row>
    <row r="16" spans="1:7" x14ac:dyDescent="0.25">
      <c r="A16" s="17" t="s">
        <v>91</v>
      </c>
      <c r="B16" s="19">
        <v>97685</v>
      </c>
      <c r="C16" s="19">
        <v>146527.5</v>
      </c>
      <c r="D16" s="19">
        <v>586110</v>
      </c>
      <c r="E16" s="19">
        <v>115660</v>
      </c>
      <c r="F16" s="19">
        <v>0</v>
      </c>
      <c r="G16">
        <f t="shared" si="0"/>
        <v>945982.5</v>
      </c>
    </row>
    <row r="17" spans="1:7" x14ac:dyDescent="0.25">
      <c r="A17" s="17" t="s">
        <v>92</v>
      </c>
      <c r="B17" s="19">
        <v>97685</v>
      </c>
      <c r="C17" s="19">
        <v>195370</v>
      </c>
      <c r="D17" s="19">
        <v>488425</v>
      </c>
      <c r="E17" s="19">
        <v>0</v>
      </c>
      <c r="F17" s="19">
        <v>0</v>
      </c>
      <c r="G17">
        <f t="shared" si="0"/>
        <v>781480</v>
      </c>
    </row>
    <row r="18" spans="1:7" x14ac:dyDescent="0.25">
      <c r="A18" s="17" t="s">
        <v>93</v>
      </c>
      <c r="B18" s="19">
        <v>48842.5</v>
      </c>
      <c r="C18" s="19">
        <v>48842.5</v>
      </c>
      <c r="D18" s="19">
        <v>195370</v>
      </c>
      <c r="E18" s="19">
        <v>0</v>
      </c>
      <c r="F18" s="19">
        <v>0</v>
      </c>
      <c r="G18">
        <f t="shared" si="0"/>
        <v>293055</v>
      </c>
    </row>
    <row r="19" spans="1:7" x14ac:dyDescent="0.25">
      <c r="A19" s="17" t="s">
        <v>94</v>
      </c>
      <c r="B19" s="19">
        <v>97685</v>
      </c>
      <c r="C19" s="19">
        <v>48842.5</v>
      </c>
      <c r="D19" s="19">
        <v>586110</v>
      </c>
      <c r="E19" s="19">
        <v>173490</v>
      </c>
      <c r="F19" s="19">
        <v>0</v>
      </c>
      <c r="G19">
        <f t="shared" si="0"/>
        <v>906127.5</v>
      </c>
    </row>
    <row r="20" spans="1:7" x14ac:dyDescent="0.25">
      <c r="A20" s="17" t="s">
        <v>95</v>
      </c>
      <c r="B20" s="19">
        <v>48842.5</v>
      </c>
      <c r="C20" s="19">
        <v>48842.5</v>
      </c>
      <c r="D20" s="19">
        <v>293055</v>
      </c>
      <c r="E20" s="19">
        <v>0</v>
      </c>
      <c r="F20" s="19">
        <v>0</v>
      </c>
      <c r="G20">
        <f t="shared" si="0"/>
        <v>390740</v>
      </c>
    </row>
    <row r="21" spans="1:7" x14ac:dyDescent="0.25">
      <c r="A21" s="17" t="s">
        <v>96</v>
      </c>
      <c r="B21" s="19">
        <v>97685</v>
      </c>
      <c r="C21" s="19">
        <v>195370</v>
      </c>
      <c r="D21" s="19">
        <v>781480</v>
      </c>
      <c r="E21" s="19">
        <v>115660</v>
      </c>
      <c r="F21" s="19">
        <v>45222</v>
      </c>
      <c r="G21">
        <f t="shared" si="0"/>
        <v>1235417</v>
      </c>
    </row>
    <row r="22" spans="1:7" x14ac:dyDescent="0.25">
      <c r="A22" s="17" t="s">
        <v>97</v>
      </c>
      <c r="B22" s="19">
        <v>48842.5</v>
      </c>
      <c r="C22" s="19">
        <v>48842.5</v>
      </c>
      <c r="D22" s="19">
        <v>195370</v>
      </c>
      <c r="E22" s="19">
        <v>0</v>
      </c>
      <c r="F22" s="19">
        <v>0</v>
      </c>
      <c r="G22">
        <f t="shared" si="0"/>
        <v>293055</v>
      </c>
    </row>
    <row r="23" spans="1:7" x14ac:dyDescent="0.25">
      <c r="A23" s="17" t="s">
        <v>98</v>
      </c>
      <c r="B23" s="19">
        <v>97685</v>
      </c>
      <c r="C23" s="19">
        <v>586110</v>
      </c>
      <c r="D23" s="19">
        <v>2051385</v>
      </c>
      <c r="E23" s="19">
        <v>433725</v>
      </c>
      <c r="F23" s="19">
        <v>135666</v>
      </c>
      <c r="G23">
        <f t="shared" si="0"/>
        <v>3304571</v>
      </c>
    </row>
    <row r="24" spans="1:7" x14ac:dyDescent="0.25">
      <c r="A24" s="17" t="s">
        <v>99</v>
      </c>
      <c r="B24" s="19">
        <v>0</v>
      </c>
      <c r="C24" s="19">
        <v>97685</v>
      </c>
      <c r="D24" s="19">
        <v>195370</v>
      </c>
      <c r="E24" s="19">
        <v>0</v>
      </c>
      <c r="F24" s="19">
        <v>0</v>
      </c>
      <c r="G24">
        <f t="shared" si="0"/>
        <v>293055</v>
      </c>
    </row>
    <row r="25" spans="1:7" x14ac:dyDescent="0.25">
      <c r="A25" s="17" t="s">
        <v>100</v>
      </c>
      <c r="B25" s="19">
        <v>48842.5</v>
      </c>
      <c r="C25" s="19">
        <v>48842.5</v>
      </c>
      <c r="D25" s="19">
        <v>390740</v>
      </c>
      <c r="E25" s="19">
        <v>28915</v>
      </c>
      <c r="F25" s="19">
        <v>45222</v>
      </c>
      <c r="G25">
        <f t="shared" si="0"/>
        <v>562562</v>
      </c>
    </row>
    <row r="26" spans="1:7" x14ac:dyDescent="0.25">
      <c r="A26" s="17" t="s">
        <v>101</v>
      </c>
      <c r="B26" s="19">
        <v>97685</v>
      </c>
      <c r="C26" s="19">
        <v>390740</v>
      </c>
      <c r="D26" s="19">
        <v>1172220</v>
      </c>
      <c r="E26" s="19">
        <v>57830</v>
      </c>
      <c r="F26" s="19">
        <v>0</v>
      </c>
      <c r="G26">
        <f t="shared" si="0"/>
        <v>1718475</v>
      </c>
    </row>
    <row r="27" spans="1:7" x14ac:dyDescent="0.25">
      <c r="A27" s="17" t="s">
        <v>102</v>
      </c>
      <c r="B27" s="19">
        <v>97685</v>
      </c>
      <c r="C27" s="19">
        <v>293055</v>
      </c>
      <c r="D27" s="19">
        <v>976850</v>
      </c>
      <c r="E27" s="19">
        <v>173490</v>
      </c>
      <c r="F27" s="19">
        <v>90444</v>
      </c>
      <c r="G27">
        <f t="shared" si="0"/>
        <v>1631524</v>
      </c>
    </row>
    <row r="28" spans="1:7" x14ac:dyDescent="0.25">
      <c r="A28" s="17" t="s">
        <v>103</v>
      </c>
      <c r="B28" s="19">
        <v>195370</v>
      </c>
      <c r="C28" s="19">
        <v>390740</v>
      </c>
      <c r="D28" s="19">
        <v>976850</v>
      </c>
      <c r="E28" s="19">
        <v>0</v>
      </c>
      <c r="F28" s="19">
        <v>0</v>
      </c>
      <c r="G28">
        <f t="shared" si="0"/>
        <v>1562960</v>
      </c>
    </row>
    <row r="29" spans="1:7" x14ac:dyDescent="0.25">
      <c r="A29" s="17" t="s">
        <v>104</v>
      </c>
      <c r="B29" s="19">
        <v>97685</v>
      </c>
      <c r="C29" s="19">
        <v>146527.5</v>
      </c>
      <c r="D29" s="19">
        <v>586110</v>
      </c>
      <c r="E29" s="19">
        <v>115660</v>
      </c>
      <c r="F29" s="19">
        <v>0</v>
      </c>
      <c r="G29">
        <f t="shared" si="0"/>
        <v>945982.5</v>
      </c>
    </row>
    <row r="30" spans="1:7" x14ac:dyDescent="0.25">
      <c r="A30" s="17" t="s">
        <v>105</v>
      </c>
      <c r="B30" s="19">
        <v>97685</v>
      </c>
      <c r="C30" s="19">
        <v>48842.5</v>
      </c>
      <c r="D30" s="19">
        <v>488425</v>
      </c>
      <c r="E30" s="19">
        <v>57830</v>
      </c>
      <c r="F30" s="19">
        <v>0</v>
      </c>
      <c r="G30">
        <f t="shared" si="0"/>
        <v>692782.5</v>
      </c>
    </row>
    <row r="31" spans="1:7" x14ac:dyDescent="0.25">
      <c r="A31" s="17" t="s">
        <v>106</v>
      </c>
      <c r="B31" s="19">
        <v>97685</v>
      </c>
      <c r="C31" s="19">
        <v>390740</v>
      </c>
      <c r="D31" s="19">
        <v>1465275</v>
      </c>
      <c r="E31" s="19">
        <v>173490</v>
      </c>
      <c r="F31" s="19">
        <v>90444</v>
      </c>
      <c r="G31">
        <f t="shared" si="0"/>
        <v>2217634</v>
      </c>
    </row>
    <row r="32" spans="1:7" x14ac:dyDescent="0.25">
      <c r="A32" s="17" t="s">
        <v>107</v>
      </c>
      <c r="B32" s="19">
        <v>97685</v>
      </c>
      <c r="C32" s="19">
        <v>439582.5</v>
      </c>
      <c r="D32" s="19">
        <v>2051385</v>
      </c>
      <c r="E32" s="19">
        <v>318065</v>
      </c>
      <c r="F32" s="19">
        <v>45222</v>
      </c>
      <c r="G32">
        <f t="shared" si="0"/>
        <v>2951939.5</v>
      </c>
    </row>
    <row r="33" spans="1:7" x14ac:dyDescent="0.25">
      <c r="A33" s="17" t="s">
        <v>108</v>
      </c>
      <c r="B33" s="19">
        <v>48842.5</v>
      </c>
      <c r="C33" s="19">
        <v>97685</v>
      </c>
      <c r="D33" s="19">
        <v>293055</v>
      </c>
      <c r="E33" s="19">
        <v>0</v>
      </c>
      <c r="F33" s="19">
        <v>0</v>
      </c>
      <c r="G33">
        <f t="shared" si="0"/>
        <v>439582.5</v>
      </c>
    </row>
    <row r="34" spans="1:7" x14ac:dyDescent="0.25">
      <c r="A34" s="17" t="s">
        <v>109</v>
      </c>
      <c r="B34" s="19">
        <v>97685</v>
      </c>
      <c r="C34" s="19">
        <v>195370</v>
      </c>
      <c r="D34" s="19">
        <v>683795</v>
      </c>
      <c r="E34" s="19">
        <v>173490</v>
      </c>
      <c r="F34" s="19">
        <v>45222</v>
      </c>
      <c r="G34">
        <f t="shared" si="0"/>
        <v>1195562</v>
      </c>
    </row>
    <row r="35" spans="1:7" x14ac:dyDescent="0.25">
      <c r="A35" s="17" t="s">
        <v>110</v>
      </c>
      <c r="B35" s="19">
        <v>48842.5</v>
      </c>
      <c r="C35" s="19">
        <v>97685</v>
      </c>
      <c r="D35" s="19">
        <v>293055</v>
      </c>
      <c r="E35" s="19">
        <v>0</v>
      </c>
      <c r="F35" s="19">
        <v>0</v>
      </c>
      <c r="G35">
        <f t="shared" si="0"/>
        <v>439582.5</v>
      </c>
    </row>
    <row r="36" spans="1:7" x14ac:dyDescent="0.25">
      <c r="A36" s="17" t="s">
        <v>111</v>
      </c>
      <c r="B36" s="19">
        <v>97685</v>
      </c>
      <c r="C36" s="19">
        <v>146527.5</v>
      </c>
      <c r="D36" s="19">
        <v>586110</v>
      </c>
      <c r="E36" s="19">
        <v>173490</v>
      </c>
      <c r="F36" s="19">
        <v>0</v>
      </c>
      <c r="G36">
        <f t="shared" si="0"/>
        <v>1003812.5</v>
      </c>
    </row>
    <row r="37" spans="1:7" x14ac:dyDescent="0.25">
      <c r="A37" s="17" t="s">
        <v>112</v>
      </c>
      <c r="B37" s="19">
        <v>97685</v>
      </c>
      <c r="C37" s="19">
        <v>97685</v>
      </c>
      <c r="D37" s="19">
        <v>683795</v>
      </c>
      <c r="E37" s="19">
        <v>202405</v>
      </c>
      <c r="F37" s="19">
        <v>0</v>
      </c>
      <c r="G37">
        <f t="shared" si="0"/>
        <v>1081570</v>
      </c>
    </row>
    <row r="38" spans="1:7" x14ac:dyDescent="0.25">
      <c r="A38" s="17" t="s">
        <v>113</v>
      </c>
      <c r="B38" s="19">
        <v>97685</v>
      </c>
      <c r="C38" s="19">
        <v>195370</v>
      </c>
      <c r="D38" s="19">
        <v>293055</v>
      </c>
      <c r="E38" s="19">
        <v>0</v>
      </c>
      <c r="F38" s="19">
        <v>0</v>
      </c>
      <c r="G38">
        <f t="shared" si="0"/>
        <v>586110</v>
      </c>
    </row>
    <row r="39" spans="1:7" x14ac:dyDescent="0.25">
      <c r="A39" s="17" t="s">
        <v>114</v>
      </c>
      <c r="B39" s="19">
        <v>48842.5</v>
      </c>
      <c r="C39" s="19">
        <v>97685</v>
      </c>
      <c r="D39" s="19">
        <v>683795</v>
      </c>
      <c r="E39" s="19">
        <v>115660</v>
      </c>
      <c r="F39" s="19">
        <v>0</v>
      </c>
      <c r="G39">
        <f t="shared" si="0"/>
        <v>945982.5</v>
      </c>
    </row>
    <row r="40" spans="1:7" x14ac:dyDescent="0.25">
      <c r="A40" s="17" t="s">
        <v>115</v>
      </c>
      <c r="B40" s="19">
        <v>97685</v>
      </c>
      <c r="C40" s="19">
        <v>390740</v>
      </c>
      <c r="D40" s="19">
        <v>879165</v>
      </c>
      <c r="E40" s="19">
        <v>173490</v>
      </c>
      <c r="F40" s="19">
        <v>45222</v>
      </c>
      <c r="G40">
        <f t="shared" si="0"/>
        <v>1586302</v>
      </c>
    </row>
    <row r="41" spans="1:7" x14ac:dyDescent="0.25">
      <c r="A41" s="17" t="s">
        <v>116</v>
      </c>
      <c r="B41" s="19">
        <v>48842.5</v>
      </c>
      <c r="C41" s="19">
        <v>97685</v>
      </c>
      <c r="D41" s="19">
        <v>586110</v>
      </c>
      <c r="E41" s="19">
        <v>173490</v>
      </c>
      <c r="F41" s="19">
        <v>0</v>
      </c>
      <c r="G41">
        <f t="shared" si="0"/>
        <v>906127.5</v>
      </c>
    </row>
    <row r="42" spans="1:7" x14ac:dyDescent="0.25">
      <c r="A42" s="17" t="s">
        <v>117</v>
      </c>
      <c r="B42" s="19">
        <v>97685</v>
      </c>
      <c r="C42" s="19">
        <v>195370</v>
      </c>
      <c r="D42" s="19">
        <v>488425</v>
      </c>
      <c r="E42" s="19">
        <v>28915</v>
      </c>
      <c r="F42" s="19">
        <v>45222</v>
      </c>
      <c r="G42">
        <f t="shared" si="0"/>
        <v>855617</v>
      </c>
    </row>
    <row r="43" spans="1:7" x14ac:dyDescent="0.25">
      <c r="A43" s="17" t="s">
        <v>118</v>
      </c>
      <c r="B43" s="19">
        <v>97685</v>
      </c>
      <c r="C43" s="19">
        <v>97685</v>
      </c>
      <c r="D43" s="19">
        <v>683795</v>
      </c>
      <c r="E43" s="19">
        <v>202405</v>
      </c>
      <c r="F43" s="19">
        <v>0</v>
      </c>
      <c r="G43">
        <f t="shared" si="0"/>
        <v>1081570</v>
      </c>
    </row>
    <row r="44" spans="1:7" x14ac:dyDescent="0.25">
      <c r="A44" s="17" t="s">
        <v>119</v>
      </c>
      <c r="B44" s="19">
        <v>48842.5</v>
      </c>
      <c r="C44" s="19">
        <v>97685</v>
      </c>
      <c r="D44" s="19">
        <v>195370</v>
      </c>
      <c r="E44" s="19">
        <v>28915</v>
      </c>
      <c r="F44" s="19">
        <v>0</v>
      </c>
      <c r="G44">
        <f t="shared" si="0"/>
        <v>370812.5</v>
      </c>
    </row>
    <row r="45" spans="1:7" x14ac:dyDescent="0.25">
      <c r="A45" s="17" t="s">
        <v>121</v>
      </c>
      <c r="B45" s="19">
        <v>0</v>
      </c>
      <c r="C45" s="19">
        <v>97685</v>
      </c>
      <c r="D45" s="19">
        <v>390740</v>
      </c>
      <c r="E45" s="19">
        <v>0</v>
      </c>
      <c r="F45" s="19">
        <v>0</v>
      </c>
      <c r="G45">
        <f t="shared" si="0"/>
        <v>488425</v>
      </c>
    </row>
    <row r="46" spans="1:7" x14ac:dyDescent="0.25">
      <c r="A46" s="17" t="s">
        <v>123</v>
      </c>
      <c r="B46" s="19">
        <v>97685</v>
      </c>
      <c r="C46" s="19">
        <v>146527.5</v>
      </c>
      <c r="D46" s="19">
        <v>781480</v>
      </c>
      <c r="E46" s="19">
        <v>86745</v>
      </c>
      <c r="F46" s="19">
        <v>0</v>
      </c>
      <c r="G46">
        <f t="shared" si="0"/>
        <v>1112437.5</v>
      </c>
    </row>
    <row r="47" spans="1:7" x14ac:dyDescent="0.25">
      <c r="A47" s="17" t="s">
        <v>124</v>
      </c>
      <c r="B47" s="19">
        <v>97685</v>
      </c>
      <c r="C47" s="19">
        <v>146527.5</v>
      </c>
      <c r="D47" s="19">
        <v>390740</v>
      </c>
      <c r="E47" s="19">
        <v>0</v>
      </c>
      <c r="F47" s="19">
        <v>0</v>
      </c>
      <c r="G47">
        <f t="shared" si="0"/>
        <v>634952.5</v>
      </c>
    </row>
    <row r="48" spans="1:7" x14ac:dyDescent="0.25">
      <c r="A48" s="17" t="s">
        <v>125</v>
      </c>
      <c r="B48" s="19">
        <v>97685</v>
      </c>
      <c r="C48" s="19">
        <v>195370</v>
      </c>
      <c r="D48" s="19">
        <v>683795</v>
      </c>
      <c r="E48" s="19">
        <v>86745</v>
      </c>
      <c r="F48" s="19">
        <v>0</v>
      </c>
      <c r="G48">
        <f t="shared" si="0"/>
        <v>1063595</v>
      </c>
    </row>
    <row r="49" spans="1:7" x14ac:dyDescent="0.25">
      <c r="A49" s="17" t="s">
        <v>126</v>
      </c>
      <c r="B49" s="19">
        <v>97685</v>
      </c>
      <c r="C49" s="19">
        <v>293055</v>
      </c>
      <c r="D49" s="19">
        <v>683795</v>
      </c>
      <c r="E49" s="19">
        <v>57830</v>
      </c>
      <c r="F49" s="19">
        <v>45222</v>
      </c>
      <c r="G49">
        <f t="shared" si="0"/>
        <v>1177587</v>
      </c>
    </row>
    <row r="50" spans="1:7" x14ac:dyDescent="0.25">
      <c r="A50" s="17" t="s">
        <v>127</v>
      </c>
      <c r="B50" s="19">
        <v>97685</v>
      </c>
      <c r="C50" s="19">
        <v>390740</v>
      </c>
      <c r="D50" s="19">
        <v>781480</v>
      </c>
      <c r="E50" s="19">
        <v>144575</v>
      </c>
      <c r="F50" s="19">
        <v>90444</v>
      </c>
      <c r="G50">
        <f t="shared" si="0"/>
        <v>1504924</v>
      </c>
    </row>
    <row r="51" spans="1:7" x14ac:dyDescent="0.25">
      <c r="A51" s="17" t="s">
        <v>128</v>
      </c>
      <c r="B51" s="19">
        <v>97685</v>
      </c>
      <c r="C51" s="19">
        <v>97685</v>
      </c>
      <c r="D51" s="19">
        <v>293055</v>
      </c>
      <c r="E51" s="19">
        <v>0</v>
      </c>
      <c r="F51" s="19">
        <v>0</v>
      </c>
      <c r="G51">
        <f t="shared" si="0"/>
        <v>488425</v>
      </c>
    </row>
    <row r="52" spans="1:7" x14ac:dyDescent="0.25">
      <c r="A52" s="17" t="s">
        <v>129</v>
      </c>
      <c r="B52" s="19">
        <v>48842.5</v>
      </c>
      <c r="C52" s="19">
        <v>97685</v>
      </c>
      <c r="D52" s="19">
        <v>293055</v>
      </c>
      <c r="E52" s="19">
        <v>0</v>
      </c>
      <c r="F52" s="19">
        <v>0</v>
      </c>
      <c r="G52">
        <f t="shared" si="0"/>
        <v>439582.5</v>
      </c>
    </row>
    <row r="53" spans="1:7" x14ac:dyDescent="0.25">
      <c r="A53" s="17" t="s">
        <v>130</v>
      </c>
      <c r="B53" s="19">
        <v>97685</v>
      </c>
      <c r="C53" s="19">
        <v>97685</v>
      </c>
      <c r="D53" s="19">
        <v>488425</v>
      </c>
      <c r="E53" s="19">
        <v>28915</v>
      </c>
      <c r="F53" s="19">
        <v>0</v>
      </c>
      <c r="G53">
        <f t="shared" si="0"/>
        <v>712710</v>
      </c>
    </row>
    <row r="54" spans="1:7" x14ac:dyDescent="0.25">
      <c r="A54" s="17" t="s">
        <v>131</v>
      </c>
      <c r="B54" s="19">
        <v>97685</v>
      </c>
      <c r="C54" s="19">
        <v>97685</v>
      </c>
      <c r="D54" s="19">
        <v>390740</v>
      </c>
      <c r="E54" s="19">
        <v>0</v>
      </c>
      <c r="F54" s="19">
        <v>0</v>
      </c>
      <c r="G54">
        <f t="shared" si="0"/>
        <v>586110</v>
      </c>
    </row>
    <row r="55" spans="1:7" x14ac:dyDescent="0.25">
      <c r="A55" s="17" t="s">
        <v>132</v>
      </c>
      <c r="B55" s="19">
        <v>97685</v>
      </c>
      <c r="C55" s="19">
        <v>390740</v>
      </c>
      <c r="D55" s="19">
        <v>683795</v>
      </c>
      <c r="E55" s="19">
        <v>57830</v>
      </c>
      <c r="F55" s="19">
        <v>90444</v>
      </c>
      <c r="G55">
        <f t="shared" si="0"/>
        <v>1320494</v>
      </c>
    </row>
    <row r="56" spans="1:7" x14ac:dyDescent="0.25">
      <c r="A56" s="17" t="s">
        <v>133</v>
      </c>
      <c r="B56" s="19">
        <v>97685</v>
      </c>
      <c r="C56" s="19">
        <v>48842.5</v>
      </c>
      <c r="D56" s="19">
        <v>488425</v>
      </c>
      <c r="E56" s="19">
        <v>57830</v>
      </c>
      <c r="F56" s="19">
        <v>0</v>
      </c>
      <c r="G56">
        <f t="shared" si="0"/>
        <v>692782.5</v>
      </c>
    </row>
    <row r="57" spans="1:7" x14ac:dyDescent="0.25">
      <c r="A57" s="17" t="s">
        <v>134</v>
      </c>
      <c r="B57" s="19">
        <v>48842.5</v>
      </c>
      <c r="C57" s="19">
        <v>97685</v>
      </c>
      <c r="D57" s="19">
        <v>390740</v>
      </c>
      <c r="E57" s="19">
        <v>57830</v>
      </c>
      <c r="F57" s="19">
        <v>0</v>
      </c>
      <c r="G57">
        <f t="shared" si="0"/>
        <v>595097.5</v>
      </c>
    </row>
    <row r="58" spans="1:7" x14ac:dyDescent="0.25">
      <c r="A58" s="17" t="s">
        <v>135</v>
      </c>
      <c r="B58" s="19">
        <v>48842.5</v>
      </c>
      <c r="C58" s="19">
        <v>146527.5</v>
      </c>
      <c r="D58" s="19">
        <v>976850</v>
      </c>
      <c r="E58" s="19">
        <v>289150</v>
      </c>
      <c r="F58" s="19">
        <v>90444</v>
      </c>
      <c r="G58">
        <f t="shared" si="0"/>
        <v>1551814</v>
      </c>
    </row>
    <row r="59" spans="1:7" x14ac:dyDescent="0.25">
      <c r="A59" s="17" t="s">
        <v>136</v>
      </c>
      <c r="B59" s="19">
        <v>48842.5</v>
      </c>
      <c r="C59" s="19">
        <v>293055</v>
      </c>
      <c r="D59" s="19">
        <v>683795</v>
      </c>
      <c r="E59" s="19">
        <v>86745</v>
      </c>
      <c r="F59" s="19">
        <v>90444</v>
      </c>
      <c r="G59">
        <f t="shared" si="0"/>
        <v>1202881.5</v>
      </c>
    </row>
    <row r="60" spans="1:7" x14ac:dyDescent="0.25">
      <c r="A60" s="17" t="s">
        <v>137</v>
      </c>
      <c r="B60" s="19">
        <v>48842.5</v>
      </c>
      <c r="C60" s="19">
        <v>146527.5</v>
      </c>
      <c r="D60" s="19">
        <v>488425</v>
      </c>
      <c r="E60" s="19">
        <v>0</v>
      </c>
      <c r="F60" s="19">
        <v>0</v>
      </c>
      <c r="G60">
        <f t="shared" si="0"/>
        <v>683795</v>
      </c>
    </row>
    <row r="61" spans="1:7" x14ac:dyDescent="0.25">
      <c r="A61" s="17" t="s">
        <v>138</v>
      </c>
      <c r="B61" s="19">
        <v>97685</v>
      </c>
      <c r="C61" s="19">
        <v>146527.5</v>
      </c>
      <c r="D61" s="19">
        <v>781480</v>
      </c>
      <c r="E61" s="19">
        <v>231320</v>
      </c>
      <c r="F61" s="19">
        <v>0</v>
      </c>
      <c r="G61">
        <f t="shared" si="0"/>
        <v>1257012.5</v>
      </c>
    </row>
    <row r="62" spans="1:7" x14ac:dyDescent="0.25">
      <c r="A62" s="17" t="s">
        <v>139</v>
      </c>
      <c r="B62" s="19">
        <v>48842.5</v>
      </c>
      <c r="C62" s="19">
        <v>195370</v>
      </c>
      <c r="D62" s="19">
        <v>293055</v>
      </c>
      <c r="E62" s="19">
        <v>0</v>
      </c>
      <c r="F62" s="19">
        <v>0</v>
      </c>
      <c r="G62">
        <f t="shared" si="0"/>
        <v>537267.5</v>
      </c>
    </row>
    <row r="63" spans="1:7" x14ac:dyDescent="0.25">
      <c r="A63" s="17" t="s">
        <v>140</v>
      </c>
      <c r="B63" s="19">
        <v>0</v>
      </c>
      <c r="C63" s="19">
        <v>97685</v>
      </c>
      <c r="D63" s="19">
        <v>195370</v>
      </c>
      <c r="E63" s="19">
        <v>0</v>
      </c>
      <c r="F63" s="19">
        <v>0</v>
      </c>
      <c r="G63">
        <f t="shared" si="0"/>
        <v>293055</v>
      </c>
    </row>
    <row r="64" spans="1:7" x14ac:dyDescent="0.25">
      <c r="A64" s="17" t="s">
        <v>141</v>
      </c>
      <c r="B64" s="19">
        <v>97685</v>
      </c>
      <c r="C64" s="19">
        <v>97685</v>
      </c>
      <c r="D64" s="19">
        <v>390740</v>
      </c>
      <c r="E64" s="19">
        <v>28915</v>
      </c>
      <c r="F64" s="19">
        <v>45222</v>
      </c>
      <c r="G64">
        <f t="shared" si="0"/>
        <v>660247</v>
      </c>
    </row>
    <row r="65" spans="1:7" x14ac:dyDescent="0.25">
      <c r="A65" s="17" t="s">
        <v>142</v>
      </c>
      <c r="B65" s="19">
        <v>48842.5</v>
      </c>
      <c r="C65" s="19">
        <v>48842.5</v>
      </c>
      <c r="D65" s="19">
        <v>195370</v>
      </c>
      <c r="E65" s="19">
        <v>0</v>
      </c>
      <c r="F65" s="19">
        <v>0</v>
      </c>
      <c r="G65">
        <f t="shared" si="0"/>
        <v>293055</v>
      </c>
    </row>
    <row r="66" spans="1:7" x14ac:dyDescent="0.25">
      <c r="A66" s="17" t="s">
        <v>143</v>
      </c>
      <c r="B66" s="19">
        <v>48842.5</v>
      </c>
      <c r="C66" s="19">
        <v>195370</v>
      </c>
      <c r="D66" s="19">
        <v>488425</v>
      </c>
      <c r="E66" s="19">
        <v>57830</v>
      </c>
      <c r="F66" s="19">
        <v>90444</v>
      </c>
      <c r="G66">
        <f t="shared" si="0"/>
        <v>880911.5</v>
      </c>
    </row>
    <row r="67" spans="1:7" x14ac:dyDescent="0.25">
      <c r="A67" s="17" t="s">
        <v>144</v>
      </c>
      <c r="B67" s="19">
        <v>48842.5</v>
      </c>
      <c r="C67" s="19">
        <v>97685</v>
      </c>
      <c r="D67" s="19">
        <v>293055</v>
      </c>
      <c r="E67" s="19">
        <v>0</v>
      </c>
      <c r="F67" s="19">
        <v>0</v>
      </c>
      <c r="G67">
        <f t="shared" si="0"/>
        <v>439582.5</v>
      </c>
    </row>
    <row r="68" spans="1:7" x14ac:dyDescent="0.25">
      <c r="A68" s="17" t="s">
        <v>145</v>
      </c>
      <c r="B68" s="19">
        <v>97685</v>
      </c>
      <c r="C68" s="19">
        <v>146527.5</v>
      </c>
      <c r="D68" s="19">
        <v>488425</v>
      </c>
      <c r="E68" s="19">
        <v>86745</v>
      </c>
      <c r="F68" s="19">
        <v>90444</v>
      </c>
      <c r="G68">
        <f t="shared" si="0"/>
        <v>909826.5</v>
      </c>
    </row>
    <row r="69" spans="1:7" x14ac:dyDescent="0.25">
      <c r="A69" s="17" t="s">
        <v>146</v>
      </c>
      <c r="B69" s="19">
        <v>48842.5</v>
      </c>
      <c r="C69" s="19">
        <v>195370</v>
      </c>
      <c r="D69" s="19">
        <v>97685</v>
      </c>
      <c r="E69" s="19">
        <v>0</v>
      </c>
      <c r="F69" s="19">
        <v>0</v>
      </c>
      <c r="G69">
        <f t="shared" ref="G69:G120" si="1">SUM(B69:F69)</f>
        <v>341897.5</v>
      </c>
    </row>
    <row r="70" spans="1:7" x14ac:dyDescent="0.25">
      <c r="A70" s="17" t="s">
        <v>147</v>
      </c>
      <c r="B70" s="19">
        <v>97685</v>
      </c>
      <c r="C70" s="19">
        <v>195370</v>
      </c>
      <c r="D70" s="19">
        <v>586110</v>
      </c>
      <c r="E70" s="19">
        <v>86745</v>
      </c>
      <c r="F70" s="19">
        <v>0</v>
      </c>
      <c r="G70">
        <f t="shared" si="1"/>
        <v>965910</v>
      </c>
    </row>
    <row r="71" spans="1:7" x14ac:dyDescent="0.25">
      <c r="A71" s="17" t="s">
        <v>148</v>
      </c>
      <c r="B71" s="19">
        <v>97685</v>
      </c>
      <c r="C71" s="19">
        <v>97685</v>
      </c>
      <c r="D71" s="19">
        <v>390740</v>
      </c>
      <c r="E71" s="19">
        <v>28915</v>
      </c>
      <c r="F71" s="19">
        <v>0</v>
      </c>
      <c r="G71">
        <f t="shared" si="1"/>
        <v>615025</v>
      </c>
    </row>
    <row r="72" spans="1:7" x14ac:dyDescent="0.25">
      <c r="A72" s="17" t="s">
        <v>149</v>
      </c>
      <c r="B72" s="19">
        <v>48842.5</v>
      </c>
      <c r="C72" s="19">
        <v>97685</v>
      </c>
      <c r="D72" s="19">
        <v>390740</v>
      </c>
      <c r="E72" s="19">
        <v>28915</v>
      </c>
      <c r="F72" s="19">
        <v>0</v>
      </c>
      <c r="G72">
        <f t="shared" si="1"/>
        <v>566182.5</v>
      </c>
    </row>
    <row r="73" spans="1:7" x14ac:dyDescent="0.25">
      <c r="A73" s="17" t="s">
        <v>150</v>
      </c>
      <c r="B73" s="19">
        <v>97685</v>
      </c>
      <c r="C73" s="19">
        <v>97685</v>
      </c>
      <c r="D73" s="19">
        <v>293055</v>
      </c>
      <c r="E73" s="19">
        <v>0</v>
      </c>
      <c r="F73" s="19">
        <v>0</v>
      </c>
      <c r="G73">
        <f t="shared" si="1"/>
        <v>488425</v>
      </c>
    </row>
    <row r="74" spans="1:7" x14ac:dyDescent="0.25">
      <c r="A74" s="17" t="s">
        <v>151</v>
      </c>
      <c r="B74" s="19">
        <v>48842.5</v>
      </c>
      <c r="C74" s="19">
        <v>97685</v>
      </c>
      <c r="D74" s="19">
        <v>683795</v>
      </c>
      <c r="E74" s="19">
        <v>115660</v>
      </c>
      <c r="F74" s="19">
        <v>0</v>
      </c>
      <c r="G74">
        <f t="shared" si="1"/>
        <v>945982.5</v>
      </c>
    </row>
    <row r="75" spans="1:7" x14ac:dyDescent="0.25">
      <c r="A75" s="17" t="s">
        <v>152</v>
      </c>
      <c r="B75" s="19">
        <v>97685</v>
      </c>
      <c r="C75" s="19">
        <v>97685</v>
      </c>
      <c r="D75" s="19">
        <v>390740</v>
      </c>
      <c r="E75" s="19">
        <v>0</v>
      </c>
      <c r="F75" s="19">
        <v>0</v>
      </c>
      <c r="G75">
        <f t="shared" si="1"/>
        <v>586110</v>
      </c>
    </row>
    <row r="76" spans="1:7" x14ac:dyDescent="0.25">
      <c r="A76" s="17" t="s">
        <v>153</v>
      </c>
      <c r="B76" s="19">
        <v>146527.5</v>
      </c>
      <c r="C76" s="19">
        <v>195370</v>
      </c>
      <c r="D76" s="19">
        <v>683795</v>
      </c>
      <c r="E76" s="19">
        <v>28915</v>
      </c>
      <c r="F76" s="19">
        <v>0</v>
      </c>
      <c r="G76">
        <f t="shared" si="1"/>
        <v>1054607.5</v>
      </c>
    </row>
    <row r="77" spans="1:7" x14ac:dyDescent="0.25">
      <c r="A77" s="17" t="s">
        <v>154</v>
      </c>
      <c r="B77" s="19">
        <v>97685</v>
      </c>
      <c r="C77" s="19">
        <v>146527.5</v>
      </c>
      <c r="D77" s="19">
        <v>879165</v>
      </c>
      <c r="E77" s="19">
        <v>231320</v>
      </c>
      <c r="F77" s="19">
        <v>0</v>
      </c>
      <c r="G77">
        <f t="shared" si="1"/>
        <v>1354697.5</v>
      </c>
    </row>
    <row r="78" spans="1:7" x14ac:dyDescent="0.25">
      <c r="A78" s="17" t="s">
        <v>155</v>
      </c>
      <c r="B78" s="19">
        <v>97685</v>
      </c>
      <c r="C78" s="19">
        <v>146527.5</v>
      </c>
      <c r="D78" s="19">
        <v>781480</v>
      </c>
      <c r="E78" s="19">
        <v>144575</v>
      </c>
      <c r="F78" s="19">
        <v>90444</v>
      </c>
      <c r="G78">
        <f t="shared" si="1"/>
        <v>1260711.5</v>
      </c>
    </row>
    <row r="79" spans="1:7" x14ac:dyDescent="0.25">
      <c r="A79" s="17" t="s">
        <v>156</v>
      </c>
      <c r="B79" s="19">
        <v>48842.5</v>
      </c>
      <c r="C79" s="19">
        <v>48842.5</v>
      </c>
      <c r="D79" s="19">
        <v>97685</v>
      </c>
      <c r="E79" s="19">
        <v>0</v>
      </c>
      <c r="F79" s="19">
        <v>0</v>
      </c>
      <c r="G79">
        <f t="shared" si="1"/>
        <v>195370</v>
      </c>
    </row>
    <row r="80" spans="1:7" x14ac:dyDescent="0.25">
      <c r="A80" s="17" t="s">
        <v>157</v>
      </c>
      <c r="B80" s="19">
        <v>48842.5</v>
      </c>
      <c r="C80" s="19">
        <v>146527.5</v>
      </c>
      <c r="D80" s="19">
        <v>293055</v>
      </c>
      <c r="E80" s="19">
        <v>0</v>
      </c>
      <c r="F80" s="19">
        <v>0</v>
      </c>
      <c r="G80">
        <f t="shared" si="1"/>
        <v>488425</v>
      </c>
    </row>
    <row r="81" spans="1:7" x14ac:dyDescent="0.25">
      <c r="A81" s="17" t="s">
        <v>158</v>
      </c>
      <c r="B81" s="19">
        <v>97685</v>
      </c>
      <c r="C81" s="19">
        <v>97685</v>
      </c>
      <c r="D81" s="19">
        <v>586110</v>
      </c>
      <c r="E81" s="19">
        <v>173490</v>
      </c>
      <c r="F81" s="19">
        <v>0</v>
      </c>
      <c r="G81">
        <f t="shared" si="1"/>
        <v>954970</v>
      </c>
    </row>
    <row r="82" spans="1:7" x14ac:dyDescent="0.25">
      <c r="A82" s="17" t="s">
        <v>159</v>
      </c>
      <c r="B82" s="19">
        <v>48842.5</v>
      </c>
      <c r="C82" s="19">
        <v>97685</v>
      </c>
      <c r="D82" s="19">
        <v>488425</v>
      </c>
      <c r="E82" s="19">
        <v>0</v>
      </c>
      <c r="F82" s="19">
        <v>0</v>
      </c>
      <c r="G82">
        <f t="shared" si="1"/>
        <v>634952.5</v>
      </c>
    </row>
    <row r="83" spans="1:7" x14ac:dyDescent="0.25">
      <c r="A83" s="17" t="s">
        <v>160</v>
      </c>
      <c r="B83" s="19">
        <v>48842.5</v>
      </c>
      <c r="C83" s="19">
        <v>48842.5</v>
      </c>
      <c r="D83" s="19">
        <v>390740</v>
      </c>
      <c r="E83" s="19">
        <v>0</v>
      </c>
      <c r="F83" s="19">
        <v>0</v>
      </c>
      <c r="G83">
        <f t="shared" si="1"/>
        <v>488425</v>
      </c>
    </row>
    <row r="84" spans="1:7" x14ac:dyDescent="0.25">
      <c r="A84" s="17" t="s">
        <v>161</v>
      </c>
      <c r="B84" s="19">
        <v>97685</v>
      </c>
      <c r="C84" s="19">
        <v>97685</v>
      </c>
      <c r="D84" s="19">
        <v>586110</v>
      </c>
      <c r="E84" s="19">
        <v>0</v>
      </c>
      <c r="F84" s="19">
        <v>0</v>
      </c>
      <c r="G84">
        <f t="shared" si="1"/>
        <v>781480</v>
      </c>
    </row>
    <row r="85" spans="1:7" x14ac:dyDescent="0.25">
      <c r="A85" s="17" t="s">
        <v>162</v>
      </c>
      <c r="B85" s="19">
        <v>97685</v>
      </c>
      <c r="C85" s="19">
        <v>97685</v>
      </c>
      <c r="D85" s="19">
        <v>2051385</v>
      </c>
      <c r="E85" s="19">
        <v>636130</v>
      </c>
      <c r="F85" s="19">
        <v>45222</v>
      </c>
      <c r="G85">
        <f t="shared" si="1"/>
        <v>2928107</v>
      </c>
    </row>
    <row r="86" spans="1:7" x14ac:dyDescent="0.25">
      <c r="A86" s="17" t="s">
        <v>163</v>
      </c>
      <c r="B86" s="19">
        <v>97685</v>
      </c>
      <c r="C86" s="19">
        <v>97685</v>
      </c>
      <c r="D86" s="19">
        <v>390740</v>
      </c>
      <c r="E86" s="19">
        <v>0</v>
      </c>
      <c r="F86" s="19">
        <v>0</v>
      </c>
      <c r="G86">
        <f t="shared" si="1"/>
        <v>586110</v>
      </c>
    </row>
    <row r="87" spans="1:7" x14ac:dyDescent="0.25">
      <c r="A87" s="17" t="s">
        <v>165</v>
      </c>
      <c r="B87" s="19">
        <v>97685</v>
      </c>
      <c r="C87" s="19">
        <v>390740</v>
      </c>
      <c r="D87" s="19">
        <v>1367590</v>
      </c>
      <c r="E87" s="19">
        <v>231320</v>
      </c>
      <c r="F87" s="19">
        <v>90444</v>
      </c>
      <c r="G87">
        <f t="shared" si="1"/>
        <v>2177779</v>
      </c>
    </row>
    <row r="88" spans="1:7" x14ac:dyDescent="0.25">
      <c r="A88" s="17" t="s">
        <v>167</v>
      </c>
      <c r="B88" s="19">
        <v>48842.5</v>
      </c>
      <c r="C88" s="19">
        <v>97685</v>
      </c>
      <c r="D88" s="19">
        <v>390740</v>
      </c>
      <c r="E88" s="19">
        <v>0</v>
      </c>
      <c r="F88" s="19">
        <v>0</v>
      </c>
      <c r="G88">
        <f t="shared" si="1"/>
        <v>537267.5</v>
      </c>
    </row>
    <row r="89" spans="1:7" x14ac:dyDescent="0.25">
      <c r="A89" s="17" t="s">
        <v>168</v>
      </c>
      <c r="B89" s="19">
        <v>48842.5</v>
      </c>
      <c r="C89" s="19">
        <v>0</v>
      </c>
      <c r="D89" s="19">
        <v>97685</v>
      </c>
      <c r="E89" s="19">
        <v>0</v>
      </c>
      <c r="F89" s="19">
        <v>0</v>
      </c>
      <c r="G89">
        <f t="shared" si="1"/>
        <v>146527.5</v>
      </c>
    </row>
    <row r="90" spans="1:7" x14ac:dyDescent="0.25">
      <c r="A90" s="17" t="s">
        <v>169</v>
      </c>
      <c r="B90" s="19">
        <v>97685</v>
      </c>
      <c r="C90" s="19">
        <v>195370</v>
      </c>
      <c r="D90" s="19">
        <v>293055</v>
      </c>
      <c r="E90" s="19">
        <v>0</v>
      </c>
      <c r="F90" s="19">
        <v>0</v>
      </c>
      <c r="G90">
        <f t="shared" si="1"/>
        <v>586110</v>
      </c>
    </row>
    <row r="91" spans="1:7" x14ac:dyDescent="0.25">
      <c r="A91" s="17" t="s">
        <v>77</v>
      </c>
      <c r="B91" s="19">
        <v>0</v>
      </c>
      <c r="C91" s="19">
        <v>0</v>
      </c>
      <c r="D91" s="19">
        <v>0</v>
      </c>
      <c r="E91" s="19">
        <v>0</v>
      </c>
      <c r="F91" s="19">
        <v>0</v>
      </c>
      <c r="G91">
        <f t="shared" si="1"/>
        <v>0</v>
      </c>
    </row>
    <row r="92" spans="1:7" x14ac:dyDescent="0.25">
      <c r="A92" s="17" t="s">
        <v>170</v>
      </c>
      <c r="B92" s="19">
        <v>48842.5</v>
      </c>
      <c r="C92" s="19">
        <v>97685</v>
      </c>
      <c r="D92" s="19">
        <v>683795</v>
      </c>
      <c r="E92" s="19">
        <v>144575</v>
      </c>
      <c r="F92" s="19">
        <v>0</v>
      </c>
      <c r="G92">
        <f t="shared" si="1"/>
        <v>974897.5</v>
      </c>
    </row>
    <row r="93" spans="1:7" x14ac:dyDescent="0.25">
      <c r="A93" s="17" t="s">
        <v>171</v>
      </c>
      <c r="B93" s="19">
        <v>48842.5</v>
      </c>
      <c r="C93" s="19">
        <v>146527.5</v>
      </c>
      <c r="D93" s="19">
        <v>48842.5</v>
      </c>
      <c r="E93" s="19">
        <v>0</v>
      </c>
      <c r="F93" s="19">
        <v>0</v>
      </c>
      <c r="G93">
        <f t="shared" si="1"/>
        <v>244212.5</v>
      </c>
    </row>
    <row r="94" spans="1:7" x14ac:dyDescent="0.25">
      <c r="A94" s="17" t="s">
        <v>172</v>
      </c>
      <c r="B94" s="19">
        <v>48842.5</v>
      </c>
      <c r="C94" s="19">
        <v>146527.5</v>
      </c>
      <c r="D94" s="19">
        <v>781480</v>
      </c>
      <c r="E94" s="19">
        <v>173490</v>
      </c>
      <c r="F94" s="19">
        <v>0</v>
      </c>
      <c r="G94">
        <f t="shared" si="1"/>
        <v>1150340</v>
      </c>
    </row>
    <row r="95" spans="1:7" x14ac:dyDescent="0.25">
      <c r="A95" s="17" t="s">
        <v>173</v>
      </c>
      <c r="B95" s="19">
        <v>48842.5</v>
      </c>
      <c r="C95" s="19">
        <v>48842.5</v>
      </c>
      <c r="D95" s="19">
        <v>683795</v>
      </c>
      <c r="E95" s="19">
        <v>202405</v>
      </c>
      <c r="F95" s="19">
        <v>0</v>
      </c>
      <c r="G95">
        <f t="shared" si="1"/>
        <v>983885</v>
      </c>
    </row>
    <row r="96" spans="1:7" x14ac:dyDescent="0.25">
      <c r="A96" s="17" t="s">
        <v>174</v>
      </c>
      <c r="B96" s="19">
        <v>97685</v>
      </c>
      <c r="C96" s="19">
        <v>97685</v>
      </c>
      <c r="D96" s="19">
        <v>195370</v>
      </c>
      <c r="E96" s="19">
        <v>0</v>
      </c>
      <c r="F96" s="19">
        <v>0</v>
      </c>
      <c r="G96">
        <f t="shared" si="1"/>
        <v>390740</v>
      </c>
    </row>
    <row r="97" spans="1:7" x14ac:dyDescent="0.25">
      <c r="A97" s="17" t="s">
        <v>175</v>
      </c>
      <c r="B97" s="19">
        <v>48842.5</v>
      </c>
      <c r="C97" s="19">
        <v>97685</v>
      </c>
      <c r="D97" s="19">
        <v>390740</v>
      </c>
      <c r="E97" s="19">
        <v>57830</v>
      </c>
      <c r="F97" s="19">
        <v>0</v>
      </c>
      <c r="G97">
        <f t="shared" si="1"/>
        <v>595097.5</v>
      </c>
    </row>
    <row r="98" spans="1:7" x14ac:dyDescent="0.25">
      <c r="A98" s="17" t="s">
        <v>176</v>
      </c>
      <c r="B98" s="19">
        <v>97685</v>
      </c>
      <c r="C98" s="19">
        <v>97685</v>
      </c>
      <c r="D98" s="19">
        <v>488425</v>
      </c>
      <c r="E98" s="19">
        <v>57830</v>
      </c>
      <c r="F98" s="19">
        <v>0</v>
      </c>
      <c r="G98">
        <f t="shared" si="1"/>
        <v>741625</v>
      </c>
    </row>
    <row r="99" spans="1:7" x14ac:dyDescent="0.25">
      <c r="A99" s="17" t="s">
        <v>177</v>
      </c>
      <c r="B99" s="19">
        <v>97685</v>
      </c>
      <c r="C99" s="19">
        <v>195370</v>
      </c>
      <c r="D99" s="19">
        <v>586110</v>
      </c>
      <c r="E99" s="19">
        <v>86745</v>
      </c>
      <c r="F99" s="19">
        <v>0</v>
      </c>
      <c r="G99">
        <f t="shared" si="1"/>
        <v>965910</v>
      </c>
    </row>
    <row r="100" spans="1:7" x14ac:dyDescent="0.25">
      <c r="A100" s="17" t="s">
        <v>178</v>
      </c>
      <c r="B100" s="19">
        <v>97685</v>
      </c>
      <c r="C100" s="19">
        <v>97685</v>
      </c>
      <c r="D100" s="19">
        <v>488425</v>
      </c>
      <c r="E100" s="19">
        <v>0</v>
      </c>
      <c r="F100" s="19">
        <v>0</v>
      </c>
      <c r="G100">
        <f t="shared" si="1"/>
        <v>683795</v>
      </c>
    </row>
    <row r="101" spans="1:7" x14ac:dyDescent="0.25">
      <c r="A101" s="17" t="s">
        <v>179</v>
      </c>
      <c r="B101" s="19">
        <v>48842.5</v>
      </c>
      <c r="C101" s="19">
        <v>97685</v>
      </c>
      <c r="D101" s="19">
        <v>195370</v>
      </c>
      <c r="E101" s="19">
        <v>0</v>
      </c>
      <c r="F101" s="19">
        <v>0</v>
      </c>
      <c r="G101">
        <f t="shared" si="1"/>
        <v>341897.5</v>
      </c>
    </row>
    <row r="102" spans="1:7" x14ac:dyDescent="0.25">
      <c r="A102" s="17" t="s">
        <v>180</v>
      </c>
      <c r="B102" s="19">
        <v>48842.5</v>
      </c>
      <c r="C102" s="19">
        <v>97685</v>
      </c>
      <c r="D102" s="19">
        <v>586110</v>
      </c>
      <c r="E102" s="19">
        <v>28915</v>
      </c>
      <c r="F102" s="19">
        <v>0</v>
      </c>
      <c r="G102">
        <f t="shared" si="1"/>
        <v>761552.5</v>
      </c>
    </row>
    <row r="103" spans="1:7" x14ac:dyDescent="0.25">
      <c r="A103" s="17" t="s">
        <v>181</v>
      </c>
      <c r="B103" s="19">
        <v>97685</v>
      </c>
      <c r="C103" s="19">
        <v>195370</v>
      </c>
      <c r="D103" s="19">
        <v>781480</v>
      </c>
      <c r="E103" s="19">
        <v>231320</v>
      </c>
      <c r="F103" s="19">
        <v>0</v>
      </c>
      <c r="G103">
        <f t="shared" si="1"/>
        <v>1305855</v>
      </c>
    </row>
    <row r="104" spans="1:7" x14ac:dyDescent="0.25">
      <c r="A104" s="17" t="s">
        <v>182</v>
      </c>
      <c r="B104" s="19">
        <v>97685</v>
      </c>
      <c r="C104" s="19">
        <v>97685</v>
      </c>
      <c r="D104" s="19">
        <v>781480</v>
      </c>
      <c r="E104" s="19">
        <v>115660</v>
      </c>
      <c r="F104" s="19">
        <v>0</v>
      </c>
      <c r="G104">
        <f t="shared" si="1"/>
        <v>1092510</v>
      </c>
    </row>
    <row r="105" spans="1:7" x14ac:dyDescent="0.25">
      <c r="A105" s="17" t="s">
        <v>183</v>
      </c>
      <c r="B105" s="19">
        <v>48842.5</v>
      </c>
      <c r="C105" s="19">
        <v>48842.5</v>
      </c>
      <c r="D105" s="19">
        <v>293055</v>
      </c>
      <c r="E105" s="19">
        <v>0</v>
      </c>
      <c r="F105" s="19">
        <v>0</v>
      </c>
      <c r="G105">
        <f t="shared" si="1"/>
        <v>390740</v>
      </c>
    </row>
    <row r="106" spans="1:7" x14ac:dyDescent="0.25">
      <c r="A106" s="17" t="s">
        <v>184</v>
      </c>
      <c r="B106" s="19">
        <v>97685</v>
      </c>
      <c r="C106" s="19">
        <v>195370</v>
      </c>
      <c r="D106" s="19">
        <v>683795</v>
      </c>
      <c r="E106" s="19">
        <v>0</v>
      </c>
      <c r="F106" s="19">
        <v>0</v>
      </c>
      <c r="G106">
        <f t="shared" si="1"/>
        <v>976850</v>
      </c>
    </row>
    <row r="107" spans="1:7" x14ac:dyDescent="0.25">
      <c r="A107" s="17" t="s">
        <v>185</v>
      </c>
      <c r="B107" s="19">
        <v>97685</v>
      </c>
      <c r="C107" s="19">
        <v>195370</v>
      </c>
      <c r="D107" s="19">
        <v>781480</v>
      </c>
      <c r="E107" s="19">
        <v>86745</v>
      </c>
      <c r="F107" s="19">
        <v>0</v>
      </c>
      <c r="G107">
        <f t="shared" si="1"/>
        <v>1161280</v>
      </c>
    </row>
    <row r="108" spans="1:7" x14ac:dyDescent="0.25">
      <c r="A108" s="17" t="s">
        <v>186</v>
      </c>
      <c r="B108" s="19">
        <v>97685</v>
      </c>
      <c r="C108" s="19">
        <v>146527.5</v>
      </c>
      <c r="D108" s="19">
        <v>586110</v>
      </c>
      <c r="E108" s="19">
        <v>57830</v>
      </c>
      <c r="F108" s="19">
        <v>0</v>
      </c>
      <c r="G108">
        <f t="shared" si="1"/>
        <v>888152.5</v>
      </c>
    </row>
    <row r="109" spans="1:7" x14ac:dyDescent="0.25">
      <c r="A109" s="17" t="s">
        <v>187</v>
      </c>
      <c r="B109" s="19">
        <v>97685</v>
      </c>
      <c r="C109" s="19">
        <v>97685</v>
      </c>
      <c r="D109" s="19">
        <v>879165</v>
      </c>
      <c r="E109" s="19">
        <v>260235</v>
      </c>
      <c r="F109" s="19">
        <v>0</v>
      </c>
      <c r="G109">
        <f t="shared" si="1"/>
        <v>1334770</v>
      </c>
    </row>
    <row r="110" spans="1:7" x14ac:dyDescent="0.25">
      <c r="A110" s="17" t="s">
        <v>188</v>
      </c>
      <c r="B110" s="19">
        <v>97685</v>
      </c>
      <c r="C110" s="19">
        <v>97685</v>
      </c>
      <c r="D110" s="19">
        <v>195370</v>
      </c>
      <c r="E110" s="19">
        <v>0</v>
      </c>
      <c r="F110" s="19">
        <v>45222</v>
      </c>
      <c r="G110">
        <f t="shared" si="1"/>
        <v>435962</v>
      </c>
    </row>
    <row r="111" spans="1:7" x14ac:dyDescent="0.25">
      <c r="A111" s="17" t="s">
        <v>189</v>
      </c>
      <c r="B111" s="19">
        <v>97685</v>
      </c>
      <c r="C111" s="19">
        <v>195370</v>
      </c>
      <c r="D111" s="19">
        <v>1074535</v>
      </c>
      <c r="E111" s="19">
        <v>173490</v>
      </c>
      <c r="F111" s="19">
        <v>0</v>
      </c>
      <c r="G111">
        <f t="shared" si="1"/>
        <v>1541080</v>
      </c>
    </row>
    <row r="112" spans="1:7" x14ac:dyDescent="0.25">
      <c r="A112" s="17" t="s">
        <v>190</v>
      </c>
      <c r="B112" s="19">
        <v>48842.5</v>
      </c>
      <c r="C112" s="19">
        <v>195370</v>
      </c>
      <c r="D112" s="19">
        <v>586110</v>
      </c>
      <c r="E112" s="19">
        <v>57830</v>
      </c>
      <c r="F112" s="19">
        <v>45222</v>
      </c>
      <c r="G112">
        <f t="shared" si="1"/>
        <v>933374.5</v>
      </c>
    </row>
    <row r="113" spans="1:7" x14ac:dyDescent="0.25">
      <c r="A113" s="17" t="s">
        <v>192</v>
      </c>
      <c r="B113" s="19">
        <v>48842.5</v>
      </c>
      <c r="C113" s="19">
        <v>195370</v>
      </c>
      <c r="D113" s="19">
        <v>293055</v>
      </c>
      <c r="E113" s="19">
        <v>0</v>
      </c>
      <c r="F113" s="19">
        <v>0</v>
      </c>
      <c r="G113">
        <f t="shared" si="1"/>
        <v>537267.5</v>
      </c>
    </row>
    <row r="114" spans="1:7" x14ac:dyDescent="0.25">
      <c r="A114" s="17" t="s">
        <v>193</v>
      </c>
      <c r="B114" s="19">
        <v>48842.5</v>
      </c>
      <c r="C114" s="19">
        <v>97685</v>
      </c>
      <c r="D114" s="19">
        <v>390740</v>
      </c>
      <c r="E114" s="19">
        <v>0</v>
      </c>
      <c r="F114" s="19">
        <v>0</v>
      </c>
      <c r="G114">
        <f t="shared" si="1"/>
        <v>537267.5</v>
      </c>
    </row>
    <row r="115" spans="1:7" x14ac:dyDescent="0.25">
      <c r="A115" s="17" t="s">
        <v>194</v>
      </c>
      <c r="B115" s="19">
        <v>97685</v>
      </c>
      <c r="C115" s="19">
        <v>195370</v>
      </c>
      <c r="D115" s="19">
        <v>488425</v>
      </c>
      <c r="E115" s="19">
        <v>0</v>
      </c>
      <c r="F115" s="19">
        <v>0</v>
      </c>
      <c r="G115">
        <f t="shared" si="1"/>
        <v>781480</v>
      </c>
    </row>
    <row r="116" spans="1:7" x14ac:dyDescent="0.25">
      <c r="A116" s="17" t="s">
        <v>195</v>
      </c>
      <c r="B116" s="19">
        <v>48842.5</v>
      </c>
      <c r="C116" s="19">
        <v>97685</v>
      </c>
      <c r="D116" s="19">
        <v>976850</v>
      </c>
      <c r="E116" s="19">
        <v>260235</v>
      </c>
      <c r="F116" s="19">
        <v>0</v>
      </c>
      <c r="G116">
        <f t="shared" si="1"/>
        <v>1383612.5</v>
      </c>
    </row>
    <row r="117" spans="1:7" x14ac:dyDescent="0.25">
      <c r="A117" s="17" t="s">
        <v>196</v>
      </c>
      <c r="B117" s="19">
        <v>195370</v>
      </c>
      <c r="C117" s="19">
        <v>488425</v>
      </c>
      <c r="D117" s="19">
        <v>1660645</v>
      </c>
      <c r="E117" s="19">
        <v>115660</v>
      </c>
      <c r="F117" s="19">
        <v>0</v>
      </c>
      <c r="G117">
        <f t="shared" si="1"/>
        <v>2460100</v>
      </c>
    </row>
    <row r="118" spans="1:7" x14ac:dyDescent="0.25">
      <c r="A118" s="17" t="s">
        <v>197</v>
      </c>
      <c r="B118" s="19">
        <v>97685</v>
      </c>
      <c r="C118" s="19">
        <v>390740</v>
      </c>
      <c r="D118" s="19">
        <v>1562960</v>
      </c>
      <c r="E118" s="19">
        <v>144575</v>
      </c>
      <c r="F118" s="19">
        <v>90444</v>
      </c>
      <c r="G118">
        <f t="shared" si="1"/>
        <v>2286404</v>
      </c>
    </row>
    <row r="119" spans="1:7" x14ac:dyDescent="0.25">
      <c r="A119" s="17" t="s">
        <v>198</v>
      </c>
      <c r="B119" s="19">
        <v>48842.5</v>
      </c>
      <c r="C119" s="19">
        <v>195370</v>
      </c>
      <c r="D119" s="19">
        <v>390740</v>
      </c>
      <c r="E119" s="19">
        <v>0</v>
      </c>
      <c r="F119" s="19">
        <v>0</v>
      </c>
      <c r="G119">
        <f t="shared" si="1"/>
        <v>634952.5</v>
      </c>
    </row>
    <row r="120" spans="1:7" x14ac:dyDescent="0.25">
      <c r="A120" s="17" t="s">
        <v>246</v>
      </c>
      <c r="B120" s="19">
        <v>9035862.5</v>
      </c>
      <c r="C120" s="19">
        <v>18560150</v>
      </c>
      <c r="D120" s="19">
        <v>71603105</v>
      </c>
      <c r="E120" s="19">
        <v>9715440</v>
      </c>
      <c r="F120" s="19">
        <v>1989768</v>
      </c>
      <c r="G120">
        <f t="shared" si="1"/>
        <v>110904325.5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0"/>
  <sheetViews>
    <sheetView workbookViewId="0">
      <selection activeCell="CA22" sqref="CA22"/>
    </sheetView>
  </sheetViews>
  <sheetFormatPr defaultRowHeight="15" x14ac:dyDescent="0.25"/>
  <cols>
    <col min="1" max="1" width="40.28515625" customWidth="1"/>
    <col min="2" max="2" width="30.42578125" customWidth="1"/>
    <col min="3" max="4" width="31.42578125" customWidth="1"/>
  </cols>
  <sheetData>
    <row r="3" spans="1:5" x14ac:dyDescent="0.25">
      <c r="A3" s="16" t="s">
        <v>245</v>
      </c>
      <c r="B3" t="s">
        <v>298</v>
      </c>
      <c r="C3" t="s">
        <v>299</v>
      </c>
      <c r="D3" t="s">
        <v>300</v>
      </c>
      <c r="E3" t="s">
        <v>235</v>
      </c>
    </row>
    <row r="4" spans="1:5" x14ac:dyDescent="0.25">
      <c r="A4" s="17" t="s">
        <v>79</v>
      </c>
      <c r="B4" s="19">
        <v>0</v>
      </c>
      <c r="C4" s="19">
        <v>0</v>
      </c>
      <c r="D4" s="19">
        <v>0</v>
      </c>
      <c r="E4">
        <f>SUM(B4:D4)</f>
        <v>0</v>
      </c>
    </row>
    <row r="5" spans="1:5" x14ac:dyDescent="0.25">
      <c r="A5" s="17" t="s">
        <v>80</v>
      </c>
      <c r="B5" s="19">
        <v>17760.909090909092</v>
      </c>
      <c r="C5" s="19">
        <v>0</v>
      </c>
      <c r="D5" s="19">
        <v>0</v>
      </c>
      <c r="E5">
        <f t="shared" ref="E5:E68" si="0">SUM(B5:D5)</f>
        <v>17760.909090909092</v>
      </c>
    </row>
    <row r="6" spans="1:5" x14ac:dyDescent="0.25">
      <c r="A6" s="17" t="s">
        <v>81</v>
      </c>
      <c r="B6" s="19">
        <v>4440.227272727273</v>
      </c>
      <c r="C6" s="19">
        <v>0</v>
      </c>
      <c r="D6" s="19">
        <v>0</v>
      </c>
      <c r="E6">
        <f t="shared" si="0"/>
        <v>4440.227272727273</v>
      </c>
    </row>
    <row r="7" spans="1:5" x14ac:dyDescent="0.25">
      <c r="A7" s="17" t="s">
        <v>82</v>
      </c>
      <c r="B7" s="19">
        <v>8880.454545454546</v>
      </c>
      <c r="C7" s="19">
        <v>0</v>
      </c>
      <c r="D7" s="19">
        <v>0</v>
      </c>
      <c r="E7">
        <f t="shared" si="0"/>
        <v>8880.454545454546</v>
      </c>
    </row>
    <row r="8" spans="1:5" x14ac:dyDescent="0.25">
      <c r="A8" s="17" t="s">
        <v>83</v>
      </c>
      <c r="B8" s="19">
        <v>0</v>
      </c>
      <c r="C8" s="19">
        <v>0</v>
      </c>
      <c r="D8" s="19">
        <v>0</v>
      </c>
      <c r="E8">
        <f t="shared" si="0"/>
        <v>0</v>
      </c>
    </row>
    <row r="9" spans="1:5" x14ac:dyDescent="0.25">
      <c r="A9" s="17" t="s">
        <v>84</v>
      </c>
      <c r="B9" s="19">
        <v>1074535</v>
      </c>
      <c r="C9" s="19">
        <v>0</v>
      </c>
      <c r="D9" s="19">
        <v>195370</v>
      </c>
      <c r="E9">
        <f t="shared" si="0"/>
        <v>1269905</v>
      </c>
    </row>
    <row r="10" spans="1:5" x14ac:dyDescent="0.25">
      <c r="A10" s="17" t="s">
        <v>85</v>
      </c>
      <c r="B10" s="19">
        <v>879165</v>
      </c>
      <c r="C10" s="19">
        <v>0</v>
      </c>
      <c r="D10" s="19">
        <v>97685</v>
      </c>
      <c r="E10">
        <f t="shared" si="0"/>
        <v>976850</v>
      </c>
    </row>
    <row r="11" spans="1:5" x14ac:dyDescent="0.25">
      <c r="A11" s="17" t="s">
        <v>86</v>
      </c>
      <c r="B11" s="19">
        <v>4440.227272727273</v>
      </c>
      <c r="C11" s="19">
        <v>0</v>
      </c>
      <c r="D11" s="19">
        <v>0</v>
      </c>
      <c r="E11">
        <f t="shared" si="0"/>
        <v>4440.227272727273</v>
      </c>
    </row>
    <row r="12" spans="1:5" x14ac:dyDescent="0.25">
      <c r="A12" s="17" t="s">
        <v>87</v>
      </c>
      <c r="B12" s="19">
        <v>17760.909090909092</v>
      </c>
      <c r="C12" s="19">
        <v>0</v>
      </c>
      <c r="D12" s="19">
        <v>0</v>
      </c>
      <c r="E12">
        <f t="shared" si="0"/>
        <v>17760.909090909092</v>
      </c>
    </row>
    <row r="13" spans="1:5" x14ac:dyDescent="0.25">
      <c r="A13" s="17" t="s">
        <v>88</v>
      </c>
      <c r="B13" s="19">
        <v>39962.045454545456</v>
      </c>
      <c r="C13" s="19">
        <v>0</v>
      </c>
      <c r="D13" s="19">
        <v>0</v>
      </c>
      <c r="E13">
        <f t="shared" si="0"/>
        <v>39962.045454545456</v>
      </c>
    </row>
    <row r="14" spans="1:5" x14ac:dyDescent="0.25">
      <c r="A14" s="17" t="s">
        <v>89</v>
      </c>
      <c r="B14" s="19">
        <v>1953700</v>
      </c>
      <c r="C14" s="19">
        <v>28915</v>
      </c>
      <c r="D14" s="19">
        <v>390740</v>
      </c>
      <c r="E14">
        <f t="shared" si="0"/>
        <v>2373355</v>
      </c>
    </row>
    <row r="15" spans="1:5" x14ac:dyDescent="0.25">
      <c r="A15" s="17" t="s">
        <v>90</v>
      </c>
      <c r="B15" s="19">
        <v>97685</v>
      </c>
      <c r="C15" s="19">
        <v>0</v>
      </c>
      <c r="D15" s="19">
        <v>0</v>
      </c>
      <c r="E15">
        <f t="shared" si="0"/>
        <v>97685</v>
      </c>
    </row>
    <row r="16" spans="1:5" x14ac:dyDescent="0.25">
      <c r="A16" s="17" t="s">
        <v>91</v>
      </c>
      <c r="B16" s="19">
        <v>97685</v>
      </c>
      <c r="C16" s="19">
        <v>0</v>
      </c>
      <c r="D16" s="19">
        <v>0</v>
      </c>
      <c r="E16">
        <f t="shared" si="0"/>
        <v>97685</v>
      </c>
    </row>
    <row r="17" spans="1:5" x14ac:dyDescent="0.25">
      <c r="A17" s="17" t="s">
        <v>92</v>
      </c>
      <c r="B17" s="19">
        <v>1074535</v>
      </c>
      <c r="C17" s="19">
        <v>0</v>
      </c>
      <c r="D17" s="19">
        <v>195370</v>
      </c>
      <c r="E17">
        <f t="shared" si="0"/>
        <v>1269905</v>
      </c>
    </row>
    <row r="18" spans="1:5" x14ac:dyDescent="0.25">
      <c r="A18" s="17" t="s">
        <v>93</v>
      </c>
      <c r="B18" s="19">
        <v>97685</v>
      </c>
      <c r="C18" s="19">
        <v>0</v>
      </c>
      <c r="D18" s="19">
        <v>0</v>
      </c>
      <c r="E18">
        <f t="shared" si="0"/>
        <v>97685</v>
      </c>
    </row>
    <row r="19" spans="1:5" x14ac:dyDescent="0.25">
      <c r="A19" s="17" t="s">
        <v>94</v>
      </c>
      <c r="B19" s="19">
        <v>97685</v>
      </c>
      <c r="C19" s="19">
        <v>0</v>
      </c>
      <c r="D19" s="19">
        <v>0</v>
      </c>
      <c r="E19">
        <f t="shared" si="0"/>
        <v>97685</v>
      </c>
    </row>
    <row r="20" spans="1:5" x14ac:dyDescent="0.25">
      <c r="A20" s="17" t="s">
        <v>95</v>
      </c>
      <c r="B20" s="19">
        <v>4440.227272727273</v>
      </c>
      <c r="C20" s="19">
        <v>0</v>
      </c>
      <c r="D20" s="19">
        <v>0</v>
      </c>
      <c r="E20">
        <f t="shared" si="0"/>
        <v>4440.227272727273</v>
      </c>
    </row>
    <row r="21" spans="1:5" x14ac:dyDescent="0.25">
      <c r="A21" s="17" t="s">
        <v>96</v>
      </c>
      <c r="B21" s="19">
        <v>0</v>
      </c>
      <c r="C21" s="19">
        <v>0</v>
      </c>
      <c r="D21" s="19">
        <v>0</v>
      </c>
      <c r="E21">
        <f t="shared" si="0"/>
        <v>0</v>
      </c>
    </row>
    <row r="22" spans="1:5" x14ac:dyDescent="0.25">
      <c r="A22" s="17" t="s">
        <v>97</v>
      </c>
      <c r="B22" s="19">
        <v>13320.681818181818</v>
      </c>
      <c r="C22" s="19">
        <v>0</v>
      </c>
      <c r="D22" s="19">
        <v>0</v>
      </c>
      <c r="E22">
        <f t="shared" si="0"/>
        <v>13320.681818181818</v>
      </c>
    </row>
    <row r="23" spans="1:5" x14ac:dyDescent="0.25">
      <c r="A23" s="17" t="s">
        <v>98</v>
      </c>
      <c r="B23" s="19">
        <v>1856015</v>
      </c>
      <c r="C23" s="19">
        <v>86745</v>
      </c>
      <c r="D23" s="19">
        <v>316947</v>
      </c>
      <c r="E23">
        <f t="shared" si="0"/>
        <v>2259707</v>
      </c>
    </row>
    <row r="24" spans="1:5" x14ac:dyDescent="0.25">
      <c r="A24" s="17" t="s">
        <v>99</v>
      </c>
      <c r="B24" s="19">
        <v>0</v>
      </c>
      <c r="C24" s="19">
        <v>0</v>
      </c>
      <c r="D24" s="19">
        <v>0</v>
      </c>
      <c r="E24">
        <f t="shared" si="0"/>
        <v>0</v>
      </c>
    </row>
    <row r="25" spans="1:5" x14ac:dyDescent="0.25">
      <c r="A25" s="17" t="s">
        <v>100</v>
      </c>
      <c r="B25" s="19">
        <v>195370</v>
      </c>
      <c r="C25" s="19">
        <v>0</v>
      </c>
      <c r="D25" s="19">
        <v>0</v>
      </c>
      <c r="E25">
        <f t="shared" si="0"/>
        <v>195370</v>
      </c>
    </row>
    <row r="26" spans="1:5" x14ac:dyDescent="0.25">
      <c r="A26" s="17" t="s">
        <v>101</v>
      </c>
      <c r="B26" s="19">
        <v>2149070</v>
      </c>
      <c r="C26" s="19">
        <v>57830</v>
      </c>
      <c r="D26" s="19">
        <v>410752</v>
      </c>
      <c r="E26">
        <f t="shared" si="0"/>
        <v>2617652</v>
      </c>
    </row>
    <row r="27" spans="1:5" x14ac:dyDescent="0.25">
      <c r="A27" s="17" t="s">
        <v>102</v>
      </c>
      <c r="B27" s="19">
        <v>390740</v>
      </c>
      <c r="C27" s="19">
        <v>0</v>
      </c>
      <c r="D27" s="19">
        <v>0</v>
      </c>
      <c r="E27">
        <f t="shared" si="0"/>
        <v>390740</v>
      </c>
    </row>
    <row r="28" spans="1:5" x14ac:dyDescent="0.25">
      <c r="A28" s="17" t="s">
        <v>103</v>
      </c>
      <c r="B28" s="19">
        <v>195370</v>
      </c>
      <c r="C28" s="19">
        <v>0</v>
      </c>
      <c r="D28" s="19">
        <v>0</v>
      </c>
      <c r="E28">
        <f t="shared" si="0"/>
        <v>195370</v>
      </c>
    </row>
    <row r="29" spans="1:5" x14ac:dyDescent="0.25">
      <c r="A29" s="17" t="s">
        <v>104</v>
      </c>
      <c r="B29" s="19">
        <v>683795</v>
      </c>
      <c r="C29" s="19">
        <v>0</v>
      </c>
      <c r="D29" s="19">
        <v>97685</v>
      </c>
      <c r="E29">
        <f t="shared" si="0"/>
        <v>781480</v>
      </c>
    </row>
    <row r="30" spans="1:5" x14ac:dyDescent="0.25">
      <c r="A30" s="17" t="s">
        <v>105</v>
      </c>
      <c r="B30" s="19">
        <v>4440.227272727273</v>
      </c>
      <c r="C30" s="19">
        <v>0</v>
      </c>
      <c r="D30" s="19">
        <v>0</v>
      </c>
      <c r="E30">
        <f t="shared" si="0"/>
        <v>4440.227272727273</v>
      </c>
    </row>
    <row r="31" spans="1:5" x14ac:dyDescent="0.25">
      <c r="A31" s="17" t="s">
        <v>106</v>
      </c>
      <c r="B31" s="19">
        <v>97685</v>
      </c>
      <c r="C31" s="19">
        <v>0</v>
      </c>
      <c r="D31" s="19">
        <v>0</v>
      </c>
      <c r="E31">
        <f t="shared" si="0"/>
        <v>97685</v>
      </c>
    </row>
    <row r="32" spans="1:5" x14ac:dyDescent="0.25">
      <c r="A32" s="17" t="s">
        <v>107</v>
      </c>
      <c r="B32" s="19">
        <v>31081.590909090908</v>
      </c>
      <c r="C32" s="19">
        <v>0</v>
      </c>
      <c r="D32" s="19">
        <v>0</v>
      </c>
      <c r="E32">
        <f t="shared" si="0"/>
        <v>31081.590909090908</v>
      </c>
    </row>
    <row r="33" spans="1:5" x14ac:dyDescent="0.25">
      <c r="A33" s="17" t="s">
        <v>108</v>
      </c>
      <c r="B33" s="19">
        <v>195370</v>
      </c>
      <c r="C33" s="19">
        <v>0</v>
      </c>
      <c r="D33" s="19">
        <v>0</v>
      </c>
      <c r="E33">
        <f t="shared" si="0"/>
        <v>195370</v>
      </c>
    </row>
    <row r="34" spans="1:5" x14ac:dyDescent="0.25">
      <c r="A34" s="17" t="s">
        <v>109</v>
      </c>
      <c r="B34" s="19">
        <v>13320.681818181818</v>
      </c>
      <c r="C34" s="19">
        <v>0</v>
      </c>
      <c r="D34" s="19">
        <v>0</v>
      </c>
      <c r="E34">
        <f t="shared" si="0"/>
        <v>13320.681818181818</v>
      </c>
    </row>
    <row r="35" spans="1:5" x14ac:dyDescent="0.25">
      <c r="A35" s="17" t="s">
        <v>110</v>
      </c>
      <c r="B35" s="19">
        <v>17760.909090909092</v>
      </c>
      <c r="C35" s="19">
        <v>0</v>
      </c>
      <c r="D35" s="19">
        <v>0</v>
      </c>
      <c r="E35">
        <f t="shared" si="0"/>
        <v>17760.909090909092</v>
      </c>
    </row>
    <row r="36" spans="1:5" x14ac:dyDescent="0.25">
      <c r="A36" s="17" t="s">
        <v>111</v>
      </c>
      <c r="B36" s="19">
        <v>4440.227272727273</v>
      </c>
      <c r="C36" s="19">
        <v>0</v>
      </c>
      <c r="D36" s="19">
        <v>0</v>
      </c>
      <c r="E36">
        <f t="shared" si="0"/>
        <v>4440.227272727273</v>
      </c>
    </row>
    <row r="37" spans="1:5" x14ac:dyDescent="0.25">
      <c r="A37" s="17" t="s">
        <v>112</v>
      </c>
      <c r="B37" s="19">
        <v>195370</v>
      </c>
      <c r="C37" s="19">
        <v>0</v>
      </c>
      <c r="D37" s="19">
        <v>0</v>
      </c>
      <c r="E37">
        <f t="shared" si="0"/>
        <v>195370</v>
      </c>
    </row>
    <row r="38" spans="1:5" x14ac:dyDescent="0.25">
      <c r="A38" s="17" t="s">
        <v>113</v>
      </c>
      <c r="B38" s="19">
        <v>683795</v>
      </c>
      <c r="C38" s="19">
        <v>0</v>
      </c>
      <c r="D38" s="19">
        <v>97685</v>
      </c>
      <c r="E38">
        <f t="shared" si="0"/>
        <v>781480</v>
      </c>
    </row>
    <row r="39" spans="1:5" x14ac:dyDescent="0.25">
      <c r="A39" s="17" t="s">
        <v>114</v>
      </c>
      <c r="B39" s="19">
        <v>97685</v>
      </c>
      <c r="C39" s="19">
        <v>0</v>
      </c>
      <c r="D39" s="19">
        <v>0</v>
      </c>
      <c r="E39">
        <f t="shared" si="0"/>
        <v>97685</v>
      </c>
    </row>
    <row r="40" spans="1:5" x14ac:dyDescent="0.25">
      <c r="A40" s="17" t="s">
        <v>115</v>
      </c>
      <c r="B40" s="19">
        <v>8880.454545454546</v>
      </c>
      <c r="C40" s="19">
        <v>0</v>
      </c>
      <c r="D40" s="19">
        <v>0</v>
      </c>
      <c r="E40">
        <f t="shared" si="0"/>
        <v>8880.454545454546</v>
      </c>
    </row>
    <row r="41" spans="1:5" x14ac:dyDescent="0.25">
      <c r="A41" s="17" t="s">
        <v>116</v>
      </c>
      <c r="B41" s="19">
        <v>195370</v>
      </c>
      <c r="C41" s="19">
        <v>0</v>
      </c>
      <c r="D41" s="19">
        <v>0</v>
      </c>
      <c r="E41">
        <f t="shared" si="0"/>
        <v>195370</v>
      </c>
    </row>
    <row r="42" spans="1:5" x14ac:dyDescent="0.25">
      <c r="A42" s="17" t="s">
        <v>117</v>
      </c>
      <c r="B42" s="19">
        <v>4440.227272727273</v>
      </c>
      <c r="C42" s="19">
        <v>0</v>
      </c>
      <c r="D42" s="19">
        <v>0</v>
      </c>
      <c r="E42">
        <f t="shared" si="0"/>
        <v>4440.227272727273</v>
      </c>
    </row>
    <row r="43" spans="1:5" x14ac:dyDescent="0.25">
      <c r="A43" s="17" t="s">
        <v>118</v>
      </c>
      <c r="B43" s="19">
        <v>17760.909090909092</v>
      </c>
      <c r="C43" s="19">
        <v>0</v>
      </c>
      <c r="D43" s="19">
        <v>0</v>
      </c>
      <c r="E43">
        <f t="shared" si="0"/>
        <v>17760.909090909092</v>
      </c>
    </row>
    <row r="44" spans="1:5" x14ac:dyDescent="0.25">
      <c r="A44" s="17" t="s">
        <v>119</v>
      </c>
      <c r="B44" s="19">
        <v>97685</v>
      </c>
      <c r="C44" s="19">
        <v>0</v>
      </c>
      <c r="D44" s="19">
        <v>0</v>
      </c>
      <c r="E44">
        <f t="shared" si="0"/>
        <v>97685</v>
      </c>
    </row>
    <row r="45" spans="1:5" x14ac:dyDescent="0.25">
      <c r="A45" s="17" t="s">
        <v>121</v>
      </c>
      <c r="B45" s="19">
        <v>0</v>
      </c>
      <c r="C45" s="19">
        <v>0</v>
      </c>
      <c r="D45" s="19">
        <v>0</v>
      </c>
      <c r="E45">
        <f t="shared" si="0"/>
        <v>0</v>
      </c>
    </row>
    <row r="46" spans="1:5" x14ac:dyDescent="0.25">
      <c r="A46" s="17" t="s">
        <v>123</v>
      </c>
      <c r="B46" s="19">
        <v>39962.045454545456</v>
      </c>
      <c r="C46" s="19">
        <v>0</v>
      </c>
      <c r="D46" s="19">
        <v>0</v>
      </c>
      <c r="E46">
        <f t="shared" si="0"/>
        <v>39962.045454545456</v>
      </c>
    </row>
    <row r="47" spans="1:5" x14ac:dyDescent="0.25">
      <c r="A47" s="17" t="s">
        <v>124</v>
      </c>
      <c r="B47" s="19">
        <v>97685</v>
      </c>
      <c r="C47" s="19">
        <v>0</v>
      </c>
      <c r="D47" s="19">
        <v>0</v>
      </c>
      <c r="E47">
        <f t="shared" si="0"/>
        <v>97685</v>
      </c>
    </row>
    <row r="48" spans="1:5" x14ac:dyDescent="0.25">
      <c r="A48" s="17" t="s">
        <v>125</v>
      </c>
      <c r="B48" s="19">
        <v>8880.454545454546</v>
      </c>
      <c r="C48" s="19">
        <v>0</v>
      </c>
      <c r="D48" s="19">
        <v>0</v>
      </c>
      <c r="E48">
        <f t="shared" si="0"/>
        <v>8880.454545454546</v>
      </c>
    </row>
    <row r="49" spans="1:5" x14ac:dyDescent="0.25">
      <c r="A49" s="17" t="s">
        <v>126</v>
      </c>
      <c r="B49" s="19">
        <v>0</v>
      </c>
      <c r="C49" s="19">
        <v>0</v>
      </c>
      <c r="D49" s="19">
        <v>0</v>
      </c>
      <c r="E49">
        <f t="shared" si="0"/>
        <v>0</v>
      </c>
    </row>
    <row r="50" spans="1:5" x14ac:dyDescent="0.25">
      <c r="A50" s="17" t="s">
        <v>127</v>
      </c>
      <c r="B50" s="19">
        <v>31081.590909090908</v>
      </c>
      <c r="C50" s="19">
        <v>0</v>
      </c>
      <c r="D50" s="19">
        <v>0</v>
      </c>
      <c r="E50">
        <f t="shared" si="0"/>
        <v>31081.590909090908</v>
      </c>
    </row>
    <row r="51" spans="1:5" x14ac:dyDescent="0.25">
      <c r="A51" s="17" t="s">
        <v>128</v>
      </c>
      <c r="B51" s="19">
        <v>8880.454545454546</v>
      </c>
      <c r="C51" s="19">
        <v>0</v>
      </c>
      <c r="D51" s="19">
        <v>0</v>
      </c>
      <c r="E51">
        <f t="shared" si="0"/>
        <v>8880.454545454546</v>
      </c>
    </row>
    <row r="52" spans="1:5" x14ac:dyDescent="0.25">
      <c r="A52" s="17" t="s">
        <v>129</v>
      </c>
      <c r="B52" s="19">
        <v>97685</v>
      </c>
      <c r="C52" s="19">
        <v>0</v>
      </c>
      <c r="D52" s="19">
        <v>0</v>
      </c>
      <c r="E52">
        <f t="shared" si="0"/>
        <v>97685</v>
      </c>
    </row>
    <row r="53" spans="1:5" x14ac:dyDescent="0.25">
      <c r="A53" s="17" t="s">
        <v>130</v>
      </c>
      <c r="B53" s="19">
        <v>0</v>
      </c>
      <c r="C53" s="19">
        <v>0</v>
      </c>
      <c r="D53" s="19">
        <v>0</v>
      </c>
      <c r="E53">
        <f t="shared" si="0"/>
        <v>0</v>
      </c>
    </row>
    <row r="54" spans="1:5" x14ac:dyDescent="0.25">
      <c r="A54" s="17" t="s">
        <v>131</v>
      </c>
      <c r="B54" s="19">
        <v>13320.681818181818</v>
      </c>
      <c r="C54" s="19">
        <v>0</v>
      </c>
      <c r="D54" s="19">
        <v>0</v>
      </c>
      <c r="E54">
        <f t="shared" si="0"/>
        <v>13320.681818181818</v>
      </c>
    </row>
    <row r="55" spans="1:5" x14ac:dyDescent="0.25">
      <c r="A55" s="17" t="s">
        <v>132</v>
      </c>
      <c r="B55" s="19">
        <v>8880.454545454546</v>
      </c>
      <c r="C55" s="19">
        <v>0</v>
      </c>
      <c r="D55" s="19">
        <v>0</v>
      </c>
      <c r="E55">
        <f t="shared" si="0"/>
        <v>8880.454545454546</v>
      </c>
    </row>
    <row r="56" spans="1:5" x14ac:dyDescent="0.25">
      <c r="A56" s="17" t="s">
        <v>133</v>
      </c>
      <c r="B56" s="19">
        <v>97685</v>
      </c>
      <c r="C56" s="19">
        <v>0</v>
      </c>
      <c r="D56" s="19">
        <v>0</v>
      </c>
      <c r="E56">
        <f t="shared" si="0"/>
        <v>97685</v>
      </c>
    </row>
    <row r="57" spans="1:5" x14ac:dyDescent="0.25">
      <c r="A57" s="17" t="s">
        <v>134</v>
      </c>
      <c r="B57" s="19">
        <v>97685</v>
      </c>
      <c r="C57" s="19">
        <v>0</v>
      </c>
      <c r="D57" s="19">
        <v>0</v>
      </c>
      <c r="E57">
        <f t="shared" si="0"/>
        <v>97685</v>
      </c>
    </row>
    <row r="58" spans="1:5" x14ac:dyDescent="0.25">
      <c r="A58" s="17" t="s">
        <v>135</v>
      </c>
      <c r="B58" s="19">
        <v>97685</v>
      </c>
      <c r="C58" s="19">
        <v>0</v>
      </c>
      <c r="D58" s="19">
        <v>0</v>
      </c>
      <c r="E58">
        <f t="shared" si="0"/>
        <v>97685</v>
      </c>
    </row>
    <row r="59" spans="1:5" x14ac:dyDescent="0.25">
      <c r="A59" s="17" t="s">
        <v>136</v>
      </c>
      <c r="B59" s="19">
        <v>586110</v>
      </c>
      <c r="C59" s="19">
        <v>0</v>
      </c>
      <c r="D59" s="19">
        <v>97685</v>
      </c>
      <c r="E59">
        <f t="shared" si="0"/>
        <v>683795</v>
      </c>
    </row>
    <row r="60" spans="1:5" x14ac:dyDescent="0.25">
      <c r="A60" s="17" t="s">
        <v>137</v>
      </c>
      <c r="B60" s="19">
        <v>22201.136363636364</v>
      </c>
      <c r="C60" s="19">
        <v>0</v>
      </c>
      <c r="D60" s="19">
        <v>0</v>
      </c>
      <c r="E60">
        <f t="shared" si="0"/>
        <v>22201.136363636364</v>
      </c>
    </row>
    <row r="61" spans="1:5" x14ac:dyDescent="0.25">
      <c r="A61" s="17" t="s">
        <v>138</v>
      </c>
      <c r="B61" s="19">
        <v>17760.909090909092</v>
      </c>
      <c r="C61" s="19">
        <v>0</v>
      </c>
      <c r="D61" s="19">
        <v>0</v>
      </c>
      <c r="E61">
        <f t="shared" si="0"/>
        <v>17760.909090909092</v>
      </c>
    </row>
    <row r="62" spans="1:5" x14ac:dyDescent="0.25">
      <c r="A62" s="17" t="s">
        <v>139</v>
      </c>
      <c r="B62" s="19">
        <v>17760.909090909092</v>
      </c>
      <c r="C62" s="19">
        <v>0</v>
      </c>
      <c r="D62" s="19">
        <v>0</v>
      </c>
      <c r="E62">
        <f t="shared" si="0"/>
        <v>17760.909090909092</v>
      </c>
    </row>
    <row r="63" spans="1:5" x14ac:dyDescent="0.25">
      <c r="A63" s="17" t="s">
        <v>140</v>
      </c>
      <c r="B63" s="19">
        <v>195370</v>
      </c>
      <c r="C63" s="19">
        <v>0</v>
      </c>
      <c r="D63" s="19">
        <v>0</v>
      </c>
      <c r="E63">
        <f t="shared" si="0"/>
        <v>195370</v>
      </c>
    </row>
    <row r="64" spans="1:5" x14ac:dyDescent="0.25">
      <c r="A64" s="17" t="s">
        <v>141</v>
      </c>
      <c r="B64" s="19">
        <v>0</v>
      </c>
      <c r="C64" s="19">
        <v>0</v>
      </c>
      <c r="D64" s="19">
        <v>0</v>
      </c>
      <c r="E64">
        <f t="shared" si="0"/>
        <v>0</v>
      </c>
    </row>
    <row r="65" spans="1:5" x14ac:dyDescent="0.25">
      <c r="A65" s="17" t="s">
        <v>142</v>
      </c>
      <c r="B65" s="19">
        <v>97685</v>
      </c>
      <c r="C65" s="19">
        <v>0</v>
      </c>
      <c r="D65" s="19">
        <v>0</v>
      </c>
      <c r="E65">
        <f t="shared" si="0"/>
        <v>97685</v>
      </c>
    </row>
    <row r="66" spans="1:5" x14ac:dyDescent="0.25">
      <c r="A66" s="17" t="s">
        <v>143</v>
      </c>
      <c r="B66" s="19">
        <v>683795</v>
      </c>
      <c r="C66" s="19">
        <v>0</v>
      </c>
      <c r="D66" s="19">
        <v>97685</v>
      </c>
      <c r="E66">
        <f t="shared" si="0"/>
        <v>781480</v>
      </c>
    </row>
    <row r="67" spans="1:5" x14ac:dyDescent="0.25">
      <c r="A67" s="17" t="s">
        <v>144</v>
      </c>
      <c r="B67" s="19">
        <v>4440.227272727273</v>
      </c>
      <c r="C67" s="19">
        <v>0</v>
      </c>
      <c r="D67" s="19">
        <v>0</v>
      </c>
      <c r="E67">
        <f t="shared" si="0"/>
        <v>4440.227272727273</v>
      </c>
    </row>
    <row r="68" spans="1:5" x14ac:dyDescent="0.25">
      <c r="A68" s="17" t="s">
        <v>145</v>
      </c>
      <c r="B68" s="19">
        <v>35521.818181818184</v>
      </c>
      <c r="C68" s="19">
        <v>0</v>
      </c>
      <c r="D68" s="19">
        <v>0</v>
      </c>
      <c r="E68">
        <f t="shared" si="0"/>
        <v>35521.818181818184</v>
      </c>
    </row>
    <row r="69" spans="1:5" x14ac:dyDescent="0.25">
      <c r="A69" s="17" t="s">
        <v>146</v>
      </c>
      <c r="B69" s="19">
        <v>35521.818181818184</v>
      </c>
      <c r="C69" s="19">
        <v>0</v>
      </c>
      <c r="D69" s="19">
        <v>0</v>
      </c>
      <c r="E69">
        <f t="shared" ref="E69:E120" si="1">SUM(B69:D69)</f>
        <v>35521.818181818184</v>
      </c>
    </row>
    <row r="70" spans="1:5" x14ac:dyDescent="0.25">
      <c r="A70" s="17" t="s">
        <v>147</v>
      </c>
      <c r="B70" s="19">
        <v>39962.045454545456</v>
      </c>
      <c r="C70" s="19">
        <v>0</v>
      </c>
      <c r="D70" s="19">
        <v>0</v>
      </c>
      <c r="E70">
        <f t="shared" si="1"/>
        <v>39962.045454545456</v>
      </c>
    </row>
    <row r="71" spans="1:5" x14ac:dyDescent="0.25">
      <c r="A71" s="17" t="s">
        <v>148</v>
      </c>
      <c r="B71" s="19">
        <v>0</v>
      </c>
      <c r="C71" s="19">
        <v>0</v>
      </c>
      <c r="D71" s="19">
        <v>0</v>
      </c>
      <c r="E71">
        <f t="shared" si="1"/>
        <v>0</v>
      </c>
    </row>
    <row r="72" spans="1:5" x14ac:dyDescent="0.25">
      <c r="A72" s="17" t="s">
        <v>149</v>
      </c>
      <c r="B72" s="19">
        <v>195370</v>
      </c>
      <c r="C72" s="19">
        <v>0</v>
      </c>
      <c r="D72" s="19">
        <v>0</v>
      </c>
      <c r="E72">
        <f t="shared" si="1"/>
        <v>195370</v>
      </c>
    </row>
    <row r="73" spans="1:5" x14ac:dyDescent="0.25">
      <c r="A73" s="17" t="s">
        <v>150</v>
      </c>
      <c r="B73" s="19">
        <v>17760.909090909092</v>
      </c>
      <c r="C73" s="19">
        <v>0</v>
      </c>
      <c r="D73" s="19">
        <v>0</v>
      </c>
      <c r="E73">
        <f t="shared" si="1"/>
        <v>17760.909090909092</v>
      </c>
    </row>
    <row r="74" spans="1:5" x14ac:dyDescent="0.25">
      <c r="A74" s="17" t="s">
        <v>151</v>
      </c>
      <c r="B74" s="19">
        <v>97685</v>
      </c>
      <c r="C74" s="19">
        <v>0</v>
      </c>
      <c r="D74" s="19">
        <v>0</v>
      </c>
      <c r="E74">
        <f t="shared" si="1"/>
        <v>97685</v>
      </c>
    </row>
    <row r="75" spans="1:5" x14ac:dyDescent="0.25">
      <c r="A75" s="17" t="s">
        <v>152</v>
      </c>
      <c r="B75" s="19">
        <v>4440.227272727273</v>
      </c>
      <c r="C75" s="19">
        <v>0</v>
      </c>
      <c r="D75" s="19">
        <v>0</v>
      </c>
      <c r="E75">
        <f t="shared" si="1"/>
        <v>4440.227272727273</v>
      </c>
    </row>
    <row r="76" spans="1:5" x14ac:dyDescent="0.25">
      <c r="A76" s="17" t="s">
        <v>153</v>
      </c>
      <c r="B76" s="19">
        <v>390740</v>
      </c>
      <c r="C76" s="19">
        <v>0</v>
      </c>
      <c r="D76" s="19">
        <v>97685</v>
      </c>
      <c r="E76">
        <f t="shared" si="1"/>
        <v>488425</v>
      </c>
    </row>
    <row r="77" spans="1:5" x14ac:dyDescent="0.25">
      <c r="A77" s="17" t="s">
        <v>154</v>
      </c>
      <c r="B77" s="19">
        <v>0</v>
      </c>
      <c r="C77" s="19">
        <v>0</v>
      </c>
      <c r="D77" s="19">
        <v>0</v>
      </c>
      <c r="E77">
        <f t="shared" si="1"/>
        <v>0</v>
      </c>
    </row>
    <row r="78" spans="1:5" x14ac:dyDescent="0.25">
      <c r="A78" s="17" t="s">
        <v>155</v>
      </c>
      <c r="B78" s="19">
        <v>26641.363636363636</v>
      </c>
      <c r="C78" s="19">
        <v>0</v>
      </c>
      <c r="D78" s="19">
        <v>0</v>
      </c>
      <c r="E78">
        <f t="shared" si="1"/>
        <v>26641.363636363636</v>
      </c>
    </row>
    <row r="79" spans="1:5" x14ac:dyDescent="0.25">
      <c r="A79" s="17" t="s">
        <v>156</v>
      </c>
      <c r="B79" s="19">
        <v>0</v>
      </c>
      <c r="C79" s="19">
        <v>0</v>
      </c>
      <c r="D79" s="19">
        <v>0</v>
      </c>
      <c r="E79">
        <f t="shared" si="1"/>
        <v>0</v>
      </c>
    </row>
    <row r="80" spans="1:5" x14ac:dyDescent="0.25">
      <c r="A80" s="17" t="s">
        <v>157</v>
      </c>
      <c r="B80" s="19">
        <v>44402.272727272728</v>
      </c>
      <c r="C80" s="19">
        <v>0</v>
      </c>
      <c r="D80" s="19">
        <v>0</v>
      </c>
      <c r="E80">
        <f t="shared" si="1"/>
        <v>44402.272727272728</v>
      </c>
    </row>
    <row r="81" spans="1:5" x14ac:dyDescent="0.25">
      <c r="A81" s="17" t="s">
        <v>158</v>
      </c>
      <c r="B81" s="19">
        <v>97685</v>
      </c>
      <c r="C81" s="19">
        <v>0</v>
      </c>
      <c r="D81" s="19">
        <v>0</v>
      </c>
      <c r="E81">
        <f t="shared" si="1"/>
        <v>97685</v>
      </c>
    </row>
    <row r="82" spans="1:5" x14ac:dyDescent="0.25">
      <c r="A82" s="17" t="s">
        <v>159</v>
      </c>
      <c r="B82" s="19">
        <v>1074535</v>
      </c>
      <c r="C82" s="19">
        <v>0</v>
      </c>
      <c r="D82" s="19">
        <v>195370</v>
      </c>
      <c r="E82">
        <f t="shared" si="1"/>
        <v>1269905</v>
      </c>
    </row>
    <row r="83" spans="1:5" x14ac:dyDescent="0.25">
      <c r="A83" s="17" t="s">
        <v>160</v>
      </c>
      <c r="B83" s="19">
        <v>4440.227272727273</v>
      </c>
      <c r="C83" s="19">
        <v>0</v>
      </c>
      <c r="D83" s="19">
        <v>0</v>
      </c>
      <c r="E83">
        <f t="shared" si="1"/>
        <v>4440.227272727273</v>
      </c>
    </row>
    <row r="84" spans="1:5" x14ac:dyDescent="0.25">
      <c r="A84" s="17" t="s">
        <v>161</v>
      </c>
      <c r="B84" s="19">
        <v>1172220</v>
      </c>
      <c r="C84" s="19">
        <v>28915</v>
      </c>
      <c r="D84" s="19">
        <v>195370</v>
      </c>
      <c r="E84">
        <f t="shared" si="1"/>
        <v>1396505</v>
      </c>
    </row>
    <row r="85" spans="1:5" x14ac:dyDescent="0.25">
      <c r="A85" s="17" t="s">
        <v>162</v>
      </c>
      <c r="B85" s="19">
        <v>26641.363636363636</v>
      </c>
      <c r="C85" s="19">
        <v>0</v>
      </c>
      <c r="D85" s="19">
        <v>0</v>
      </c>
      <c r="E85">
        <f t="shared" si="1"/>
        <v>26641.363636363636</v>
      </c>
    </row>
    <row r="86" spans="1:5" x14ac:dyDescent="0.25">
      <c r="A86" s="17" t="s">
        <v>163</v>
      </c>
      <c r="B86" s="19">
        <v>4440.227272727273</v>
      </c>
      <c r="C86" s="19">
        <v>0</v>
      </c>
      <c r="D86" s="19">
        <v>0</v>
      </c>
      <c r="E86">
        <f t="shared" si="1"/>
        <v>4440.227272727273</v>
      </c>
    </row>
    <row r="87" spans="1:5" x14ac:dyDescent="0.25">
      <c r="A87" s="17" t="s">
        <v>165</v>
      </c>
      <c r="B87" s="19">
        <v>1074535</v>
      </c>
      <c r="C87" s="19">
        <v>57830</v>
      </c>
      <c r="D87" s="19">
        <v>223142</v>
      </c>
      <c r="E87">
        <f t="shared" si="1"/>
        <v>1355507</v>
      </c>
    </row>
    <row r="88" spans="1:5" x14ac:dyDescent="0.25">
      <c r="A88" s="17" t="s">
        <v>167</v>
      </c>
      <c r="B88" s="19">
        <v>293055</v>
      </c>
      <c r="C88" s="19">
        <v>0</v>
      </c>
      <c r="D88" s="19">
        <v>0</v>
      </c>
      <c r="E88">
        <f t="shared" si="1"/>
        <v>293055</v>
      </c>
    </row>
    <row r="89" spans="1:5" x14ac:dyDescent="0.25">
      <c r="A89" s="17" t="s">
        <v>168</v>
      </c>
      <c r="B89" s="19">
        <v>97685</v>
      </c>
      <c r="C89" s="19">
        <v>0</v>
      </c>
      <c r="D89" s="19">
        <v>0</v>
      </c>
      <c r="E89">
        <f t="shared" si="1"/>
        <v>97685</v>
      </c>
    </row>
    <row r="90" spans="1:5" x14ac:dyDescent="0.25">
      <c r="A90" s="17" t="s">
        <v>169</v>
      </c>
      <c r="B90" s="19">
        <v>0</v>
      </c>
      <c r="C90" s="19">
        <v>0</v>
      </c>
      <c r="D90" s="19">
        <v>0</v>
      </c>
      <c r="E90">
        <f t="shared" si="1"/>
        <v>0</v>
      </c>
    </row>
    <row r="91" spans="1:5" x14ac:dyDescent="0.25">
      <c r="A91" s="17" t="s">
        <v>77</v>
      </c>
      <c r="B91" s="19">
        <v>0</v>
      </c>
      <c r="C91" s="19">
        <v>0</v>
      </c>
      <c r="D91" s="19">
        <v>0</v>
      </c>
      <c r="E91">
        <f t="shared" si="1"/>
        <v>0</v>
      </c>
    </row>
    <row r="92" spans="1:5" x14ac:dyDescent="0.25">
      <c r="A92" s="17" t="s">
        <v>170</v>
      </c>
      <c r="B92" s="19">
        <v>195370</v>
      </c>
      <c r="C92" s="19">
        <v>0</v>
      </c>
      <c r="D92" s="19">
        <v>0</v>
      </c>
      <c r="E92">
        <f t="shared" si="1"/>
        <v>195370</v>
      </c>
    </row>
    <row r="93" spans="1:5" x14ac:dyDescent="0.25">
      <c r="A93" s="17" t="s">
        <v>171</v>
      </c>
      <c r="B93" s="19">
        <v>0</v>
      </c>
      <c r="C93" s="19">
        <v>0</v>
      </c>
      <c r="D93" s="19">
        <v>0</v>
      </c>
      <c r="E93">
        <f t="shared" si="1"/>
        <v>0</v>
      </c>
    </row>
    <row r="94" spans="1:5" x14ac:dyDescent="0.25">
      <c r="A94" s="17" t="s">
        <v>172</v>
      </c>
      <c r="B94" s="19">
        <v>4440.227272727273</v>
      </c>
      <c r="C94" s="19">
        <v>0</v>
      </c>
      <c r="D94" s="19">
        <v>0</v>
      </c>
      <c r="E94">
        <f t="shared" si="1"/>
        <v>4440.227272727273</v>
      </c>
    </row>
    <row r="95" spans="1:5" x14ac:dyDescent="0.25">
      <c r="A95" s="17" t="s">
        <v>173</v>
      </c>
      <c r="B95" s="19">
        <v>488425</v>
      </c>
      <c r="C95" s="19">
        <v>0</v>
      </c>
      <c r="D95" s="19">
        <v>97685</v>
      </c>
      <c r="E95">
        <f t="shared" si="1"/>
        <v>586110</v>
      </c>
    </row>
    <row r="96" spans="1:5" x14ac:dyDescent="0.25">
      <c r="A96" s="17" t="s">
        <v>174</v>
      </c>
      <c r="B96" s="19">
        <v>97685</v>
      </c>
      <c r="C96" s="19">
        <v>0</v>
      </c>
      <c r="D96" s="19">
        <v>0</v>
      </c>
      <c r="E96">
        <f t="shared" si="1"/>
        <v>97685</v>
      </c>
    </row>
    <row r="97" spans="1:5" x14ac:dyDescent="0.25">
      <c r="A97" s="17" t="s">
        <v>175</v>
      </c>
      <c r="B97" s="19">
        <v>13320.681818181818</v>
      </c>
      <c r="C97" s="19">
        <v>0</v>
      </c>
      <c r="D97" s="19">
        <v>0</v>
      </c>
      <c r="E97">
        <f t="shared" si="1"/>
        <v>13320.681818181818</v>
      </c>
    </row>
    <row r="98" spans="1:5" x14ac:dyDescent="0.25">
      <c r="A98" s="17" t="s">
        <v>176</v>
      </c>
      <c r="B98" s="19">
        <v>97685</v>
      </c>
      <c r="C98" s="19">
        <v>0</v>
      </c>
      <c r="D98" s="19">
        <v>0</v>
      </c>
      <c r="E98">
        <f t="shared" si="1"/>
        <v>97685</v>
      </c>
    </row>
    <row r="99" spans="1:5" x14ac:dyDescent="0.25">
      <c r="A99" s="17" t="s">
        <v>177</v>
      </c>
      <c r="B99" s="19">
        <v>0</v>
      </c>
      <c r="C99" s="19">
        <v>0</v>
      </c>
      <c r="D99" s="19">
        <v>0</v>
      </c>
      <c r="E99">
        <f t="shared" si="1"/>
        <v>0</v>
      </c>
    </row>
    <row r="100" spans="1:5" x14ac:dyDescent="0.25">
      <c r="A100" s="17" t="s">
        <v>178</v>
      </c>
      <c r="B100" s="19">
        <v>0</v>
      </c>
      <c r="C100" s="19">
        <v>0</v>
      </c>
      <c r="D100" s="19">
        <v>0</v>
      </c>
      <c r="E100">
        <f t="shared" si="1"/>
        <v>0</v>
      </c>
    </row>
    <row r="101" spans="1:5" x14ac:dyDescent="0.25">
      <c r="A101" s="17" t="s">
        <v>179</v>
      </c>
      <c r="B101" s="19">
        <v>293055</v>
      </c>
      <c r="C101" s="19">
        <v>0</v>
      </c>
      <c r="D101" s="19">
        <v>0</v>
      </c>
      <c r="E101">
        <f t="shared" si="1"/>
        <v>293055</v>
      </c>
    </row>
    <row r="102" spans="1:5" x14ac:dyDescent="0.25">
      <c r="A102" s="17" t="s">
        <v>180</v>
      </c>
      <c r="B102" s="19">
        <v>13320.681818181818</v>
      </c>
      <c r="C102" s="19">
        <v>0</v>
      </c>
      <c r="D102" s="19">
        <v>0</v>
      </c>
      <c r="E102">
        <f t="shared" si="1"/>
        <v>13320.681818181818</v>
      </c>
    </row>
    <row r="103" spans="1:5" x14ac:dyDescent="0.25">
      <c r="A103" s="17" t="s">
        <v>181</v>
      </c>
      <c r="B103" s="19">
        <v>488425</v>
      </c>
      <c r="C103" s="19">
        <v>0</v>
      </c>
      <c r="D103" s="19">
        <v>97685</v>
      </c>
      <c r="E103">
        <f t="shared" si="1"/>
        <v>586110</v>
      </c>
    </row>
    <row r="104" spans="1:5" x14ac:dyDescent="0.25">
      <c r="A104" s="17" t="s">
        <v>182</v>
      </c>
      <c r="B104" s="19">
        <v>22201.136363636364</v>
      </c>
      <c r="C104" s="19">
        <v>0</v>
      </c>
      <c r="D104" s="19">
        <v>0</v>
      </c>
      <c r="E104">
        <f t="shared" si="1"/>
        <v>22201.136363636364</v>
      </c>
    </row>
    <row r="105" spans="1:5" x14ac:dyDescent="0.25">
      <c r="A105" s="17" t="s">
        <v>183</v>
      </c>
      <c r="B105" s="19">
        <v>586110</v>
      </c>
      <c r="C105" s="19">
        <v>0</v>
      </c>
      <c r="D105" s="19">
        <v>97685</v>
      </c>
      <c r="E105">
        <f t="shared" si="1"/>
        <v>683795</v>
      </c>
    </row>
    <row r="106" spans="1:5" x14ac:dyDescent="0.25">
      <c r="A106" s="17" t="s">
        <v>184</v>
      </c>
      <c r="B106" s="19">
        <v>1269905</v>
      </c>
      <c r="C106" s="19">
        <v>28915</v>
      </c>
      <c r="D106" s="19">
        <v>195370</v>
      </c>
      <c r="E106">
        <f t="shared" si="1"/>
        <v>1494190</v>
      </c>
    </row>
    <row r="107" spans="1:5" x14ac:dyDescent="0.25">
      <c r="A107" s="17" t="s">
        <v>185</v>
      </c>
      <c r="B107" s="19">
        <v>1074535</v>
      </c>
      <c r="C107" s="19">
        <v>0</v>
      </c>
      <c r="D107" s="19">
        <v>195370</v>
      </c>
      <c r="E107">
        <f t="shared" si="1"/>
        <v>1269905</v>
      </c>
    </row>
    <row r="108" spans="1:5" x14ac:dyDescent="0.25">
      <c r="A108" s="17" t="s">
        <v>186</v>
      </c>
      <c r="B108" s="19">
        <v>13320.681818181818</v>
      </c>
      <c r="C108" s="19">
        <v>0</v>
      </c>
      <c r="D108" s="19">
        <v>0</v>
      </c>
      <c r="E108">
        <f t="shared" si="1"/>
        <v>13320.681818181818</v>
      </c>
    </row>
    <row r="109" spans="1:5" x14ac:dyDescent="0.25">
      <c r="A109" s="17" t="s">
        <v>187</v>
      </c>
      <c r="B109" s="19">
        <v>48842.5</v>
      </c>
      <c r="C109" s="19">
        <v>0</v>
      </c>
      <c r="D109" s="19">
        <v>0</v>
      </c>
      <c r="E109">
        <f t="shared" si="1"/>
        <v>48842.5</v>
      </c>
    </row>
    <row r="110" spans="1:5" x14ac:dyDescent="0.25">
      <c r="A110" s="17" t="s">
        <v>188</v>
      </c>
      <c r="B110" s="19">
        <v>4440.227272727273</v>
      </c>
      <c r="C110" s="19">
        <v>0</v>
      </c>
      <c r="D110" s="19">
        <v>0</v>
      </c>
      <c r="E110">
        <f t="shared" si="1"/>
        <v>4440.227272727273</v>
      </c>
    </row>
    <row r="111" spans="1:5" x14ac:dyDescent="0.25">
      <c r="A111" s="17" t="s">
        <v>189</v>
      </c>
      <c r="B111" s="19">
        <v>39962.045454545456</v>
      </c>
      <c r="C111" s="19">
        <v>0</v>
      </c>
      <c r="D111" s="19">
        <v>0</v>
      </c>
      <c r="E111">
        <f t="shared" si="1"/>
        <v>39962.045454545456</v>
      </c>
    </row>
    <row r="112" spans="1:5" x14ac:dyDescent="0.25">
      <c r="A112" s="17" t="s">
        <v>190</v>
      </c>
      <c r="B112" s="19">
        <v>4440.227272727273</v>
      </c>
      <c r="C112" s="19">
        <v>0</v>
      </c>
      <c r="D112" s="19">
        <v>0</v>
      </c>
      <c r="E112">
        <f t="shared" si="1"/>
        <v>4440.227272727273</v>
      </c>
    </row>
    <row r="113" spans="1:5" x14ac:dyDescent="0.25">
      <c r="A113" s="17" t="s">
        <v>192</v>
      </c>
      <c r="B113" s="19">
        <v>31081.590909090908</v>
      </c>
      <c r="C113" s="19">
        <v>0</v>
      </c>
      <c r="D113" s="19">
        <v>0</v>
      </c>
      <c r="E113">
        <f t="shared" si="1"/>
        <v>31081.590909090908</v>
      </c>
    </row>
    <row r="114" spans="1:5" x14ac:dyDescent="0.25">
      <c r="A114" s="17" t="s">
        <v>193</v>
      </c>
      <c r="B114" s="19">
        <v>293055</v>
      </c>
      <c r="C114" s="19">
        <v>0</v>
      </c>
      <c r="D114" s="19">
        <v>0</v>
      </c>
      <c r="E114">
        <f t="shared" si="1"/>
        <v>293055</v>
      </c>
    </row>
    <row r="115" spans="1:5" x14ac:dyDescent="0.25">
      <c r="A115" s="17" t="s">
        <v>194</v>
      </c>
      <c r="B115" s="19">
        <v>97685</v>
      </c>
      <c r="C115" s="19">
        <v>0</v>
      </c>
      <c r="D115" s="19">
        <v>0</v>
      </c>
      <c r="E115">
        <f t="shared" si="1"/>
        <v>97685</v>
      </c>
    </row>
    <row r="116" spans="1:5" x14ac:dyDescent="0.25">
      <c r="A116" s="17" t="s">
        <v>195</v>
      </c>
      <c r="B116" s="19">
        <v>195370</v>
      </c>
      <c r="C116" s="19">
        <v>0</v>
      </c>
      <c r="D116" s="19">
        <v>0</v>
      </c>
      <c r="E116">
        <f t="shared" si="1"/>
        <v>195370</v>
      </c>
    </row>
    <row r="117" spans="1:5" x14ac:dyDescent="0.25">
      <c r="A117" s="17" t="s">
        <v>196</v>
      </c>
      <c r="B117" s="19">
        <v>488425</v>
      </c>
      <c r="C117" s="19">
        <v>0</v>
      </c>
      <c r="D117" s="19">
        <v>97685</v>
      </c>
      <c r="E117">
        <f t="shared" si="1"/>
        <v>586110</v>
      </c>
    </row>
    <row r="118" spans="1:5" x14ac:dyDescent="0.25">
      <c r="A118" s="17" t="s">
        <v>197</v>
      </c>
      <c r="B118" s="19">
        <v>13320.681818181818</v>
      </c>
      <c r="C118" s="19">
        <v>0</v>
      </c>
      <c r="D118" s="19">
        <v>0</v>
      </c>
      <c r="E118">
        <f t="shared" si="1"/>
        <v>13320.681818181818</v>
      </c>
    </row>
    <row r="119" spans="1:5" x14ac:dyDescent="0.25">
      <c r="A119" s="17" t="s">
        <v>198</v>
      </c>
      <c r="B119" s="19">
        <v>8880.454545454546</v>
      </c>
      <c r="C119" s="19">
        <v>0</v>
      </c>
      <c r="D119" s="19">
        <v>0</v>
      </c>
      <c r="E119">
        <f t="shared" si="1"/>
        <v>8880.454545454546</v>
      </c>
    </row>
    <row r="120" spans="1:5" x14ac:dyDescent="0.25">
      <c r="A120" s="17" t="s">
        <v>246</v>
      </c>
      <c r="B120" s="19">
        <v>25460263.18181818</v>
      </c>
      <c r="C120" s="19">
        <v>289150</v>
      </c>
      <c r="D120" s="19">
        <v>3490651</v>
      </c>
      <c r="E120">
        <f t="shared" si="1"/>
        <v>29240064.18181818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0"/>
  <sheetViews>
    <sheetView workbookViewId="0">
      <selection activeCell="CA22" sqref="CA22"/>
    </sheetView>
  </sheetViews>
  <sheetFormatPr defaultRowHeight="15" x14ac:dyDescent="0.25"/>
  <cols>
    <col min="1" max="1" width="40.28515625" bestFit="1" customWidth="1"/>
    <col min="2" max="2" width="12" bestFit="1" customWidth="1"/>
    <col min="3" max="4" width="12.5703125" bestFit="1" customWidth="1"/>
  </cols>
  <sheetData>
    <row r="3" spans="1:5" x14ac:dyDescent="0.25">
      <c r="A3" s="16" t="s">
        <v>245</v>
      </c>
      <c r="B3" t="s">
        <v>301</v>
      </c>
      <c r="C3" t="s">
        <v>302</v>
      </c>
      <c r="D3" t="s">
        <v>303</v>
      </c>
      <c r="E3" t="s">
        <v>235</v>
      </c>
    </row>
    <row r="4" spans="1:5" x14ac:dyDescent="0.25">
      <c r="A4" s="17" t="s">
        <v>79</v>
      </c>
      <c r="B4" s="19">
        <v>104948.8</v>
      </c>
      <c r="C4" s="19">
        <v>1702.84</v>
      </c>
      <c r="D4" s="19">
        <v>6525</v>
      </c>
      <c r="E4">
        <f>SUM(B4:D4)</f>
        <v>113176.64</v>
      </c>
    </row>
    <row r="5" spans="1:5" x14ac:dyDescent="0.25">
      <c r="A5" s="17" t="s">
        <v>80</v>
      </c>
      <c r="B5" s="19">
        <v>143334.75</v>
      </c>
      <c r="C5" s="19">
        <v>2325.67</v>
      </c>
      <c r="D5" s="19">
        <v>8900</v>
      </c>
      <c r="E5">
        <f t="shared" ref="E5:E68" si="0">SUM(B5:D5)</f>
        <v>154560.42000000001</v>
      </c>
    </row>
    <row r="6" spans="1:5" x14ac:dyDescent="0.25">
      <c r="A6" s="17" t="s">
        <v>81</v>
      </c>
      <c r="B6" s="19">
        <v>242566.49</v>
      </c>
      <c r="C6" s="19">
        <v>3935.74</v>
      </c>
      <c r="D6" s="19">
        <v>15075</v>
      </c>
      <c r="E6">
        <f t="shared" si="0"/>
        <v>261577.22999999998</v>
      </c>
    </row>
    <row r="7" spans="1:5" x14ac:dyDescent="0.25">
      <c r="A7" s="17" t="s">
        <v>82</v>
      </c>
      <c r="B7" s="19">
        <v>376100.57</v>
      </c>
      <c r="C7" s="19">
        <v>6102.39</v>
      </c>
      <c r="D7" s="19">
        <v>23375</v>
      </c>
      <c r="E7">
        <f t="shared" si="0"/>
        <v>405577.96</v>
      </c>
    </row>
    <row r="8" spans="1:5" x14ac:dyDescent="0.25">
      <c r="A8" s="17" t="s">
        <v>83</v>
      </c>
      <c r="B8" s="19">
        <v>0</v>
      </c>
      <c r="C8" s="19">
        <v>0</v>
      </c>
      <c r="D8" s="19">
        <v>12325</v>
      </c>
      <c r="E8">
        <f t="shared" si="0"/>
        <v>12325</v>
      </c>
    </row>
    <row r="9" spans="1:5" x14ac:dyDescent="0.25">
      <c r="A9" s="17" t="s">
        <v>84</v>
      </c>
      <c r="B9" s="19">
        <v>209489.24</v>
      </c>
      <c r="C9" s="19">
        <v>3399.05</v>
      </c>
      <c r="D9" s="19">
        <v>13025</v>
      </c>
      <c r="E9">
        <f t="shared" si="0"/>
        <v>225913.28999999998</v>
      </c>
    </row>
    <row r="10" spans="1:5" x14ac:dyDescent="0.25">
      <c r="A10" s="17" t="s">
        <v>85</v>
      </c>
      <c r="B10" s="19">
        <v>256042.41</v>
      </c>
      <c r="C10" s="19">
        <v>4154.3999999999996</v>
      </c>
      <c r="D10" s="19">
        <v>15925</v>
      </c>
      <c r="E10">
        <f t="shared" si="0"/>
        <v>276121.81</v>
      </c>
    </row>
    <row r="11" spans="1:5" x14ac:dyDescent="0.25">
      <c r="A11" s="17" t="s">
        <v>86</v>
      </c>
      <c r="B11" s="19">
        <v>176820.36</v>
      </c>
      <c r="C11" s="19">
        <v>2868.98</v>
      </c>
      <c r="D11" s="19">
        <v>11000</v>
      </c>
      <c r="E11">
        <f t="shared" si="0"/>
        <v>190689.34</v>
      </c>
    </row>
    <row r="12" spans="1:5" x14ac:dyDescent="0.25">
      <c r="A12" s="17" t="s">
        <v>87</v>
      </c>
      <c r="B12" s="19">
        <v>182537.41</v>
      </c>
      <c r="C12" s="19">
        <v>2961.75</v>
      </c>
      <c r="D12" s="19">
        <v>11350</v>
      </c>
      <c r="E12">
        <f t="shared" si="0"/>
        <v>196849.16</v>
      </c>
    </row>
    <row r="13" spans="1:5" x14ac:dyDescent="0.25">
      <c r="A13" s="17" t="s">
        <v>88</v>
      </c>
      <c r="B13" s="19">
        <v>0</v>
      </c>
      <c r="C13" s="19">
        <v>0</v>
      </c>
      <c r="D13" s="19">
        <v>10100</v>
      </c>
      <c r="E13">
        <f t="shared" si="0"/>
        <v>10100</v>
      </c>
    </row>
    <row r="14" spans="1:5" x14ac:dyDescent="0.25">
      <c r="A14" s="17" t="s">
        <v>89</v>
      </c>
      <c r="B14" s="19">
        <v>287077.84999999998</v>
      </c>
      <c r="C14" s="19">
        <v>4657.96</v>
      </c>
      <c r="D14" s="19">
        <v>17850</v>
      </c>
      <c r="E14">
        <f t="shared" si="0"/>
        <v>309585.81</v>
      </c>
    </row>
    <row r="15" spans="1:5" x14ac:dyDescent="0.25">
      <c r="A15" s="17" t="s">
        <v>90</v>
      </c>
      <c r="B15" s="19">
        <v>127000.3</v>
      </c>
      <c r="C15" s="19">
        <v>2060.63</v>
      </c>
      <c r="D15" s="19">
        <v>7900</v>
      </c>
      <c r="E15">
        <f t="shared" si="0"/>
        <v>136960.93</v>
      </c>
    </row>
    <row r="16" spans="1:5" x14ac:dyDescent="0.25">
      <c r="A16" s="17" t="s">
        <v>91</v>
      </c>
      <c r="B16" s="19">
        <v>134759.16</v>
      </c>
      <c r="C16" s="19">
        <v>2186.52</v>
      </c>
      <c r="D16" s="19">
        <v>8375</v>
      </c>
      <c r="E16">
        <f t="shared" si="0"/>
        <v>145320.68</v>
      </c>
    </row>
    <row r="17" spans="1:5" x14ac:dyDescent="0.25">
      <c r="A17" s="17" t="s">
        <v>92</v>
      </c>
      <c r="B17" s="19">
        <v>189887.91</v>
      </c>
      <c r="C17" s="19">
        <v>3081.01</v>
      </c>
      <c r="D17" s="19">
        <v>11800</v>
      </c>
      <c r="E17">
        <f t="shared" si="0"/>
        <v>204768.92</v>
      </c>
    </row>
    <row r="18" spans="1:5" x14ac:dyDescent="0.25">
      <c r="A18" s="17" t="s">
        <v>93</v>
      </c>
      <c r="B18" s="19">
        <v>63295.97</v>
      </c>
      <c r="C18" s="19">
        <v>1027</v>
      </c>
      <c r="D18" s="19">
        <v>3925</v>
      </c>
      <c r="E18">
        <f t="shared" si="0"/>
        <v>68247.97</v>
      </c>
    </row>
    <row r="19" spans="1:5" x14ac:dyDescent="0.25">
      <c r="A19" s="17" t="s">
        <v>94</v>
      </c>
      <c r="B19" s="19">
        <v>115974.55</v>
      </c>
      <c r="C19" s="19">
        <v>1881.74</v>
      </c>
      <c r="D19" s="19">
        <v>7200</v>
      </c>
      <c r="E19">
        <f t="shared" si="0"/>
        <v>125056.29000000001</v>
      </c>
    </row>
    <row r="20" spans="1:5" x14ac:dyDescent="0.25">
      <c r="A20" s="17" t="s">
        <v>95</v>
      </c>
      <c r="B20" s="19">
        <v>131492.26999999999</v>
      </c>
      <c r="C20" s="19">
        <v>2133.52</v>
      </c>
      <c r="D20" s="19">
        <v>8175</v>
      </c>
      <c r="E20">
        <f t="shared" si="0"/>
        <v>141800.78999999998</v>
      </c>
    </row>
    <row r="21" spans="1:5" x14ac:dyDescent="0.25">
      <c r="A21" s="17" t="s">
        <v>96</v>
      </c>
      <c r="B21" s="19">
        <v>118833.08</v>
      </c>
      <c r="C21" s="19">
        <v>1928.12</v>
      </c>
      <c r="D21" s="19">
        <v>7375</v>
      </c>
      <c r="E21">
        <f t="shared" si="0"/>
        <v>128136.2</v>
      </c>
    </row>
    <row r="22" spans="1:5" x14ac:dyDescent="0.25">
      <c r="A22" s="17" t="s">
        <v>97</v>
      </c>
      <c r="B22" s="19">
        <v>0</v>
      </c>
      <c r="C22" s="19">
        <v>0</v>
      </c>
      <c r="D22" s="19">
        <v>8950</v>
      </c>
      <c r="E22">
        <f t="shared" si="0"/>
        <v>8950</v>
      </c>
    </row>
    <row r="23" spans="1:5" x14ac:dyDescent="0.25">
      <c r="A23" s="17" t="s">
        <v>98</v>
      </c>
      <c r="B23" s="19">
        <v>316888.21000000002</v>
      </c>
      <c r="C23" s="19">
        <v>5141.6400000000003</v>
      </c>
      <c r="D23" s="19">
        <v>19700</v>
      </c>
      <c r="E23">
        <f t="shared" si="0"/>
        <v>341729.85000000003</v>
      </c>
    </row>
    <row r="24" spans="1:5" x14ac:dyDescent="0.25">
      <c r="A24" s="17" t="s">
        <v>99</v>
      </c>
      <c r="B24" s="19">
        <v>0</v>
      </c>
      <c r="C24" s="19">
        <v>0</v>
      </c>
      <c r="D24" s="19">
        <v>50</v>
      </c>
      <c r="E24">
        <f t="shared" si="0"/>
        <v>50</v>
      </c>
    </row>
    <row r="25" spans="1:5" x14ac:dyDescent="0.25">
      <c r="A25" s="17" t="s">
        <v>100</v>
      </c>
      <c r="B25" s="19">
        <v>128633.75</v>
      </c>
      <c r="C25" s="19">
        <v>2087.14</v>
      </c>
      <c r="D25" s="19">
        <v>8000</v>
      </c>
      <c r="E25">
        <f t="shared" si="0"/>
        <v>138720.89000000001</v>
      </c>
    </row>
    <row r="26" spans="1:5" x14ac:dyDescent="0.25">
      <c r="A26" s="17" t="s">
        <v>101</v>
      </c>
      <c r="B26" s="19">
        <v>485966</v>
      </c>
      <c r="C26" s="19">
        <v>7885</v>
      </c>
      <c r="D26" s="19">
        <v>34825</v>
      </c>
      <c r="E26">
        <f t="shared" si="0"/>
        <v>528676</v>
      </c>
    </row>
    <row r="27" spans="1:5" x14ac:dyDescent="0.25">
      <c r="A27" s="17" t="s">
        <v>102</v>
      </c>
      <c r="B27" s="19">
        <v>155993.94</v>
      </c>
      <c r="C27" s="19">
        <v>2531.0700000000002</v>
      </c>
      <c r="D27" s="19">
        <v>9700</v>
      </c>
      <c r="E27">
        <f t="shared" si="0"/>
        <v>168225.01</v>
      </c>
    </row>
    <row r="28" spans="1:5" x14ac:dyDescent="0.25">
      <c r="A28" s="17" t="s">
        <v>103</v>
      </c>
      <c r="B28" s="19">
        <v>0</v>
      </c>
      <c r="C28" s="19">
        <v>0</v>
      </c>
      <c r="D28" s="19">
        <v>36925</v>
      </c>
      <c r="E28">
        <f t="shared" si="0"/>
        <v>36925</v>
      </c>
    </row>
    <row r="29" spans="1:5" x14ac:dyDescent="0.25">
      <c r="A29" s="17" t="s">
        <v>104</v>
      </c>
      <c r="B29" s="19">
        <v>200505.3</v>
      </c>
      <c r="C29" s="19">
        <v>3253.28</v>
      </c>
      <c r="D29" s="19">
        <v>12450</v>
      </c>
      <c r="E29">
        <f t="shared" si="0"/>
        <v>216208.58</v>
      </c>
    </row>
    <row r="30" spans="1:5" x14ac:dyDescent="0.25">
      <c r="A30" s="17" t="s">
        <v>105</v>
      </c>
      <c r="B30" s="19">
        <v>99231.75</v>
      </c>
      <c r="C30" s="19">
        <v>1610.08</v>
      </c>
      <c r="D30" s="19">
        <v>6175</v>
      </c>
      <c r="E30">
        <f t="shared" si="0"/>
        <v>107016.83</v>
      </c>
    </row>
    <row r="31" spans="1:5" x14ac:dyDescent="0.25">
      <c r="A31" s="17" t="s">
        <v>106</v>
      </c>
      <c r="B31" s="19">
        <v>262984.55</v>
      </c>
      <c r="C31" s="19">
        <v>4267.04</v>
      </c>
      <c r="D31" s="19">
        <v>16350</v>
      </c>
      <c r="E31">
        <f t="shared" si="0"/>
        <v>283601.58999999997</v>
      </c>
    </row>
    <row r="32" spans="1:5" x14ac:dyDescent="0.25">
      <c r="A32" s="17" t="s">
        <v>107</v>
      </c>
      <c r="B32" s="19">
        <v>392026.65</v>
      </c>
      <c r="C32" s="19">
        <v>6360.8</v>
      </c>
      <c r="D32" s="19">
        <v>24375</v>
      </c>
      <c r="E32">
        <f t="shared" si="0"/>
        <v>422762.45</v>
      </c>
    </row>
    <row r="33" spans="1:5" x14ac:dyDescent="0.25">
      <c r="A33" s="17" t="s">
        <v>108</v>
      </c>
      <c r="B33" s="19">
        <v>0</v>
      </c>
      <c r="C33" s="19">
        <v>0</v>
      </c>
      <c r="D33" s="19">
        <v>11925</v>
      </c>
      <c r="E33">
        <f t="shared" si="0"/>
        <v>11925</v>
      </c>
    </row>
    <row r="34" spans="1:5" x14ac:dyDescent="0.25">
      <c r="A34" s="17" t="s">
        <v>109</v>
      </c>
      <c r="B34" s="19">
        <v>84122.39</v>
      </c>
      <c r="C34" s="19">
        <v>1364.92</v>
      </c>
      <c r="D34" s="19">
        <v>5225</v>
      </c>
      <c r="E34">
        <f t="shared" si="0"/>
        <v>90712.31</v>
      </c>
    </row>
    <row r="35" spans="1:5" x14ac:dyDescent="0.25">
      <c r="A35" s="17" t="s">
        <v>110</v>
      </c>
      <c r="B35" s="19">
        <v>0</v>
      </c>
      <c r="C35" s="19">
        <v>0</v>
      </c>
      <c r="D35" s="19">
        <v>13125</v>
      </c>
      <c r="E35">
        <f t="shared" si="0"/>
        <v>13125</v>
      </c>
    </row>
    <row r="36" spans="1:5" x14ac:dyDescent="0.25">
      <c r="A36" s="17" t="s">
        <v>111</v>
      </c>
      <c r="B36" s="19">
        <v>129858.83</v>
      </c>
      <c r="C36" s="19">
        <v>2107.0100000000002</v>
      </c>
      <c r="D36" s="19">
        <v>8075</v>
      </c>
      <c r="E36">
        <f t="shared" si="0"/>
        <v>140040.84</v>
      </c>
    </row>
    <row r="37" spans="1:5" x14ac:dyDescent="0.25">
      <c r="A37" s="17" t="s">
        <v>112</v>
      </c>
      <c r="B37" s="19">
        <v>98006.66</v>
      </c>
      <c r="C37" s="19">
        <v>1590.2</v>
      </c>
      <c r="D37" s="19">
        <v>6100</v>
      </c>
      <c r="E37">
        <f t="shared" si="0"/>
        <v>105696.86</v>
      </c>
    </row>
    <row r="38" spans="1:5" x14ac:dyDescent="0.25">
      <c r="A38" s="17" t="s">
        <v>113</v>
      </c>
      <c r="B38" s="19">
        <v>159669.19</v>
      </c>
      <c r="C38" s="19">
        <v>2590.6999999999998</v>
      </c>
      <c r="D38" s="19">
        <v>9925</v>
      </c>
      <c r="E38">
        <f t="shared" si="0"/>
        <v>172184.89</v>
      </c>
    </row>
    <row r="39" spans="1:5" x14ac:dyDescent="0.25">
      <c r="A39" s="17" t="s">
        <v>114</v>
      </c>
      <c r="B39" s="19">
        <v>58804</v>
      </c>
      <c r="C39" s="19">
        <v>954.12</v>
      </c>
      <c r="D39" s="19">
        <v>9375</v>
      </c>
      <c r="E39">
        <f t="shared" si="0"/>
        <v>69133.119999999995</v>
      </c>
    </row>
    <row r="40" spans="1:5" x14ac:dyDescent="0.25">
      <c r="A40" s="17" t="s">
        <v>115</v>
      </c>
      <c r="B40" s="19">
        <v>155177.22</v>
      </c>
      <c r="C40" s="19">
        <v>2517.8200000000002</v>
      </c>
      <c r="D40" s="19">
        <v>9650</v>
      </c>
      <c r="E40">
        <f t="shared" si="0"/>
        <v>167345.04</v>
      </c>
    </row>
    <row r="41" spans="1:5" x14ac:dyDescent="0.25">
      <c r="A41" s="17" t="s">
        <v>116</v>
      </c>
      <c r="B41" s="19">
        <v>0</v>
      </c>
      <c r="C41" s="19">
        <v>0</v>
      </c>
      <c r="D41" s="19">
        <v>7800</v>
      </c>
      <c r="E41">
        <f t="shared" si="0"/>
        <v>7800</v>
      </c>
    </row>
    <row r="42" spans="1:5" x14ac:dyDescent="0.25">
      <c r="A42" s="17" t="s">
        <v>117</v>
      </c>
      <c r="B42" s="19">
        <v>189887.91</v>
      </c>
      <c r="C42" s="19">
        <v>3081.01</v>
      </c>
      <c r="D42" s="19">
        <v>11800</v>
      </c>
      <c r="E42">
        <f t="shared" si="0"/>
        <v>204768.92</v>
      </c>
    </row>
    <row r="43" spans="1:5" x14ac:dyDescent="0.25">
      <c r="A43" s="17" t="s">
        <v>118</v>
      </c>
      <c r="B43" s="19">
        <v>110665.86</v>
      </c>
      <c r="C43" s="19">
        <v>1795.6</v>
      </c>
      <c r="D43" s="19">
        <v>6875</v>
      </c>
      <c r="E43">
        <f t="shared" si="0"/>
        <v>119336.46</v>
      </c>
    </row>
    <row r="44" spans="1:5" x14ac:dyDescent="0.25">
      <c r="A44" s="17" t="s">
        <v>119</v>
      </c>
      <c r="B44" s="19">
        <v>0</v>
      </c>
      <c r="C44" s="19">
        <v>0</v>
      </c>
      <c r="D44" s="19">
        <v>8225</v>
      </c>
      <c r="E44">
        <f t="shared" si="0"/>
        <v>8225</v>
      </c>
    </row>
    <row r="45" spans="1:5" x14ac:dyDescent="0.25">
      <c r="A45" s="17" t="s">
        <v>121</v>
      </c>
      <c r="B45" s="19">
        <v>0</v>
      </c>
      <c r="C45" s="19">
        <v>0</v>
      </c>
      <c r="D45" s="19">
        <v>1200</v>
      </c>
      <c r="E45">
        <f t="shared" si="0"/>
        <v>1200</v>
      </c>
    </row>
    <row r="46" spans="1:5" x14ac:dyDescent="0.25">
      <c r="A46" s="17" t="s">
        <v>123</v>
      </c>
      <c r="B46" s="19">
        <v>202955.47</v>
      </c>
      <c r="C46" s="19">
        <v>3293.04</v>
      </c>
      <c r="D46" s="19">
        <v>12625</v>
      </c>
      <c r="E46">
        <f t="shared" si="0"/>
        <v>218873.51</v>
      </c>
    </row>
    <row r="47" spans="1:5" x14ac:dyDescent="0.25">
      <c r="A47" s="17" t="s">
        <v>124</v>
      </c>
      <c r="B47" s="19">
        <v>0</v>
      </c>
      <c r="C47" s="19">
        <v>0</v>
      </c>
      <c r="D47" s="19">
        <v>18050</v>
      </c>
      <c r="E47">
        <f t="shared" si="0"/>
        <v>18050</v>
      </c>
    </row>
    <row r="48" spans="1:5" x14ac:dyDescent="0.25">
      <c r="A48" s="17" t="s">
        <v>125</v>
      </c>
      <c r="B48" s="19">
        <v>110665.86</v>
      </c>
      <c r="C48" s="19">
        <v>1795.6</v>
      </c>
      <c r="D48" s="19">
        <v>6875</v>
      </c>
      <c r="E48">
        <f t="shared" si="0"/>
        <v>119336.46</v>
      </c>
    </row>
    <row r="49" spans="1:5" x14ac:dyDescent="0.25">
      <c r="A49" s="17" t="s">
        <v>126</v>
      </c>
      <c r="B49" s="19">
        <v>117199.64</v>
      </c>
      <c r="C49" s="19">
        <v>1901.61</v>
      </c>
      <c r="D49" s="19">
        <v>7275</v>
      </c>
      <c r="E49">
        <f t="shared" si="0"/>
        <v>126376.25</v>
      </c>
    </row>
    <row r="50" spans="1:5" x14ac:dyDescent="0.25">
      <c r="A50" s="17" t="s">
        <v>127</v>
      </c>
      <c r="B50" s="19">
        <v>181312.33</v>
      </c>
      <c r="C50" s="19">
        <v>2941.87</v>
      </c>
      <c r="D50" s="19">
        <v>11275</v>
      </c>
      <c r="E50">
        <f t="shared" si="0"/>
        <v>195529.19999999998</v>
      </c>
    </row>
    <row r="51" spans="1:5" x14ac:dyDescent="0.25">
      <c r="A51" s="17" t="s">
        <v>128</v>
      </c>
      <c r="B51" s="19">
        <v>125775.22</v>
      </c>
      <c r="C51" s="19">
        <v>2040.76</v>
      </c>
      <c r="D51" s="19">
        <v>7825</v>
      </c>
      <c r="E51">
        <f t="shared" si="0"/>
        <v>135640.97999999998</v>
      </c>
    </row>
    <row r="52" spans="1:5" x14ac:dyDescent="0.25">
      <c r="A52" s="17" t="s">
        <v>129</v>
      </c>
      <c r="B52" s="19">
        <v>0</v>
      </c>
      <c r="C52" s="19">
        <v>0</v>
      </c>
      <c r="D52" s="19">
        <v>9925</v>
      </c>
      <c r="E52">
        <f t="shared" si="0"/>
        <v>9925</v>
      </c>
    </row>
    <row r="53" spans="1:5" x14ac:dyDescent="0.25">
      <c r="A53" s="17" t="s">
        <v>130</v>
      </c>
      <c r="B53" s="19">
        <v>143334.75</v>
      </c>
      <c r="C53" s="19">
        <v>2325.67</v>
      </c>
      <c r="D53" s="19">
        <v>8900</v>
      </c>
      <c r="E53">
        <f t="shared" si="0"/>
        <v>154560.42000000001</v>
      </c>
    </row>
    <row r="54" spans="1:5" x14ac:dyDescent="0.25">
      <c r="A54" s="17" t="s">
        <v>131</v>
      </c>
      <c r="B54" s="19">
        <v>160077.54999999999</v>
      </c>
      <c r="C54" s="19">
        <v>2597.33</v>
      </c>
      <c r="D54" s="19">
        <v>9950</v>
      </c>
      <c r="E54">
        <f t="shared" si="0"/>
        <v>172624.87999999998</v>
      </c>
    </row>
    <row r="55" spans="1:5" x14ac:dyDescent="0.25">
      <c r="A55" s="17" t="s">
        <v>132</v>
      </c>
      <c r="B55" s="19">
        <v>100048.47</v>
      </c>
      <c r="C55" s="19">
        <v>1623.33</v>
      </c>
      <c r="D55" s="19">
        <v>6225</v>
      </c>
      <c r="E55">
        <f t="shared" si="0"/>
        <v>107896.8</v>
      </c>
    </row>
    <row r="56" spans="1:5" x14ac:dyDescent="0.25">
      <c r="A56" s="17" t="s">
        <v>133</v>
      </c>
      <c r="B56" s="19">
        <v>0</v>
      </c>
      <c r="C56" s="19">
        <v>0</v>
      </c>
      <c r="D56" s="19">
        <v>19000</v>
      </c>
      <c r="E56">
        <f t="shared" si="0"/>
        <v>19000</v>
      </c>
    </row>
    <row r="57" spans="1:5" x14ac:dyDescent="0.25">
      <c r="A57" s="17" t="s">
        <v>134</v>
      </c>
      <c r="B57" s="19">
        <v>122099.97</v>
      </c>
      <c r="C57" s="19">
        <v>1981.12</v>
      </c>
      <c r="D57" s="19">
        <v>7600</v>
      </c>
      <c r="E57">
        <f t="shared" si="0"/>
        <v>131681.09</v>
      </c>
    </row>
    <row r="58" spans="1:5" x14ac:dyDescent="0.25">
      <c r="A58" s="17" t="s">
        <v>135</v>
      </c>
      <c r="B58" s="19">
        <v>115566.19</v>
      </c>
      <c r="C58" s="19">
        <v>1875.11</v>
      </c>
      <c r="D58" s="19">
        <v>7175</v>
      </c>
      <c r="E58">
        <f t="shared" si="0"/>
        <v>124616.3</v>
      </c>
    </row>
    <row r="59" spans="1:5" x14ac:dyDescent="0.25">
      <c r="A59" s="17" t="s">
        <v>136</v>
      </c>
      <c r="B59" s="19">
        <v>138434.41</v>
      </c>
      <c r="C59" s="19">
        <v>2246.16</v>
      </c>
      <c r="D59" s="19">
        <v>8600</v>
      </c>
      <c r="E59">
        <f t="shared" si="0"/>
        <v>149280.57</v>
      </c>
    </row>
    <row r="60" spans="1:5" x14ac:dyDescent="0.25">
      <c r="A60" s="17" t="s">
        <v>137</v>
      </c>
      <c r="B60" s="19">
        <v>224190.24</v>
      </c>
      <c r="C60" s="19">
        <v>3637.58</v>
      </c>
      <c r="D60" s="19">
        <v>13925</v>
      </c>
      <c r="E60">
        <f t="shared" si="0"/>
        <v>241752.81999999998</v>
      </c>
    </row>
    <row r="61" spans="1:5" x14ac:dyDescent="0.25">
      <c r="A61" s="17" t="s">
        <v>138</v>
      </c>
      <c r="B61" s="19">
        <v>149460.16</v>
      </c>
      <c r="C61" s="19">
        <v>2425.0500000000002</v>
      </c>
      <c r="D61" s="19">
        <v>9300</v>
      </c>
      <c r="E61">
        <f t="shared" si="0"/>
        <v>161185.21</v>
      </c>
    </row>
    <row r="62" spans="1:5" x14ac:dyDescent="0.25">
      <c r="A62" s="17" t="s">
        <v>139</v>
      </c>
      <c r="B62" s="19">
        <v>122099.97</v>
      </c>
      <c r="C62" s="19">
        <v>1981.12</v>
      </c>
      <c r="D62" s="19">
        <v>7600</v>
      </c>
      <c r="E62">
        <f t="shared" si="0"/>
        <v>131681.09</v>
      </c>
    </row>
    <row r="63" spans="1:5" x14ac:dyDescent="0.25">
      <c r="A63" s="17" t="s">
        <v>140</v>
      </c>
      <c r="B63" s="19">
        <v>26135.11</v>
      </c>
      <c r="C63" s="19">
        <v>424.05</v>
      </c>
      <c r="D63" s="19">
        <v>1625</v>
      </c>
      <c r="E63">
        <f t="shared" si="0"/>
        <v>28184.16</v>
      </c>
    </row>
    <row r="64" spans="1:5" x14ac:dyDescent="0.25">
      <c r="A64" s="17" t="s">
        <v>141</v>
      </c>
      <c r="B64" s="19">
        <v>95964.86</v>
      </c>
      <c r="C64" s="19">
        <v>1557.07</v>
      </c>
      <c r="D64" s="19">
        <v>5975</v>
      </c>
      <c r="E64">
        <f t="shared" si="0"/>
        <v>103496.93000000001</v>
      </c>
    </row>
    <row r="65" spans="1:5" x14ac:dyDescent="0.25">
      <c r="A65" s="17" t="s">
        <v>142</v>
      </c>
      <c r="B65" s="19">
        <v>0</v>
      </c>
      <c r="C65" s="19">
        <v>0</v>
      </c>
      <c r="D65" s="19">
        <v>9475</v>
      </c>
      <c r="E65">
        <f t="shared" si="0"/>
        <v>9475</v>
      </c>
    </row>
    <row r="66" spans="1:5" x14ac:dyDescent="0.25">
      <c r="A66" s="17" t="s">
        <v>143</v>
      </c>
      <c r="B66" s="19">
        <v>160485.91</v>
      </c>
      <c r="C66" s="19">
        <v>2603.9499999999998</v>
      </c>
      <c r="D66" s="19">
        <v>9975</v>
      </c>
      <c r="E66">
        <f t="shared" si="0"/>
        <v>173064.86000000002</v>
      </c>
    </row>
    <row r="67" spans="1:5" x14ac:dyDescent="0.25">
      <c r="A67" s="17" t="s">
        <v>144</v>
      </c>
      <c r="B67" s="19">
        <v>0</v>
      </c>
      <c r="C67" s="19">
        <v>0</v>
      </c>
      <c r="D67" s="19">
        <v>9725</v>
      </c>
      <c r="E67">
        <f t="shared" si="0"/>
        <v>9725</v>
      </c>
    </row>
    <row r="68" spans="1:5" x14ac:dyDescent="0.25">
      <c r="A68" s="17" t="s">
        <v>145</v>
      </c>
      <c r="B68" s="19">
        <v>91472.89</v>
      </c>
      <c r="C68" s="19">
        <v>1484.19</v>
      </c>
      <c r="D68" s="19">
        <v>5675</v>
      </c>
      <c r="E68">
        <f t="shared" si="0"/>
        <v>98632.08</v>
      </c>
    </row>
    <row r="69" spans="1:5" x14ac:dyDescent="0.25">
      <c r="A69" s="17" t="s">
        <v>146</v>
      </c>
      <c r="B69" s="19">
        <v>263801.27</v>
      </c>
      <c r="C69" s="19">
        <v>4280.29</v>
      </c>
      <c r="D69" s="19">
        <v>16400</v>
      </c>
      <c r="E69">
        <f t="shared" ref="E69:E120" si="1">SUM(B69:D69)</f>
        <v>284481.56</v>
      </c>
    </row>
    <row r="70" spans="1:5" x14ac:dyDescent="0.25">
      <c r="A70" s="17" t="s">
        <v>147</v>
      </c>
      <c r="B70" s="19">
        <v>160485.91</v>
      </c>
      <c r="C70" s="19">
        <v>2603.9499999999998</v>
      </c>
      <c r="D70" s="19">
        <v>9975</v>
      </c>
      <c r="E70">
        <f t="shared" si="1"/>
        <v>173064.86000000002</v>
      </c>
    </row>
    <row r="71" spans="1:5" x14ac:dyDescent="0.25">
      <c r="A71" s="17" t="s">
        <v>148</v>
      </c>
      <c r="B71" s="19">
        <v>170286.58</v>
      </c>
      <c r="C71" s="19">
        <v>2762.97</v>
      </c>
      <c r="D71" s="19">
        <v>10575</v>
      </c>
      <c r="E71">
        <f t="shared" si="1"/>
        <v>183624.55</v>
      </c>
    </row>
    <row r="72" spans="1:5" x14ac:dyDescent="0.25">
      <c r="A72" s="17" t="s">
        <v>149</v>
      </c>
      <c r="B72" s="19">
        <v>0</v>
      </c>
      <c r="C72" s="19">
        <v>0</v>
      </c>
      <c r="D72" s="19">
        <v>14325</v>
      </c>
      <c r="E72">
        <f t="shared" si="1"/>
        <v>14325</v>
      </c>
    </row>
    <row r="73" spans="1:5" x14ac:dyDescent="0.25">
      <c r="A73" s="17" t="s">
        <v>150</v>
      </c>
      <c r="B73" s="19">
        <v>157627.38</v>
      </c>
      <c r="C73" s="19">
        <v>2557.5700000000002</v>
      </c>
      <c r="D73" s="19">
        <v>9800</v>
      </c>
      <c r="E73">
        <f t="shared" si="1"/>
        <v>169984.95</v>
      </c>
    </row>
    <row r="74" spans="1:5" x14ac:dyDescent="0.25">
      <c r="A74" s="17" t="s">
        <v>151</v>
      </c>
      <c r="B74" s="19">
        <v>77996.97</v>
      </c>
      <c r="C74" s="19">
        <v>1265.53</v>
      </c>
      <c r="D74" s="19">
        <v>4850</v>
      </c>
      <c r="E74">
        <f t="shared" si="1"/>
        <v>84112.5</v>
      </c>
    </row>
    <row r="75" spans="1:5" x14ac:dyDescent="0.25">
      <c r="A75" s="17" t="s">
        <v>152</v>
      </c>
      <c r="B75" s="19">
        <v>169469.86</v>
      </c>
      <c r="C75" s="19">
        <v>2749.72</v>
      </c>
      <c r="D75" s="19">
        <v>10525</v>
      </c>
      <c r="E75">
        <f t="shared" si="1"/>
        <v>182744.58</v>
      </c>
    </row>
    <row r="76" spans="1:5" x14ac:dyDescent="0.25">
      <c r="A76" s="17" t="s">
        <v>153</v>
      </c>
      <c r="B76" s="19">
        <v>0</v>
      </c>
      <c r="C76" s="19">
        <v>0</v>
      </c>
      <c r="D76" s="19">
        <v>16850</v>
      </c>
      <c r="E76">
        <f t="shared" si="1"/>
        <v>16850</v>
      </c>
    </row>
    <row r="77" spans="1:5" x14ac:dyDescent="0.25">
      <c r="A77" s="17" t="s">
        <v>154</v>
      </c>
      <c r="B77" s="19">
        <v>162527.72</v>
      </c>
      <c r="C77" s="19">
        <v>2637.08</v>
      </c>
      <c r="D77" s="19">
        <v>10100</v>
      </c>
      <c r="E77">
        <f t="shared" si="1"/>
        <v>175264.8</v>
      </c>
    </row>
    <row r="78" spans="1:5" x14ac:dyDescent="0.25">
      <c r="A78" s="17" t="s">
        <v>155</v>
      </c>
      <c r="B78" s="19">
        <v>123733.41</v>
      </c>
      <c r="C78" s="19">
        <v>2007.63</v>
      </c>
      <c r="D78" s="19">
        <v>7700</v>
      </c>
      <c r="E78">
        <f t="shared" si="1"/>
        <v>133441.04</v>
      </c>
    </row>
    <row r="79" spans="1:5" x14ac:dyDescent="0.25">
      <c r="A79" s="17" t="s">
        <v>156</v>
      </c>
      <c r="B79" s="19">
        <v>0</v>
      </c>
      <c r="C79" s="19">
        <v>0</v>
      </c>
      <c r="D79" s="19">
        <v>5725</v>
      </c>
      <c r="E79">
        <f t="shared" si="1"/>
        <v>5725</v>
      </c>
    </row>
    <row r="80" spans="1:5" x14ac:dyDescent="0.25">
      <c r="A80" s="17" t="s">
        <v>157</v>
      </c>
      <c r="B80" s="19">
        <v>122916.69</v>
      </c>
      <c r="C80" s="19">
        <v>1994.38</v>
      </c>
      <c r="D80" s="19">
        <v>7650</v>
      </c>
      <c r="E80">
        <f t="shared" si="1"/>
        <v>132561.07</v>
      </c>
    </row>
    <row r="81" spans="1:5" x14ac:dyDescent="0.25">
      <c r="A81" s="17" t="s">
        <v>158</v>
      </c>
      <c r="B81" s="19">
        <v>164569.51999999999</v>
      </c>
      <c r="C81" s="19">
        <v>2670.21</v>
      </c>
      <c r="D81" s="19">
        <v>10225</v>
      </c>
      <c r="E81">
        <f t="shared" si="1"/>
        <v>177464.72999999998</v>
      </c>
    </row>
    <row r="82" spans="1:5" x14ac:dyDescent="0.25">
      <c r="A82" s="17" t="s">
        <v>159</v>
      </c>
      <c r="B82" s="19">
        <v>205813.99</v>
      </c>
      <c r="C82" s="19">
        <v>3339.42</v>
      </c>
      <c r="D82" s="19">
        <v>12800</v>
      </c>
      <c r="E82">
        <f t="shared" si="1"/>
        <v>221953.41</v>
      </c>
    </row>
    <row r="83" spans="1:5" x14ac:dyDescent="0.25">
      <c r="A83" s="17" t="s">
        <v>160</v>
      </c>
      <c r="B83" s="19">
        <v>137209.32999999999</v>
      </c>
      <c r="C83" s="19">
        <v>2226.2800000000002</v>
      </c>
      <c r="D83" s="19">
        <v>8525</v>
      </c>
      <c r="E83">
        <f t="shared" si="1"/>
        <v>147960.60999999999</v>
      </c>
    </row>
    <row r="84" spans="1:5" x14ac:dyDescent="0.25">
      <c r="A84" s="17" t="s">
        <v>161</v>
      </c>
      <c r="B84" s="19">
        <v>229907.3</v>
      </c>
      <c r="C84" s="19">
        <v>3730.34</v>
      </c>
      <c r="D84" s="19">
        <v>14300</v>
      </c>
      <c r="E84">
        <f t="shared" si="1"/>
        <v>247937.63999999998</v>
      </c>
    </row>
    <row r="85" spans="1:5" x14ac:dyDescent="0.25">
      <c r="A85" s="17" t="s">
        <v>162</v>
      </c>
      <c r="B85" s="19">
        <v>50228.42</v>
      </c>
      <c r="C85" s="19">
        <v>814.98</v>
      </c>
      <c r="D85" s="19">
        <v>3125</v>
      </c>
      <c r="E85">
        <f t="shared" si="1"/>
        <v>54168.4</v>
      </c>
    </row>
    <row r="86" spans="1:5" x14ac:dyDescent="0.25">
      <c r="A86" s="17" t="s">
        <v>163</v>
      </c>
      <c r="B86" s="19">
        <v>48186.61</v>
      </c>
      <c r="C86" s="19">
        <v>781.85</v>
      </c>
      <c r="D86" s="19">
        <v>3000</v>
      </c>
      <c r="E86">
        <f t="shared" si="1"/>
        <v>51968.46</v>
      </c>
    </row>
    <row r="87" spans="1:5" x14ac:dyDescent="0.25">
      <c r="A87" s="17" t="s">
        <v>165</v>
      </c>
      <c r="B87" s="19">
        <v>200096.94</v>
      </c>
      <c r="C87" s="19">
        <v>3246.66</v>
      </c>
      <c r="D87" s="19">
        <v>12425</v>
      </c>
      <c r="E87">
        <f t="shared" si="1"/>
        <v>215768.6</v>
      </c>
    </row>
    <row r="88" spans="1:5" x14ac:dyDescent="0.25">
      <c r="A88" s="17" t="s">
        <v>167</v>
      </c>
      <c r="B88" s="19">
        <v>0</v>
      </c>
      <c r="C88" s="19">
        <v>0</v>
      </c>
      <c r="D88" s="19">
        <v>16250</v>
      </c>
      <c r="E88">
        <f t="shared" si="1"/>
        <v>16250</v>
      </c>
    </row>
    <row r="89" spans="1:5" x14ac:dyDescent="0.25">
      <c r="A89" s="17" t="s">
        <v>168</v>
      </c>
      <c r="B89" s="19">
        <v>0</v>
      </c>
      <c r="C89" s="19">
        <v>0</v>
      </c>
      <c r="D89" s="19">
        <v>4275</v>
      </c>
      <c r="E89">
        <f t="shared" si="1"/>
        <v>4275</v>
      </c>
    </row>
    <row r="90" spans="1:5" x14ac:dyDescent="0.25">
      <c r="A90" s="17" t="s">
        <v>169</v>
      </c>
      <c r="B90" s="19">
        <v>141701.29999999999</v>
      </c>
      <c r="C90" s="19">
        <v>2299.16</v>
      </c>
      <c r="D90" s="19">
        <v>8800</v>
      </c>
      <c r="E90">
        <f t="shared" si="1"/>
        <v>152800.46</v>
      </c>
    </row>
    <row r="91" spans="1:5" x14ac:dyDescent="0.25">
      <c r="A91" s="17" t="s">
        <v>77</v>
      </c>
      <c r="B91" s="19">
        <v>0</v>
      </c>
      <c r="C91" s="19">
        <v>0</v>
      </c>
      <c r="D91" s="19">
        <v>0</v>
      </c>
      <c r="E91">
        <f t="shared" si="1"/>
        <v>0</v>
      </c>
    </row>
    <row r="92" spans="1:5" x14ac:dyDescent="0.25">
      <c r="A92" s="17" t="s">
        <v>170</v>
      </c>
      <c r="B92" s="19">
        <v>0</v>
      </c>
      <c r="C92" s="19">
        <v>0</v>
      </c>
      <c r="D92" s="19">
        <v>11800</v>
      </c>
      <c r="E92">
        <f t="shared" si="1"/>
        <v>11800</v>
      </c>
    </row>
    <row r="93" spans="1:5" x14ac:dyDescent="0.25">
      <c r="A93" s="17" t="s">
        <v>171</v>
      </c>
      <c r="B93" s="19">
        <v>0</v>
      </c>
      <c r="C93" s="19">
        <v>0</v>
      </c>
      <c r="D93" s="19">
        <v>15025</v>
      </c>
      <c r="E93">
        <f t="shared" si="1"/>
        <v>15025</v>
      </c>
    </row>
    <row r="94" spans="1:5" x14ac:dyDescent="0.25">
      <c r="A94" s="17" t="s">
        <v>172</v>
      </c>
      <c r="B94" s="19">
        <v>0</v>
      </c>
      <c r="C94" s="19">
        <v>0</v>
      </c>
      <c r="D94" s="19">
        <v>7650</v>
      </c>
      <c r="E94">
        <f t="shared" si="1"/>
        <v>7650</v>
      </c>
    </row>
    <row r="95" spans="1:5" x14ac:dyDescent="0.25">
      <c r="A95" s="17" t="s">
        <v>173</v>
      </c>
      <c r="B95" s="19">
        <v>124958.5</v>
      </c>
      <c r="C95" s="19">
        <v>2027.5</v>
      </c>
      <c r="D95" s="19">
        <v>7775</v>
      </c>
      <c r="E95">
        <f t="shared" si="1"/>
        <v>134761</v>
      </c>
    </row>
    <row r="96" spans="1:5" x14ac:dyDescent="0.25">
      <c r="A96" s="17" t="s">
        <v>174</v>
      </c>
      <c r="B96" s="19">
        <v>0</v>
      </c>
      <c r="C96" s="19">
        <v>0</v>
      </c>
      <c r="D96" s="19">
        <v>9025</v>
      </c>
      <c r="E96">
        <f t="shared" si="1"/>
        <v>9025</v>
      </c>
    </row>
    <row r="97" spans="1:5" x14ac:dyDescent="0.25">
      <c r="A97" s="17" t="s">
        <v>175</v>
      </c>
      <c r="B97" s="19">
        <v>122099.97</v>
      </c>
      <c r="C97" s="19">
        <v>1981.12</v>
      </c>
      <c r="D97" s="19">
        <v>7600</v>
      </c>
      <c r="E97">
        <f t="shared" si="1"/>
        <v>131681.09</v>
      </c>
    </row>
    <row r="98" spans="1:5" x14ac:dyDescent="0.25">
      <c r="A98" s="17" t="s">
        <v>176</v>
      </c>
      <c r="B98" s="19">
        <v>114341.11</v>
      </c>
      <c r="C98" s="19">
        <v>1855.23</v>
      </c>
      <c r="D98" s="19">
        <v>7100</v>
      </c>
      <c r="E98">
        <f t="shared" si="1"/>
        <v>123296.34</v>
      </c>
    </row>
    <row r="99" spans="1:5" x14ac:dyDescent="0.25">
      <c r="A99" s="17" t="s">
        <v>177</v>
      </c>
      <c r="B99" s="19">
        <v>102907</v>
      </c>
      <c r="C99" s="19">
        <v>1669.71</v>
      </c>
      <c r="D99" s="19">
        <v>6400</v>
      </c>
      <c r="E99">
        <f t="shared" si="1"/>
        <v>110976.71</v>
      </c>
    </row>
    <row r="100" spans="1:5" x14ac:dyDescent="0.25">
      <c r="A100" s="17" t="s">
        <v>178</v>
      </c>
      <c r="B100" s="19">
        <v>212347.77</v>
      </c>
      <c r="C100" s="19">
        <v>3445.43</v>
      </c>
      <c r="D100" s="19">
        <v>13200</v>
      </c>
      <c r="E100">
        <f t="shared" si="1"/>
        <v>228993.19999999998</v>
      </c>
    </row>
    <row r="101" spans="1:5" x14ac:dyDescent="0.25">
      <c r="A101" s="17" t="s">
        <v>179</v>
      </c>
      <c r="B101" s="19">
        <v>0</v>
      </c>
      <c r="C101" s="19">
        <v>0</v>
      </c>
      <c r="D101" s="19">
        <v>10875</v>
      </c>
      <c r="E101">
        <f t="shared" si="1"/>
        <v>10875</v>
      </c>
    </row>
    <row r="102" spans="1:5" x14ac:dyDescent="0.25">
      <c r="A102" s="17" t="s">
        <v>180</v>
      </c>
      <c r="B102" s="19">
        <v>71054.83</v>
      </c>
      <c r="C102" s="19">
        <v>1152.8900000000001</v>
      </c>
      <c r="D102" s="19">
        <v>10850</v>
      </c>
      <c r="E102">
        <f t="shared" si="1"/>
        <v>83057.72</v>
      </c>
    </row>
    <row r="103" spans="1:5" x14ac:dyDescent="0.25">
      <c r="A103" s="17" t="s">
        <v>181</v>
      </c>
      <c r="B103" s="19">
        <v>189479.55</v>
      </c>
      <c r="C103" s="19">
        <v>3074.39</v>
      </c>
      <c r="D103" s="19">
        <v>11775</v>
      </c>
      <c r="E103">
        <f t="shared" si="1"/>
        <v>204328.94</v>
      </c>
    </row>
    <row r="104" spans="1:5" x14ac:dyDescent="0.25">
      <c r="A104" s="17" t="s">
        <v>182</v>
      </c>
      <c r="B104" s="19">
        <v>166611.32999999999</v>
      </c>
      <c r="C104" s="19">
        <v>2703.34</v>
      </c>
      <c r="D104" s="19">
        <v>10350</v>
      </c>
      <c r="E104">
        <f t="shared" si="1"/>
        <v>179664.66999999998</v>
      </c>
    </row>
    <row r="105" spans="1:5" x14ac:dyDescent="0.25">
      <c r="A105" s="17" t="s">
        <v>183</v>
      </c>
      <c r="B105" s="19">
        <v>115566.19</v>
      </c>
      <c r="C105" s="19">
        <v>1875.11</v>
      </c>
      <c r="D105" s="19">
        <v>7175</v>
      </c>
      <c r="E105">
        <f t="shared" si="1"/>
        <v>124616.3</v>
      </c>
    </row>
    <row r="106" spans="1:5" x14ac:dyDescent="0.25">
      <c r="A106" s="17" t="s">
        <v>184</v>
      </c>
      <c r="B106" s="19">
        <v>236849.44</v>
      </c>
      <c r="C106" s="19">
        <v>3842.98</v>
      </c>
      <c r="D106" s="19">
        <v>14725</v>
      </c>
      <c r="E106">
        <f t="shared" si="1"/>
        <v>255417.42</v>
      </c>
    </row>
    <row r="107" spans="1:5" x14ac:dyDescent="0.25">
      <c r="A107" s="17" t="s">
        <v>185</v>
      </c>
      <c r="B107" s="19">
        <v>220106.63</v>
      </c>
      <c r="C107" s="19">
        <v>3571.32</v>
      </c>
      <c r="D107" s="19">
        <v>13675</v>
      </c>
      <c r="E107">
        <f t="shared" si="1"/>
        <v>237352.95</v>
      </c>
    </row>
    <row r="108" spans="1:5" x14ac:dyDescent="0.25">
      <c r="A108" s="17" t="s">
        <v>186</v>
      </c>
      <c r="B108" s="19">
        <v>187846.11</v>
      </c>
      <c r="C108" s="19">
        <v>3047.88</v>
      </c>
      <c r="D108" s="19">
        <v>11675</v>
      </c>
      <c r="E108">
        <f t="shared" si="1"/>
        <v>202568.99</v>
      </c>
    </row>
    <row r="109" spans="1:5" x14ac:dyDescent="0.25">
      <c r="A109" s="17" t="s">
        <v>187</v>
      </c>
      <c r="B109" s="19">
        <v>209489.24</v>
      </c>
      <c r="C109" s="19">
        <v>3399.05</v>
      </c>
      <c r="D109" s="19">
        <v>13025</v>
      </c>
      <c r="E109">
        <f t="shared" si="1"/>
        <v>225913.28999999998</v>
      </c>
    </row>
    <row r="110" spans="1:5" x14ac:dyDescent="0.25">
      <c r="A110" s="17" t="s">
        <v>188</v>
      </c>
      <c r="B110" s="19">
        <v>0</v>
      </c>
      <c r="C110" s="19">
        <v>0</v>
      </c>
      <c r="D110" s="19">
        <v>4275</v>
      </c>
      <c r="E110">
        <f t="shared" si="1"/>
        <v>4275</v>
      </c>
    </row>
    <row r="111" spans="1:5" x14ac:dyDescent="0.25">
      <c r="A111" s="17" t="s">
        <v>189</v>
      </c>
      <c r="B111" s="19">
        <v>183354.13</v>
      </c>
      <c r="C111" s="19">
        <v>2975</v>
      </c>
      <c r="D111" s="19">
        <v>11400</v>
      </c>
      <c r="E111">
        <f t="shared" si="1"/>
        <v>197729.13</v>
      </c>
    </row>
    <row r="112" spans="1:5" x14ac:dyDescent="0.25">
      <c r="A112" s="17" t="s">
        <v>190</v>
      </c>
      <c r="B112" s="19">
        <v>61254.16</v>
      </c>
      <c r="C112" s="19">
        <v>993.87</v>
      </c>
      <c r="D112" s="19">
        <v>3800</v>
      </c>
      <c r="E112">
        <f t="shared" si="1"/>
        <v>66048.03</v>
      </c>
    </row>
    <row r="113" spans="1:5" x14ac:dyDescent="0.25">
      <c r="A113" s="17" t="s">
        <v>192</v>
      </c>
      <c r="B113" s="19">
        <v>0</v>
      </c>
      <c r="C113" s="19">
        <v>0</v>
      </c>
      <c r="D113" s="19">
        <v>10875</v>
      </c>
      <c r="E113">
        <f t="shared" si="1"/>
        <v>10875</v>
      </c>
    </row>
    <row r="114" spans="1:5" x14ac:dyDescent="0.25">
      <c r="A114" s="17" t="s">
        <v>193</v>
      </c>
      <c r="B114" s="19">
        <v>121691.61</v>
      </c>
      <c r="C114" s="19">
        <v>1974.5</v>
      </c>
      <c r="D114" s="19">
        <v>7575</v>
      </c>
      <c r="E114">
        <f t="shared" si="1"/>
        <v>131241.10999999999</v>
      </c>
    </row>
    <row r="115" spans="1:5" x14ac:dyDescent="0.25">
      <c r="A115" s="17" t="s">
        <v>194</v>
      </c>
      <c r="B115" s="19">
        <v>144968.19</v>
      </c>
      <c r="C115" s="19">
        <v>2352.17</v>
      </c>
      <c r="D115" s="19">
        <v>9000</v>
      </c>
      <c r="E115">
        <f t="shared" si="1"/>
        <v>156320.36000000002</v>
      </c>
    </row>
    <row r="116" spans="1:5" x14ac:dyDescent="0.25">
      <c r="A116" s="17" t="s">
        <v>195</v>
      </c>
      <c r="B116" s="19">
        <v>147010</v>
      </c>
      <c r="C116" s="19">
        <v>2385.3000000000002</v>
      </c>
      <c r="D116" s="19">
        <v>9125</v>
      </c>
      <c r="E116">
        <f t="shared" si="1"/>
        <v>158520.29999999999</v>
      </c>
    </row>
    <row r="117" spans="1:5" x14ac:dyDescent="0.25">
      <c r="A117" s="17" t="s">
        <v>196</v>
      </c>
      <c r="B117" s="19">
        <v>0</v>
      </c>
      <c r="C117" s="19">
        <v>0</v>
      </c>
      <c r="D117" s="19">
        <v>43875</v>
      </c>
      <c r="E117">
        <f t="shared" si="1"/>
        <v>43875</v>
      </c>
    </row>
    <row r="118" spans="1:5" x14ac:dyDescent="0.25">
      <c r="A118" s="17" t="s">
        <v>197</v>
      </c>
      <c r="B118" s="19">
        <v>267476.52</v>
      </c>
      <c r="C118" s="19">
        <v>4339.92</v>
      </c>
      <c r="D118" s="19">
        <v>16625</v>
      </c>
      <c r="E118">
        <f t="shared" si="1"/>
        <v>288441.44</v>
      </c>
    </row>
    <row r="119" spans="1:5" x14ac:dyDescent="0.25">
      <c r="A119" s="17" t="s">
        <v>198</v>
      </c>
      <c r="B119" s="19">
        <v>0</v>
      </c>
      <c r="C119" s="19">
        <v>0</v>
      </c>
      <c r="D119" s="19">
        <v>2400</v>
      </c>
      <c r="E119">
        <f t="shared" si="1"/>
        <v>2400</v>
      </c>
    </row>
    <row r="120" spans="1:5" x14ac:dyDescent="0.25">
      <c r="A120" s="17" t="s">
        <v>246</v>
      </c>
      <c r="B120" s="19">
        <v>13861833.810000002</v>
      </c>
      <c r="C120" s="19">
        <v>224914.09000000005</v>
      </c>
      <c r="D120" s="19">
        <v>1228425</v>
      </c>
      <c r="E120">
        <f t="shared" si="1"/>
        <v>15315172.900000002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0"/>
  <sheetViews>
    <sheetView workbookViewId="0">
      <selection activeCell="CA22" sqref="CA22"/>
    </sheetView>
  </sheetViews>
  <sheetFormatPr defaultRowHeight="15" x14ac:dyDescent="0.25"/>
  <cols>
    <col min="1" max="1" width="40.28515625" bestFit="1" customWidth="1"/>
    <col min="2" max="2" width="15.28515625" bestFit="1" customWidth="1"/>
    <col min="3" max="5" width="16.28515625" bestFit="1" customWidth="1"/>
    <col min="6" max="6" width="14.28515625" bestFit="1" customWidth="1"/>
  </cols>
  <sheetData>
    <row r="3" spans="1:6" x14ac:dyDescent="0.25">
      <c r="A3" s="16" t="s">
        <v>245</v>
      </c>
      <c r="B3" t="s">
        <v>305</v>
      </c>
      <c r="C3" t="s">
        <v>306</v>
      </c>
      <c r="D3" t="s">
        <v>307</v>
      </c>
      <c r="E3" t="s">
        <v>308</v>
      </c>
      <c r="F3" t="s">
        <v>235</v>
      </c>
    </row>
    <row r="4" spans="1:6" x14ac:dyDescent="0.25">
      <c r="A4" s="17" t="s">
        <v>79</v>
      </c>
      <c r="B4" s="19">
        <v>17790</v>
      </c>
      <c r="C4" s="19">
        <v>19620</v>
      </c>
      <c r="D4" s="19">
        <v>7848</v>
      </c>
      <c r="E4" s="19">
        <v>0</v>
      </c>
      <c r="F4" s="24">
        <f>SUM(B4:E4)</f>
        <v>45258</v>
      </c>
    </row>
    <row r="5" spans="1:6" x14ac:dyDescent="0.25">
      <c r="A5" s="17" t="s">
        <v>80</v>
      </c>
      <c r="B5" s="19">
        <v>29650</v>
      </c>
      <c r="C5" s="19">
        <v>32700</v>
      </c>
      <c r="D5" s="19">
        <v>7848</v>
      </c>
      <c r="E5" s="19">
        <v>0</v>
      </c>
      <c r="F5" s="24">
        <f t="shared" ref="F5:F68" si="0">SUM(B5:E5)</f>
        <v>70198</v>
      </c>
    </row>
    <row r="6" spans="1:6" x14ac:dyDescent="0.25">
      <c r="A6" s="17" t="s">
        <v>81</v>
      </c>
      <c r="B6" s="19">
        <v>0</v>
      </c>
      <c r="C6" s="19">
        <v>0</v>
      </c>
      <c r="D6" s="19">
        <v>0</v>
      </c>
      <c r="E6" s="19">
        <v>72828</v>
      </c>
      <c r="F6" s="24">
        <f t="shared" si="0"/>
        <v>72828</v>
      </c>
    </row>
    <row r="7" spans="1:6" x14ac:dyDescent="0.25">
      <c r="A7" s="17" t="s">
        <v>82</v>
      </c>
      <c r="B7" s="19">
        <v>0</v>
      </c>
      <c r="C7" s="19">
        <v>0</v>
      </c>
      <c r="D7" s="19">
        <v>0</v>
      </c>
      <c r="E7" s="19">
        <v>80920</v>
      </c>
      <c r="F7" s="24">
        <f t="shared" si="0"/>
        <v>80920</v>
      </c>
    </row>
    <row r="8" spans="1:6" x14ac:dyDescent="0.25">
      <c r="A8" s="17" t="s">
        <v>83</v>
      </c>
      <c r="B8" s="19">
        <v>0</v>
      </c>
      <c r="C8" s="19">
        <v>0</v>
      </c>
      <c r="D8" s="19">
        <v>0</v>
      </c>
      <c r="E8" s="19">
        <v>0</v>
      </c>
      <c r="F8" s="24">
        <f t="shared" si="0"/>
        <v>0</v>
      </c>
    </row>
    <row r="9" spans="1:6" x14ac:dyDescent="0.25">
      <c r="A9" s="17" t="s">
        <v>84</v>
      </c>
      <c r="B9" s="19">
        <v>47440</v>
      </c>
      <c r="C9" s="19">
        <v>52320</v>
      </c>
      <c r="D9" s="19">
        <v>7848</v>
      </c>
      <c r="E9" s="19">
        <v>0</v>
      </c>
      <c r="F9" s="24">
        <f t="shared" si="0"/>
        <v>107608</v>
      </c>
    </row>
    <row r="10" spans="1:6" x14ac:dyDescent="0.25">
      <c r="A10" s="17" t="s">
        <v>85</v>
      </c>
      <c r="B10" s="19">
        <v>130460</v>
      </c>
      <c r="C10" s="19">
        <v>143880</v>
      </c>
      <c r="D10" s="19">
        <v>7848</v>
      </c>
      <c r="E10" s="19">
        <v>0</v>
      </c>
      <c r="F10" s="24">
        <f t="shared" si="0"/>
        <v>282188</v>
      </c>
    </row>
    <row r="11" spans="1:6" x14ac:dyDescent="0.25">
      <c r="A11" s="17" t="s">
        <v>86</v>
      </c>
      <c r="B11" s="19">
        <v>53370</v>
      </c>
      <c r="C11" s="19">
        <v>58860</v>
      </c>
      <c r="D11" s="19">
        <v>7848</v>
      </c>
      <c r="E11" s="19">
        <v>0</v>
      </c>
      <c r="F11" s="24">
        <f t="shared" si="0"/>
        <v>120078</v>
      </c>
    </row>
    <row r="12" spans="1:6" x14ac:dyDescent="0.25">
      <c r="A12" s="17" t="s">
        <v>87</v>
      </c>
      <c r="B12" s="19">
        <v>0</v>
      </c>
      <c r="C12" s="19">
        <v>0</v>
      </c>
      <c r="D12" s="19">
        <v>0</v>
      </c>
      <c r="E12" s="19">
        <v>0</v>
      </c>
      <c r="F12" s="24">
        <f t="shared" si="0"/>
        <v>0</v>
      </c>
    </row>
    <row r="13" spans="1:6" x14ac:dyDescent="0.25">
      <c r="A13" s="17" t="s">
        <v>88</v>
      </c>
      <c r="B13" s="19">
        <v>0</v>
      </c>
      <c r="C13" s="19">
        <v>0</v>
      </c>
      <c r="D13" s="19">
        <v>0</v>
      </c>
      <c r="E13" s="19">
        <v>0</v>
      </c>
      <c r="F13" s="24">
        <f t="shared" si="0"/>
        <v>0</v>
      </c>
    </row>
    <row r="14" spans="1:6" x14ac:dyDescent="0.25">
      <c r="A14" s="17" t="s">
        <v>89</v>
      </c>
      <c r="B14" s="19">
        <v>47440</v>
      </c>
      <c r="C14" s="19">
        <v>52320</v>
      </c>
      <c r="D14" s="19">
        <v>7848</v>
      </c>
      <c r="E14" s="19">
        <v>0</v>
      </c>
      <c r="F14" s="24">
        <f t="shared" si="0"/>
        <v>107608</v>
      </c>
    </row>
    <row r="15" spans="1:6" x14ac:dyDescent="0.25">
      <c r="A15" s="17" t="s">
        <v>90</v>
      </c>
      <c r="B15" s="19">
        <v>0</v>
      </c>
      <c r="C15" s="19">
        <v>0</v>
      </c>
      <c r="D15" s="19">
        <v>0</v>
      </c>
      <c r="E15" s="19">
        <v>0</v>
      </c>
      <c r="F15" s="24">
        <f t="shared" si="0"/>
        <v>0</v>
      </c>
    </row>
    <row r="16" spans="1:6" x14ac:dyDescent="0.25">
      <c r="A16" s="17" t="s">
        <v>91</v>
      </c>
      <c r="B16" s="19">
        <v>11860</v>
      </c>
      <c r="C16" s="19">
        <v>13080</v>
      </c>
      <c r="D16" s="19">
        <v>7848</v>
      </c>
      <c r="E16" s="19">
        <v>0</v>
      </c>
      <c r="F16" s="24">
        <f t="shared" si="0"/>
        <v>32788</v>
      </c>
    </row>
    <row r="17" spans="1:6" x14ac:dyDescent="0.25">
      <c r="A17" s="17" t="s">
        <v>92</v>
      </c>
      <c r="B17" s="19">
        <v>0</v>
      </c>
      <c r="C17" s="19">
        <v>0</v>
      </c>
      <c r="D17" s="19">
        <v>0</v>
      </c>
      <c r="E17" s="19">
        <v>0</v>
      </c>
      <c r="F17" s="24">
        <f t="shared" si="0"/>
        <v>0</v>
      </c>
    </row>
    <row r="18" spans="1:6" x14ac:dyDescent="0.25">
      <c r="A18" s="17" t="s">
        <v>93</v>
      </c>
      <c r="B18" s="19">
        <v>17790</v>
      </c>
      <c r="C18" s="19">
        <v>19620</v>
      </c>
      <c r="D18" s="19">
        <v>7848</v>
      </c>
      <c r="E18" s="19">
        <v>0</v>
      </c>
      <c r="F18" s="24">
        <f t="shared" si="0"/>
        <v>45258</v>
      </c>
    </row>
    <row r="19" spans="1:6" x14ac:dyDescent="0.25">
      <c r="A19" s="17" t="s">
        <v>94</v>
      </c>
      <c r="B19" s="19">
        <v>35580</v>
      </c>
      <c r="C19" s="19">
        <v>39240</v>
      </c>
      <c r="D19" s="19">
        <v>7848</v>
      </c>
      <c r="E19" s="19">
        <v>0</v>
      </c>
      <c r="F19" s="24">
        <f t="shared" si="0"/>
        <v>82668</v>
      </c>
    </row>
    <row r="20" spans="1:6" x14ac:dyDescent="0.25">
      <c r="A20" s="17" t="s">
        <v>95</v>
      </c>
      <c r="B20" s="19">
        <v>5930</v>
      </c>
      <c r="C20" s="19">
        <v>6540</v>
      </c>
      <c r="D20" s="19">
        <v>7848</v>
      </c>
      <c r="E20" s="19">
        <v>0</v>
      </c>
      <c r="F20" s="24">
        <f t="shared" si="0"/>
        <v>20318</v>
      </c>
    </row>
    <row r="21" spans="1:6" x14ac:dyDescent="0.25">
      <c r="A21" s="17" t="s">
        <v>96</v>
      </c>
      <c r="B21" s="19">
        <v>0</v>
      </c>
      <c r="C21" s="19">
        <v>0</v>
      </c>
      <c r="D21" s="19">
        <v>0</v>
      </c>
      <c r="E21" s="19">
        <v>0</v>
      </c>
      <c r="F21" s="24">
        <f t="shared" si="0"/>
        <v>0</v>
      </c>
    </row>
    <row r="22" spans="1:6" x14ac:dyDescent="0.25">
      <c r="A22" s="17" t="s">
        <v>97</v>
      </c>
      <c r="B22" s="19">
        <v>0</v>
      </c>
      <c r="C22" s="19">
        <v>0</v>
      </c>
      <c r="D22" s="19">
        <v>0</v>
      </c>
      <c r="E22" s="19">
        <v>0</v>
      </c>
      <c r="F22" s="24">
        <f t="shared" si="0"/>
        <v>0</v>
      </c>
    </row>
    <row r="23" spans="1:6" x14ac:dyDescent="0.25">
      <c r="A23" s="17" t="s">
        <v>98</v>
      </c>
      <c r="B23" s="19">
        <v>0</v>
      </c>
      <c r="C23" s="19">
        <v>0</v>
      </c>
      <c r="D23" s="19">
        <v>0</v>
      </c>
      <c r="E23" s="19">
        <v>56644</v>
      </c>
      <c r="F23" s="24">
        <f t="shared" si="0"/>
        <v>56644</v>
      </c>
    </row>
    <row r="24" spans="1:6" x14ac:dyDescent="0.25">
      <c r="A24" s="17" t="s">
        <v>99</v>
      </c>
      <c r="B24" s="19">
        <v>0</v>
      </c>
      <c r="C24" s="19">
        <v>0</v>
      </c>
      <c r="D24" s="19">
        <v>0</v>
      </c>
      <c r="E24" s="19">
        <v>0</v>
      </c>
      <c r="F24" s="24">
        <f t="shared" si="0"/>
        <v>0</v>
      </c>
    </row>
    <row r="25" spans="1:6" x14ac:dyDescent="0.25">
      <c r="A25" s="17" t="s">
        <v>100</v>
      </c>
      <c r="B25" s="19">
        <v>35580</v>
      </c>
      <c r="C25" s="19">
        <v>39240</v>
      </c>
      <c r="D25" s="19">
        <v>7848</v>
      </c>
      <c r="E25" s="19">
        <v>0</v>
      </c>
      <c r="F25" s="24">
        <f t="shared" si="0"/>
        <v>82668</v>
      </c>
    </row>
    <row r="26" spans="1:6" x14ac:dyDescent="0.25">
      <c r="A26" s="17" t="s">
        <v>101</v>
      </c>
      <c r="B26" s="19">
        <v>0</v>
      </c>
      <c r="C26" s="19">
        <v>0</v>
      </c>
      <c r="D26" s="19">
        <v>0</v>
      </c>
      <c r="E26" s="19">
        <v>56644</v>
      </c>
      <c r="F26" s="24">
        <f t="shared" si="0"/>
        <v>56644</v>
      </c>
    </row>
    <row r="27" spans="1:6" x14ac:dyDescent="0.25">
      <c r="A27" s="17" t="s">
        <v>102</v>
      </c>
      <c r="B27" s="19">
        <v>0</v>
      </c>
      <c r="C27" s="19">
        <v>0</v>
      </c>
      <c r="D27" s="19">
        <v>0</v>
      </c>
      <c r="E27" s="19">
        <v>52598</v>
      </c>
      <c r="F27" s="24">
        <f t="shared" si="0"/>
        <v>52598</v>
      </c>
    </row>
    <row r="28" spans="1:6" x14ac:dyDescent="0.25">
      <c r="A28" s="17" t="s">
        <v>103</v>
      </c>
      <c r="B28" s="19">
        <v>0</v>
      </c>
      <c r="C28" s="19">
        <v>0</v>
      </c>
      <c r="D28" s="19">
        <v>0</v>
      </c>
      <c r="E28" s="19">
        <v>0</v>
      </c>
      <c r="F28" s="24">
        <f t="shared" si="0"/>
        <v>0</v>
      </c>
    </row>
    <row r="29" spans="1:6" x14ac:dyDescent="0.25">
      <c r="A29" s="17" t="s">
        <v>104</v>
      </c>
      <c r="B29" s="19">
        <v>0</v>
      </c>
      <c r="C29" s="19">
        <v>0</v>
      </c>
      <c r="D29" s="19">
        <v>0</v>
      </c>
      <c r="E29" s="19">
        <v>0</v>
      </c>
      <c r="F29" s="24">
        <f t="shared" si="0"/>
        <v>0</v>
      </c>
    </row>
    <row r="30" spans="1:6" x14ac:dyDescent="0.25">
      <c r="A30" s="17" t="s">
        <v>105</v>
      </c>
      <c r="B30" s="19">
        <v>17790</v>
      </c>
      <c r="C30" s="19">
        <v>19620</v>
      </c>
      <c r="D30" s="19">
        <v>7848</v>
      </c>
      <c r="E30" s="19">
        <v>0</v>
      </c>
      <c r="F30" s="24">
        <f t="shared" si="0"/>
        <v>45258</v>
      </c>
    </row>
    <row r="31" spans="1:6" x14ac:dyDescent="0.25">
      <c r="A31" s="17" t="s">
        <v>106</v>
      </c>
      <c r="B31" s="19">
        <v>0</v>
      </c>
      <c r="C31" s="19">
        <v>0</v>
      </c>
      <c r="D31" s="19">
        <v>0</v>
      </c>
      <c r="E31" s="19">
        <v>56644</v>
      </c>
      <c r="F31" s="24">
        <f t="shared" si="0"/>
        <v>56644</v>
      </c>
    </row>
    <row r="32" spans="1:6" x14ac:dyDescent="0.25">
      <c r="A32" s="17" t="s">
        <v>107</v>
      </c>
      <c r="B32" s="19">
        <v>0</v>
      </c>
      <c r="C32" s="19">
        <v>0</v>
      </c>
      <c r="D32" s="19">
        <v>0</v>
      </c>
      <c r="E32" s="19">
        <v>68782</v>
      </c>
      <c r="F32" s="24">
        <f t="shared" si="0"/>
        <v>68782</v>
      </c>
    </row>
    <row r="33" spans="1:6" x14ac:dyDescent="0.25">
      <c r="A33" s="17" t="s">
        <v>108</v>
      </c>
      <c r="B33" s="19">
        <v>0</v>
      </c>
      <c r="C33" s="19">
        <v>0</v>
      </c>
      <c r="D33" s="19">
        <v>0</v>
      </c>
      <c r="E33" s="19">
        <v>0</v>
      </c>
      <c r="F33" s="24">
        <f t="shared" si="0"/>
        <v>0</v>
      </c>
    </row>
    <row r="34" spans="1:6" x14ac:dyDescent="0.25">
      <c r="A34" s="17" t="s">
        <v>109</v>
      </c>
      <c r="B34" s="19">
        <v>0</v>
      </c>
      <c r="C34" s="19">
        <v>0</v>
      </c>
      <c r="D34" s="19">
        <v>0</v>
      </c>
      <c r="E34" s="19">
        <v>0</v>
      </c>
      <c r="F34" s="24">
        <f t="shared" si="0"/>
        <v>0</v>
      </c>
    </row>
    <row r="35" spans="1:6" x14ac:dyDescent="0.25">
      <c r="A35" s="17" t="s">
        <v>110</v>
      </c>
      <c r="B35" s="19">
        <v>0</v>
      </c>
      <c r="C35" s="19">
        <v>0</v>
      </c>
      <c r="D35" s="19">
        <v>0</v>
      </c>
      <c r="E35" s="19">
        <v>0</v>
      </c>
      <c r="F35" s="24">
        <f t="shared" si="0"/>
        <v>0</v>
      </c>
    </row>
    <row r="36" spans="1:6" x14ac:dyDescent="0.25">
      <c r="A36" s="17" t="s">
        <v>111</v>
      </c>
      <c r="B36" s="19">
        <v>29650</v>
      </c>
      <c r="C36" s="19">
        <v>32700</v>
      </c>
      <c r="D36" s="19">
        <v>7848</v>
      </c>
      <c r="E36" s="19">
        <v>0</v>
      </c>
      <c r="F36" s="24">
        <f t="shared" si="0"/>
        <v>70198</v>
      </c>
    </row>
    <row r="37" spans="1:6" x14ac:dyDescent="0.25">
      <c r="A37" s="17" t="s">
        <v>112</v>
      </c>
      <c r="B37" s="19">
        <v>29650</v>
      </c>
      <c r="C37" s="19">
        <v>32700</v>
      </c>
      <c r="D37" s="19">
        <v>7848</v>
      </c>
      <c r="E37" s="19">
        <v>0</v>
      </c>
      <c r="F37" s="24">
        <f t="shared" si="0"/>
        <v>70198</v>
      </c>
    </row>
    <row r="38" spans="1:6" x14ac:dyDescent="0.25">
      <c r="A38" s="17" t="s">
        <v>113</v>
      </c>
      <c r="B38" s="19">
        <v>41510</v>
      </c>
      <c r="C38" s="19">
        <v>45780</v>
      </c>
      <c r="D38" s="19">
        <v>7848</v>
      </c>
      <c r="E38" s="19">
        <v>0</v>
      </c>
      <c r="F38" s="24">
        <f t="shared" si="0"/>
        <v>95138</v>
      </c>
    </row>
    <row r="39" spans="1:6" x14ac:dyDescent="0.25">
      <c r="A39" s="17" t="s">
        <v>114</v>
      </c>
      <c r="B39" s="19">
        <v>0</v>
      </c>
      <c r="C39" s="19">
        <v>0</v>
      </c>
      <c r="D39" s="19">
        <v>0</v>
      </c>
      <c r="E39" s="19">
        <v>0</v>
      </c>
      <c r="F39" s="24">
        <f t="shared" si="0"/>
        <v>0</v>
      </c>
    </row>
    <row r="40" spans="1:6" x14ac:dyDescent="0.25">
      <c r="A40" s="17" t="s">
        <v>115</v>
      </c>
      <c r="B40" s="19">
        <v>0</v>
      </c>
      <c r="C40" s="19">
        <v>0</v>
      </c>
      <c r="D40" s="19">
        <v>0</v>
      </c>
      <c r="E40" s="19">
        <v>0</v>
      </c>
      <c r="F40" s="24">
        <f t="shared" si="0"/>
        <v>0</v>
      </c>
    </row>
    <row r="41" spans="1:6" x14ac:dyDescent="0.25">
      <c r="A41" s="17" t="s">
        <v>116</v>
      </c>
      <c r="B41" s="19">
        <v>0</v>
      </c>
      <c r="C41" s="19">
        <v>0</v>
      </c>
      <c r="D41" s="19">
        <v>0</v>
      </c>
      <c r="E41" s="19">
        <v>0</v>
      </c>
      <c r="F41" s="24">
        <f t="shared" si="0"/>
        <v>0</v>
      </c>
    </row>
    <row r="42" spans="1:6" x14ac:dyDescent="0.25">
      <c r="A42" s="17" t="s">
        <v>117</v>
      </c>
      <c r="B42" s="19">
        <v>41510</v>
      </c>
      <c r="C42" s="19">
        <v>45780</v>
      </c>
      <c r="D42" s="19">
        <v>7848</v>
      </c>
      <c r="E42" s="19">
        <v>0</v>
      </c>
      <c r="F42" s="24">
        <f t="shared" si="0"/>
        <v>95138</v>
      </c>
    </row>
    <row r="43" spans="1:6" x14ac:dyDescent="0.25">
      <c r="A43" s="17" t="s">
        <v>118</v>
      </c>
      <c r="B43" s="19">
        <v>29650</v>
      </c>
      <c r="C43" s="19">
        <v>32700</v>
      </c>
      <c r="D43" s="19">
        <v>7848</v>
      </c>
      <c r="E43" s="19">
        <v>0</v>
      </c>
      <c r="F43" s="24">
        <f t="shared" si="0"/>
        <v>70198</v>
      </c>
    </row>
    <row r="44" spans="1:6" x14ac:dyDescent="0.25">
      <c r="A44" s="17" t="s">
        <v>119</v>
      </c>
      <c r="B44" s="19">
        <v>0</v>
      </c>
      <c r="C44" s="19">
        <v>0</v>
      </c>
      <c r="D44" s="19">
        <v>0</v>
      </c>
      <c r="E44" s="19">
        <v>0</v>
      </c>
      <c r="F44" s="24">
        <f t="shared" si="0"/>
        <v>0</v>
      </c>
    </row>
    <row r="45" spans="1:6" x14ac:dyDescent="0.25">
      <c r="A45" s="17" t="s">
        <v>121</v>
      </c>
      <c r="B45" s="19">
        <v>0</v>
      </c>
      <c r="C45" s="19">
        <v>0</v>
      </c>
      <c r="D45" s="19">
        <v>0</v>
      </c>
      <c r="E45" s="19">
        <v>12138</v>
      </c>
      <c r="F45" s="24">
        <f t="shared" si="0"/>
        <v>12138</v>
      </c>
    </row>
    <row r="46" spans="1:6" x14ac:dyDescent="0.25">
      <c r="A46" s="17" t="s">
        <v>123</v>
      </c>
      <c r="B46" s="19">
        <v>41510</v>
      </c>
      <c r="C46" s="19">
        <v>45780</v>
      </c>
      <c r="D46" s="19">
        <v>7848</v>
      </c>
      <c r="E46" s="19">
        <v>0</v>
      </c>
      <c r="F46" s="24">
        <f t="shared" si="0"/>
        <v>95138</v>
      </c>
    </row>
    <row r="47" spans="1:6" x14ac:dyDescent="0.25">
      <c r="A47" s="17" t="s">
        <v>124</v>
      </c>
      <c r="B47" s="19">
        <v>0</v>
      </c>
      <c r="C47" s="19">
        <v>0</v>
      </c>
      <c r="D47" s="19">
        <v>0</v>
      </c>
      <c r="E47" s="19">
        <v>0</v>
      </c>
      <c r="F47" s="24">
        <f t="shared" si="0"/>
        <v>0</v>
      </c>
    </row>
    <row r="48" spans="1:6" x14ac:dyDescent="0.25">
      <c r="A48" s="17" t="s">
        <v>125</v>
      </c>
      <c r="B48" s="19">
        <v>0</v>
      </c>
      <c r="C48" s="19">
        <v>0</v>
      </c>
      <c r="D48" s="19">
        <v>0</v>
      </c>
      <c r="E48" s="19">
        <v>0</v>
      </c>
      <c r="F48" s="24">
        <f t="shared" si="0"/>
        <v>0</v>
      </c>
    </row>
    <row r="49" spans="1:6" x14ac:dyDescent="0.25">
      <c r="A49" s="17" t="s">
        <v>126</v>
      </c>
      <c r="B49" s="19">
        <v>0</v>
      </c>
      <c r="C49" s="19">
        <v>0</v>
      </c>
      <c r="D49" s="19">
        <v>0</v>
      </c>
      <c r="E49" s="19">
        <v>0</v>
      </c>
      <c r="F49" s="24">
        <f t="shared" si="0"/>
        <v>0</v>
      </c>
    </row>
    <row r="50" spans="1:6" x14ac:dyDescent="0.25">
      <c r="A50" s="17" t="s">
        <v>127</v>
      </c>
      <c r="B50" s="19">
        <v>0</v>
      </c>
      <c r="C50" s="19">
        <v>0</v>
      </c>
      <c r="D50" s="19">
        <v>0</v>
      </c>
      <c r="E50" s="19">
        <v>0</v>
      </c>
      <c r="F50" s="24">
        <f t="shared" si="0"/>
        <v>0</v>
      </c>
    </row>
    <row r="51" spans="1:6" x14ac:dyDescent="0.25">
      <c r="A51" s="17" t="s">
        <v>128</v>
      </c>
      <c r="B51" s="19">
        <v>23720</v>
      </c>
      <c r="C51" s="19">
        <v>26160</v>
      </c>
      <c r="D51" s="19">
        <v>7848</v>
      </c>
      <c r="E51" s="19">
        <v>0</v>
      </c>
      <c r="F51" s="24">
        <f t="shared" si="0"/>
        <v>57728</v>
      </c>
    </row>
    <row r="52" spans="1:6" x14ac:dyDescent="0.25">
      <c r="A52" s="17" t="s">
        <v>129</v>
      </c>
      <c r="B52" s="19">
        <v>0</v>
      </c>
      <c r="C52" s="19">
        <v>0</v>
      </c>
      <c r="D52" s="19">
        <v>0</v>
      </c>
      <c r="E52" s="19">
        <v>0</v>
      </c>
      <c r="F52" s="24">
        <f t="shared" si="0"/>
        <v>0</v>
      </c>
    </row>
    <row r="53" spans="1:6" x14ac:dyDescent="0.25">
      <c r="A53" s="17" t="s">
        <v>130</v>
      </c>
      <c r="B53" s="19">
        <v>35580</v>
      </c>
      <c r="C53" s="19">
        <v>39240</v>
      </c>
      <c r="D53" s="19">
        <v>7848</v>
      </c>
      <c r="E53" s="19">
        <v>0</v>
      </c>
      <c r="F53" s="24">
        <f t="shared" si="0"/>
        <v>82668</v>
      </c>
    </row>
    <row r="54" spans="1:6" x14ac:dyDescent="0.25">
      <c r="A54" s="17" t="s">
        <v>131</v>
      </c>
      <c r="B54" s="19">
        <v>23720</v>
      </c>
      <c r="C54" s="19">
        <v>26160</v>
      </c>
      <c r="D54" s="19">
        <v>7848</v>
      </c>
      <c r="E54" s="19">
        <v>0</v>
      </c>
      <c r="F54" s="24">
        <f t="shared" si="0"/>
        <v>57728</v>
      </c>
    </row>
    <row r="55" spans="1:6" x14ac:dyDescent="0.25">
      <c r="A55" s="17" t="s">
        <v>132</v>
      </c>
      <c r="B55" s="19">
        <v>0</v>
      </c>
      <c r="C55" s="19">
        <v>0</v>
      </c>
      <c r="D55" s="19">
        <v>0</v>
      </c>
      <c r="E55" s="19">
        <v>0</v>
      </c>
      <c r="F55" s="24">
        <f t="shared" si="0"/>
        <v>0</v>
      </c>
    </row>
    <row r="56" spans="1:6" x14ac:dyDescent="0.25">
      <c r="A56" s="17" t="s">
        <v>133</v>
      </c>
      <c r="B56" s="19">
        <v>0</v>
      </c>
      <c r="C56" s="19">
        <v>0</v>
      </c>
      <c r="D56" s="19">
        <v>0</v>
      </c>
      <c r="E56" s="19">
        <v>0</v>
      </c>
      <c r="F56" s="24">
        <f t="shared" si="0"/>
        <v>0</v>
      </c>
    </row>
    <row r="57" spans="1:6" x14ac:dyDescent="0.25">
      <c r="A57" s="17" t="s">
        <v>134</v>
      </c>
      <c r="B57" s="19">
        <v>35580</v>
      </c>
      <c r="C57" s="19">
        <v>39240</v>
      </c>
      <c r="D57" s="19">
        <v>7848</v>
      </c>
      <c r="E57" s="19">
        <v>0</v>
      </c>
      <c r="F57" s="24">
        <f t="shared" si="0"/>
        <v>82668</v>
      </c>
    </row>
    <row r="58" spans="1:6" x14ac:dyDescent="0.25">
      <c r="A58" s="17" t="s">
        <v>135</v>
      </c>
      <c r="B58" s="19">
        <v>17790</v>
      </c>
      <c r="C58" s="19">
        <v>19620</v>
      </c>
      <c r="D58" s="19">
        <v>7848</v>
      </c>
      <c r="E58" s="19">
        <v>0</v>
      </c>
      <c r="F58" s="24">
        <f t="shared" si="0"/>
        <v>45258</v>
      </c>
    </row>
    <row r="59" spans="1:6" x14ac:dyDescent="0.25">
      <c r="A59" s="17" t="s">
        <v>136</v>
      </c>
      <c r="B59" s="19">
        <v>29650</v>
      </c>
      <c r="C59" s="19">
        <v>32700</v>
      </c>
      <c r="D59" s="19">
        <v>7848</v>
      </c>
      <c r="E59" s="19">
        <v>0</v>
      </c>
      <c r="F59" s="24">
        <f t="shared" si="0"/>
        <v>70198</v>
      </c>
    </row>
    <row r="60" spans="1:6" x14ac:dyDescent="0.25">
      <c r="A60" s="17" t="s">
        <v>137</v>
      </c>
      <c r="B60" s="19">
        <v>53370</v>
      </c>
      <c r="C60" s="19">
        <v>58860</v>
      </c>
      <c r="D60" s="19">
        <v>7848</v>
      </c>
      <c r="E60" s="19">
        <v>0</v>
      </c>
      <c r="F60" s="24">
        <f t="shared" si="0"/>
        <v>120078</v>
      </c>
    </row>
    <row r="61" spans="1:6" x14ac:dyDescent="0.25">
      <c r="A61" s="17" t="s">
        <v>138</v>
      </c>
      <c r="B61" s="19">
        <v>65230</v>
      </c>
      <c r="C61" s="19">
        <v>71940</v>
      </c>
      <c r="D61" s="19">
        <v>7848</v>
      </c>
      <c r="E61" s="19">
        <v>0</v>
      </c>
      <c r="F61" s="24">
        <f t="shared" si="0"/>
        <v>145018</v>
      </c>
    </row>
    <row r="62" spans="1:6" x14ac:dyDescent="0.25">
      <c r="A62" s="17" t="s">
        <v>139</v>
      </c>
      <c r="B62" s="19">
        <v>0</v>
      </c>
      <c r="C62" s="19">
        <v>0</v>
      </c>
      <c r="D62" s="19">
        <v>0</v>
      </c>
      <c r="E62" s="19">
        <v>64736</v>
      </c>
      <c r="F62" s="24">
        <f t="shared" si="0"/>
        <v>64736</v>
      </c>
    </row>
    <row r="63" spans="1:6" x14ac:dyDescent="0.25">
      <c r="A63" s="17" t="s">
        <v>140</v>
      </c>
      <c r="B63" s="19">
        <v>0</v>
      </c>
      <c r="C63" s="19">
        <v>0</v>
      </c>
      <c r="D63" s="19">
        <v>0</v>
      </c>
      <c r="E63" s="19">
        <v>0</v>
      </c>
      <c r="F63" s="24">
        <f t="shared" si="0"/>
        <v>0</v>
      </c>
    </row>
    <row r="64" spans="1:6" x14ac:dyDescent="0.25">
      <c r="A64" s="17" t="s">
        <v>141</v>
      </c>
      <c r="B64" s="19">
        <v>0</v>
      </c>
      <c r="C64" s="19">
        <v>0</v>
      </c>
      <c r="D64" s="19">
        <v>0</v>
      </c>
      <c r="E64" s="19">
        <v>0</v>
      </c>
      <c r="F64" s="24">
        <f t="shared" si="0"/>
        <v>0</v>
      </c>
    </row>
    <row r="65" spans="1:6" x14ac:dyDescent="0.25">
      <c r="A65" s="17" t="s">
        <v>142</v>
      </c>
      <c r="B65" s="19">
        <v>0</v>
      </c>
      <c r="C65" s="19">
        <v>0</v>
      </c>
      <c r="D65" s="19">
        <v>0</v>
      </c>
      <c r="E65" s="19">
        <v>0</v>
      </c>
      <c r="F65" s="24">
        <f t="shared" si="0"/>
        <v>0</v>
      </c>
    </row>
    <row r="66" spans="1:6" x14ac:dyDescent="0.25">
      <c r="A66" s="17" t="s">
        <v>143</v>
      </c>
      <c r="B66" s="19">
        <v>65230</v>
      </c>
      <c r="C66" s="19">
        <v>71940</v>
      </c>
      <c r="D66" s="19">
        <v>7848</v>
      </c>
      <c r="E66" s="19">
        <v>0</v>
      </c>
      <c r="F66" s="24">
        <f t="shared" si="0"/>
        <v>145018</v>
      </c>
    </row>
    <row r="67" spans="1:6" x14ac:dyDescent="0.25">
      <c r="A67" s="17" t="s">
        <v>144</v>
      </c>
      <c r="B67" s="19">
        <v>0</v>
      </c>
      <c r="C67" s="19">
        <v>0</v>
      </c>
      <c r="D67" s="19">
        <v>0</v>
      </c>
      <c r="E67" s="19">
        <v>0</v>
      </c>
      <c r="F67" s="24">
        <f t="shared" si="0"/>
        <v>0</v>
      </c>
    </row>
    <row r="68" spans="1:6" x14ac:dyDescent="0.25">
      <c r="A68" s="17" t="s">
        <v>145</v>
      </c>
      <c r="B68" s="19">
        <v>0</v>
      </c>
      <c r="C68" s="19">
        <v>0</v>
      </c>
      <c r="D68" s="19">
        <v>0</v>
      </c>
      <c r="E68" s="19">
        <v>0</v>
      </c>
      <c r="F68" s="24">
        <f t="shared" si="0"/>
        <v>0</v>
      </c>
    </row>
    <row r="69" spans="1:6" x14ac:dyDescent="0.25">
      <c r="A69" s="17" t="s">
        <v>146</v>
      </c>
      <c r="B69" s="19">
        <v>0</v>
      </c>
      <c r="C69" s="19">
        <v>0</v>
      </c>
      <c r="D69" s="19">
        <v>0</v>
      </c>
      <c r="E69" s="19">
        <v>0</v>
      </c>
      <c r="F69" s="24">
        <f t="shared" ref="F69:F120" si="1">SUM(B69:E69)</f>
        <v>0</v>
      </c>
    </row>
    <row r="70" spans="1:6" x14ac:dyDescent="0.25">
      <c r="A70" s="17" t="s">
        <v>147</v>
      </c>
      <c r="B70" s="19">
        <v>35580</v>
      </c>
      <c r="C70" s="19">
        <v>39240</v>
      </c>
      <c r="D70" s="19">
        <v>7848</v>
      </c>
      <c r="E70" s="19">
        <v>0</v>
      </c>
      <c r="F70" s="24">
        <f t="shared" si="1"/>
        <v>82668</v>
      </c>
    </row>
    <row r="71" spans="1:6" x14ac:dyDescent="0.25">
      <c r="A71" s="17" t="s">
        <v>148</v>
      </c>
      <c r="B71" s="19">
        <v>29650</v>
      </c>
      <c r="C71" s="19">
        <v>32700</v>
      </c>
      <c r="D71" s="19">
        <v>7848</v>
      </c>
      <c r="E71" s="19">
        <v>0</v>
      </c>
      <c r="F71" s="24">
        <f t="shared" si="1"/>
        <v>70198</v>
      </c>
    </row>
    <row r="72" spans="1:6" x14ac:dyDescent="0.25">
      <c r="A72" s="17" t="s">
        <v>149</v>
      </c>
      <c r="B72" s="19">
        <v>0</v>
      </c>
      <c r="C72" s="19">
        <v>0</v>
      </c>
      <c r="D72" s="19">
        <v>0</v>
      </c>
      <c r="E72" s="19">
        <v>0</v>
      </c>
      <c r="F72" s="24">
        <f t="shared" si="1"/>
        <v>0</v>
      </c>
    </row>
    <row r="73" spans="1:6" x14ac:dyDescent="0.25">
      <c r="A73" s="17" t="s">
        <v>150</v>
      </c>
      <c r="B73" s="19">
        <v>0</v>
      </c>
      <c r="C73" s="19">
        <v>0</v>
      </c>
      <c r="D73" s="19">
        <v>0</v>
      </c>
      <c r="E73" s="19">
        <v>0</v>
      </c>
      <c r="F73" s="24">
        <f t="shared" si="1"/>
        <v>0</v>
      </c>
    </row>
    <row r="74" spans="1:6" x14ac:dyDescent="0.25">
      <c r="A74" s="17" t="s">
        <v>151</v>
      </c>
      <c r="B74" s="19">
        <v>23720</v>
      </c>
      <c r="C74" s="19">
        <v>26160</v>
      </c>
      <c r="D74" s="19">
        <v>7848</v>
      </c>
      <c r="E74" s="19">
        <v>0</v>
      </c>
      <c r="F74" s="24">
        <f t="shared" si="1"/>
        <v>57728</v>
      </c>
    </row>
    <row r="75" spans="1:6" x14ac:dyDescent="0.25">
      <c r="A75" s="17" t="s">
        <v>152</v>
      </c>
      <c r="B75" s="19">
        <v>0</v>
      </c>
      <c r="C75" s="19">
        <v>0</v>
      </c>
      <c r="D75" s="19">
        <v>0</v>
      </c>
      <c r="E75" s="19">
        <v>0</v>
      </c>
      <c r="F75" s="24">
        <f t="shared" si="1"/>
        <v>0</v>
      </c>
    </row>
    <row r="76" spans="1:6" x14ac:dyDescent="0.25">
      <c r="A76" s="17" t="s">
        <v>153</v>
      </c>
      <c r="B76" s="19">
        <v>0</v>
      </c>
      <c r="C76" s="19">
        <v>0</v>
      </c>
      <c r="D76" s="19">
        <v>0</v>
      </c>
      <c r="E76" s="19">
        <v>0</v>
      </c>
      <c r="F76" s="24">
        <f t="shared" si="1"/>
        <v>0</v>
      </c>
    </row>
    <row r="77" spans="1:6" x14ac:dyDescent="0.25">
      <c r="A77" s="17" t="s">
        <v>154</v>
      </c>
      <c r="B77" s="19">
        <v>47440</v>
      </c>
      <c r="C77" s="19">
        <v>52320</v>
      </c>
      <c r="D77" s="19">
        <v>7848</v>
      </c>
      <c r="E77" s="19">
        <v>0</v>
      </c>
      <c r="F77" s="24">
        <f t="shared" si="1"/>
        <v>107608</v>
      </c>
    </row>
    <row r="78" spans="1:6" x14ac:dyDescent="0.25">
      <c r="A78" s="17" t="s">
        <v>155</v>
      </c>
      <c r="B78" s="19">
        <v>65230</v>
      </c>
      <c r="C78" s="19">
        <v>71940</v>
      </c>
      <c r="D78" s="19">
        <v>7848</v>
      </c>
      <c r="E78" s="19">
        <v>0</v>
      </c>
      <c r="F78" s="24">
        <f t="shared" si="1"/>
        <v>145018</v>
      </c>
    </row>
    <row r="79" spans="1:6" x14ac:dyDescent="0.25">
      <c r="A79" s="17" t="s">
        <v>156</v>
      </c>
      <c r="B79" s="19">
        <v>0</v>
      </c>
      <c r="C79" s="19">
        <v>0</v>
      </c>
      <c r="D79" s="19">
        <v>0</v>
      </c>
      <c r="E79" s="19">
        <v>0</v>
      </c>
      <c r="F79" s="24">
        <f t="shared" si="1"/>
        <v>0</v>
      </c>
    </row>
    <row r="80" spans="1:6" x14ac:dyDescent="0.25">
      <c r="A80" s="17" t="s">
        <v>157</v>
      </c>
      <c r="B80" s="19">
        <v>0</v>
      </c>
      <c r="C80" s="19">
        <v>0</v>
      </c>
      <c r="D80" s="19">
        <v>0</v>
      </c>
      <c r="E80" s="19">
        <v>24276</v>
      </c>
      <c r="F80" s="24">
        <f t="shared" si="1"/>
        <v>24276</v>
      </c>
    </row>
    <row r="81" spans="1:6" x14ac:dyDescent="0.25">
      <c r="A81" s="17" t="s">
        <v>158</v>
      </c>
      <c r="B81" s="19">
        <v>47440</v>
      </c>
      <c r="C81" s="19">
        <v>52320</v>
      </c>
      <c r="D81" s="19">
        <v>7848</v>
      </c>
      <c r="E81" s="19">
        <v>0</v>
      </c>
      <c r="F81" s="24">
        <f t="shared" si="1"/>
        <v>107608</v>
      </c>
    </row>
    <row r="82" spans="1:6" x14ac:dyDescent="0.25">
      <c r="A82" s="17" t="s">
        <v>159</v>
      </c>
      <c r="B82" s="19">
        <v>94880</v>
      </c>
      <c r="C82" s="19">
        <v>104640</v>
      </c>
      <c r="D82" s="19">
        <v>7848</v>
      </c>
      <c r="E82" s="19">
        <v>0</v>
      </c>
      <c r="F82" s="24">
        <f t="shared" si="1"/>
        <v>207368</v>
      </c>
    </row>
    <row r="83" spans="1:6" x14ac:dyDescent="0.25">
      <c r="A83" s="17" t="s">
        <v>160</v>
      </c>
      <c r="B83" s="19">
        <v>29650</v>
      </c>
      <c r="C83" s="19">
        <v>32700</v>
      </c>
      <c r="D83" s="19">
        <v>7848</v>
      </c>
      <c r="E83" s="19">
        <v>0</v>
      </c>
      <c r="F83" s="24">
        <f t="shared" si="1"/>
        <v>70198</v>
      </c>
    </row>
    <row r="84" spans="1:6" x14ac:dyDescent="0.25">
      <c r="A84" s="17" t="s">
        <v>161</v>
      </c>
      <c r="B84" s="19">
        <v>35580</v>
      </c>
      <c r="C84" s="19">
        <v>39240</v>
      </c>
      <c r="D84" s="19">
        <v>7848</v>
      </c>
      <c r="E84" s="19">
        <v>0</v>
      </c>
      <c r="F84" s="24">
        <f t="shared" si="1"/>
        <v>82668</v>
      </c>
    </row>
    <row r="85" spans="1:6" x14ac:dyDescent="0.25">
      <c r="A85" s="17" t="s">
        <v>162</v>
      </c>
      <c r="B85" s="19">
        <v>11860</v>
      </c>
      <c r="C85" s="19">
        <v>13080</v>
      </c>
      <c r="D85" s="19">
        <v>7848</v>
      </c>
      <c r="E85" s="19">
        <v>0</v>
      </c>
      <c r="F85" s="24">
        <f t="shared" si="1"/>
        <v>32788</v>
      </c>
    </row>
    <row r="86" spans="1:6" x14ac:dyDescent="0.25">
      <c r="A86" s="17" t="s">
        <v>163</v>
      </c>
      <c r="B86" s="19">
        <v>0</v>
      </c>
      <c r="C86" s="19">
        <v>0</v>
      </c>
      <c r="D86" s="19">
        <v>0</v>
      </c>
      <c r="E86" s="19">
        <v>24276</v>
      </c>
      <c r="F86" s="24">
        <f t="shared" si="1"/>
        <v>24276</v>
      </c>
    </row>
    <row r="87" spans="1:6" x14ac:dyDescent="0.25">
      <c r="A87" s="17" t="s">
        <v>165</v>
      </c>
      <c r="B87" s="19">
        <v>0</v>
      </c>
      <c r="C87" s="19">
        <v>0</v>
      </c>
      <c r="D87" s="19">
        <v>0</v>
      </c>
      <c r="E87" s="19">
        <v>64736</v>
      </c>
      <c r="F87" s="24">
        <f t="shared" si="1"/>
        <v>64736</v>
      </c>
    </row>
    <row r="88" spans="1:6" x14ac:dyDescent="0.25">
      <c r="A88" s="17" t="s">
        <v>167</v>
      </c>
      <c r="B88" s="19">
        <v>0</v>
      </c>
      <c r="C88" s="19">
        <v>0</v>
      </c>
      <c r="D88" s="19">
        <v>0</v>
      </c>
      <c r="E88" s="19">
        <v>0</v>
      </c>
      <c r="F88" s="24">
        <f t="shared" si="1"/>
        <v>0</v>
      </c>
    </row>
    <row r="89" spans="1:6" x14ac:dyDescent="0.25">
      <c r="A89" s="17" t="s">
        <v>168</v>
      </c>
      <c r="B89" s="19">
        <v>0</v>
      </c>
      <c r="C89" s="19">
        <v>0</v>
      </c>
      <c r="D89" s="19">
        <v>0</v>
      </c>
      <c r="E89" s="19">
        <v>0</v>
      </c>
      <c r="F89" s="24">
        <f t="shared" si="1"/>
        <v>0</v>
      </c>
    </row>
    <row r="90" spans="1:6" x14ac:dyDescent="0.25">
      <c r="A90" s="17" t="s">
        <v>169</v>
      </c>
      <c r="B90" s="19">
        <v>17790</v>
      </c>
      <c r="C90" s="19">
        <v>19620</v>
      </c>
      <c r="D90" s="19">
        <v>7848</v>
      </c>
      <c r="E90" s="19">
        <v>0</v>
      </c>
      <c r="F90" s="24">
        <f t="shared" si="1"/>
        <v>45258</v>
      </c>
    </row>
    <row r="91" spans="1:6" x14ac:dyDescent="0.25">
      <c r="A91" s="17" t="s">
        <v>77</v>
      </c>
      <c r="B91" s="19">
        <v>0</v>
      </c>
      <c r="C91" s="19">
        <v>0</v>
      </c>
      <c r="D91" s="19">
        <v>0</v>
      </c>
      <c r="E91" s="19">
        <v>0</v>
      </c>
      <c r="F91" s="24">
        <f t="shared" si="1"/>
        <v>0</v>
      </c>
    </row>
    <row r="92" spans="1:6" x14ac:dyDescent="0.25">
      <c r="A92" s="17" t="s">
        <v>170</v>
      </c>
      <c r="B92" s="19">
        <v>0</v>
      </c>
      <c r="C92" s="19">
        <v>0</v>
      </c>
      <c r="D92" s="19">
        <v>0</v>
      </c>
      <c r="E92" s="19">
        <v>0</v>
      </c>
      <c r="F92" s="24">
        <f t="shared" si="1"/>
        <v>0</v>
      </c>
    </row>
    <row r="93" spans="1:6" x14ac:dyDescent="0.25">
      <c r="A93" s="17" t="s">
        <v>171</v>
      </c>
      <c r="B93" s="19">
        <v>0</v>
      </c>
      <c r="C93" s="19">
        <v>0</v>
      </c>
      <c r="D93" s="19">
        <v>0</v>
      </c>
      <c r="E93" s="19">
        <v>0</v>
      </c>
      <c r="F93" s="24">
        <f t="shared" si="1"/>
        <v>0</v>
      </c>
    </row>
    <row r="94" spans="1:6" x14ac:dyDescent="0.25">
      <c r="A94" s="17" t="s">
        <v>172</v>
      </c>
      <c r="B94" s="19">
        <v>0</v>
      </c>
      <c r="C94" s="19">
        <v>0</v>
      </c>
      <c r="D94" s="19">
        <v>0</v>
      </c>
      <c r="E94" s="19">
        <v>0</v>
      </c>
      <c r="F94" s="24">
        <f t="shared" si="1"/>
        <v>0</v>
      </c>
    </row>
    <row r="95" spans="1:6" x14ac:dyDescent="0.25">
      <c r="A95" s="17" t="s">
        <v>173</v>
      </c>
      <c r="B95" s="19">
        <v>35580</v>
      </c>
      <c r="C95" s="19">
        <v>39240</v>
      </c>
      <c r="D95" s="19">
        <v>7848</v>
      </c>
      <c r="E95" s="19">
        <v>0</v>
      </c>
      <c r="F95" s="24">
        <f t="shared" si="1"/>
        <v>82668</v>
      </c>
    </row>
    <row r="96" spans="1:6" x14ac:dyDescent="0.25">
      <c r="A96" s="17" t="s">
        <v>174</v>
      </c>
      <c r="B96" s="19">
        <v>0</v>
      </c>
      <c r="C96" s="19">
        <v>0</v>
      </c>
      <c r="D96" s="19">
        <v>0</v>
      </c>
      <c r="E96" s="19">
        <v>0</v>
      </c>
      <c r="F96" s="24">
        <f t="shared" si="1"/>
        <v>0</v>
      </c>
    </row>
    <row r="97" spans="1:6" x14ac:dyDescent="0.25">
      <c r="A97" s="17" t="s">
        <v>175</v>
      </c>
      <c r="B97" s="19">
        <v>0</v>
      </c>
      <c r="C97" s="19">
        <v>0</v>
      </c>
      <c r="D97" s="19">
        <v>0</v>
      </c>
      <c r="E97" s="19">
        <v>0</v>
      </c>
      <c r="F97" s="24">
        <f t="shared" si="1"/>
        <v>0</v>
      </c>
    </row>
    <row r="98" spans="1:6" x14ac:dyDescent="0.25">
      <c r="A98" s="17" t="s">
        <v>176</v>
      </c>
      <c r="B98" s="19">
        <v>29650</v>
      </c>
      <c r="C98" s="19">
        <v>32700</v>
      </c>
      <c r="D98" s="19">
        <v>7848</v>
      </c>
      <c r="E98" s="19">
        <v>0</v>
      </c>
      <c r="F98" s="24">
        <f t="shared" si="1"/>
        <v>70198</v>
      </c>
    </row>
    <row r="99" spans="1:6" x14ac:dyDescent="0.25">
      <c r="A99" s="17" t="s">
        <v>177</v>
      </c>
      <c r="B99" s="19">
        <v>0</v>
      </c>
      <c r="C99" s="19">
        <v>0</v>
      </c>
      <c r="D99" s="19">
        <v>0</v>
      </c>
      <c r="E99" s="19">
        <v>0</v>
      </c>
      <c r="F99" s="24">
        <f t="shared" si="1"/>
        <v>0</v>
      </c>
    </row>
    <row r="100" spans="1:6" x14ac:dyDescent="0.25">
      <c r="A100" s="17" t="s">
        <v>178</v>
      </c>
      <c r="B100" s="19">
        <v>41510</v>
      </c>
      <c r="C100" s="19">
        <v>45780</v>
      </c>
      <c r="D100" s="19">
        <v>7848</v>
      </c>
      <c r="E100" s="19">
        <v>0</v>
      </c>
      <c r="F100" s="24">
        <f t="shared" si="1"/>
        <v>95138</v>
      </c>
    </row>
    <row r="101" spans="1:6" x14ac:dyDescent="0.25">
      <c r="A101" s="17" t="s">
        <v>179</v>
      </c>
      <c r="B101" s="19">
        <v>0</v>
      </c>
      <c r="C101" s="19">
        <v>0</v>
      </c>
      <c r="D101" s="19">
        <v>0</v>
      </c>
      <c r="E101" s="19">
        <v>0</v>
      </c>
      <c r="F101" s="24">
        <f t="shared" si="1"/>
        <v>0</v>
      </c>
    </row>
    <row r="102" spans="1:6" x14ac:dyDescent="0.25">
      <c r="A102" s="17" t="s">
        <v>180</v>
      </c>
      <c r="B102" s="19">
        <v>0</v>
      </c>
      <c r="C102" s="19">
        <v>0</v>
      </c>
      <c r="D102" s="19">
        <v>0</v>
      </c>
      <c r="E102" s="19">
        <v>0</v>
      </c>
      <c r="F102" s="24">
        <f t="shared" si="1"/>
        <v>0</v>
      </c>
    </row>
    <row r="103" spans="1:6" x14ac:dyDescent="0.25">
      <c r="A103" s="17" t="s">
        <v>181</v>
      </c>
      <c r="B103" s="19">
        <v>53370</v>
      </c>
      <c r="C103" s="19">
        <v>58860</v>
      </c>
      <c r="D103" s="19">
        <v>7848</v>
      </c>
      <c r="E103" s="19">
        <v>0</v>
      </c>
      <c r="F103" s="24">
        <f t="shared" si="1"/>
        <v>120078</v>
      </c>
    </row>
    <row r="104" spans="1:6" x14ac:dyDescent="0.25">
      <c r="A104" s="17" t="s">
        <v>182</v>
      </c>
      <c r="B104" s="19">
        <v>47440</v>
      </c>
      <c r="C104" s="19">
        <v>52320</v>
      </c>
      <c r="D104" s="19">
        <v>7848</v>
      </c>
      <c r="E104" s="19">
        <v>0</v>
      </c>
      <c r="F104" s="24">
        <f t="shared" si="1"/>
        <v>107608</v>
      </c>
    </row>
    <row r="105" spans="1:6" x14ac:dyDescent="0.25">
      <c r="A105" s="17" t="s">
        <v>183</v>
      </c>
      <c r="B105" s="19">
        <v>53370</v>
      </c>
      <c r="C105" s="19">
        <v>58860</v>
      </c>
      <c r="D105" s="19">
        <v>7848</v>
      </c>
      <c r="E105" s="19">
        <v>0</v>
      </c>
      <c r="F105" s="24">
        <f t="shared" si="1"/>
        <v>120078</v>
      </c>
    </row>
    <row r="106" spans="1:6" x14ac:dyDescent="0.25">
      <c r="A106" s="17" t="s">
        <v>184</v>
      </c>
      <c r="B106" s="19">
        <v>47440</v>
      </c>
      <c r="C106" s="19">
        <v>52320</v>
      </c>
      <c r="D106" s="19">
        <v>7848</v>
      </c>
      <c r="E106" s="19">
        <v>0</v>
      </c>
      <c r="F106" s="24">
        <f t="shared" si="1"/>
        <v>107608</v>
      </c>
    </row>
    <row r="107" spans="1:6" x14ac:dyDescent="0.25">
      <c r="A107" s="17" t="s">
        <v>185</v>
      </c>
      <c r="B107" s="19">
        <v>29650</v>
      </c>
      <c r="C107" s="19">
        <v>32700</v>
      </c>
      <c r="D107" s="19">
        <v>7848</v>
      </c>
      <c r="E107" s="19">
        <v>0</v>
      </c>
      <c r="F107" s="24">
        <f t="shared" si="1"/>
        <v>70198</v>
      </c>
    </row>
    <row r="108" spans="1:6" x14ac:dyDescent="0.25">
      <c r="A108" s="17" t="s">
        <v>186</v>
      </c>
      <c r="B108" s="19">
        <v>35580</v>
      </c>
      <c r="C108" s="19">
        <v>39240</v>
      </c>
      <c r="D108" s="19">
        <v>7848</v>
      </c>
      <c r="E108" s="19">
        <v>0</v>
      </c>
      <c r="F108" s="24">
        <f t="shared" si="1"/>
        <v>82668</v>
      </c>
    </row>
    <row r="109" spans="1:6" x14ac:dyDescent="0.25">
      <c r="A109" s="17" t="s">
        <v>187</v>
      </c>
      <c r="B109" s="19">
        <v>29650</v>
      </c>
      <c r="C109" s="19">
        <v>32700</v>
      </c>
      <c r="D109" s="19">
        <v>7848</v>
      </c>
      <c r="E109" s="19">
        <v>0</v>
      </c>
      <c r="F109" s="24">
        <f t="shared" si="1"/>
        <v>70198</v>
      </c>
    </row>
    <row r="110" spans="1:6" x14ac:dyDescent="0.25">
      <c r="A110" s="17" t="s">
        <v>188</v>
      </c>
      <c r="B110" s="19">
        <v>0</v>
      </c>
      <c r="C110" s="19">
        <v>0</v>
      </c>
      <c r="D110" s="19">
        <v>0</v>
      </c>
      <c r="E110" s="19">
        <v>0</v>
      </c>
      <c r="F110" s="24">
        <f t="shared" si="1"/>
        <v>0</v>
      </c>
    </row>
    <row r="111" spans="1:6" x14ac:dyDescent="0.25">
      <c r="A111" s="17" t="s">
        <v>189</v>
      </c>
      <c r="B111" s="19">
        <v>41510</v>
      </c>
      <c r="C111" s="19">
        <v>45780</v>
      </c>
      <c r="D111" s="19">
        <v>7848</v>
      </c>
      <c r="E111" s="19">
        <v>0</v>
      </c>
      <c r="F111" s="24">
        <f t="shared" si="1"/>
        <v>95138</v>
      </c>
    </row>
    <row r="112" spans="1:6" x14ac:dyDescent="0.25">
      <c r="A112" s="17" t="s">
        <v>190</v>
      </c>
      <c r="B112" s="19">
        <v>0</v>
      </c>
      <c r="C112" s="19">
        <v>0</v>
      </c>
      <c r="D112" s="19">
        <v>0</v>
      </c>
      <c r="E112" s="19">
        <v>48552</v>
      </c>
      <c r="F112" s="24">
        <f t="shared" si="1"/>
        <v>48552</v>
      </c>
    </row>
    <row r="113" spans="1:6" x14ac:dyDescent="0.25">
      <c r="A113" s="17" t="s">
        <v>192</v>
      </c>
      <c r="B113" s="19">
        <v>47440</v>
      </c>
      <c r="C113" s="19">
        <v>52320</v>
      </c>
      <c r="D113" s="19">
        <v>7848</v>
      </c>
      <c r="E113" s="19">
        <v>0</v>
      </c>
      <c r="F113" s="24">
        <f t="shared" si="1"/>
        <v>107608</v>
      </c>
    </row>
    <row r="114" spans="1:6" x14ac:dyDescent="0.25">
      <c r="A114" s="17" t="s">
        <v>193</v>
      </c>
      <c r="B114" s="19">
        <v>29650</v>
      </c>
      <c r="C114" s="19">
        <v>32700</v>
      </c>
      <c r="D114" s="19">
        <v>7848</v>
      </c>
      <c r="E114" s="19">
        <v>0</v>
      </c>
      <c r="F114" s="24">
        <f t="shared" si="1"/>
        <v>70198</v>
      </c>
    </row>
    <row r="115" spans="1:6" x14ac:dyDescent="0.25">
      <c r="A115" s="17" t="s">
        <v>194</v>
      </c>
      <c r="B115" s="19">
        <v>23720</v>
      </c>
      <c r="C115" s="19">
        <v>26160</v>
      </c>
      <c r="D115" s="19">
        <v>7848</v>
      </c>
      <c r="E115" s="19">
        <v>0</v>
      </c>
      <c r="F115" s="24">
        <f t="shared" si="1"/>
        <v>57728</v>
      </c>
    </row>
    <row r="116" spans="1:6" x14ac:dyDescent="0.25">
      <c r="A116" s="17" t="s">
        <v>195</v>
      </c>
      <c r="B116" s="19">
        <v>35580</v>
      </c>
      <c r="C116" s="19">
        <v>39240</v>
      </c>
      <c r="D116" s="19">
        <v>7848</v>
      </c>
      <c r="E116" s="19">
        <v>0</v>
      </c>
      <c r="F116" s="24">
        <f t="shared" si="1"/>
        <v>82668</v>
      </c>
    </row>
    <row r="117" spans="1:6" x14ac:dyDescent="0.25">
      <c r="A117" s="17" t="s">
        <v>196</v>
      </c>
      <c r="B117" s="19">
        <v>0</v>
      </c>
      <c r="C117" s="19">
        <v>0</v>
      </c>
      <c r="D117" s="19">
        <v>0</v>
      </c>
      <c r="E117" s="19">
        <v>72828</v>
      </c>
      <c r="F117" s="24">
        <f t="shared" si="1"/>
        <v>72828</v>
      </c>
    </row>
    <row r="118" spans="1:6" x14ac:dyDescent="0.25">
      <c r="A118" s="17" t="s">
        <v>197</v>
      </c>
      <c r="B118" s="19">
        <v>0</v>
      </c>
      <c r="C118" s="19">
        <v>0</v>
      </c>
      <c r="D118" s="19">
        <v>0</v>
      </c>
      <c r="E118" s="19">
        <v>80920</v>
      </c>
      <c r="F118" s="24">
        <f t="shared" si="1"/>
        <v>80920</v>
      </c>
    </row>
    <row r="119" spans="1:6" x14ac:dyDescent="0.25">
      <c r="A119" s="17" t="s">
        <v>198</v>
      </c>
      <c r="B119" s="19">
        <v>0</v>
      </c>
      <c r="C119" s="19">
        <v>0</v>
      </c>
      <c r="D119" s="19">
        <v>0</v>
      </c>
      <c r="E119" s="19">
        <v>0</v>
      </c>
      <c r="F119" s="24">
        <f t="shared" si="1"/>
        <v>0</v>
      </c>
    </row>
    <row r="120" spans="1:6" x14ac:dyDescent="0.25">
      <c r="A120" s="17" t="s">
        <v>246</v>
      </c>
      <c r="B120" s="19">
        <v>2033990</v>
      </c>
      <c r="C120" s="19">
        <v>2243220</v>
      </c>
      <c r="D120" s="19">
        <v>415944</v>
      </c>
      <c r="E120" s="19">
        <v>837522</v>
      </c>
      <c r="F120" s="24">
        <f t="shared" si="1"/>
        <v>5530676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opLeftCell="A69" workbookViewId="0">
      <selection activeCell="CA22" sqref="CA22"/>
    </sheetView>
  </sheetViews>
  <sheetFormatPr defaultRowHeight="15" x14ac:dyDescent="0.25"/>
  <cols>
    <col min="1" max="1" width="40.28515625" bestFit="1" customWidth="1"/>
    <col min="2" max="2" width="10.5703125" bestFit="1" customWidth="1"/>
    <col min="3" max="8" width="11.5703125" bestFit="1" customWidth="1"/>
  </cols>
  <sheetData>
    <row r="1" spans="1: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3" spans="1:9" x14ac:dyDescent="0.25">
      <c r="A3" s="16" t="s">
        <v>245</v>
      </c>
      <c r="B3" t="s">
        <v>347</v>
      </c>
      <c r="C3" t="s">
        <v>348</v>
      </c>
      <c r="D3" t="s">
        <v>349</v>
      </c>
      <c r="E3" t="s">
        <v>350</v>
      </c>
      <c r="F3" t="s">
        <v>351</v>
      </c>
      <c r="G3" t="s">
        <v>352</v>
      </c>
      <c r="H3" t="s">
        <v>353</v>
      </c>
      <c r="I3" t="s">
        <v>235</v>
      </c>
    </row>
    <row r="4" spans="1:9" x14ac:dyDescent="0.25">
      <c r="A4" s="17" t="s">
        <v>79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>
        <f>SUM(B4:H4)</f>
        <v>0</v>
      </c>
    </row>
    <row r="5" spans="1:9" x14ac:dyDescent="0.25">
      <c r="A5" s="17" t="s">
        <v>80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>
        <f t="shared" ref="I5:I68" si="0">SUM(B5:H5)</f>
        <v>0</v>
      </c>
    </row>
    <row r="6" spans="1:9" x14ac:dyDescent="0.25">
      <c r="A6" s="17" t="s">
        <v>81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>
        <f t="shared" si="0"/>
        <v>0</v>
      </c>
    </row>
    <row r="7" spans="1:9" x14ac:dyDescent="0.25">
      <c r="A7" s="17" t="s">
        <v>82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>
        <f t="shared" si="0"/>
        <v>0</v>
      </c>
    </row>
    <row r="8" spans="1:9" x14ac:dyDescent="0.25">
      <c r="A8" s="17" t="s">
        <v>83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>
        <f t="shared" si="0"/>
        <v>0</v>
      </c>
    </row>
    <row r="9" spans="1:9" x14ac:dyDescent="0.25">
      <c r="A9" s="17" t="s">
        <v>84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>
        <f t="shared" si="0"/>
        <v>0</v>
      </c>
    </row>
    <row r="10" spans="1:9" x14ac:dyDescent="0.25">
      <c r="A10" s="17" t="s">
        <v>85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>
        <f t="shared" si="0"/>
        <v>0</v>
      </c>
    </row>
    <row r="11" spans="1:9" x14ac:dyDescent="0.25">
      <c r="A11" s="17" t="s">
        <v>86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>
        <f t="shared" si="0"/>
        <v>0</v>
      </c>
    </row>
    <row r="12" spans="1:9" x14ac:dyDescent="0.25">
      <c r="A12" s="17" t="s">
        <v>87</v>
      </c>
      <c r="B12" s="19">
        <v>0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>
        <f t="shared" si="0"/>
        <v>0</v>
      </c>
    </row>
    <row r="13" spans="1:9" x14ac:dyDescent="0.25">
      <c r="A13" s="17" t="s">
        <v>88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>
        <f t="shared" si="0"/>
        <v>0</v>
      </c>
    </row>
    <row r="14" spans="1:9" x14ac:dyDescent="0.25">
      <c r="A14" s="17" t="s">
        <v>89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>
        <f t="shared" si="0"/>
        <v>0</v>
      </c>
    </row>
    <row r="15" spans="1:9" x14ac:dyDescent="0.25">
      <c r="A15" s="17" t="s">
        <v>90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>
        <f t="shared" si="0"/>
        <v>0</v>
      </c>
    </row>
    <row r="16" spans="1:9" x14ac:dyDescent="0.25">
      <c r="A16" s="17" t="s">
        <v>91</v>
      </c>
      <c r="B16" s="19">
        <v>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>
        <f t="shared" si="0"/>
        <v>0</v>
      </c>
    </row>
    <row r="17" spans="1:9" x14ac:dyDescent="0.25">
      <c r="A17" s="17" t="s">
        <v>92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>
        <f t="shared" si="0"/>
        <v>0</v>
      </c>
    </row>
    <row r="18" spans="1:9" x14ac:dyDescent="0.25">
      <c r="A18" s="17" t="s">
        <v>93</v>
      </c>
      <c r="B18" s="19">
        <v>0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>
        <f t="shared" si="0"/>
        <v>0</v>
      </c>
    </row>
    <row r="19" spans="1:9" x14ac:dyDescent="0.25">
      <c r="A19" s="17" t="s">
        <v>94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>
        <f t="shared" si="0"/>
        <v>0</v>
      </c>
    </row>
    <row r="20" spans="1:9" x14ac:dyDescent="0.25">
      <c r="A20" s="17" t="s">
        <v>95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>
        <f t="shared" si="0"/>
        <v>0</v>
      </c>
    </row>
    <row r="21" spans="1:9" x14ac:dyDescent="0.25">
      <c r="A21" s="17" t="s">
        <v>96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>
        <f t="shared" si="0"/>
        <v>0</v>
      </c>
    </row>
    <row r="22" spans="1:9" x14ac:dyDescent="0.25">
      <c r="A22" s="17" t="s">
        <v>97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>
        <f t="shared" si="0"/>
        <v>0</v>
      </c>
    </row>
    <row r="23" spans="1:9" x14ac:dyDescent="0.25">
      <c r="A23" s="17" t="s">
        <v>98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>
        <f t="shared" si="0"/>
        <v>0</v>
      </c>
    </row>
    <row r="24" spans="1:9" x14ac:dyDescent="0.25">
      <c r="A24" s="17" t="s">
        <v>99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>
        <f t="shared" si="0"/>
        <v>0</v>
      </c>
    </row>
    <row r="25" spans="1:9" x14ac:dyDescent="0.25">
      <c r="A25" s="17" t="s">
        <v>100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>
        <f t="shared" si="0"/>
        <v>0</v>
      </c>
    </row>
    <row r="26" spans="1:9" x14ac:dyDescent="0.25">
      <c r="A26" s="17" t="s">
        <v>101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>
        <f t="shared" si="0"/>
        <v>0</v>
      </c>
    </row>
    <row r="27" spans="1:9" x14ac:dyDescent="0.25">
      <c r="A27" s="17" t="s">
        <v>102</v>
      </c>
      <c r="B27" s="19">
        <v>0</v>
      </c>
      <c r="C27" s="19">
        <v>0</v>
      </c>
      <c r="D27" s="19">
        <v>0</v>
      </c>
      <c r="E27" s="19">
        <v>0</v>
      </c>
      <c r="F27" s="19">
        <v>71144</v>
      </c>
      <c r="G27" s="19">
        <v>0.5</v>
      </c>
      <c r="H27" s="19">
        <v>48842.5</v>
      </c>
      <c r="I27">
        <f t="shared" si="0"/>
        <v>119987</v>
      </c>
    </row>
    <row r="28" spans="1:9" x14ac:dyDescent="0.25">
      <c r="A28" s="17" t="s">
        <v>103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>
        <f t="shared" si="0"/>
        <v>0</v>
      </c>
    </row>
    <row r="29" spans="1:9" x14ac:dyDescent="0.25">
      <c r="A29" s="17" t="s">
        <v>104</v>
      </c>
      <c r="B29" s="19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>
        <f t="shared" si="0"/>
        <v>0</v>
      </c>
    </row>
    <row r="30" spans="1:9" x14ac:dyDescent="0.25">
      <c r="A30" s="17" t="s">
        <v>105</v>
      </c>
      <c r="B30" s="19">
        <v>0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>
        <f t="shared" si="0"/>
        <v>0</v>
      </c>
    </row>
    <row r="31" spans="1:9" x14ac:dyDescent="0.25">
      <c r="A31" s="17" t="s">
        <v>106</v>
      </c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>
        <f t="shared" si="0"/>
        <v>0</v>
      </c>
    </row>
    <row r="32" spans="1:9" x14ac:dyDescent="0.25">
      <c r="A32" s="17" t="s">
        <v>107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>
        <f t="shared" si="0"/>
        <v>0</v>
      </c>
    </row>
    <row r="33" spans="1:9" x14ac:dyDescent="0.25">
      <c r="A33" s="17" t="s">
        <v>108</v>
      </c>
      <c r="B33" s="19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>
        <f t="shared" si="0"/>
        <v>0</v>
      </c>
    </row>
    <row r="34" spans="1:9" x14ac:dyDescent="0.25">
      <c r="A34" s="17" t="s">
        <v>109</v>
      </c>
      <c r="B34" s="19">
        <v>0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>
        <f t="shared" si="0"/>
        <v>0</v>
      </c>
    </row>
    <row r="35" spans="1:9" x14ac:dyDescent="0.25">
      <c r="A35" s="17" t="s">
        <v>110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>
        <f t="shared" si="0"/>
        <v>0</v>
      </c>
    </row>
    <row r="36" spans="1:9" x14ac:dyDescent="0.25">
      <c r="A36" s="17" t="s">
        <v>111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>
        <f t="shared" si="0"/>
        <v>0</v>
      </c>
    </row>
    <row r="37" spans="1:9" x14ac:dyDescent="0.25">
      <c r="A37" s="17" t="s">
        <v>112</v>
      </c>
      <c r="B37" s="19">
        <v>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>
        <f t="shared" si="0"/>
        <v>0</v>
      </c>
    </row>
    <row r="38" spans="1:9" x14ac:dyDescent="0.25">
      <c r="A38" s="17" t="s">
        <v>113</v>
      </c>
      <c r="B38" s="19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>
        <f t="shared" si="0"/>
        <v>0</v>
      </c>
    </row>
    <row r="39" spans="1:9" x14ac:dyDescent="0.25">
      <c r="A39" s="17" t="s">
        <v>114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>
        <f t="shared" si="0"/>
        <v>0</v>
      </c>
    </row>
    <row r="40" spans="1:9" x14ac:dyDescent="0.25">
      <c r="A40" s="17" t="s">
        <v>115</v>
      </c>
      <c r="B40" s="19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>
        <f t="shared" si="0"/>
        <v>0</v>
      </c>
    </row>
    <row r="41" spans="1:9" x14ac:dyDescent="0.25">
      <c r="A41" s="17" t="s">
        <v>116</v>
      </c>
      <c r="B41" s="19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>
        <f t="shared" si="0"/>
        <v>0</v>
      </c>
    </row>
    <row r="42" spans="1:9" x14ac:dyDescent="0.25">
      <c r="A42" s="17" t="s">
        <v>117</v>
      </c>
      <c r="B42" s="19">
        <v>0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>
        <f t="shared" si="0"/>
        <v>0</v>
      </c>
    </row>
    <row r="43" spans="1:9" x14ac:dyDescent="0.25">
      <c r="A43" s="17" t="s">
        <v>118</v>
      </c>
      <c r="B43" s="19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>
        <f t="shared" si="0"/>
        <v>0</v>
      </c>
    </row>
    <row r="44" spans="1:9" x14ac:dyDescent="0.25">
      <c r="A44" s="17" t="s">
        <v>119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>
        <f t="shared" si="0"/>
        <v>0</v>
      </c>
    </row>
    <row r="45" spans="1:9" x14ac:dyDescent="0.25">
      <c r="A45" s="17" t="s">
        <v>121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>
        <f t="shared" si="0"/>
        <v>0</v>
      </c>
    </row>
    <row r="46" spans="1:9" x14ac:dyDescent="0.25">
      <c r="A46" s="17" t="s">
        <v>123</v>
      </c>
      <c r="B46" s="19">
        <v>0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>
        <f t="shared" si="0"/>
        <v>0</v>
      </c>
    </row>
    <row r="47" spans="1:9" x14ac:dyDescent="0.25">
      <c r="A47" s="17" t="s">
        <v>124</v>
      </c>
      <c r="B47" s="19">
        <v>0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>
        <f t="shared" si="0"/>
        <v>0</v>
      </c>
    </row>
    <row r="48" spans="1:9" x14ac:dyDescent="0.25">
      <c r="A48" s="17" t="s">
        <v>125</v>
      </c>
      <c r="B48" s="19">
        <v>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>
        <f t="shared" si="0"/>
        <v>0</v>
      </c>
    </row>
    <row r="49" spans="1:9" x14ac:dyDescent="0.25">
      <c r="A49" s="17" t="s">
        <v>126</v>
      </c>
      <c r="B49" s="19">
        <v>0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>
        <f t="shared" si="0"/>
        <v>0</v>
      </c>
    </row>
    <row r="50" spans="1:9" x14ac:dyDescent="0.25">
      <c r="A50" s="17" t="s">
        <v>127</v>
      </c>
      <c r="B50" s="19">
        <v>0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>
        <f t="shared" si="0"/>
        <v>0</v>
      </c>
    </row>
    <row r="51" spans="1:9" x14ac:dyDescent="0.25">
      <c r="A51" s="17" t="s">
        <v>128</v>
      </c>
      <c r="B51" s="19">
        <v>0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>
        <f t="shared" si="0"/>
        <v>0</v>
      </c>
    </row>
    <row r="52" spans="1:9" x14ac:dyDescent="0.25">
      <c r="A52" s="17" t="s">
        <v>129</v>
      </c>
      <c r="B52" s="19">
        <v>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>
        <f t="shared" si="0"/>
        <v>0</v>
      </c>
    </row>
    <row r="53" spans="1:9" x14ac:dyDescent="0.25">
      <c r="A53" s="17" t="s">
        <v>130</v>
      </c>
      <c r="B53" s="19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>
        <f t="shared" si="0"/>
        <v>0</v>
      </c>
    </row>
    <row r="54" spans="1:9" x14ac:dyDescent="0.25">
      <c r="A54" s="17" t="s">
        <v>131</v>
      </c>
      <c r="B54" s="19">
        <v>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>
        <f t="shared" si="0"/>
        <v>0</v>
      </c>
    </row>
    <row r="55" spans="1:9" x14ac:dyDescent="0.25">
      <c r="A55" s="17" t="s">
        <v>132</v>
      </c>
      <c r="B55" s="19">
        <v>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>
        <f t="shared" si="0"/>
        <v>0</v>
      </c>
    </row>
    <row r="56" spans="1:9" x14ac:dyDescent="0.25">
      <c r="A56" s="17" t="s">
        <v>133</v>
      </c>
      <c r="B56" s="19">
        <v>0</v>
      </c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>
        <f t="shared" si="0"/>
        <v>0</v>
      </c>
    </row>
    <row r="57" spans="1:9" x14ac:dyDescent="0.25">
      <c r="A57" s="17" t="s">
        <v>134</v>
      </c>
      <c r="B57" s="19">
        <v>0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>
        <f t="shared" si="0"/>
        <v>0</v>
      </c>
    </row>
    <row r="58" spans="1:9" x14ac:dyDescent="0.25">
      <c r="A58" s="17" t="s">
        <v>135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>
        <f t="shared" si="0"/>
        <v>0</v>
      </c>
    </row>
    <row r="59" spans="1:9" x14ac:dyDescent="0.25">
      <c r="A59" s="17" t="s">
        <v>136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>
        <f t="shared" si="0"/>
        <v>0</v>
      </c>
    </row>
    <row r="60" spans="1:9" x14ac:dyDescent="0.25">
      <c r="A60" s="17" t="s">
        <v>137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>
        <f t="shared" si="0"/>
        <v>0</v>
      </c>
    </row>
    <row r="61" spans="1:9" x14ac:dyDescent="0.25">
      <c r="A61" s="17" t="s">
        <v>138</v>
      </c>
      <c r="B61" s="19">
        <v>0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>
        <f t="shared" si="0"/>
        <v>0</v>
      </c>
    </row>
    <row r="62" spans="1:9" x14ac:dyDescent="0.25">
      <c r="A62" s="17" t="s">
        <v>139</v>
      </c>
      <c r="B62" s="19">
        <v>0</v>
      </c>
      <c r="C62" s="19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>
        <f t="shared" si="0"/>
        <v>0</v>
      </c>
    </row>
    <row r="63" spans="1:9" x14ac:dyDescent="0.25">
      <c r="A63" s="17" t="s">
        <v>140</v>
      </c>
      <c r="B63" s="19">
        <v>0</v>
      </c>
      <c r="C63" s="19">
        <v>0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>
        <f t="shared" si="0"/>
        <v>0</v>
      </c>
    </row>
    <row r="64" spans="1:9" x14ac:dyDescent="0.25">
      <c r="A64" s="17" t="s">
        <v>141</v>
      </c>
      <c r="B64" s="19">
        <v>0</v>
      </c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>
        <f t="shared" si="0"/>
        <v>0</v>
      </c>
    </row>
    <row r="65" spans="1:9" x14ac:dyDescent="0.25">
      <c r="A65" s="17" t="s">
        <v>142</v>
      </c>
      <c r="B65" s="19">
        <v>0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>
        <f t="shared" si="0"/>
        <v>0</v>
      </c>
    </row>
    <row r="66" spans="1:9" x14ac:dyDescent="0.25">
      <c r="A66" s="17" t="s">
        <v>143</v>
      </c>
      <c r="B66" s="19">
        <v>0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>
        <f t="shared" si="0"/>
        <v>0</v>
      </c>
    </row>
    <row r="67" spans="1:9" x14ac:dyDescent="0.25">
      <c r="A67" s="17" t="s">
        <v>144</v>
      </c>
      <c r="B67" s="19">
        <v>0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>
        <f t="shared" si="0"/>
        <v>0</v>
      </c>
    </row>
    <row r="68" spans="1:9" x14ac:dyDescent="0.25">
      <c r="A68" s="17" t="s">
        <v>145</v>
      </c>
      <c r="B68" s="19">
        <v>0</v>
      </c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>
        <f t="shared" si="0"/>
        <v>0</v>
      </c>
    </row>
    <row r="69" spans="1:9" x14ac:dyDescent="0.25">
      <c r="A69" s="17" t="s">
        <v>146</v>
      </c>
      <c r="B69" s="19">
        <v>0</v>
      </c>
      <c r="C69" s="19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>
        <f t="shared" ref="I69:I120" si="1">SUM(B69:H69)</f>
        <v>0</v>
      </c>
    </row>
    <row r="70" spans="1:9" x14ac:dyDescent="0.25">
      <c r="A70" s="17" t="s">
        <v>147</v>
      </c>
      <c r="B70" s="19">
        <v>0</v>
      </c>
      <c r="C70" s="19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>
        <f t="shared" si="1"/>
        <v>0</v>
      </c>
    </row>
    <row r="71" spans="1:9" x14ac:dyDescent="0.25">
      <c r="A71" s="17" t="s">
        <v>148</v>
      </c>
      <c r="B71" s="19">
        <v>0</v>
      </c>
      <c r="C71" s="19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>
        <f t="shared" si="1"/>
        <v>0</v>
      </c>
    </row>
    <row r="72" spans="1:9" x14ac:dyDescent="0.25">
      <c r="A72" s="17" t="s">
        <v>149</v>
      </c>
      <c r="B72" s="19">
        <v>0</v>
      </c>
      <c r="C72" s="19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>
        <f t="shared" si="1"/>
        <v>0</v>
      </c>
    </row>
    <row r="73" spans="1:9" x14ac:dyDescent="0.25">
      <c r="A73" s="17" t="s">
        <v>150</v>
      </c>
      <c r="B73" s="19">
        <v>0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>
        <f t="shared" si="1"/>
        <v>0</v>
      </c>
    </row>
    <row r="74" spans="1:9" x14ac:dyDescent="0.25">
      <c r="A74" s="17" t="s">
        <v>151</v>
      </c>
      <c r="B74" s="19">
        <v>0</v>
      </c>
      <c r="C74" s="19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>
        <f t="shared" si="1"/>
        <v>0</v>
      </c>
    </row>
    <row r="75" spans="1:9" x14ac:dyDescent="0.25">
      <c r="A75" s="17" t="s">
        <v>152</v>
      </c>
      <c r="B75" s="19">
        <v>0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>
        <f t="shared" si="1"/>
        <v>0</v>
      </c>
    </row>
    <row r="76" spans="1:9" x14ac:dyDescent="0.25">
      <c r="A76" s="17" t="s">
        <v>153</v>
      </c>
      <c r="B76" s="19">
        <v>0</v>
      </c>
      <c r="C76" s="19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>
        <f t="shared" si="1"/>
        <v>0</v>
      </c>
    </row>
    <row r="77" spans="1:9" x14ac:dyDescent="0.25">
      <c r="A77" s="17" t="s">
        <v>154</v>
      </c>
      <c r="B77" s="19">
        <v>0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>
        <f t="shared" si="1"/>
        <v>0</v>
      </c>
    </row>
    <row r="78" spans="1:9" x14ac:dyDescent="0.25">
      <c r="A78" s="17" t="s">
        <v>155</v>
      </c>
      <c r="B78" s="19">
        <v>0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>
        <f t="shared" si="1"/>
        <v>0</v>
      </c>
    </row>
    <row r="79" spans="1:9" x14ac:dyDescent="0.25">
      <c r="A79" s="17" t="s">
        <v>156</v>
      </c>
      <c r="B79" s="19">
        <v>0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>
        <f t="shared" si="1"/>
        <v>0</v>
      </c>
    </row>
    <row r="80" spans="1:9" x14ac:dyDescent="0.25">
      <c r="A80" s="17" t="s">
        <v>157</v>
      </c>
      <c r="B80" s="19">
        <v>0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>
        <f t="shared" si="1"/>
        <v>0</v>
      </c>
    </row>
    <row r="81" spans="1:9" x14ac:dyDescent="0.25">
      <c r="A81" s="17" t="s">
        <v>158</v>
      </c>
      <c r="B81" s="19">
        <v>0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>
        <f t="shared" si="1"/>
        <v>0</v>
      </c>
    </row>
    <row r="82" spans="1:9" x14ac:dyDescent="0.25">
      <c r="A82" s="17" t="s">
        <v>159</v>
      </c>
      <c r="B82" s="19">
        <v>0</v>
      </c>
      <c r="C82" s="19">
        <v>0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>
        <f t="shared" si="1"/>
        <v>0</v>
      </c>
    </row>
    <row r="83" spans="1:9" x14ac:dyDescent="0.25">
      <c r="A83" s="17" t="s">
        <v>160</v>
      </c>
      <c r="B83" s="19">
        <v>0</v>
      </c>
      <c r="C83" s="19">
        <v>0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>
        <f t="shared" si="1"/>
        <v>0</v>
      </c>
    </row>
    <row r="84" spans="1:9" x14ac:dyDescent="0.25">
      <c r="A84" s="17" t="s">
        <v>161</v>
      </c>
      <c r="B84" s="19">
        <v>0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>
        <f t="shared" si="1"/>
        <v>0</v>
      </c>
    </row>
    <row r="85" spans="1:9" x14ac:dyDescent="0.25">
      <c r="A85" s="17" t="s">
        <v>162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>
        <f t="shared" si="1"/>
        <v>0</v>
      </c>
    </row>
    <row r="86" spans="1:9" x14ac:dyDescent="0.25">
      <c r="A86" s="17" t="s">
        <v>163</v>
      </c>
      <c r="B86" s="19">
        <v>0</v>
      </c>
      <c r="C86" s="19">
        <v>0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>
        <f t="shared" si="1"/>
        <v>0</v>
      </c>
    </row>
    <row r="87" spans="1:9" x14ac:dyDescent="0.25">
      <c r="A87" s="17" t="s">
        <v>165</v>
      </c>
      <c r="B87" s="19">
        <v>0</v>
      </c>
      <c r="C87" s="19">
        <v>0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>
        <f t="shared" si="1"/>
        <v>0</v>
      </c>
    </row>
    <row r="88" spans="1:9" x14ac:dyDescent="0.25">
      <c r="A88" s="17" t="s">
        <v>167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>
        <f t="shared" si="1"/>
        <v>0</v>
      </c>
    </row>
    <row r="89" spans="1:9" x14ac:dyDescent="0.25">
      <c r="A89" s="17" t="s">
        <v>168</v>
      </c>
      <c r="B89" s="19">
        <v>0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>
        <f t="shared" si="1"/>
        <v>0</v>
      </c>
    </row>
    <row r="90" spans="1:9" x14ac:dyDescent="0.25">
      <c r="A90" s="17" t="s">
        <v>169</v>
      </c>
      <c r="B90" s="19">
        <v>0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>
        <f t="shared" si="1"/>
        <v>0</v>
      </c>
    </row>
    <row r="91" spans="1:9" x14ac:dyDescent="0.25">
      <c r="A91" s="17" t="s">
        <v>77</v>
      </c>
      <c r="B91" s="19">
        <v>0</v>
      </c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>
        <f t="shared" si="1"/>
        <v>0</v>
      </c>
    </row>
    <row r="92" spans="1:9" x14ac:dyDescent="0.25">
      <c r="A92" s="17" t="s">
        <v>170</v>
      </c>
      <c r="B92" s="19">
        <v>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>
        <f t="shared" si="1"/>
        <v>0</v>
      </c>
    </row>
    <row r="93" spans="1:9" x14ac:dyDescent="0.25">
      <c r="A93" s="17" t="s">
        <v>171</v>
      </c>
      <c r="B93" s="19">
        <v>0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>
        <f t="shared" si="1"/>
        <v>0</v>
      </c>
    </row>
    <row r="94" spans="1:9" x14ac:dyDescent="0.25">
      <c r="A94" s="17" t="s">
        <v>172</v>
      </c>
      <c r="B94" s="19">
        <v>0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>
        <f t="shared" si="1"/>
        <v>0</v>
      </c>
    </row>
    <row r="95" spans="1:9" x14ac:dyDescent="0.25">
      <c r="A95" s="17" t="s">
        <v>173</v>
      </c>
      <c r="B95" s="19">
        <v>0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>
        <f t="shared" si="1"/>
        <v>0</v>
      </c>
    </row>
    <row r="96" spans="1:9" x14ac:dyDescent="0.25">
      <c r="A96" s="17" t="s">
        <v>174</v>
      </c>
      <c r="B96" s="19">
        <v>0</v>
      </c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>
        <f t="shared" si="1"/>
        <v>0</v>
      </c>
    </row>
    <row r="97" spans="1:9" x14ac:dyDescent="0.25">
      <c r="A97" s="17" t="s">
        <v>175</v>
      </c>
      <c r="B97" s="19">
        <v>0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>
        <f t="shared" si="1"/>
        <v>0</v>
      </c>
    </row>
    <row r="98" spans="1:9" x14ac:dyDescent="0.25">
      <c r="A98" s="17" t="s">
        <v>176</v>
      </c>
      <c r="B98" s="19">
        <v>0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>
        <f t="shared" si="1"/>
        <v>0</v>
      </c>
    </row>
    <row r="99" spans="1:9" x14ac:dyDescent="0.25">
      <c r="A99" s="17" t="s">
        <v>177</v>
      </c>
      <c r="B99" s="19">
        <v>0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>
        <f t="shared" si="1"/>
        <v>0</v>
      </c>
    </row>
    <row r="100" spans="1:9" x14ac:dyDescent="0.25">
      <c r="A100" s="17" t="s">
        <v>178</v>
      </c>
      <c r="B100" s="19">
        <v>0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>
        <f t="shared" si="1"/>
        <v>0</v>
      </c>
    </row>
    <row r="101" spans="1:9" x14ac:dyDescent="0.25">
      <c r="A101" s="17" t="s">
        <v>179</v>
      </c>
      <c r="B101" s="19">
        <v>0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>
        <f t="shared" si="1"/>
        <v>0</v>
      </c>
    </row>
    <row r="102" spans="1:9" x14ac:dyDescent="0.25">
      <c r="A102" s="17" t="s">
        <v>180</v>
      </c>
      <c r="B102" s="19">
        <v>0</v>
      </c>
      <c r="C102" s="19">
        <v>0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>
        <f t="shared" si="1"/>
        <v>0</v>
      </c>
    </row>
    <row r="103" spans="1:9" x14ac:dyDescent="0.25">
      <c r="A103" s="17" t="s">
        <v>181</v>
      </c>
      <c r="B103" s="19">
        <v>0</v>
      </c>
      <c r="C103" s="19">
        <v>0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>
        <f t="shared" si="1"/>
        <v>0</v>
      </c>
    </row>
    <row r="104" spans="1:9" x14ac:dyDescent="0.25">
      <c r="A104" s="17" t="s">
        <v>182</v>
      </c>
      <c r="B104" s="19">
        <v>0</v>
      </c>
      <c r="C104" s="19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>
        <f t="shared" si="1"/>
        <v>0</v>
      </c>
    </row>
    <row r="105" spans="1:9" x14ac:dyDescent="0.25">
      <c r="A105" s="17" t="s">
        <v>183</v>
      </c>
      <c r="B105" s="19">
        <v>0</v>
      </c>
      <c r="C105" s="19">
        <v>0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>
        <f t="shared" si="1"/>
        <v>0</v>
      </c>
    </row>
    <row r="106" spans="1:9" x14ac:dyDescent="0.25">
      <c r="A106" s="17" t="s">
        <v>184</v>
      </c>
      <c r="B106" s="19">
        <v>0</v>
      </c>
      <c r="C106" s="19">
        <v>0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>
        <f t="shared" si="1"/>
        <v>0</v>
      </c>
    </row>
    <row r="107" spans="1:9" x14ac:dyDescent="0.25">
      <c r="A107" s="17" t="s">
        <v>185</v>
      </c>
      <c r="B107" s="19">
        <v>0</v>
      </c>
      <c r="C107" s="19">
        <v>0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>
        <f t="shared" si="1"/>
        <v>0</v>
      </c>
    </row>
    <row r="108" spans="1:9" x14ac:dyDescent="0.25">
      <c r="A108" s="17" t="s">
        <v>186</v>
      </c>
      <c r="B108" s="19">
        <v>0</v>
      </c>
      <c r="C108" s="19">
        <v>0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>
        <f t="shared" si="1"/>
        <v>0</v>
      </c>
    </row>
    <row r="109" spans="1:9" x14ac:dyDescent="0.25">
      <c r="A109" s="17" t="s">
        <v>187</v>
      </c>
      <c r="B109" s="19">
        <v>0</v>
      </c>
      <c r="C109" s="19">
        <v>0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>
        <f t="shared" si="1"/>
        <v>0</v>
      </c>
    </row>
    <row r="110" spans="1:9" x14ac:dyDescent="0.25">
      <c r="A110" s="17" t="s">
        <v>188</v>
      </c>
      <c r="B110" s="19">
        <v>0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>
        <f t="shared" si="1"/>
        <v>0</v>
      </c>
    </row>
    <row r="111" spans="1:9" x14ac:dyDescent="0.25">
      <c r="A111" s="17" t="s">
        <v>189</v>
      </c>
      <c r="B111" s="19">
        <v>0</v>
      </c>
      <c r="C111" s="19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>
        <f t="shared" si="1"/>
        <v>0</v>
      </c>
    </row>
    <row r="112" spans="1:9" x14ac:dyDescent="0.25">
      <c r="A112" s="17" t="s">
        <v>190</v>
      </c>
      <c r="B112" s="19">
        <v>0</v>
      </c>
      <c r="C112" s="19">
        <v>0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>
        <f t="shared" si="1"/>
        <v>0</v>
      </c>
    </row>
    <row r="113" spans="1:9" x14ac:dyDescent="0.25">
      <c r="A113" s="17" t="s">
        <v>192</v>
      </c>
      <c r="B113" s="19">
        <v>0</v>
      </c>
      <c r="C113" s="19">
        <v>0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>
        <f t="shared" si="1"/>
        <v>0</v>
      </c>
    </row>
    <row r="114" spans="1:9" x14ac:dyDescent="0.25">
      <c r="A114" s="17" t="s">
        <v>193</v>
      </c>
      <c r="B114" s="19">
        <v>0</v>
      </c>
      <c r="C114" s="19">
        <v>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>
        <f t="shared" si="1"/>
        <v>0</v>
      </c>
    </row>
    <row r="115" spans="1:9" x14ac:dyDescent="0.25">
      <c r="A115" s="17" t="s">
        <v>194</v>
      </c>
      <c r="B115" s="19">
        <v>0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>
        <f t="shared" si="1"/>
        <v>0</v>
      </c>
    </row>
    <row r="116" spans="1:9" x14ac:dyDescent="0.25">
      <c r="A116" s="17" t="s">
        <v>195</v>
      </c>
      <c r="B116" s="19">
        <v>0</v>
      </c>
      <c r="C116" s="19">
        <v>0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>
        <f t="shared" si="1"/>
        <v>0</v>
      </c>
    </row>
    <row r="117" spans="1:9" x14ac:dyDescent="0.25">
      <c r="A117" s="17" t="s">
        <v>196</v>
      </c>
      <c r="B117" s="19">
        <v>0</v>
      </c>
      <c r="C117" s="19">
        <v>0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>
        <f t="shared" si="1"/>
        <v>0</v>
      </c>
    </row>
    <row r="118" spans="1:9" x14ac:dyDescent="0.25">
      <c r="A118" s="17" t="s">
        <v>197</v>
      </c>
      <c r="B118" s="19">
        <v>0</v>
      </c>
      <c r="C118" s="19">
        <v>0</v>
      </c>
      <c r="D118" s="19">
        <v>0</v>
      </c>
      <c r="E118" s="19">
        <v>97685</v>
      </c>
      <c r="F118" s="19">
        <v>74326</v>
      </c>
      <c r="G118" s="19">
        <v>0.5</v>
      </c>
      <c r="H118" s="19">
        <v>48842.5</v>
      </c>
      <c r="I118">
        <f t="shared" si="1"/>
        <v>220854</v>
      </c>
    </row>
    <row r="119" spans="1:9" x14ac:dyDescent="0.25">
      <c r="A119" s="17" t="s">
        <v>198</v>
      </c>
      <c r="B119" s="19">
        <v>0</v>
      </c>
      <c r="C119" s="19">
        <v>0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>
        <f t="shared" si="1"/>
        <v>0</v>
      </c>
    </row>
    <row r="120" spans="1:9" x14ac:dyDescent="0.25">
      <c r="A120" s="17" t="s">
        <v>246</v>
      </c>
      <c r="B120" s="19">
        <v>0</v>
      </c>
      <c r="C120" s="19">
        <v>0</v>
      </c>
      <c r="D120" s="19">
        <v>0</v>
      </c>
      <c r="E120" s="19">
        <v>97685</v>
      </c>
      <c r="F120" s="19">
        <v>145470</v>
      </c>
      <c r="G120" s="19">
        <v>1</v>
      </c>
      <c r="H120" s="19">
        <v>97685</v>
      </c>
      <c r="I120">
        <f t="shared" si="1"/>
        <v>340841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DH119"/>
  <sheetViews>
    <sheetView tabSelected="1" zoomScale="82" zoomScaleNormal="82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CW25" sqref="CW25"/>
    </sheetView>
  </sheetViews>
  <sheetFormatPr defaultColWidth="10.7109375" defaultRowHeight="15" x14ac:dyDescent="0.25"/>
  <cols>
    <col min="1" max="1" width="9.140625" customWidth="1"/>
    <col min="2" max="2" width="53" customWidth="1"/>
    <col min="5" max="5" width="12.5703125" customWidth="1"/>
    <col min="6" max="6" width="12.140625" customWidth="1"/>
    <col min="7" max="12" width="14.85546875" customWidth="1"/>
    <col min="13" max="13" width="16.140625" customWidth="1"/>
    <col min="14" max="46" width="14.85546875" customWidth="1"/>
    <col min="47" max="47" width="19.140625" customWidth="1"/>
    <col min="48" max="52" width="13" customWidth="1"/>
    <col min="53" max="54" width="11.7109375" customWidth="1"/>
    <col min="55" max="55" width="14.7109375" customWidth="1"/>
    <col min="56" max="56" width="14.28515625" customWidth="1"/>
    <col min="57" max="57" width="14.7109375" customWidth="1"/>
    <col min="58" max="58" width="14.5703125" customWidth="1"/>
    <col min="59" max="59" width="15.7109375" customWidth="1"/>
    <col min="60" max="62" width="10.85546875" bestFit="1" customWidth="1"/>
    <col min="63" max="65" width="16" customWidth="1"/>
    <col min="66" max="66" width="13.28515625" customWidth="1"/>
    <col min="67" max="67" width="14.5703125" customWidth="1"/>
    <col min="68" max="68" width="13.7109375" customWidth="1"/>
    <col min="69" max="69" width="13.140625" customWidth="1"/>
    <col min="70" max="73" width="10.7109375" customWidth="1"/>
    <col min="74" max="74" width="12.28515625" customWidth="1"/>
    <col min="75" max="75" width="12.42578125" customWidth="1"/>
    <col min="76" max="76" width="12.85546875" customWidth="1"/>
    <col min="77" max="79" width="10.7109375" customWidth="1"/>
    <col min="80" max="80" width="13.85546875" customWidth="1"/>
    <col min="81" max="81" width="14.28515625" customWidth="1"/>
    <col min="82" max="82" width="17" customWidth="1"/>
    <col min="83" max="83" width="10.7109375" customWidth="1"/>
    <col min="84" max="84" width="13.28515625" customWidth="1"/>
    <col min="85" max="85" width="14.140625" customWidth="1"/>
    <col min="86" max="86" width="12.140625" customWidth="1"/>
    <col min="87" max="87" width="14.140625" customWidth="1"/>
    <col min="88" max="88" width="15.42578125" customWidth="1"/>
    <col min="89" max="89" width="12.42578125" customWidth="1"/>
    <col min="90" max="90" width="13.85546875" customWidth="1"/>
    <col min="91" max="91" width="13" customWidth="1"/>
    <col min="92" max="92" width="10.7109375" customWidth="1"/>
    <col min="93" max="93" width="13.7109375" customWidth="1"/>
    <col min="94" max="94" width="18" customWidth="1"/>
    <col min="95" max="95" width="12.42578125" customWidth="1"/>
    <col min="96" max="96" width="16.28515625" customWidth="1"/>
    <col min="97" max="97" width="12.5703125" customWidth="1"/>
    <col min="98" max="98" width="13.7109375" customWidth="1"/>
    <col min="99" max="99" width="15.7109375" customWidth="1"/>
    <col min="100" max="100" width="13.42578125" customWidth="1"/>
    <col min="101" max="101" width="14.42578125" bestFit="1" customWidth="1"/>
    <col min="102" max="102" width="39" customWidth="1"/>
    <col min="103" max="110" width="10.85546875" bestFit="1" customWidth="1"/>
    <col min="111" max="111" width="14.42578125" customWidth="1"/>
    <col min="112" max="112" width="16.28515625" bestFit="1" customWidth="1"/>
  </cols>
  <sheetData>
    <row r="1" spans="1:112" ht="42.75" customHeight="1" x14ac:dyDescent="0.25">
      <c r="A1" s="18" t="s">
        <v>1</v>
      </c>
      <c r="B1" s="18" t="s">
        <v>1</v>
      </c>
      <c r="C1" s="18" t="s">
        <v>1</v>
      </c>
      <c r="D1" s="18" t="s">
        <v>1</v>
      </c>
      <c r="E1" s="18" t="s">
        <v>1</v>
      </c>
      <c r="F1" s="18" t="s">
        <v>1</v>
      </c>
      <c r="G1" s="2" t="s">
        <v>208</v>
      </c>
      <c r="H1" s="2" t="s">
        <v>208</v>
      </c>
      <c r="I1" s="2" t="s">
        <v>208</v>
      </c>
      <c r="J1" s="2" t="s">
        <v>208</v>
      </c>
      <c r="K1" s="2" t="s">
        <v>208</v>
      </c>
      <c r="L1" s="2" t="s">
        <v>208</v>
      </c>
      <c r="M1" s="2" t="s">
        <v>208</v>
      </c>
      <c r="N1" s="2" t="s">
        <v>208</v>
      </c>
      <c r="O1" s="2" t="s">
        <v>208</v>
      </c>
      <c r="P1" s="2" t="s">
        <v>208</v>
      </c>
      <c r="Q1" s="2" t="s">
        <v>208</v>
      </c>
      <c r="R1" s="2" t="s">
        <v>208</v>
      </c>
      <c r="S1" s="2" t="s">
        <v>208</v>
      </c>
      <c r="T1" s="2" t="s">
        <v>208</v>
      </c>
      <c r="U1" s="2" t="s">
        <v>208</v>
      </c>
      <c r="V1" s="2" t="s">
        <v>208</v>
      </c>
      <c r="W1" s="2" t="s">
        <v>208</v>
      </c>
      <c r="X1" s="2" t="s">
        <v>208</v>
      </c>
      <c r="Y1" s="2" t="s">
        <v>208</v>
      </c>
      <c r="Z1" s="2" t="s">
        <v>208</v>
      </c>
      <c r="AA1" s="2" t="s">
        <v>208</v>
      </c>
      <c r="AB1" s="2" t="s">
        <v>208</v>
      </c>
      <c r="AC1" s="2" t="s">
        <v>208</v>
      </c>
      <c r="AD1" s="2" t="s">
        <v>208</v>
      </c>
      <c r="AE1" s="2" t="s">
        <v>208</v>
      </c>
      <c r="AF1" s="2" t="s">
        <v>208</v>
      </c>
      <c r="AG1" s="2" t="s">
        <v>208</v>
      </c>
      <c r="AH1" s="2" t="s">
        <v>208</v>
      </c>
      <c r="AI1" s="2" t="s">
        <v>208</v>
      </c>
      <c r="AJ1" s="2" t="s">
        <v>208</v>
      </c>
      <c r="AK1" s="2" t="s">
        <v>208</v>
      </c>
      <c r="AL1" s="2" t="s">
        <v>208</v>
      </c>
      <c r="AM1" s="2" t="s">
        <v>208</v>
      </c>
      <c r="AN1" s="2" t="s">
        <v>208</v>
      </c>
      <c r="AO1" s="2" t="s">
        <v>208</v>
      </c>
      <c r="AP1" s="2" t="s">
        <v>208</v>
      </c>
      <c r="AQ1" s="2" t="s">
        <v>208</v>
      </c>
      <c r="AR1" s="2" t="s">
        <v>208</v>
      </c>
      <c r="AS1" s="2" t="s">
        <v>208</v>
      </c>
      <c r="AT1" s="2" t="s">
        <v>208</v>
      </c>
      <c r="AU1" s="2" t="s">
        <v>208</v>
      </c>
      <c r="AV1" s="3" t="s">
        <v>210</v>
      </c>
      <c r="AW1" s="3" t="s">
        <v>210</v>
      </c>
      <c r="AX1" s="3" t="s">
        <v>210</v>
      </c>
      <c r="AY1" s="3" t="s">
        <v>210</v>
      </c>
      <c r="AZ1" s="3" t="s">
        <v>210</v>
      </c>
      <c r="BA1" s="3" t="s">
        <v>211</v>
      </c>
      <c r="BB1" s="3" t="s">
        <v>211</v>
      </c>
      <c r="BC1" s="3" t="s">
        <v>211</v>
      </c>
      <c r="BD1" s="2" t="s">
        <v>243</v>
      </c>
      <c r="BE1" s="2" t="s">
        <v>243</v>
      </c>
      <c r="BF1" s="2" t="s">
        <v>243</v>
      </c>
      <c r="BG1" s="2" t="s">
        <v>243</v>
      </c>
      <c r="BH1" s="2" t="s">
        <v>212</v>
      </c>
      <c r="BI1" s="2" t="s">
        <v>212</v>
      </c>
      <c r="BJ1" s="2" t="s">
        <v>212</v>
      </c>
      <c r="BK1" s="2" t="s">
        <v>208</v>
      </c>
      <c r="BL1" s="2" t="s">
        <v>208</v>
      </c>
      <c r="BM1" s="2" t="s">
        <v>208</v>
      </c>
      <c r="BN1" s="2" t="s">
        <v>208</v>
      </c>
      <c r="BO1" s="2" t="s">
        <v>208</v>
      </c>
      <c r="BP1" s="2" t="s">
        <v>208</v>
      </c>
      <c r="BQ1" s="2" t="s">
        <v>208</v>
      </c>
      <c r="BR1" s="2" t="s">
        <v>208</v>
      </c>
      <c r="BS1" s="2" t="s">
        <v>208</v>
      </c>
      <c r="BT1" s="2" t="s">
        <v>208</v>
      </c>
      <c r="BU1" s="2" t="s">
        <v>208</v>
      </c>
      <c r="BV1" s="2" t="s">
        <v>208</v>
      </c>
      <c r="BW1" s="2" t="s">
        <v>208</v>
      </c>
      <c r="BX1" s="2" t="s">
        <v>208</v>
      </c>
      <c r="BY1" s="2" t="s">
        <v>208</v>
      </c>
      <c r="BZ1" s="2" t="s">
        <v>208</v>
      </c>
      <c r="CA1" s="2" t="s">
        <v>208</v>
      </c>
      <c r="CB1" s="2" t="s">
        <v>208</v>
      </c>
      <c r="CC1" s="2" t="s">
        <v>208</v>
      </c>
      <c r="CD1" s="2" t="s">
        <v>208</v>
      </c>
      <c r="CE1" s="2" t="s">
        <v>208</v>
      </c>
      <c r="CF1" s="2" t="s">
        <v>208</v>
      </c>
      <c r="CG1" s="2" t="s">
        <v>208</v>
      </c>
      <c r="CH1" s="2" t="s">
        <v>208</v>
      </c>
      <c r="CI1" s="2" t="s">
        <v>208</v>
      </c>
      <c r="CJ1" s="2" t="s">
        <v>208</v>
      </c>
      <c r="CK1" s="2" t="s">
        <v>208</v>
      </c>
      <c r="CL1" s="2" t="s">
        <v>208</v>
      </c>
      <c r="CM1" s="2" t="s">
        <v>208</v>
      </c>
      <c r="CN1" s="2" t="s">
        <v>208</v>
      </c>
      <c r="CO1" s="2" t="s">
        <v>208</v>
      </c>
      <c r="CP1" s="2" t="s">
        <v>208</v>
      </c>
      <c r="CQ1" s="2" t="s">
        <v>208</v>
      </c>
      <c r="CR1" s="2" t="s">
        <v>208</v>
      </c>
      <c r="CS1" s="2" t="s">
        <v>208</v>
      </c>
      <c r="CT1" s="2" t="s">
        <v>208</v>
      </c>
      <c r="CU1" s="2" t="s">
        <v>208</v>
      </c>
      <c r="CV1" s="2" t="s">
        <v>0</v>
      </c>
      <c r="CW1" s="2" t="s">
        <v>242</v>
      </c>
      <c r="CX1" s="2" t="s">
        <v>242</v>
      </c>
      <c r="CY1" s="2" t="s">
        <v>239</v>
      </c>
      <c r="CZ1" s="2" t="s">
        <v>240</v>
      </c>
      <c r="DA1" s="2" t="s">
        <v>240</v>
      </c>
      <c r="DB1" s="2" t="s">
        <v>240</v>
      </c>
      <c r="DC1" s="2" t="s">
        <v>240</v>
      </c>
      <c r="DD1" s="2" t="s">
        <v>240</v>
      </c>
      <c r="DE1" s="2" t="s">
        <v>240</v>
      </c>
      <c r="DF1" s="2" t="s">
        <v>240</v>
      </c>
      <c r="DG1" s="15" t="s">
        <v>241</v>
      </c>
      <c r="DH1" s="34" t="s">
        <v>235</v>
      </c>
    </row>
    <row r="2" spans="1:112" s="1" customFormat="1" ht="61.5" customHeight="1" x14ac:dyDescent="0.25">
      <c r="A2" s="20" t="s">
        <v>76</v>
      </c>
      <c r="B2" s="20" t="s">
        <v>77</v>
      </c>
      <c r="C2" s="20" t="s">
        <v>236</v>
      </c>
      <c r="D2" s="20" t="s">
        <v>237</v>
      </c>
      <c r="E2" s="20" t="s">
        <v>238</v>
      </c>
      <c r="F2" s="20" t="s">
        <v>244</v>
      </c>
      <c r="G2" s="20" t="s">
        <v>2</v>
      </c>
      <c r="H2" s="20" t="s">
        <v>3</v>
      </c>
      <c r="I2" s="20" t="s">
        <v>4</v>
      </c>
      <c r="J2" s="20" t="s">
        <v>5</v>
      </c>
      <c r="K2" s="21" t="s">
        <v>6</v>
      </c>
      <c r="L2" s="20" t="s">
        <v>7</v>
      </c>
      <c r="M2" s="22" t="s">
        <v>8</v>
      </c>
      <c r="N2" s="22" t="s">
        <v>9</v>
      </c>
      <c r="O2" s="20" t="s">
        <v>10</v>
      </c>
      <c r="P2" s="20" t="s">
        <v>11</v>
      </c>
      <c r="Q2" s="20" t="s">
        <v>12</v>
      </c>
      <c r="R2" s="20" t="s">
        <v>13</v>
      </c>
      <c r="S2" s="20" t="s">
        <v>14</v>
      </c>
      <c r="T2" s="20" t="s">
        <v>14</v>
      </c>
      <c r="U2" s="20" t="s">
        <v>15</v>
      </c>
      <c r="V2" s="20" t="s">
        <v>16</v>
      </c>
      <c r="W2" s="20" t="s">
        <v>17</v>
      </c>
      <c r="X2" s="20" t="s">
        <v>18</v>
      </c>
      <c r="Y2" s="23" t="s">
        <v>19</v>
      </c>
      <c r="Z2" s="22" t="s">
        <v>20</v>
      </c>
      <c r="AA2" s="22" t="s">
        <v>21</v>
      </c>
      <c r="AB2" s="20" t="s">
        <v>22</v>
      </c>
      <c r="AC2" s="22" t="s">
        <v>23</v>
      </c>
      <c r="AD2" s="22" t="s">
        <v>24</v>
      </c>
      <c r="AE2" s="22" t="s">
        <v>25</v>
      </c>
      <c r="AF2" s="20" t="s">
        <v>26</v>
      </c>
      <c r="AG2" s="20" t="s">
        <v>27</v>
      </c>
      <c r="AH2" s="22" t="s">
        <v>28</v>
      </c>
      <c r="AI2" s="20" t="s">
        <v>29</v>
      </c>
      <c r="AJ2" s="22" t="s">
        <v>30</v>
      </c>
      <c r="AK2" s="20" t="s">
        <v>31</v>
      </c>
      <c r="AL2" s="22" t="s">
        <v>32</v>
      </c>
      <c r="AM2" s="20" t="s">
        <v>33</v>
      </c>
      <c r="AN2" s="22" t="s">
        <v>34</v>
      </c>
      <c r="AO2" s="22" t="s">
        <v>35</v>
      </c>
      <c r="AP2" s="20" t="s">
        <v>36</v>
      </c>
      <c r="AQ2" s="22" t="s">
        <v>37</v>
      </c>
      <c r="AR2" s="22" t="s">
        <v>38</v>
      </c>
      <c r="AS2" s="22" t="s">
        <v>39</v>
      </c>
      <c r="AT2" s="22" t="s">
        <v>40</v>
      </c>
      <c r="AU2" s="20" t="s">
        <v>209</v>
      </c>
      <c r="AV2" s="20" t="s">
        <v>41</v>
      </c>
      <c r="AW2" s="20" t="s">
        <v>42</v>
      </c>
      <c r="AX2" s="20" t="s">
        <v>43</v>
      </c>
      <c r="AY2" s="20" t="s">
        <v>44</v>
      </c>
      <c r="AZ2" s="20" t="s">
        <v>45</v>
      </c>
      <c r="BA2" s="20" t="s">
        <v>46</v>
      </c>
      <c r="BB2" s="20" t="s">
        <v>47</v>
      </c>
      <c r="BC2" s="20" t="s">
        <v>48</v>
      </c>
      <c r="BD2" s="20" t="s">
        <v>49</v>
      </c>
      <c r="BE2" s="20" t="s">
        <v>50</v>
      </c>
      <c r="BF2" s="20" t="s">
        <v>51</v>
      </c>
      <c r="BG2" s="20" t="s">
        <v>52</v>
      </c>
      <c r="BH2" s="20" t="s">
        <v>53</v>
      </c>
      <c r="BI2" s="20" t="s">
        <v>53</v>
      </c>
      <c r="BJ2" s="20" t="s">
        <v>54</v>
      </c>
      <c r="BK2" s="20" t="s">
        <v>55</v>
      </c>
      <c r="BL2" s="20" t="s">
        <v>232</v>
      </c>
      <c r="BM2" s="20" t="s">
        <v>56</v>
      </c>
      <c r="BN2" s="20" t="s">
        <v>233</v>
      </c>
      <c r="BO2" s="20" t="s">
        <v>57</v>
      </c>
      <c r="BP2" s="20" t="s">
        <v>58</v>
      </c>
      <c r="BQ2" s="20" t="s">
        <v>213</v>
      </c>
      <c r="BR2" s="20" t="s">
        <v>214</v>
      </c>
      <c r="BS2" s="20" t="s">
        <v>215</v>
      </c>
      <c r="BT2" s="20" t="s">
        <v>216</v>
      </c>
      <c r="BU2" s="20" t="s">
        <v>59</v>
      </c>
      <c r="BV2" s="20" t="s">
        <v>60</v>
      </c>
      <c r="BW2" s="20" t="s">
        <v>61</v>
      </c>
      <c r="BX2" s="20" t="s">
        <v>217</v>
      </c>
      <c r="BY2" s="20" t="s">
        <v>218</v>
      </c>
      <c r="BZ2" s="20" t="s">
        <v>219</v>
      </c>
      <c r="CA2" s="20" t="s">
        <v>220</v>
      </c>
      <c r="CB2" s="20" t="s">
        <v>287</v>
      </c>
      <c r="CC2" s="20" t="s">
        <v>288</v>
      </c>
      <c r="CD2" s="20" t="s">
        <v>62</v>
      </c>
      <c r="CE2" s="20" t="s">
        <v>221</v>
      </c>
      <c r="CF2" s="20" t="s">
        <v>222</v>
      </c>
      <c r="CG2" s="20" t="s">
        <v>223</v>
      </c>
      <c r="CH2" s="20" t="s">
        <v>224</v>
      </c>
      <c r="CI2" s="20" t="s">
        <v>225</v>
      </c>
      <c r="CJ2" s="20" t="s">
        <v>226</v>
      </c>
      <c r="CK2" s="20" t="s">
        <v>63</v>
      </c>
      <c r="CL2" s="20" t="s">
        <v>64</v>
      </c>
      <c r="CM2" s="20" t="s">
        <v>227</v>
      </c>
      <c r="CN2" s="20" t="s">
        <v>228</v>
      </c>
      <c r="CO2" s="20" t="s">
        <v>229</v>
      </c>
      <c r="CP2" s="20" t="s">
        <v>230</v>
      </c>
      <c r="CQ2" s="20" t="s">
        <v>65</v>
      </c>
      <c r="CR2" s="20" t="s">
        <v>66</v>
      </c>
      <c r="CS2" s="20" t="s">
        <v>67</v>
      </c>
      <c r="CT2" s="20" t="s">
        <v>231</v>
      </c>
      <c r="CU2" s="20" t="s">
        <v>68</v>
      </c>
      <c r="CV2" s="20" t="s">
        <v>0</v>
      </c>
      <c r="CW2" s="20" t="s">
        <v>69</v>
      </c>
      <c r="CX2" s="20" t="s">
        <v>291</v>
      </c>
      <c r="CY2" s="20" t="s">
        <v>78</v>
      </c>
      <c r="CZ2" s="20" t="s">
        <v>70</v>
      </c>
      <c r="DA2" s="20" t="s">
        <v>71</v>
      </c>
      <c r="DB2" s="20" t="s">
        <v>72</v>
      </c>
      <c r="DC2" s="20" t="s">
        <v>73</v>
      </c>
      <c r="DD2" s="20" t="s">
        <v>74</v>
      </c>
      <c r="DE2" s="20" t="s">
        <v>75</v>
      </c>
      <c r="DF2" s="20" t="s">
        <v>75</v>
      </c>
      <c r="DG2" s="20" t="s">
        <v>234</v>
      </c>
      <c r="DH2" s="20" t="s">
        <v>235</v>
      </c>
    </row>
    <row r="3" spans="1:112" ht="15.75" x14ac:dyDescent="0.25">
      <c r="A3" s="4">
        <v>202</v>
      </c>
      <c r="B3" s="4" t="s">
        <v>79</v>
      </c>
      <c r="C3" s="5" t="s">
        <v>201</v>
      </c>
      <c r="D3" s="5">
        <v>7</v>
      </c>
      <c r="E3" s="5">
        <v>271</v>
      </c>
      <c r="F3" s="5">
        <v>235</v>
      </c>
      <c r="G3" s="6">
        <v>171051</v>
      </c>
      <c r="H3" s="6">
        <v>97685</v>
      </c>
      <c r="I3" s="6">
        <v>0</v>
      </c>
      <c r="J3" s="7">
        <v>0</v>
      </c>
      <c r="K3" s="7">
        <v>0</v>
      </c>
      <c r="L3" s="6">
        <v>37985</v>
      </c>
      <c r="M3" s="6">
        <v>55700</v>
      </c>
      <c r="N3" s="6">
        <v>0</v>
      </c>
      <c r="O3" s="6">
        <v>0</v>
      </c>
      <c r="P3" s="6">
        <v>0</v>
      </c>
      <c r="Q3" s="6">
        <v>67656</v>
      </c>
      <c r="R3" s="6">
        <v>51186</v>
      </c>
      <c r="S3" s="8">
        <v>1</v>
      </c>
      <c r="T3" s="6">
        <v>41134</v>
      </c>
      <c r="U3" s="6">
        <v>48842.5</v>
      </c>
      <c r="V3" s="6">
        <v>97685</v>
      </c>
      <c r="W3" s="6">
        <v>97685</v>
      </c>
      <c r="X3" s="6">
        <v>97685</v>
      </c>
      <c r="Y3" s="6">
        <v>0</v>
      </c>
      <c r="Z3" s="6">
        <v>195370</v>
      </c>
      <c r="AA3" s="6">
        <v>57830</v>
      </c>
      <c r="AB3" s="6">
        <v>97685</v>
      </c>
      <c r="AC3" s="6">
        <v>28915</v>
      </c>
      <c r="AD3" s="6">
        <v>195370</v>
      </c>
      <c r="AE3" s="6">
        <v>57830</v>
      </c>
      <c r="AF3" s="6">
        <v>195370</v>
      </c>
      <c r="AG3" s="6">
        <v>57830</v>
      </c>
      <c r="AH3" s="6">
        <v>97685</v>
      </c>
      <c r="AI3" s="6">
        <v>97685</v>
      </c>
      <c r="AJ3" s="6">
        <v>195370</v>
      </c>
      <c r="AK3" s="6">
        <v>97685</v>
      </c>
      <c r="AL3" s="6">
        <v>195370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48842.5</v>
      </c>
      <c r="AW3" s="6">
        <v>146527.5</v>
      </c>
      <c r="AX3" s="6">
        <v>488425</v>
      </c>
      <c r="AY3" s="6">
        <v>28915</v>
      </c>
      <c r="AZ3" s="6">
        <v>0</v>
      </c>
      <c r="BA3" s="6">
        <v>0</v>
      </c>
      <c r="BB3" s="6">
        <v>0</v>
      </c>
      <c r="BC3" s="6">
        <v>0</v>
      </c>
      <c r="BD3" s="6">
        <v>17790</v>
      </c>
      <c r="BE3" s="6">
        <v>19620</v>
      </c>
      <c r="BF3" s="6">
        <v>7848</v>
      </c>
      <c r="BG3" s="6">
        <v>0</v>
      </c>
      <c r="BH3" s="6">
        <v>104948.8</v>
      </c>
      <c r="BI3" s="6">
        <v>1702.84</v>
      </c>
      <c r="BJ3" s="6">
        <v>6525</v>
      </c>
      <c r="BK3" s="6">
        <v>0</v>
      </c>
      <c r="BL3" s="6"/>
      <c r="BM3" s="6">
        <v>0</v>
      </c>
      <c r="BN3" s="6">
        <v>0</v>
      </c>
      <c r="BO3" s="6">
        <v>0</v>
      </c>
      <c r="BP3" s="6">
        <v>97685</v>
      </c>
      <c r="BQ3" s="26">
        <v>0</v>
      </c>
      <c r="BR3" s="26">
        <v>0</v>
      </c>
      <c r="BS3" s="26">
        <v>0</v>
      </c>
      <c r="BT3" s="26">
        <v>0</v>
      </c>
      <c r="BU3" s="26">
        <v>0</v>
      </c>
      <c r="BV3" s="26">
        <v>0</v>
      </c>
      <c r="BW3" s="26">
        <v>0</v>
      </c>
      <c r="BX3" s="26">
        <v>0</v>
      </c>
      <c r="BY3" s="26">
        <v>0</v>
      </c>
      <c r="BZ3" s="6">
        <v>0</v>
      </c>
      <c r="CA3" s="9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9400</v>
      </c>
      <c r="CL3" s="6">
        <v>0</v>
      </c>
      <c r="CM3" s="6">
        <v>0</v>
      </c>
      <c r="CN3" s="6">
        <v>0</v>
      </c>
      <c r="CO3" s="6">
        <v>0</v>
      </c>
      <c r="CP3" s="6">
        <v>15069.289592760182</v>
      </c>
      <c r="CQ3" s="6">
        <v>0</v>
      </c>
      <c r="CR3" s="6">
        <v>0</v>
      </c>
      <c r="CS3" s="6">
        <v>0</v>
      </c>
      <c r="CT3" s="6">
        <v>22881</v>
      </c>
      <c r="CU3" s="6">
        <v>47204.9925</v>
      </c>
      <c r="CV3" s="6">
        <v>0</v>
      </c>
      <c r="CW3" s="6">
        <v>0</v>
      </c>
      <c r="CX3" s="6"/>
      <c r="CY3" s="6">
        <f>VLOOKUP(A3, 'At-Risk updating '!A:E, 5, 0)</f>
        <v>22689.5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10">
        <v>0</v>
      </c>
      <c r="DF3" s="6">
        <v>0</v>
      </c>
      <c r="DG3" s="11">
        <v>78222.42090723943</v>
      </c>
      <c r="DH3" s="35">
        <f>SUM(G3:DG3)</f>
        <v>3598587.3429999994</v>
      </c>
    </row>
    <row r="4" spans="1:112" ht="15.75" x14ac:dyDescent="0.25">
      <c r="A4" s="4">
        <v>203</v>
      </c>
      <c r="B4" s="4" t="s">
        <v>80</v>
      </c>
      <c r="C4" s="5" t="s">
        <v>201</v>
      </c>
      <c r="D4" s="5">
        <v>6</v>
      </c>
      <c r="E4" s="5">
        <v>350</v>
      </c>
      <c r="F4" s="5">
        <v>253</v>
      </c>
      <c r="G4" s="6">
        <v>171051</v>
      </c>
      <c r="H4" s="6">
        <v>97685</v>
      </c>
      <c r="I4" s="6">
        <v>124326.90000000001</v>
      </c>
      <c r="J4" s="7">
        <v>0</v>
      </c>
      <c r="K4" s="7">
        <v>0</v>
      </c>
      <c r="L4" s="6">
        <v>75970</v>
      </c>
      <c r="M4" s="6">
        <v>55700</v>
      </c>
      <c r="N4" s="6">
        <v>0</v>
      </c>
      <c r="O4" s="6">
        <v>0</v>
      </c>
      <c r="P4" s="6">
        <v>0</v>
      </c>
      <c r="Q4" s="6">
        <v>67656</v>
      </c>
      <c r="R4" s="6">
        <v>51186</v>
      </c>
      <c r="S4" s="8">
        <v>2</v>
      </c>
      <c r="T4" s="6">
        <v>82268</v>
      </c>
      <c r="U4" s="6">
        <v>97685</v>
      </c>
      <c r="V4" s="6">
        <v>97685</v>
      </c>
      <c r="W4" s="6">
        <v>97685</v>
      </c>
      <c r="X4" s="6">
        <v>97685</v>
      </c>
      <c r="Y4" s="6">
        <v>0</v>
      </c>
      <c r="Z4" s="6">
        <v>97685</v>
      </c>
      <c r="AA4" s="6">
        <v>28915</v>
      </c>
      <c r="AB4" s="6">
        <v>195370</v>
      </c>
      <c r="AC4" s="6">
        <v>86745</v>
      </c>
      <c r="AD4" s="6">
        <v>97685</v>
      </c>
      <c r="AE4" s="6">
        <v>28915</v>
      </c>
      <c r="AF4" s="6">
        <v>195370</v>
      </c>
      <c r="AG4" s="6">
        <v>57830</v>
      </c>
      <c r="AH4" s="6">
        <v>195370</v>
      </c>
      <c r="AI4" s="6">
        <v>293055</v>
      </c>
      <c r="AJ4" s="6">
        <v>195370</v>
      </c>
      <c r="AK4" s="6">
        <v>195370</v>
      </c>
      <c r="AL4" s="6">
        <v>195370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97685</v>
      </c>
      <c r="AW4" s="6">
        <v>195370</v>
      </c>
      <c r="AX4" s="6">
        <v>683795</v>
      </c>
      <c r="AY4" s="6">
        <v>57830</v>
      </c>
      <c r="AZ4" s="6">
        <v>0</v>
      </c>
      <c r="BA4" s="6">
        <v>17760.909090909092</v>
      </c>
      <c r="BB4" s="6">
        <v>0</v>
      </c>
      <c r="BC4" s="6">
        <v>0</v>
      </c>
      <c r="BD4" s="6">
        <v>29650</v>
      </c>
      <c r="BE4" s="6">
        <v>32700</v>
      </c>
      <c r="BF4" s="6">
        <v>7848</v>
      </c>
      <c r="BG4" s="6">
        <v>0</v>
      </c>
      <c r="BH4" s="6">
        <v>143334.75</v>
      </c>
      <c r="BI4" s="6">
        <v>2325.67</v>
      </c>
      <c r="BJ4" s="6">
        <v>8900</v>
      </c>
      <c r="BK4" s="6">
        <v>0</v>
      </c>
      <c r="BL4" s="6"/>
      <c r="BM4" s="6">
        <v>0</v>
      </c>
      <c r="BN4" s="6">
        <v>0</v>
      </c>
      <c r="BO4" s="6">
        <v>0</v>
      </c>
      <c r="BP4" s="6">
        <v>0</v>
      </c>
      <c r="BQ4" s="26">
        <v>0</v>
      </c>
      <c r="BR4" s="26">
        <v>0</v>
      </c>
      <c r="BS4" s="26">
        <v>0</v>
      </c>
      <c r="BT4" s="26">
        <v>0</v>
      </c>
      <c r="BU4" s="26">
        <v>0</v>
      </c>
      <c r="BV4" s="26">
        <v>0</v>
      </c>
      <c r="BW4" s="26">
        <v>0</v>
      </c>
      <c r="BX4" s="26">
        <v>0</v>
      </c>
      <c r="BY4" s="26">
        <v>0</v>
      </c>
      <c r="BZ4" s="6">
        <v>0</v>
      </c>
      <c r="CA4" s="6">
        <v>0</v>
      </c>
      <c r="CB4" s="6">
        <v>0</v>
      </c>
      <c r="CC4" s="6">
        <v>0</v>
      </c>
      <c r="CD4" s="6">
        <v>73263.75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0</v>
      </c>
      <c r="CK4" s="6">
        <v>5060</v>
      </c>
      <c r="CL4" s="6">
        <v>0</v>
      </c>
      <c r="CM4" s="6">
        <v>0</v>
      </c>
      <c r="CN4" s="6">
        <v>0</v>
      </c>
      <c r="CO4" s="6">
        <v>0</v>
      </c>
      <c r="CP4" s="6">
        <v>19927.45</v>
      </c>
      <c r="CQ4" s="6">
        <v>0</v>
      </c>
      <c r="CR4" s="6">
        <v>0</v>
      </c>
      <c r="CS4" s="6">
        <v>0</v>
      </c>
      <c r="CT4" s="6">
        <v>30189</v>
      </c>
      <c r="CU4" s="6">
        <v>60481.107136363637</v>
      </c>
      <c r="CV4" s="6">
        <v>0</v>
      </c>
      <c r="CW4" s="6">
        <v>0</v>
      </c>
      <c r="CX4" s="6"/>
      <c r="CY4" s="6">
        <f>VLOOKUP(A4, 'At-Risk updating '!A:E, 5, 0)</f>
        <v>136316.5</v>
      </c>
      <c r="CZ4" s="6">
        <v>0</v>
      </c>
      <c r="DA4" s="6">
        <v>0</v>
      </c>
      <c r="DB4" s="6">
        <v>0</v>
      </c>
      <c r="DC4" s="6">
        <v>0</v>
      </c>
      <c r="DD4" s="6">
        <v>0</v>
      </c>
      <c r="DE4" s="10">
        <v>0</v>
      </c>
      <c r="DF4" s="6">
        <v>0</v>
      </c>
      <c r="DG4" s="7">
        <v>0</v>
      </c>
      <c r="DH4" s="11">
        <f>SUM(G4:DG4)</f>
        <v>4582072.0362272728</v>
      </c>
    </row>
    <row r="5" spans="1:112" ht="15.75" x14ac:dyDescent="0.25">
      <c r="A5" s="4">
        <v>450</v>
      </c>
      <c r="B5" s="4" t="s">
        <v>81</v>
      </c>
      <c r="C5" s="5" t="s">
        <v>191</v>
      </c>
      <c r="D5" s="5">
        <v>8</v>
      </c>
      <c r="E5" s="5">
        <v>426</v>
      </c>
      <c r="F5" s="5">
        <v>399</v>
      </c>
      <c r="G5" s="6">
        <v>171051</v>
      </c>
      <c r="H5" s="6">
        <v>97685</v>
      </c>
      <c r="I5" s="6">
        <v>193397.4</v>
      </c>
      <c r="J5" s="7">
        <v>0</v>
      </c>
      <c r="K5" s="7">
        <v>189670.69999999998</v>
      </c>
      <c r="L5" s="6">
        <v>75970</v>
      </c>
      <c r="M5" s="6">
        <v>55700</v>
      </c>
      <c r="N5" s="6">
        <v>44518.100000000006</v>
      </c>
      <c r="O5" s="6">
        <v>47542</v>
      </c>
      <c r="P5" s="6">
        <v>116974</v>
      </c>
      <c r="Q5" s="6">
        <v>67656</v>
      </c>
      <c r="R5" s="6">
        <v>153558</v>
      </c>
      <c r="S5" s="8">
        <v>3</v>
      </c>
      <c r="T5" s="6">
        <v>123402</v>
      </c>
      <c r="U5" s="6">
        <v>97685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2396119.4315201747</v>
      </c>
      <c r="AV5" s="6">
        <v>195370</v>
      </c>
      <c r="AW5" s="6">
        <v>488425</v>
      </c>
      <c r="AX5" s="6">
        <v>2051385</v>
      </c>
      <c r="AY5" s="6">
        <v>346980</v>
      </c>
      <c r="AZ5" s="6">
        <v>135666</v>
      </c>
      <c r="BA5" s="6">
        <v>4440.227272727273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72828</v>
      </c>
      <c r="BH5" s="6">
        <v>242566.49</v>
      </c>
      <c r="BI5" s="6">
        <v>3935.74</v>
      </c>
      <c r="BJ5" s="6">
        <v>15075</v>
      </c>
      <c r="BK5" s="6">
        <v>0</v>
      </c>
      <c r="BL5" s="6"/>
      <c r="BM5" s="6">
        <v>0</v>
      </c>
      <c r="BN5" s="6">
        <v>0</v>
      </c>
      <c r="BO5" s="6">
        <v>0</v>
      </c>
      <c r="BP5" s="6">
        <v>0</v>
      </c>
      <c r="BQ5" s="26">
        <v>138141</v>
      </c>
      <c r="BR5" s="26">
        <v>30000</v>
      </c>
      <c r="BS5" s="26">
        <v>10000</v>
      </c>
      <c r="BT5" s="26">
        <v>9000</v>
      </c>
      <c r="BU5" s="26">
        <v>0</v>
      </c>
      <c r="BV5" s="26">
        <v>0</v>
      </c>
      <c r="BW5" s="26">
        <v>0</v>
      </c>
      <c r="BX5" s="26">
        <v>101560.06446048801</v>
      </c>
      <c r="BY5" s="26">
        <v>15000</v>
      </c>
      <c r="BZ5" s="6">
        <v>97685</v>
      </c>
      <c r="CA5" s="6">
        <v>87556</v>
      </c>
      <c r="CB5" s="6">
        <v>0</v>
      </c>
      <c r="CC5" s="6">
        <v>0</v>
      </c>
      <c r="CD5" s="6">
        <v>73263.75</v>
      </c>
      <c r="CE5" s="6">
        <v>0</v>
      </c>
      <c r="CF5" s="6">
        <v>0</v>
      </c>
      <c r="CG5" s="6">
        <v>0</v>
      </c>
      <c r="CH5" s="6">
        <v>0</v>
      </c>
      <c r="CI5" s="6">
        <v>101560.06446048801</v>
      </c>
      <c r="CJ5" s="6">
        <v>12240</v>
      </c>
      <c r="CK5" s="6">
        <v>15960</v>
      </c>
      <c r="CL5" s="6">
        <v>0</v>
      </c>
      <c r="CM5" s="6">
        <v>0</v>
      </c>
      <c r="CN5" s="6">
        <v>0</v>
      </c>
      <c r="CO5" s="6">
        <v>0</v>
      </c>
      <c r="CP5" s="6">
        <v>59398.510454002389</v>
      </c>
      <c r="CQ5" s="6">
        <v>101560.06446048801</v>
      </c>
      <c r="CR5" s="6">
        <v>0</v>
      </c>
      <c r="CS5" s="6">
        <v>0</v>
      </c>
      <c r="CT5" s="6">
        <v>36975</v>
      </c>
      <c r="CU5" s="6">
        <v>108844.72481570816</v>
      </c>
      <c r="CV5" s="6">
        <v>0</v>
      </c>
      <c r="CW5" s="6">
        <v>0</v>
      </c>
      <c r="CX5" s="6"/>
      <c r="CY5" s="6">
        <f>VLOOKUP(A5, 'At-Risk updating '!A:E, 5, 0)</f>
        <v>11571.189558853162</v>
      </c>
      <c r="CZ5" s="6">
        <v>0</v>
      </c>
      <c r="DA5" s="6">
        <v>0</v>
      </c>
      <c r="DB5" s="6">
        <v>0</v>
      </c>
      <c r="DC5" s="6">
        <v>0</v>
      </c>
      <c r="DD5" s="6">
        <v>0</v>
      </c>
      <c r="DE5" s="10">
        <v>0</v>
      </c>
      <c r="DF5" s="6">
        <v>0</v>
      </c>
      <c r="DG5" s="7">
        <v>392085.30399706773</v>
      </c>
      <c r="DH5" s="11">
        <f>SUM(G5:DG5)</f>
        <v>8790003.7609999981</v>
      </c>
    </row>
    <row r="6" spans="1:112" ht="15.75" x14ac:dyDescent="0.25">
      <c r="A6" s="4">
        <v>452</v>
      </c>
      <c r="B6" s="4" t="s">
        <v>82</v>
      </c>
      <c r="C6" s="5" t="s">
        <v>191</v>
      </c>
      <c r="D6" s="5">
        <v>8</v>
      </c>
      <c r="E6" s="5">
        <v>911</v>
      </c>
      <c r="F6" s="5">
        <v>818</v>
      </c>
      <c r="G6" s="6">
        <v>171051</v>
      </c>
      <c r="H6" s="6">
        <v>97685</v>
      </c>
      <c r="I6" s="6">
        <v>414423</v>
      </c>
      <c r="J6" s="7">
        <v>0</v>
      </c>
      <c r="K6" s="7">
        <v>401655.60000000003</v>
      </c>
      <c r="L6" s="6">
        <v>75970</v>
      </c>
      <c r="M6" s="6">
        <v>55700</v>
      </c>
      <c r="N6" s="6">
        <v>93083.299999999988</v>
      </c>
      <c r="O6" s="6">
        <v>47542</v>
      </c>
      <c r="P6" s="6">
        <v>116974</v>
      </c>
      <c r="Q6" s="6">
        <v>202968</v>
      </c>
      <c r="R6" s="6">
        <v>0</v>
      </c>
      <c r="S6" s="8">
        <v>9</v>
      </c>
      <c r="T6" s="6">
        <v>370206</v>
      </c>
      <c r="U6" s="6">
        <v>97685</v>
      </c>
      <c r="V6" s="6">
        <v>0</v>
      </c>
      <c r="W6" s="6">
        <v>0</v>
      </c>
      <c r="X6" s="6">
        <v>97685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4314625.9643702358</v>
      </c>
      <c r="AV6" s="6">
        <v>97685</v>
      </c>
      <c r="AW6" s="6">
        <v>488425</v>
      </c>
      <c r="AX6" s="6">
        <v>2344440</v>
      </c>
      <c r="AY6" s="6">
        <v>260235</v>
      </c>
      <c r="AZ6" s="6">
        <v>180888</v>
      </c>
      <c r="BA6" s="6">
        <v>8880.454545454546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80920</v>
      </c>
      <c r="BH6" s="6">
        <v>376100.57</v>
      </c>
      <c r="BI6" s="6">
        <v>6102.39</v>
      </c>
      <c r="BJ6" s="6">
        <v>23375</v>
      </c>
      <c r="BK6" s="6">
        <v>0</v>
      </c>
      <c r="BL6" s="6"/>
      <c r="BM6" s="6">
        <v>0</v>
      </c>
      <c r="BN6" s="6">
        <v>0</v>
      </c>
      <c r="BO6" s="6">
        <v>0</v>
      </c>
      <c r="BP6" s="6">
        <v>0</v>
      </c>
      <c r="BQ6" s="26">
        <v>138141</v>
      </c>
      <c r="BR6" s="26">
        <v>40000</v>
      </c>
      <c r="BS6" s="26">
        <v>10000</v>
      </c>
      <c r="BT6" s="26">
        <v>9000</v>
      </c>
      <c r="BU6" s="26">
        <v>55000</v>
      </c>
      <c r="BV6" s="26">
        <v>0</v>
      </c>
      <c r="BW6" s="26">
        <v>0</v>
      </c>
      <c r="BX6" s="26">
        <v>0</v>
      </c>
      <c r="BY6" s="26">
        <v>0</v>
      </c>
      <c r="BZ6" s="6">
        <v>0</v>
      </c>
      <c r="CA6" s="6">
        <v>0</v>
      </c>
      <c r="CB6" s="6">
        <v>134027</v>
      </c>
      <c r="CC6" s="6">
        <v>99697</v>
      </c>
      <c r="CD6" s="6">
        <v>73263.75</v>
      </c>
      <c r="CE6" s="6">
        <v>0</v>
      </c>
      <c r="CF6" s="6">
        <v>0</v>
      </c>
      <c r="CG6" s="6">
        <v>0</v>
      </c>
      <c r="CH6" s="6">
        <v>0</v>
      </c>
      <c r="CI6" s="6">
        <v>101560.06446048801</v>
      </c>
      <c r="CJ6" s="6">
        <v>12240</v>
      </c>
      <c r="CK6" s="6">
        <v>32720</v>
      </c>
      <c r="CL6" s="6">
        <v>0</v>
      </c>
      <c r="CM6" s="6">
        <v>0</v>
      </c>
      <c r="CN6" s="6" t="b">
        <v>0</v>
      </c>
      <c r="CO6" s="6" t="b">
        <v>0</v>
      </c>
      <c r="CP6" s="6">
        <v>116193.3793442623</v>
      </c>
      <c r="CQ6" s="6">
        <v>101560.06446048801</v>
      </c>
      <c r="CR6" s="6">
        <v>0</v>
      </c>
      <c r="CS6" s="6">
        <v>128716</v>
      </c>
      <c r="CT6" s="6">
        <v>79170</v>
      </c>
      <c r="CU6" s="6">
        <v>152113.91171755001</v>
      </c>
      <c r="CV6" s="6">
        <v>0</v>
      </c>
      <c r="CW6" s="6">
        <v>0</v>
      </c>
      <c r="CX6" s="6"/>
      <c r="CY6" s="6">
        <f>VLOOKUP(A6, 'At-Risk updating '!A:E, 5, 0)</f>
        <v>121407.406708783</v>
      </c>
      <c r="CZ6" s="6">
        <v>0</v>
      </c>
      <c r="DA6" s="6">
        <v>0</v>
      </c>
      <c r="DB6" s="6">
        <v>0</v>
      </c>
      <c r="DC6" s="6">
        <v>0</v>
      </c>
      <c r="DD6" s="6">
        <v>0</v>
      </c>
      <c r="DE6" s="10">
        <v>0</v>
      </c>
      <c r="DF6" s="6">
        <v>0</v>
      </c>
      <c r="DG6" s="7">
        <v>305645.09439273551</v>
      </c>
      <c r="DH6" s="11">
        <f>SUM(G6:DG6)</f>
        <v>12134768.949999999</v>
      </c>
    </row>
    <row r="7" spans="1:112" ht="15.75" x14ac:dyDescent="0.25">
      <c r="A7" s="4">
        <v>462</v>
      </c>
      <c r="B7" s="4" t="s">
        <v>83</v>
      </c>
      <c r="C7" s="5" t="s">
        <v>202</v>
      </c>
      <c r="D7" s="5">
        <v>8</v>
      </c>
      <c r="E7" s="5">
        <v>586</v>
      </c>
      <c r="F7" s="5">
        <v>0</v>
      </c>
      <c r="G7" s="6">
        <v>171051</v>
      </c>
      <c r="H7" s="6">
        <v>97685</v>
      </c>
      <c r="I7" s="6">
        <v>138141</v>
      </c>
      <c r="J7" s="7">
        <v>0</v>
      </c>
      <c r="K7" s="7">
        <v>210590.26249999998</v>
      </c>
      <c r="L7" s="6">
        <v>0</v>
      </c>
      <c r="M7" s="6">
        <v>55700</v>
      </c>
      <c r="N7" s="6">
        <v>48565.2</v>
      </c>
      <c r="O7" s="6">
        <v>47542</v>
      </c>
      <c r="P7" s="6">
        <v>58487</v>
      </c>
      <c r="Q7" s="6">
        <v>67656</v>
      </c>
      <c r="R7" s="6">
        <v>51186</v>
      </c>
      <c r="S7" s="8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1526328.625</v>
      </c>
      <c r="AV7" s="6">
        <v>48842.5</v>
      </c>
      <c r="AW7" s="6">
        <v>146527.5</v>
      </c>
      <c r="AX7" s="6">
        <v>488425</v>
      </c>
      <c r="AY7" s="6">
        <v>57830</v>
      </c>
      <c r="AZ7" s="6">
        <v>45222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12325</v>
      </c>
      <c r="BK7" s="6">
        <v>0</v>
      </c>
      <c r="BL7" s="6"/>
      <c r="BM7" s="6">
        <v>0</v>
      </c>
      <c r="BN7" s="6">
        <v>0</v>
      </c>
      <c r="BO7" s="6">
        <v>0</v>
      </c>
      <c r="BP7" s="6">
        <v>0</v>
      </c>
      <c r="BQ7" s="26">
        <v>0</v>
      </c>
      <c r="BR7" s="26">
        <v>0</v>
      </c>
      <c r="BS7" s="26">
        <v>0</v>
      </c>
      <c r="BT7" s="26">
        <v>0</v>
      </c>
      <c r="BU7" s="26">
        <v>0</v>
      </c>
      <c r="BV7" s="26">
        <v>0</v>
      </c>
      <c r="BW7" s="26">
        <v>0</v>
      </c>
      <c r="BX7" s="26">
        <v>0</v>
      </c>
      <c r="BY7" s="26">
        <v>0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12240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  <c r="CP7" s="6">
        <v>60619.915999999997</v>
      </c>
      <c r="CQ7" s="6">
        <v>101560.06446048801</v>
      </c>
      <c r="CR7" s="6">
        <v>150000</v>
      </c>
      <c r="CS7" s="6">
        <v>0</v>
      </c>
      <c r="CT7" s="6">
        <v>42195</v>
      </c>
      <c r="CU7" s="6">
        <v>45291.617279407321</v>
      </c>
      <c r="CV7" s="6">
        <v>0</v>
      </c>
      <c r="CW7" s="6">
        <v>0</v>
      </c>
      <c r="CX7" s="6"/>
      <c r="CY7" s="6">
        <f>VLOOKUP(A7, 'At-Risk updating '!A:E, 5, 0)</f>
        <v>0</v>
      </c>
      <c r="CZ7" s="6">
        <v>0</v>
      </c>
      <c r="DA7" s="6">
        <v>0</v>
      </c>
      <c r="DB7" s="6">
        <v>0</v>
      </c>
      <c r="DC7" s="6">
        <v>0</v>
      </c>
      <c r="DD7" s="6">
        <v>0</v>
      </c>
      <c r="DE7" s="10">
        <v>0</v>
      </c>
      <c r="DF7" s="6">
        <v>0</v>
      </c>
      <c r="DG7" s="7">
        <v>50205.910760104656</v>
      </c>
      <c r="DH7" s="11">
        <f>SUM(G7:DG7)</f>
        <v>3734216.5959999999</v>
      </c>
    </row>
    <row r="8" spans="1:112" ht="15.75" x14ac:dyDescent="0.25">
      <c r="A8" s="4">
        <v>204</v>
      </c>
      <c r="B8" s="4" t="s">
        <v>84</v>
      </c>
      <c r="C8" s="5" t="s">
        <v>201</v>
      </c>
      <c r="D8" s="5">
        <v>1</v>
      </c>
      <c r="E8" s="5">
        <v>536</v>
      </c>
      <c r="F8" s="5">
        <v>201</v>
      </c>
      <c r="G8" s="6">
        <v>171051</v>
      </c>
      <c r="H8" s="6">
        <v>97685</v>
      </c>
      <c r="I8" s="6">
        <v>179583.30000000002</v>
      </c>
      <c r="J8" s="7">
        <v>0</v>
      </c>
      <c r="K8" s="7">
        <v>0</v>
      </c>
      <c r="L8" s="6">
        <v>75970</v>
      </c>
      <c r="M8" s="6">
        <v>55700</v>
      </c>
      <c r="N8" s="6">
        <v>52612.3</v>
      </c>
      <c r="O8" s="6">
        <v>0</v>
      </c>
      <c r="P8" s="6">
        <v>0</v>
      </c>
      <c r="Q8" s="6">
        <v>67656</v>
      </c>
      <c r="R8" s="6">
        <v>153558</v>
      </c>
      <c r="S8" s="8">
        <v>0</v>
      </c>
      <c r="T8" s="6">
        <v>0</v>
      </c>
      <c r="U8" s="6">
        <v>97685</v>
      </c>
      <c r="V8" s="6">
        <v>97685</v>
      </c>
      <c r="W8" s="6">
        <v>97685</v>
      </c>
      <c r="X8" s="6">
        <v>97685</v>
      </c>
      <c r="Y8" s="6">
        <v>146527.5</v>
      </c>
      <c r="Z8" s="6">
        <v>293055</v>
      </c>
      <c r="AA8" s="6">
        <v>86745</v>
      </c>
      <c r="AB8" s="6">
        <v>0</v>
      </c>
      <c r="AC8" s="6">
        <v>0</v>
      </c>
      <c r="AD8" s="6">
        <v>293055</v>
      </c>
      <c r="AE8" s="6">
        <v>86745</v>
      </c>
      <c r="AF8" s="6">
        <v>293055</v>
      </c>
      <c r="AG8" s="6">
        <v>86745</v>
      </c>
      <c r="AH8" s="6">
        <v>293055</v>
      </c>
      <c r="AI8" s="6">
        <v>390740</v>
      </c>
      <c r="AJ8" s="6">
        <v>293055</v>
      </c>
      <c r="AK8" s="6">
        <v>293055</v>
      </c>
      <c r="AL8" s="6">
        <v>293055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97685</v>
      </c>
      <c r="AW8" s="6">
        <v>97685</v>
      </c>
      <c r="AX8" s="6">
        <v>488425</v>
      </c>
      <c r="AY8" s="6">
        <v>28915</v>
      </c>
      <c r="AZ8" s="6">
        <v>0</v>
      </c>
      <c r="BA8" s="6">
        <v>1074535</v>
      </c>
      <c r="BB8" s="6">
        <v>0</v>
      </c>
      <c r="BC8" s="6">
        <v>195370</v>
      </c>
      <c r="BD8" s="6">
        <v>47440</v>
      </c>
      <c r="BE8" s="6">
        <v>52320</v>
      </c>
      <c r="BF8" s="6">
        <v>7848</v>
      </c>
      <c r="BG8" s="6">
        <v>0</v>
      </c>
      <c r="BH8" s="6">
        <v>209489.24</v>
      </c>
      <c r="BI8" s="6">
        <v>3399.05</v>
      </c>
      <c r="BJ8" s="6">
        <v>13025</v>
      </c>
      <c r="BK8" s="6">
        <v>0</v>
      </c>
      <c r="BL8" s="6"/>
      <c r="BM8" s="6">
        <v>0</v>
      </c>
      <c r="BN8" s="6">
        <v>0</v>
      </c>
      <c r="BO8" s="6">
        <v>0</v>
      </c>
      <c r="BP8" s="6">
        <v>0</v>
      </c>
      <c r="BQ8" s="26">
        <v>0</v>
      </c>
      <c r="BR8" s="26">
        <v>0</v>
      </c>
      <c r="BS8" s="26">
        <v>0</v>
      </c>
      <c r="BT8" s="26">
        <v>0</v>
      </c>
      <c r="BU8" s="26">
        <v>0</v>
      </c>
      <c r="BV8" s="26">
        <v>0</v>
      </c>
      <c r="BW8" s="26">
        <v>0</v>
      </c>
      <c r="BX8" s="26">
        <v>0</v>
      </c>
      <c r="BY8" s="26">
        <v>0</v>
      </c>
      <c r="BZ8" s="6">
        <v>0</v>
      </c>
      <c r="CA8" s="6">
        <v>0</v>
      </c>
      <c r="CB8" s="6">
        <v>0</v>
      </c>
      <c r="CC8" s="6">
        <v>0</v>
      </c>
      <c r="CD8" s="6">
        <v>146527.5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4020</v>
      </c>
      <c r="CL8" s="6">
        <v>0</v>
      </c>
      <c r="CM8" s="6">
        <v>0</v>
      </c>
      <c r="CN8" s="6">
        <v>0</v>
      </c>
      <c r="CO8" s="6">
        <v>0</v>
      </c>
      <c r="CP8" s="6">
        <v>28442.172727272729</v>
      </c>
      <c r="CQ8" s="6">
        <v>0</v>
      </c>
      <c r="CR8" s="6">
        <v>0</v>
      </c>
      <c r="CS8" s="6">
        <v>0</v>
      </c>
      <c r="CT8" s="6">
        <v>46371</v>
      </c>
      <c r="CU8" s="6">
        <v>91140.871499999994</v>
      </c>
      <c r="CV8" s="6">
        <v>0</v>
      </c>
      <c r="CW8" s="6">
        <v>0</v>
      </c>
      <c r="CX8" s="6"/>
      <c r="CY8" s="6">
        <f>VLOOKUP(A8, 'At-Risk updating '!A:E, 5, 0)</f>
        <v>32500</v>
      </c>
      <c r="CZ8" s="6">
        <v>0</v>
      </c>
      <c r="DA8" s="6">
        <v>0</v>
      </c>
      <c r="DB8" s="6">
        <v>0</v>
      </c>
      <c r="DC8" s="6">
        <v>0</v>
      </c>
      <c r="DD8" s="6">
        <v>0</v>
      </c>
      <c r="DE8" s="10">
        <v>0</v>
      </c>
      <c r="DF8" s="6">
        <v>0</v>
      </c>
      <c r="DG8" s="7">
        <v>0</v>
      </c>
      <c r="DH8" s="11">
        <f>SUM(G8:DG8)</f>
        <v>6758580.9342272729</v>
      </c>
    </row>
    <row r="9" spans="1:112" ht="15.75" x14ac:dyDescent="0.25">
      <c r="A9" s="4">
        <v>205</v>
      </c>
      <c r="B9" s="4" t="s">
        <v>85</v>
      </c>
      <c r="C9" s="5" t="s">
        <v>201</v>
      </c>
      <c r="D9" s="5">
        <v>4</v>
      </c>
      <c r="E9" s="5">
        <v>653</v>
      </c>
      <c r="F9" s="5">
        <v>332</v>
      </c>
      <c r="G9" s="6">
        <v>171051</v>
      </c>
      <c r="H9" s="6">
        <v>97685</v>
      </c>
      <c r="I9" s="6">
        <v>221025.6</v>
      </c>
      <c r="J9" s="7">
        <v>0</v>
      </c>
      <c r="K9" s="7">
        <v>0</v>
      </c>
      <c r="L9" s="6">
        <v>75970</v>
      </c>
      <c r="M9" s="6">
        <v>55700</v>
      </c>
      <c r="N9" s="6">
        <v>64753.600000000006</v>
      </c>
      <c r="O9" s="6">
        <v>0</v>
      </c>
      <c r="P9" s="6">
        <v>0</v>
      </c>
      <c r="Q9" s="6">
        <v>67656</v>
      </c>
      <c r="R9" s="6">
        <v>153558</v>
      </c>
      <c r="S9" s="8">
        <v>1</v>
      </c>
      <c r="T9" s="6">
        <v>41134</v>
      </c>
      <c r="U9" s="6">
        <v>97685</v>
      </c>
      <c r="V9" s="6">
        <v>97685</v>
      </c>
      <c r="W9" s="6">
        <v>97685</v>
      </c>
      <c r="X9" s="6">
        <v>97685</v>
      </c>
      <c r="Y9" s="6">
        <v>244212.5</v>
      </c>
      <c r="Z9" s="6">
        <v>390740</v>
      </c>
      <c r="AA9" s="6">
        <v>115660</v>
      </c>
      <c r="AB9" s="6">
        <v>0</v>
      </c>
      <c r="AC9" s="6">
        <v>0</v>
      </c>
      <c r="AD9" s="6">
        <v>390740</v>
      </c>
      <c r="AE9" s="6">
        <v>115660</v>
      </c>
      <c r="AF9" s="6">
        <v>390740</v>
      </c>
      <c r="AG9" s="6">
        <v>115660</v>
      </c>
      <c r="AH9" s="6">
        <v>390740</v>
      </c>
      <c r="AI9" s="6">
        <v>390740</v>
      </c>
      <c r="AJ9" s="6">
        <v>390740</v>
      </c>
      <c r="AK9" s="6">
        <v>390740</v>
      </c>
      <c r="AL9" s="6">
        <v>390740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48842.5</v>
      </c>
      <c r="AW9" s="6">
        <v>97685</v>
      </c>
      <c r="AX9" s="6">
        <v>879165</v>
      </c>
      <c r="AY9" s="6">
        <v>231320</v>
      </c>
      <c r="AZ9" s="6">
        <v>0</v>
      </c>
      <c r="BA9" s="6">
        <v>879165</v>
      </c>
      <c r="BB9" s="6">
        <v>0</v>
      </c>
      <c r="BC9" s="6">
        <v>97685</v>
      </c>
      <c r="BD9" s="6">
        <v>130460</v>
      </c>
      <c r="BE9" s="6">
        <v>143880</v>
      </c>
      <c r="BF9" s="6">
        <v>7848</v>
      </c>
      <c r="BG9" s="6">
        <v>0</v>
      </c>
      <c r="BH9" s="6">
        <v>256042.41</v>
      </c>
      <c r="BI9" s="6">
        <v>4154.3999999999996</v>
      </c>
      <c r="BJ9" s="6">
        <v>15925</v>
      </c>
      <c r="BK9" s="6">
        <v>0</v>
      </c>
      <c r="BL9" s="6"/>
      <c r="BM9" s="6">
        <v>0</v>
      </c>
      <c r="BN9" s="6">
        <v>0</v>
      </c>
      <c r="BO9" s="6">
        <v>0</v>
      </c>
      <c r="BP9" s="6">
        <v>0</v>
      </c>
      <c r="BQ9" s="26">
        <v>0</v>
      </c>
      <c r="BR9" s="26">
        <v>0</v>
      </c>
      <c r="BS9" s="26">
        <v>0</v>
      </c>
      <c r="BT9" s="26">
        <v>0</v>
      </c>
      <c r="BU9" s="26">
        <v>0</v>
      </c>
      <c r="BV9" s="26">
        <v>0</v>
      </c>
      <c r="BW9" s="26">
        <v>0</v>
      </c>
      <c r="BX9" s="26">
        <v>0</v>
      </c>
      <c r="BY9" s="2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6640</v>
      </c>
      <c r="CL9" s="6">
        <v>122400</v>
      </c>
      <c r="CM9" s="6">
        <v>0</v>
      </c>
      <c r="CN9" s="6">
        <v>0</v>
      </c>
      <c r="CO9" s="6">
        <v>0</v>
      </c>
      <c r="CP9" s="6">
        <v>32559.591954022988</v>
      </c>
      <c r="CQ9" s="6">
        <v>0</v>
      </c>
      <c r="CR9" s="6">
        <v>0</v>
      </c>
      <c r="CS9" s="6">
        <v>0</v>
      </c>
      <c r="CT9" s="6">
        <v>56550</v>
      </c>
      <c r="CU9" s="6">
        <v>111189.723</v>
      </c>
      <c r="CV9" s="6">
        <v>0</v>
      </c>
      <c r="CW9" s="6">
        <v>0</v>
      </c>
      <c r="CX9" s="6"/>
      <c r="CY9" s="6">
        <f>VLOOKUP(A9, 'At-Risk updating '!A:E, 5, 0)</f>
        <v>25958.5</v>
      </c>
      <c r="CZ9" s="6">
        <v>0</v>
      </c>
      <c r="DA9" s="6">
        <v>0</v>
      </c>
      <c r="DB9" s="6">
        <v>0</v>
      </c>
      <c r="DC9" s="6">
        <v>0</v>
      </c>
      <c r="DD9" s="6">
        <v>0</v>
      </c>
      <c r="DE9" s="10">
        <v>0</v>
      </c>
      <c r="DF9" s="6">
        <v>0</v>
      </c>
      <c r="DG9" s="7">
        <v>0</v>
      </c>
      <c r="DH9" s="11">
        <f>SUM(G9:DG9)</f>
        <v>8203856.8249540236</v>
      </c>
    </row>
    <row r="10" spans="1:112" ht="15.75" x14ac:dyDescent="0.25">
      <c r="A10" s="4">
        <v>206</v>
      </c>
      <c r="B10" s="4" t="s">
        <v>86</v>
      </c>
      <c r="C10" s="5" t="s">
        <v>201</v>
      </c>
      <c r="D10" s="5">
        <v>7</v>
      </c>
      <c r="E10" s="5">
        <v>465</v>
      </c>
      <c r="F10" s="5">
        <v>269</v>
      </c>
      <c r="G10" s="6">
        <v>171051</v>
      </c>
      <c r="H10" s="6">
        <v>97685</v>
      </c>
      <c r="I10" s="6">
        <v>165769.19999999998</v>
      </c>
      <c r="J10" s="7">
        <v>0</v>
      </c>
      <c r="K10" s="7">
        <v>0</v>
      </c>
      <c r="L10" s="6">
        <v>75970</v>
      </c>
      <c r="M10" s="6">
        <v>55700</v>
      </c>
      <c r="N10" s="6">
        <v>48565.2</v>
      </c>
      <c r="O10" s="6">
        <v>0</v>
      </c>
      <c r="P10" s="6">
        <v>0</v>
      </c>
      <c r="Q10" s="6">
        <v>67656</v>
      </c>
      <c r="R10" s="6">
        <v>102372</v>
      </c>
      <c r="S10" s="8">
        <v>0</v>
      </c>
      <c r="T10" s="6">
        <v>0</v>
      </c>
      <c r="U10" s="6">
        <v>97685</v>
      </c>
      <c r="V10" s="6">
        <v>97685</v>
      </c>
      <c r="W10" s="6">
        <v>97685</v>
      </c>
      <c r="X10" s="6">
        <v>97685</v>
      </c>
      <c r="Y10" s="6">
        <v>146527.5</v>
      </c>
      <c r="Z10" s="6">
        <v>195370</v>
      </c>
      <c r="AA10" s="6">
        <v>57830</v>
      </c>
      <c r="AB10" s="6">
        <v>97685</v>
      </c>
      <c r="AC10" s="6">
        <v>28915</v>
      </c>
      <c r="AD10" s="6">
        <v>195370</v>
      </c>
      <c r="AE10" s="6">
        <v>57830</v>
      </c>
      <c r="AF10" s="6">
        <v>293055</v>
      </c>
      <c r="AG10" s="6">
        <v>86745</v>
      </c>
      <c r="AH10" s="6">
        <v>293055</v>
      </c>
      <c r="AI10" s="6">
        <v>293055</v>
      </c>
      <c r="AJ10" s="6">
        <v>293055</v>
      </c>
      <c r="AK10" s="6">
        <v>293055</v>
      </c>
      <c r="AL10" s="6">
        <v>195370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97685</v>
      </c>
      <c r="AW10" s="6">
        <v>97685</v>
      </c>
      <c r="AX10" s="6">
        <v>1172220</v>
      </c>
      <c r="AY10" s="6">
        <v>289150</v>
      </c>
      <c r="AZ10" s="6">
        <v>0</v>
      </c>
      <c r="BA10" s="6">
        <v>4440.227272727273</v>
      </c>
      <c r="BB10" s="6">
        <v>0</v>
      </c>
      <c r="BC10" s="6">
        <v>0</v>
      </c>
      <c r="BD10" s="6">
        <v>53370</v>
      </c>
      <c r="BE10" s="6">
        <v>58860</v>
      </c>
      <c r="BF10" s="6">
        <v>7848</v>
      </c>
      <c r="BG10" s="6">
        <v>0</v>
      </c>
      <c r="BH10" s="6">
        <v>176820.36</v>
      </c>
      <c r="BI10" s="6">
        <v>2868.98</v>
      </c>
      <c r="BJ10" s="6">
        <v>11000</v>
      </c>
      <c r="BK10" s="6">
        <v>0</v>
      </c>
      <c r="BL10" s="6"/>
      <c r="BM10" s="6">
        <v>0</v>
      </c>
      <c r="BN10" s="6">
        <v>0</v>
      </c>
      <c r="BO10" s="6">
        <v>0</v>
      </c>
      <c r="BP10" s="6">
        <v>0</v>
      </c>
      <c r="BQ10" s="26">
        <v>0</v>
      </c>
      <c r="BR10" s="26">
        <v>0</v>
      </c>
      <c r="BS10" s="26">
        <v>0</v>
      </c>
      <c r="BT10" s="26">
        <v>0</v>
      </c>
      <c r="BU10" s="26">
        <v>0</v>
      </c>
      <c r="BV10" s="26">
        <v>0</v>
      </c>
      <c r="BW10" s="26">
        <v>0</v>
      </c>
      <c r="BX10" s="26">
        <v>0</v>
      </c>
      <c r="BY10" s="2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97685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5380</v>
      </c>
      <c r="CL10" s="6">
        <v>0</v>
      </c>
      <c r="CM10" s="6">
        <v>0</v>
      </c>
      <c r="CN10" s="6">
        <v>0</v>
      </c>
      <c r="CO10" s="6">
        <v>0</v>
      </c>
      <c r="CP10" s="6">
        <v>25792.372093023256</v>
      </c>
      <c r="CQ10" s="6">
        <v>0</v>
      </c>
      <c r="CR10" s="6">
        <v>0</v>
      </c>
      <c r="CS10" s="6">
        <v>0</v>
      </c>
      <c r="CT10" s="6">
        <v>40194</v>
      </c>
      <c r="CU10" s="6">
        <v>80454.091909090916</v>
      </c>
      <c r="CV10" s="6">
        <v>0</v>
      </c>
      <c r="CW10" s="6">
        <v>0</v>
      </c>
      <c r="CX10" s="6"/>
      <c r="CY10" s="6">
        <f>VLOOKUP(A10, 'At-Risk updating '!A:E, 5, 0)</f>
        <v>189186.5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10">
        <v>0</v>
      </c>
      <c r="DF10" s="6">
        <v>0</v>
      </c>
      <c r="DG10" s="7">
        <v>0</v>
      </c>
      <c r="DH10" s="11">
        <f>SUM(G10:DG10)</f>
        <v>6113065.4312748425</v>
      </c>
    </row>
    <row r="11" spans="1:112" ht="15.75" x14ac:dyDescent="0.25">
      <c r="A11" s="4">
        <v>402</v>
      </c>
      <c r="B11" s="4" t="s">
        <v>87</v>
      </c>
      <c r="C11" s="5" t="s">
        <v>191</v>
      </c>
      <c r="D11" s="5">
        <v>1</v>
      </c>
      <c r="E11" s="5">
        <v>489</v>
      </c>
      <c r="F11" s="5">
        <v>127</v>
      </c>
      <c r="G11" s="6">
        <v>171051</v>
      </c>
      <c r="H11" s="6">
        <v>97685</v>
      </c>
      <c r="I11" s="6">
        <v>221025.6</v>
      </c>
      <c r="J11" s="7">
        <v>0</v>
      </c>
      <c r="K11" s="7">
        <v>223142</v>
      </c>
      <c r="L11" s="6">
        <v>75970</v>
      </c>
      <c r="M11" s="6">
        <v>55700</v>
      </c>
      <c r="N11" s="6">
        <v>48565.2</v>
      </c>
      <c r="O11" s="6">
        <v>47542</v>
      </c>
      <c r="P11" s="6">
        <v>58487</v>
      </c>
      <c r="Q11" s="6">
        <v>135312</v>
      </c>
      <c r="R11" s="6">
        <v>102372</v>
      </c>
      <c r="S11" s="8">
        <v>0</v>
      </c>
      <c r="T11" s="6">
        <v>0</v>
      </c>
      <c r="U11" s="6">
        <v>97685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537267.5</v>
      </c>
      <c r="AQ11" s="6">
        <v>488425</v>
      </c>
      <c r="AR11" s="6">
        <v>488425</v>
      </c>
      <c r="AS11" s="6">
        <v>468888</v>
      </c>
      <c r="AT11" s="6">
        <v>0</v>
      </c>
      <c r="AU11" s="6">
        <v>0</v>
      </c>
      <c r="AV11" s="6">
        <v>97685</v>
      </c>
      <c r="AW11" s="6">
        <v>0</v>
      </c>
      <c r="AX11" s="6">
        <v>48842.5</v>
      </c>
      <c r="AY11" s="6">
        <v>0</v>
      </c>
      <c r="AZ11" s="6">
        <v>0</v>
      </c>
      <c r="BA11" s="6">
        <v>17760.909090909092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182537.41</v>
      </c>
      <c r="BI11" s="6">
        <v>2961.75</v>
      </c>
      <c r="BJ11" s="6">
        <v>11350</v>
      </c>
      <c r="BK11" s="6">
        <v>101560.06446048801</v>
      </c>
      <c r="BL11" s="6"/>
      <c r="BM11" s="6">
        <v>0</v>
      </c>
      <c r="BN11" s="6">
        <v>0</v>
      </c>
      <c r="BO11" s="6">
        <v>0</v>
      </c>
      <c r="BP11" s="6">
        <v>0</v>
      </c>
      <c r="BQ11" s="26">
        <v>0</v>
      </c>
      <c r="BR11" s="26">
        <v>0</v>
      </c>
      <c r="BS11" s="26">
        <v>0</v>
      </c>
      <c r="BT11" s="26">
        <v>0</v>
      </c>
      <c r="BU11" s="26">
        <v>0</v>
      </c>
      <c r="BV11" s="26">
        <v>0</v>
      </c>
      <c r="BW11" s="26">
        <v>0</v>
      </c>
      <c r="BX11" s="26">
        <v>0</v>
      </c>
      <c r="BY11" s="2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101560.06446048801</v>
      </c>
      <c r="CJ11" s="6">
        <v>12240</v>
      </c>
      <c r="CK11" s="6">
        <v>2540</v>
      </c>
      <c r="CL11" s="6">
        <v>0</v>
      </c>
      <c r="CM11" s="6">
        <v>0</v>
      </c>
      <c r="CN11" s="6">
        <v>0</v>
      </c>
      <c r="CO11" s="6">
        <v>0</v>
      </c>
      <c r="CP11" s="6">
        <v>67639.419354838712</v>
      </c>
      <c r="CQ11" s="6">
        <v>0</v>
      </c>
      <c r="CR11" s="6">
        <v>0</v>
      </c>
      <c r="CS11" s="6">
        <v>0</v>
      </c>
      <c r="CT11" s="6">
        <v>42456</v>
      </c>
      <c r="CU11" s="6">
        <v>55274.262570178274</v>
      </c>
      <c r="CV11" s="6">
        <v>0</v>
      </c>
      <c r="CW11" s="6">
        <v>690480</v>
      </c>
      <c r="CX11" s="6"/>
      <c r="CY11" s="6">
        <f>VLOOKUP(A11, 'At-Risk updating '!A:E, 5, 0)</f>
        <v>74392.935539511673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10">
        <v>0</v>
      </c>
      <c r="DF11" s="6">
        <v>0</v>
      </c>
      <c r="DG11" s="7">
        <v>0</v>
      </c>
      <c r="DH11" s="11">
        <f>SUM(G11:DG11)</f>
        <v>4826822.6154764146</v>
      </c>
    </row>
    <row r="12" spans="1:112" ht="15.75" x14ac:dyDescent="0.25">
      <c r="A12" s="4">
        <v>212</v>
      </c>
      <c r="B12" s="4" t="s">
        <v>88</v>
      </c>
      <c r="C12" s="5" t="s">
        <v>201</v>
      </c>
      <c r="D12" s="5">
        <v>6</v>
      </c>
      <c r="E12" s="5">
        <v>405</v>
      </c>
      <c r="F12" s="5">
        <v>35</v>
      </c>
      <c r="G12" s="6">
        <v>171051</v>
      </c>
      <c r="H12" s="6">
        <v>97685</v>
      </c>
      <c r="I12" s="6">
        <v>138141</v>
      </c>
      <c r="J12" s="7">
        <v>0</v>
      </c>
      <c r="K12" s="7">
        <v>0</v>
      </c>
      <c r="L12" s="6">
        <v>75970</v>
      </c>
      <c r="M12" s="6">
        <v>55700</v>
      </c>
      <c r="N12" s="6">
        <v>40471</v>
      </c>
      <c r="O12" s="6">
        <v>0</v>
      </c>
      <c r="P12" s="6">
        <v>0</v>
      </c>
      <c r="Q12" s="6">
        <v>67656</v>
      </c>
      <c r="R12" s="6">
        <v>102372</v>
      </c>
      <c r="S12" s="8">
        <v>0</v>
      </c>
      <c r="T12" s="6">
        <v>0</v>
      </c>
      <c r="U12" s="6">
        <v>97685</v>
      </c>
      <c r="V12" s="6">
        <v>97685</v>
      </c>
      <c r="W12" s="6">
        <v>97685</v>
      </c>
      <c r="X12" s="6">
        <v>97685</v>
      </c>
      <c r="Y12" s="6">
        <v>146527.5</v>
      </c>
      <c r="Z12" s="6">
        <v>0</v>
      </c>
      <c r="AA12" s="6">
        <v>0</v>
      </c>
      <c r="AB12" s="6">
        <v>390740</v>
      </c>
      <c r="AC12" s="6">
        <v>115660</v>
      </c>
      <c r="AD12" s="6">
        <v>0</v>
      </c>
      <c r="AE12" s="6">
        <v>0</v>
      </c>
      <c r="AF12" s="6">
        <v>293055</v>
      </c>
      <c r="AG12" s="6">
        <v>86745</v>
      </c>
      <c r="AH12" s="6">
        <v>293055</v>
      </c>
      <c r="AI12" s="6">
        <v>293055</v>
      </c>
      <c r="AJ12" s="6">
        <v>293055</v>
      </c>
      <c r="AK12" s="6">
        <v>293055</v>
      </c>
      <c r="AL12" s="6">
        <v>97685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48842.5</v>
      </c>
      <c r="AW12" s="6">
        <v>97685</v>
      </c>
      <c r="AX12" s="6">
        <v>293055</v>
      </c>
      <c r="AY12" s="6">
        <v>0</v>
      </c>
      <c r="AZ12" s="6">
        <v>0</v>
      </c>
      <c r="BA12" s="6">
        <v>39962.045454545456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10100</v>
      </c>
      <c r="BK12" s="6">
        <v>0</v>
      </c>
      <c r="BL12" s="6"/>
      <c r="BM12" s="6">
        <v>0</v>
      </c>
      <c r="BN12" s="6">
        <v>0</v>
      </c>
      <c r="BO12" s="6">
        <v>0</v>
      </c>
      <c r="BP12" s="6">
        <v>0</v>
      </c>
      <c r="BQ12" s="26">
        <v>0</v>
      </c>
      <c r="BR12" s="26">
        <v>0</v>
      </c>
      <c r="BS12" s="26">
        <v>0</v>
      </c>
      <c r="BT12" s="26">
        <v>0</v>
      </c>
      <c r="BU12" s="26">
        <v>0</v>
      </c>
      <c r="BV12" s="26">
        <v>0</v>
      </c>
      <c r="BW12" s="26">
        <v>0</v>
      </c>
      <c r="BX12" s="26">
        <v>0</v>
      </c>
      <c r="BY12" s="2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21726.398373983739</v>
      </c>
      <c r="CQ12" s="6">
        <v>0</v>
      </c>
      <c r="CR12" s="6">
        <v>0</v>
      </c>
      <c r="CS12" s="6">
        <v>0</v>
      </c>
      <c r="CT12" s="6">
        <v>34974</v>
      </c>
      <c r="CU12" s="6">
        <v>58829.445681818179</v>
      </c>
      <c r="CV12" s="6">
        <v>0</v>
      </c>
      <c r="CW12" s="6">
        <v>0</v>
      </c>
      <c r="CX12" s="6"/>
      <c r="CY12" s="6">
        <f>VLOOKUP(A12, 'At-Risk updating '!A:E, 5, 0)</f>
        <v>3524.5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10">
        <v>0</v>
      </c>
      <c r="DF12" s="6">
        <v>0</v>
      </c>
      <c r="DG12" s="7">
        <v>0</v>
      </c>
      <c r="DH12" s="11">
        <f>SUM(G12:DG12)</f>
        <v>4051117.3895103475</v>
      </c>
    </row>
    <row r="13" spans="1:112" ht="15.75" x14ac:dyDescent="0.25">
      <c r="A13" s="4">
        <v>213</v>
      </c>
      <c r="B13" s="4" t="s">
        <v>89</v>
      </c>
      <c r="C13" s="5" t="s">
        <v>203</v>
      </c>
      <c r="D13" s="5">
        <v>4</v>
      </c>
      <c r="E13" s="5">
        <v>791</v>
      </c>
      <c r="F13" s="5">
        <v>422</v>
      </c>
      <c r="G13" s="6">
        <v>171051</v>
      </c>
      <c r="H13" s="6">
        <v>97685</v>
      </c>
      <c r="I13" s="6">
        <v>290096.10000000003</v>
      </c>
      <c r="J13" s="7">
        <v>97685</v>
      </c>
      <c r="K13" s="7">
        <v>0</v>
      </c>
      <c r="L13" s="6">
        <v>75970</v>
      </c>
      <c r="M13" s="6">
        <v>55700</v>
      </c>
      <c r="N13" s="6">
        <v>80942</v>
      </c>
      <c r="O13" s="6">
        <v>0</v>
      </c>
      <c r="P13" s="6">
        <v>0</v>
      </c>
      <c r="Q13" s="6">
        <v>67656</v>
      </c>
      <c r="R13" s="6">
        <v>51186</v>
      </c>
      <c r="S13" s="8">
        <v>3</v>
      </c>
      <c r="T13" s="6">
        <v>123402</v>
      </c>
      <c r="U13" s="6">
        <v>97685</v>
      </c>
      <c r="V13" s="6">
        <v>97685</v>
      </c>
      <c r="W13" s="6">
        <v>97685</v>
      </c>
      <c r="X13" s="6">
        <v>97685</v>
      </c>
      <c r="Y13" s="6">
        <v>341897.5</v>
      </c>
      <c r="Z13" s="6">
        <v>195370</v>
      </c>
      <c r="AA13" s="6">
        <v>57830</v>
      </c>
      <c r="AB13" s="6">
        <v>97685</v>
      </c>
      <c r="AC13" s="6">
        <v>28915</v>
      </c>
      <c r="AD13" s="6">
        <v>195370</v>
      </c>
      <c r="AE13" s="6">
        <v>57830</v>
      </c>
      <c r="AF13" s="6">
        <v>390740</v>
      </c>
      <c r="AG13" s="6">
        <v>115660</v>
      </c>
      <c r="AH13" s="6">
        <v>390740</v>
      </c>
      <c r="AI13" s="6">
        <v>390740</v>
      </c>
      <c r="AJ13" s="6">
        <v>390740</v>
      </c>
      <c r="AK13" s="6">
        <v>390740</v>
      </c>
      <c r="AL13" s="6">
        <v>390740</v>
      </c>
      <c r="AM13" s="6">
        <v>224675.49999999997</v>
      </c>
      <c r="AN13" s="6">
        <v>253981</v>
      </c>
      <c r="AO13" s="6">
        <v>283286.5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48842.5</v>
      </c>
      <c r="AW13" s="6">
        <v>195370</v>
      </c>
      <c r="AX13" s="6">
        <v>586110</v>
      </c>
      <c r="AY13" s="6">
        <v>0</v>
      </c>
      <c r="AZ13" s="6">
        <v>0</v>
      </c>
      <c r="BA13" s="6">
        <v>1953700</v>
      </c>
      <c r="BB13" s="6">
        <v>28915</v>
      </c>
      <c r="BC13" s="6">
        <v>390740</v>
      </c>
      <c r="BD13" s="6">
        <v>47440</v>
      </c>
      <c r="BE13" s="6">
        <v>52320</v>
      </c>
      <c r="BF13" s="6">
        <v>7848</v>
      </c>
      <c r="BG13" s="6">
        <v>0</v>
      </c>
      <c r="BH13" s="6">
        <v>287077.84999999998</v>
      </c>
      <c r="BI13" s="6">
        <v>4657.96</v>
      </c>
      <c r="BJ13" s="6">
        <v>17850</v>
      </c>
      <c r="BK13" s="6">
        <v>0</v>
      </c>
      <c r="BL13" s="6"/>
      <c r="BM13" s="6">
        <v>0</v>
      </c>
      <c r="BN13" s="6">
        <v>0</v>
      </c>
      <c r="BO13" s="6">
        <v>0</v>
      </c>
      <c r="BP13" s="6">
        <v>0</v>
      </c>
      <c r="BQ13" s="26">
        <v>0</v>
      </c>
      <c r="BR13" s="26">
        <v>0</v>
      </c>
      <c r="BS13" s="26">
        <v>0</v>
      </c>
      <c r="BT13" s="26">
        <v>0</v>
      </c>
      <c r="BU13" s="26">
        <v>0</v>
      </c>
      <c r="BV13" s="26">
        <v>0</v>
      </c>
      <c r="BW13" s="26">
        <v>0</v>
      </c>
      <c r="BX13" s="26">
        <v>0</v>
      </c>
      <c r="BY13" s="26">
        <v>0</v>
      </c>
      <c r="BZ13" s="6">
        <v>0</v>
      </c>
      <c r="CA13" s="6">
        <v>0</v>
      </c>
      <c r="CB13" s="6">
        <v>0</v>
      </c>
      <c r="CC13" s="6">
        <v>0</v>
      </c>
      <c r="CD13" s="6">
        <v>146527.5</v>
      </c>
      <c r="CE13" s="6">
        <v>195370</v>
      </c>
      <c r="CF13" s="6">
        <v>23000</v>
      </c>
      <c r="CG13" s="6">
        <v>5000</v>
      </c>
      <c r="CH13" s="6">
        <v>100000</v>
      </c>
      <c r="CI13" s="6">
        <v>0</v>
      </c>
      <c r="CJ13" s="6">
        <v>0</v>
      </c>
      <c r="CK13" s="6">
        <v>8440</v>
      </c>
      <c r="CL13" s="6">
        <v>0</v>
      </c>
      <c r="CM13" s="6">
        <v>0</v>
      </c>
      <c r="CN13" s="6">
        <v>0</v>
      </c>
      <c r="CO13" s="6">
        <v>0</v>
      </c>
      <c r="CP13" s="6">
        <v>42949.438123167158</v>
      </c>
      <c r="CQ13" s="6">
        <v>0</v>
      </c>
      <c r="CR13" s="6">
        <v>0</v>
      </c>
      <c r="CS13" s="6">
        <v>0</v>
      </c>
      <c r="CT13" s="6">
        <v>68556</v>
      </c>
      <c r="CU13" s="6">
        <v>137971.5165</v>
      </c>
      <c r="CV13" s="6">
        <v>0</v>
      </c>
      <c r="CW13" s="6">
        <v>0</v>
      </c>
      <c r="CX13" s="6"/>
      <c r="CY13" s="6">
        <f>VLOOKUP(A13, 'At-Risk updating '!A:E, 5, 0)</f>
        <v>25671.300000000047</v>
      </c>
      <c r="CZ13" s="6">
        <v>0</v>
      </c>
      <c r="DA13" s="6">
        <v>0</v>
      </c>
      <c r="DB13" s="6">
        <v>0</v>
      </c>
      <c r="DC13" s="6">
        <v>0</v>
      </c>
      <c r="DD13" s="6">
        <v>0</v>
      </c>
      <c r="DE13" s="10">
        <v>0</v>
      </c>
      <c r="DF13" s="6">
        <v>0</v>
      </c>
      <c r="DG13" s="7">
        <v>0</v>
      </c>
      <c r="DH13" s="11">
        <f>SUM(G13:DG13)</f>
        <v>10073413.664623167</v>
      </c>
    </row>
    <row r="14" spans="1:112" ht="15.75" x14ac:dyDescent="0.25">
      <c r="A14" s="4">
        <v>347</v>
      </c>
      <c r="B14" s="4" t="s">
        <v>90</v>
      </c>
      <c r="C14" s="5" t="s">
        <v>204</v>
      </c>
      <c r="D14" s="5">
        <v>5</v>
      </c>
      <c r="E14" s="5">
        <v>247</v>
      </c>
      <c r="F14" s="5">
        <v>136</v>
      </c>
      <c r="G14" s="6">
        <v>171051</v>
      </c>
      <c r="H14" s="6">
        <v>97685</v>
      </c>
      <c r="I14" s="6">
        <v>110512.8</v>
      </c>
      <c r="J14" s="7">
        <v>97685</v>
      </c>
      <c r="K14" s="7">
        <v>0</v>
      </c>
      <c r="L14" s="6">
        <v>37985</v>
      </c>
      <c r="M14" s="6">
        <v>55700</v>
      </c>
      <c r="N14" s="6">
        <v>0</v>
      </c>
      <c r="O14" s="6">
        <v>0</v>
      </c>
      <c r="P14" s="6">
        <v>0</v>
      </c>
      <c r="Q14" s="6">
        <v>67656</v>
      </c>
      <c r="R14" s="6">
        <v>51186</v>
      </c>
      <c r="S14" s="8">
        <v>2</v>
      </c>
      <c r="T14" s="6">
        <v>82268</v>
      </c>
      <c r="U14" s="6">
        <v>48842.5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410277</v>
      </c>
      <c r="AN14" s="6">
        <v>312592</v>
      </c>
      <c r="AO14" s="6">
        <v>371203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48842.5</v>
      </c>
      <c r="AW14" s="6">
        <v>195370</v>
      </c>
      <c r="AX14" s="6">
        <v>488425</v>
      </c>
      <c r="AY14" s="6">
        <v>57830</v>
      </c>
      <c r="AZ14" s="6">
        <v>0</v>
      </c>
      <c r="BA14" s="6">
        <v>97685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127000.3</v>
      </c>
      <c r="BI14" s="6">
        <v>2060.63</v>
      </c>
      <c r="BJ14" s="6">
        <v>7900</v>
      </c>
      <c r="BK14" s="6">
        <v>0</v>
      </c>
      <c r="BL14" s="6"/>
      <c r="BM14" s="6">
        <v>0</v>
      </c>
      <c r="BN14" s="6">
        <v>0</v>
      </c>
      <c r="BO14" s="6">
        <v>0</v>
      </c>
      <c r="BP14" s="6">
        <v>0</v>
      </c>
      <c r="BQ14" s="26">
        <v>0</v>
      </c>
      <c r="BR14" s="26">
        <v>0</v>
      </c>
      <c r="BS14" s="26">
        <v>0</v>
      </c>
      <c r="BT14" s="26">
        <v>0</v>
      </c>
      <c r="BU14" s="26">
        <v>0</v>
      </c>
      <c r="BV14" s="26">
        <v>0</v>
      </c>
      <c r="BW14" s="26">
        <v>0</v>
      </c>
      <c r="BX14" s="26">
        <v>0</v>
      </c>
      <c r="BY14" s="26">
        <v>0</v>
      </c>
      <c r="BZ14" s="6">
        <v>0</v>
      </c>
      <c r="CA14" s="6">
        <v>0</v>
      </c>
      <c r="CB14" s="6">
        <v>0</v>
      </c>
      <c r="CC14" s="6">
        <v>0</v>
      </c>
      <c r="CD14" s="6">
        <v>0</v>
      </c>
      <c r="CE14" s="6">
        <v>195370</v>
      </c>
      <c r="CF14" s="6">
        <v>23000</v>
      </c>
      <c r="CG14" s="6">
        <v>5000</v>
      </c>
      <c r="CH14" s="6">
        <v>100000</v>
      </c>
      <c r="CI14" s="6">
        <v>0</v>
      </c>
      <c r="CJ14" s="6">
        <v>0</v>
      </c>
      <c r="CK14" s="6">
        <v>2720</v>
      </c>
      <c r="CL14" s="6">
        <v>0</v>
      </c>
      <c r="CM14" s="6">
        <v>0</v>
      </c>
      <c r="CN14" s="6">
        <v>0</v>
      </c>
      <c r="CO14" s="6">
        <v>0</v>
      </c>
      <c r="CP14" s="6">
        <v>19584.30909090909</v>
      </c>
      <c r="CQ14" s="6">
        <v>0</v>
      </c>
      <c r="CR14" s="6">
        <v>0</v>
      </c>
      <c r="CS14" s="6">
        <v>0</v>
      </c>
      <c r="CT14" s="6">
        <v>21402</v>
      </c>
      <c r="CU14" s="6">
        <v>46472.486999999994</v>
      </c>
      <c r="CV14" s="6">
        <v>0</v>
      </c>
      <c r="CW14" s="6">
        <v>200000</v>
      </c>
      <c r="CX14" s="6"/>
      <c r="CY14" s="6">
        <f>VLOOKUP(A14, 'At-Risk updating '!A:E, 5, 0)</f>
        <v>3944</v>
      </c>
      <c r="CZ14" s="6">
        <v>0</v>
      </c>
      <c r="DA14" s="6">
        <v>0</v>
      </c>
      <c r="DB14" s="6">
        <v>0</v>
      </c>
      <c r="DC14" s="6">
        <v>0</v>
      </c>
      <c r="DD14" s="6">
        <v>0</v>
      </c>
      <c r="DE14" s="10">
        <v>0</v>
      </c>
      <c r="DF14" s="6">
        <v>0</v>
      </c>
      <c r="DG14" s="12">
        <v>50666.799909090623</v>
      </c>
      <c r="DH14" s="11">
        <f>SUM(G14:DG14)</f>
        <v>3607918.3259999994</v>
      </c>
    </row>
    <row r="15" spans="1:112" ht="15.75" x14ac:dyDescent="0.25">
      <c r="A15" s="4">
        <v>404</v>
      </c>
      <c r="B15" s="4" t="s">
        <v>91</v>
      </c>
      <c r="C15" s="5" t="s">
        <v>203</v>
      </c>
      <c r="D15" s="5">
        <v>5</v>
      </c>
      <c r="E15" s="5">
        <v>319</v>
      </c>
      <c r="F15" s="5">
        <v>241</v>
      </c>
      <c r="G15" s="6">
        <v>171051</v>
      </c>
      <c r="H15" s="6">
        <v>97685</v>
      </c>
      <c r="I15" s="6">
        <v>27628.2</v>
      </c>
      <c r="J15" s="7">
        <v>97685</v>
      </c>
      <c r="K15" s="7">
        <v>0</v>
      </c>
      <c r="L15" s="6">
        <v>75970</v>
      </c>
      <c r="M15" s="6">
        <v>55700</v>
      </c>
      <c r="N15" s="6">
        <v>0</v>
      </c>
      <c r="O15" s="6">
        <v>0</v>
      </c>
      <c r="P15" s="6">
        <v>0</v>
      </c>
      <c r="Q15" s="6">
        <v>67656</v>
      </c>
      <c r="R15" s="6">
        <v>102372</v>
      </c>
      <c r="S15" s="8">
        <v>1</v>
      </c>
      <c r="T15" s="6">
        <v>41134</v>
      </c>
      <c r="U15" s="6">
        <v>97685</v>
      </c>
      <c r="V15" s="6">
        <v>97685</v>
      </c>
      <c r="W15" s="6">
        <v>97685</v>
      </c>
      <c r="X15" s="6">
        <v>97685</v>
      </c>
      <c r="Y15" s="6">
        <v>195370</v>
      </c>
      <c r="Z15" s="6">
        <v>195370</v>
      </c>
      <c r="AA15" s="6">
        <v>57830</v>
      </c>
      <c r="AB15" s="6">
        <v>0</v>
      </c>
      <c r="AC15" s="6">
        <v>0</v>
      </c>
      <c r="AD15" s="6">
        <v>195370</v>
      </c>
      <c r="AE15" s="6">
        <v>57830</v>
      </c>
      <c r="AF15" s="6">
        <v>195370</v>
      </c>
      <c r="AG15" s="6">
        <v>57830</v>
      </c>
      <c r="AH15" s="6">
        <v>195370</v>
      </c>
      <c r="AI15" s="6">
        <v>195370</v>
      </c>
      <c r="AJ15" s="6">
        <v>195370</v>
      </c>
      <c r="AK15" s="6">
        <v>97685</v>
      </c>
      <c r="AL15" s="6">
        <v>97685</v>
      </c>
      <c r="AM15" s="6">
        <v>126990.5</v>
      </c>
      <c r="AN15" s="6">
        <v>58611</v>
      </c>
      <c r="AO15" s="6">
        <v>78148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97685</v>
      </c>
      <c r="AW15" s="6">
        <v>146527.5</v>
      </c>
      <c r="AX15" s="6">
        <v>586110</v>
      </c>
      <c r="AY15" s="6">
        <v>115660</v>
      </c>
      <c r="AZ15" s="6">
        <v>0</v>
      </c>
      <c r="BA15" s="6">
        <v>97685</v>
      </c>
      <c r="BB15" s="6">
        <v>0</v>
      </c>
      <c r="BC15" s="6">
        <v>0</v>
      </c>
      <c r="BD15" s="6">
        <v>11860</v>
      </c>
      <c r="BE15" s="6">
        <v>13080</v>
      </c>
      <c r="BF15" s="6">
        <v>7848</v>
      </c>
      <c r="BG15" s="6">
        <v>0</v>
      </c>
      <c r="BH15" s="6">
        <v>134759.16</v>
      </c>
      <c r="BI15" s="6">
        <v>2186.52</v>
      </c>
      <c r="BJ15" s="6">
        <v>8375</v>
      </c>
      <c r="BK15" s="6">
        <v>101560.06446048801</v>
      </c>
      <c r="BL15" s="6"/>
      <c r="BM15" s="6">
        <v>0</v>
      </c>
      <c r="BN15" s="6">
        <v>0</v>
      </c>
      <c r="BO15" s="6">
        <v>0</v>
      </c>
      <c r="BP15" s="6">
        <v>97685</v>
      </c>
      <c r="BQ15" s="26">
        <v>0</v>
      </c>
      <c r="BR15" s="26">
        <v>0</v>
      </c>
      <c r="BS15" s="26">
        <v>0</v>
      </c>
      <c r="BT15" s="26">
        <v>0</v>
      </c>
      <c r="BU15" s="26">
        <v>0</v>
      </c>
      <c r="BV15" s="26">
        <v>0</v>
      </c>
      <c r="BW15" s="26">
        <v>0</v>
      </c>
      <c r="BX15" s="26">
        <v>0</v>
      </c>
      <c r="BY15" s="2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195370</v>
      </c>
      <c r="CF15" s="6">
        <v>23000</v>
      </c>
      <c r="CG15" s="6">
        <v>5000</v>
      </c>
      <c r="CH15" s="6">
        <v>100000</v>
      </c>
      <c r="CI15" s="6">
        <v>0</v>
      </c>
      <c r="CJ15" s="6">
        <v>0</v>
      </c>
      <c r="CK15" s="6">
        <v>9640</v>
      </c>
      <c r="CL15" s="6">
        <v>119880</v>
      </c>
      <c r="CM15" s="6">
        <v>0</v>
      </c>
      <c r="CN15" s="6">
        <v>0</v>
      </c>
      <c r="CO15" s="6">
        <v>0</v>
      </c>
      <c r="CP15" s="6">
        <v>22549.602739726026</v>
      </c>
      <c r="CQ15" s="6">
        <v>0</v>
      </c>
      <c r="CR15" s="6">
        <v>0</v>
      </c>
      <c r="CS15" s="6">
        <v>0</v>
      </c>
      <c r="CT15" s="6">
        <v>27492</v>
      </c>
      <c r="CU15" s="6">
        <v>70324.473966907317</v>
      </c>
      <c r="CV15" s="6">
        <v>0</v>
      </c>
      <c r="CW15" s="6">
        <v>0</v>
      </c>
      <c r="CX15" s="6"/>
      <c r="CY15" s="6">
        <f>VLOOKUP(A15, 'At-Risk updating '!A:E, 5, 0)</f>
        <v>6989</v>
      </c>
      <c r="CZ15" s="6">
        <v>0</v>
      </c>
      <c r="DA15" s="6">
        <v>0</v>
      </c>
      <c r="DB15" s="6">
        <v>0</v>
      </c>
      <c r="DC15" s="6">
        <v>0</v>
      </c>
      <c r="DD15" s="6">
        <v>0</v>
      </c>
      <c r="DE15" s="10">
        <v>0</v>
      </c>
      <c r="DF15" s="6">
        <v>0</v>
      </c>
      <c r="DG15" s="7">
        <v>0</v>
      </c>
      <c r="DH15" s="11">
        <f>SUM(G15:DG15)</f>
        <v>5129088.0211671218</v>
      </c>
    </row>
    <row r="16" spans="1:112" ht="15.75" x14ac:dyDescent="0.25">
      <c r="A16" s="4">
        <v>296</v>
      </c>
      <c r="B16" s="4" t="s">
        <v>92</v>
      </c>
      <c r="C16" s="5" t="s">
        <v>201</v>
      </c>
      <c r="D16" s="5">
        <v>1</v>
      </c>
      <c r="E16" s="5">
        <v>484</v>
      </c>
      <c r="F16" s="5">
        <v>255</v>
      </c>
      <c r="G16" s="6">
        <v>171051</v>
      </c>
      <c r="H16" s="6">
        <v>97685</v>
      </c>
      <c r="I16" s="6">
        <v>165769.19999999998</v>
      </c>
      <c r="J16" s="7">
        <v>0</v>
      </c>
      <c r="K16" s="7">
        <v>0</v>
      </c>
      <c r="L16" s="6">
        <v>75970</v>
      </c>
      <c r="M16" s="6">
        <v>55700</v>
      </c>
      <c r="N16" s="6">
        <v>48565.2</v>
      </c>
      <c r="O16" s="6">
        <v>0</v>
      </c>
      <c r="P16" s="6">
        <v>0</v>
      </c>
      <c r="Q16" s="6">
        <v>67656</v>
      </c>
      <c r="R16" s="6">
        <v>204744</v>
      </c>
      <c r="S16" s="8">
        <v>0</v>
      </c>
      <c r="T16" s="6">
        <v>0</v>
      </c>
      <c r="U16" s="6">
        <v>97685</v>
      </c>
      <c r="V16" s="6">
        <v>97685</v>
      </c>
      <c r="W16" s="6">
        <v>97685</v>
      </c>
      <c r="X16" s="6">
        <v>97685</v>
      </c>
      <c r="Y16" s="6">
        <v>146527.5</v>
      </c>
      <c r="Z16" s="6">
        <v>0</v>
      </c>
      <c r="AA16" s="6">
        <v>0</v>
      </c>
      <c r="AB16" s="6">
        <v>586110</v>
      </c>
      <c r="AC16" s="6">
        <v>173490</v>
      </c>
      <c r="AD16" s="6">
        <v>0</v>
      </c>
      <c r="AE16" s="6">
        <v>0</v>
      </c>
      <c r="AF16" s="6">
        <v>293055</v>
      </c>
      <c r="AG16" s="6">
        <v>86745</v>
      </c>
      <c r="AH16" s="6">
        <v>293055</v>
      </c>
      <c r="AI16" s="6">
        <v>390740</v>
      </c>
      <c r="AJ16" s="6">
        <v>293055</v>
      </c>
      <c r="AK16" s="6">
        <v>390740</v>
      </c>
      <c r="AL16" s="6">
        <v>293055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97685</v>
      </c>
      <c r="AW16" s="6">
        <v>195370</v>
      </c>
      <c r="AX16" s="6">
        <v>488425</v>
      </c>
      <c r="AY16" s="6">
        <v>0</v>
      </c>
      <c r="AZ16" s="6">
        <v>0</v>
      </c>
      <c r="BA16" s="6">
        <v>1074535</v>
      </c>
      <c r="BB16" s="6">
        <v>0</v>
      </c>
      <c r="BC16" s="6">
        <v>195370</v>
      </c>
      <c r="BD16" s="6">
        <v>0</v>
      </c>
      <c r="BE16" s="6">
        <v>0</v>
      </c>
      <c r="BF16" s="6">
        <v>0</v>
      </c>
      <c r="BG16" s="6">
        <v>0</v>
      </c>
      <c r="BH16" s="6">
        <v>189887.91</v>
      </c>
      <c r="BI16" s="6">
        <v>3081.01</v>
      </c>
      <c r="BJ16" s="6">
        <v>11800</v>
      </c>
      <c r="BK16" s="6">
        <v>0</v>
      </c>
      <c r="BL16" s="6"/>
      <c r="BM16" s="6">
        <v>0</v>
      </c>
      <c r="BN16" s="6">
        <v>0</v>
      </c>
      <c r="BO16" s="6">
        <v>0</v>
      </c>
      <c r="BP16" s="6">
        <v>0</v>
      </c>
      <c r="BQ16" s="26">
        <v>0</v>
      </c>
      <c r="BR16" s="26">
        <v>0</v>
      </c>
      <c r="BS16" s="26">
        <v>0</v>
      </c>
      <c r="BT16" s="26">
        <v>0</v>
      </c>
      <c r="BU16" s="26">
        <v>0</v>
      </c>
      <c r="BV16" s="26">
        <v>0</v>
      </c>
      <c r="BW16" s="26">
        <v>0</v>
      </c>
      <c r="BX16" s="26">
        <v>0</v>
      </c>
      <c r="BY16" s="2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5100</v>
      </c>
      <c r="CL16" s="6">
        <v>42840</v>
      </c>
      <c r="CM16" s="6">
        <v>0</v>
      </c>
      <c r="CN16" s="6">
        <v>0</v>
      </c>
      <c r="CO16" s="6">
        <v>0</v>
      </c>
      <c r="CP16" s="6">
        <v>25663.657635467978</v>
      </c>
      <c r="CQ16" s="6">
        <v>0</v>
      </c>
      <c r="CR16" s="6">
        <v>0</v>
      </c>
      <c r="CS16" s="6">
        <v>0</v>
      </c>
      <c r="CT16" s="6">
        <v>41847</v>
      </c>
      <c r="CU16" s="6">
        <v>94780.1685</v>
      </c>
      <c r="CV16" s="6">
        <v>0</v>
      </c>
      <c r="CW16" s="6">
        <v>0</v>
      </c>
      <c r="CX16" s="6"/>
      <c r="CY16" s="6">
        <f>VLOOKUP(A16, 'At-Risk updating '!A:E, 5, 0)</f>
        <v>7395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10">
        <v>0</v>
      </c>
      <c r="DF16" s="6">
        <v>0</v>
      </c>
      <c r="DG16" s="7">
        <v>0</v>
      </c>
      <c r="DH16" s="11">
        <f>SUM(G16:DG16)</f>
        <v>6698232.646135468</v>
      </c>
    </row>
    <row r="17" spans="1:112" ht="15.75" x14ac:dyDescent="0.25">
      <c r="A17" s="4">
        <v>219</v>
      </c>
      <c r="B17" s="4" t="s">
        <v>93</v>
      </c>
      <c r="C17" s="5" t="s">
        <v>201</v>
      </c>
      <c r="D17" s="5">
        <v>5</v>
      </c>
      <c r="E17" s="5">
        <v>203</v>
      </c>
      <c r="F17" s="5">
        <v>104</v>
      </c>
      <c r="G17" s="6">
        <v>171051</v>
      </c>
      <c r="H17" s="6">
        <v>97685</v>
      </c>
      <c r="I17" s="6">
        <v>0</v>
      </c>
      <c r="J17" s="7">
        <v>0</v>
      </c>
      <c r="K17" s="7">
        <v>0</v>
      </c>
      <c r="L17" s="6">
        <v>37985</v>
      </c>
      <c r="M17" s="6">
        <v>55700</v>
      </c>
      <c r="N17" s="6">
        <v>0</v>
      </c>
      <c r="O17" s="6">
        <v>0</v>
      </c>
      <c r="P17" s="6">
        <v>0</v>
      </c>
      <c r="Q17" s="6">
        <v>67656</v>
      </c>
      <c r="R17" s="6">
        <v>51186</v>
      </c>
      <c r="S17" s="8">
        <v>2</v>
      </c>
      <c r="T17" s="6">
        <v>82268</v>
      </c>
      <c r="U17" s="6">
        <v>48842.5</v>
      </c>
      <c r="V17" s="6">
        <v>97685</v>
      </c>
      <c r="W17" s="6">
        <v>97685</v>
      </c>
      <c r="X17" s="6">
        <v>97685</v>
      </c>
      <c r="Y17" s="6">
        <v>0</v>
      </c>
      <c r="Z17" s="6">
        <v>97685</v>
      </c>
      <c r="AA17" s="6">
        <v>28915</v>
      </c>
      <c r="AB17" s="6">
        <v>97685</v>
      </c>
      <c r="AC17" s="6">
        <v>28915</v>
      </c>
      <c r="AD17" s="6">
        <v>97685</v>
      </c>
      <c r="AE17" s="6">
        <v>28915</v>
      </c>
      <c r="AF17" s="6">
        <v>97685</v>
      </c>
      <c r="AG17" s="6">
        <v>28915</v>
      </c>
      <c r="AH17" s="6">
        <v>97685</v>
      </c>
      <c r="AI17" s="6">
        <v>97685</v>
      </c>
      <c r="AJ17" s="6">
        <v>195370</v>
      </c>
      <c r="AK17" s="6">
        <v>97685</v>
      </c>
      <c r="AL17" s="6">
        <v>97685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48842.5</v>
      </c>
      <c r="AW17" s="6">
        <v>48842.5</v>
      </c>
      <c r="AX17" s="6">
        <v>195370</v>
      </c>
      <c r="AY17" s="6">
        <v>0</v>
      </c>
      <c r="AZ17" s="6">
        <v>0</v>
      </c>
      <c r="BA17" s="6">
        <v>97685</v>
      </c>
      <c r="BB17" s="6">
        <v>0</v>
      </c>
      <c r="BC17" s="6">
        <v>0</v>
      </c>
      <c r="BD17" s="6">
        <v>17790</v>
      </c>
      <c r="BE17" s="6">
        <v>19620</v>
      </c>
      <c r="BF17" s="6">
        <v>7848</v>
      </c>
      <c r="BG17" s="6">
        <v>0</v>
      </c>
      <c r="BH17" s="6">
        <v>63295.97</v>
      </c>
      <c r="BI17" s="6">
        <v>1027</v>
      </c>
      <c r="BJ17" s="6">
        <v>3925</v>
      </c>
      <c r="BK17" s="6">
        <v>0</v>
      </c>
      <c r="BL17" s="6"/>
      <c r="BM17" s="6">
        <v>0</v>
      </c>
      <c r="BN17" s="6">
        <v>0</v>
      </c>
      <c r="BO17" s="6">
        <v>0</v>
      </c>
      <c r="BP17" s="6">
        <v>0</v>
      </c>
      <c r="BQ17" s="26">
        <v>0</v>
      </c>
      <c r="BR17" s="26">
        <v>0</v>
      </c>
      <c r="BS17" s="26">
        <v>0</v>
      </c>
      <c r="BT17" s="26">
        <v>0</v>
      </c>
      <c r="BU17" s="26">
        <v>0</v>
      </c>
      <c r="BV17" s="26">
        <v>0</v>
      </c>
      <c r="BW17" s="26">
        <v>0</v>
      </c>
      <c r="BX17" s="26">
        <v>0</v>
      </c>
      <c r="BY17" s="26">
        <v>0</v>
      </c>
      <c r="BZ17" s="6">
        <v>0</v>
      </c>
      <c r="CA17" s="6">
        <v>0</v>
      </c>
      <c r="CB17" s="6">
        <v>0</v>
      </c>
      <c r="CC17" s="6">
        <v>0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2080</v>
      </c>
      <c r="CL17" s="6">
        <v>0</v>
      </c>
      <c r="CM17" s="6">
        <v>0</v>
      </c>
      <c r="CN17" s="6">
        <v>0</v>
      </c>
      <c r="CO17" s="6">
        <v>0</v>
      </c>
      <c r="CP17" s="6">
        <v>12153.104166666668</v>
      </c>
      <c r="CQ17" s="6">
        <v>0</v>
      </c>
      <c r="CR17" s="6">
        <v>0</v>
      </c>
      <c r="CS17" s="6">
        <v>0</v>
      </c>
      <c r="CT17" s="6">
        <v>17313</v>
      </c>
      <c r="CU17" s="6">
        <v>35830.177499999998</v>
      </c>
      <c r="CV17" s="6">
        <v>0</v>
      </c>
      <c r="CW17" s="6">
        <v>0</v>
      </c>
      <c r="CX17" s="6"/>
      <c r="CY17" s="6">
        <f>VLOOKUP(A17, 'At-Risk updating '!A:E, 5, 0)</f>
        <v>60781.5</v>
      </c>
      <c r="CZ17" s="6">
        <v>0</v>
      </c>
      <c r="DA17" s="6">
        <v>0</v>
      </c>
      <c r="DB17" s="6">
        <v>0</v>
      </c>
      <c r="DC17" s="6">
        <v>0</v>
      </c>
      <c r="DD17" s="6">
        <v>0</v>
      </c>
      <c r="DE17" s="10">
        <v>0</v>
      </c>
      <c r="DF17" s="6">
        <v>0</v>
      </c>
      <c r="DG17" s="7">
        <v>0</v>
      </c>
      <c r="DH17" s="11">
        <f>SUM(G17:DG17)</f>
        <v>2630344.2516666669</v>
      </c>
    </row>
    <row r="18" spans="1:112" ht="15.75" x14ac:dyDescent="0.25">
      <c r="A18" s="4">
        <v>220</v>
      </c>
      <c r="B18" s="4" t="s">
        <v>94</v>
      </c>
      <c r="C18" s="5" t="s">
        <v>201</v>
      </c>
      <c r="D18" s="5">
        <v>5</v>
      </c>
      <c r="E18" s="5">
        <v>319</v>
      </c>
      <c r="F18" s="5">
        <v>158</v>
      </c>
      <c r="G18" s="6">
        <v>171051</v>
      </c>
      <c r="H18" s="6">
        <v>97685</v>
      </c>
      <c r="I18" s="6">
        <v>110512.8</v>
      </c>
      <c r="J18" s="7">
        <v>0</v>
      </c>
      <c r="K18" s="7">
        <v>0</v>
      </c>
      <c r="L18" s="6">
        <v>75970</v>
      </c>
      <c r="M18" s="6">
        <v>55700</v>
      </c>
      <c r="N18" s="6">
        <v>0</v>
      </c>
      <c r="O18" s="6">
        <v>0</v>
      </c>
      <c r="P18" s="6">
        <v>0</v>
      </c>
      <c r="Q18" s="6">
        <v>67656</v>
      </c>
      <c r="R18" s="6">
        <v>51186</v>
      </c>
      <c r="S18" s="8">
        <v>1</v>
      </c>
      <c r="T18" s="6">
        <v>41134</v>
      </c>
      <c r="U18" s="6">
        <v>97685</v>
      </c>
      <c r="V18" s="6">
        <v>97685</v>
      </c>
      <c r="W18" s="6">
        <v>97685</v>
      </c>
      <c r="X18" s="6">
        <v>97685</v>
      </c>
      <c r="Y18" s="6">
        <v>0</v>
      </c>
      <c r="Z18" s="6">
        <v>195370</v>
      </c>
      <c r="AA18" s="6">
        <v>57830</v>
      </c>
      <c r="AB18" s="6">
        <v>97685</v>
      </c>
      <c r="AC18" s="6">
        <v>57830</v>
      </c>
      <c r="AD18" s="6">
        <v>195370</v>
      </c>
      <c r="AE18" s="6">
        <v>57830</v>
      </c>
      <c r="AF18" s="6">
        <v>293055</v>
      </c>
      <c r="AG18" s="6">
        <v>86745</v>
      </c>
      <c r="AH18" s="6">
        <v>195370</v>
      </c>
      <c r="AI18" s="6">
        <v>195370</v>
      </c>
      <c r="AJ18" s="6">
        <v>195370</v>
      </c>
      <c r="AK18" s="6">
        <v>195370</v>
      </c>
      <c r="AL18" s="6">
        <v>97685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97685</v>
      </c>
      <c r="AW18" s="6">
        <v>48842.5</v>
      </c>
      <c r="AX18" s="6">
        <v>586110</v>
      </c>
      <c r="AY18" s="6">
        <v>173490</v>
      </c>
      <c r="AZ18" s="6">
        <v>0</v>
      </c>
      <c r="BA18" s="6">
        <v>97685</v>
      </c>
      <c r="BB18" s="6">
        <v>0</v>
      </c>
      <c r="BC18" s="6">
        <v>0</v>
      </c>
      <c r="BD18" s="6">
        <v>35580</v>
      </c>
      <c r="BE18" s="6">
        <v>39240</v>
      </c>
      <c r="BF18" s="6">
        <v>7848</v>
      </c>
      <c r="BG18" s="6">
        <v>0</v>
      </c>
      <c r="BH18" s="6">
        <v>115974.55</v>
      </c>
      <c r="BI18" s="6">
        <v>1881.74</v>
      </c>
      <c r="BJ18" s="6">
        <v>7200</v>
      </c>
      <c r="BK18" s="6">
        <v>0</v>
      </c>
      <c r="BL18" s="6"/>
      <c r="BM18" s="6">
        <v>0</v>
      </c>
      <c r="BN18" s="6">
        <v>0</v>
      </c>
      <c r="BO18" s="6">
        <v>0</v>
      </c>
      <c r="BP18" s="6">
        <v>0</v>
      </c>
      <c r="BQ18" s="26">
        <v>0</v>
      </c>
      <c r="BR18" s="26">
        <v>0</v>
      </c>
      <c r="BS18" s="26">
        <v>0</v>
      </c>
      <c r="BT18" s="26">
        <v>0</v>
      </c>
      <c r="BU18" s="26">
        <v>0</v>
      </c>
      <c r="BV18" s="26">
        <v>0</v>
      </c>
      <c r="BW18" s="26">
        <v>0</v>
      </c>
      <c r="BX18" s="26">
        <v>0</v>
      </c>
      <c r="BY18" s="26">
        <v>0</v>
      </c>
      <c r="BZ18" s="6">
        <v>0</v>
      </c>
      <c r="CA18" s="6">
        <v>0</v>
      </c>
      <c r="CB18" s="6">
        <v>0</v>
      </c>
      <c r="CC18" s="6">
        <v>0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3160</v>
      </c>
      <c r="CL18" s="6">
        <v>0</v>
      </c>
      <c r="CM18" s="6">
        <v>0</v>
      </c>
      <c r="CN18" s="6">
        <v>0</v>
      </c>
      <c r="CO18" s="6">
        <v>0</v>
      </c>
      <c r="CP18" s="6">
        <v>17765</v>
      </c>
      <c r="CQ18" s="6">
        <v>0</v>
      </c>
      <c r="CR18" s="6">
        <v>0</v>
      </c>
      <c r="CS18" s="6">
        <v>0</v>
      </c>
      <c r="CT18" s="6">
        <v>27405</v>
      </c>
      <c r="CU18" s="6">
        <v>59794.909499999994</v>
      </c>
      <c r="CV18" s="6">
        <v>0</v>
      </c>
      <c r="CW18" s="6">
        <v>0</v>
      </c>
      <c r="CX18" s="6"/>
      <c r="CY18" s="6">
        <f>VLOOKUP(A18, 'At-Risk updating '!A:E, 5, 0)</f>
        <v>128243.5</v>
      </c>
      <c r="CZ18" s="6">
        <v>0</v>
      </c>
      <c r="DA18" s="6">
        <v>0</v>
      </c>
      <c r="DB18" s="6">
        <v>0</v>
      </c>
      <c r="DC18" s="6">
        <v>0</v>
      </c>
      <c r="DD18" s="6">
        <v>0</v>
      </c>
      <c r="DE18" s="10">
        <v>0</v>
      </c>
      <c r="DF18" s="6">
        <v>0</v>
      </c>
      <c r="DG18" s="12">
        <v>0</v>
      </c>
      <c r="DH18" s="11">
        <f>SUM(G18:DG18)</f>
        <v>4430420.9994999999</v>
      </c>
    </row>
    <row r="19" spans="1:112" ht="15.75" x14ac:dyDescent="0.25">
      <c r="A19" s="4">
        <v>221</v>
      </c>
      <c r="B19" s="4" t="s">
        <v>95</v>
      </c>
      <c r="C19" s="5" t="s">
        <v>201</v>
      </c>
      <c r="D19" s="5">
        <v>7</v>
      </c>
      <c r="E19" s="5">
        <v>352</v>
      </c>
      <c r="F19" s="5">
        <v>257</v>
      </c>
      <c r="G19" s="6">
        <v>171051</v>
      </c>
      <c r="H19" s="6">
        <v>97685</v>
      </c>
      <c r="I19" s="6">
        <v>124326.90000000001</v>
      </c>
      <c r="J19" s="7">
        <v>0</v>
      </c>
      <c r="K19" s="7">
        <v>0</v>
      </c>
      <c r="L19" s="6">
        <v>75970</v>
      </c>
      <c r="M19" s="6">
        <v>55700</v>
      </c>
      <c r="N19" s="6">
        <v>0</v>
      </c>
      <c r="O19" s="6">
        <v>0</v>
      </c>
      <c r="P19" s="6">
        <v>0</v>
      </c>
      <c r="Q19" s="6">
        <v>67656</v>
      </c>
      <c r="R19" s="6">
        <v>102372</v>
      </c>
      <c r="S19" s="8">
        <v>1</v>
      </c>
      <c r="T19" s="6">
        <v>41134</v>
      </c>
      <c r="U19" s="6">
        <v>97685</v>
      </c>
      <c r="V19" s="6">
        <v>97685</v>
      </c>
      <c r="W19" s="6">
        <v>97685</v>
      </c>
      <c r="X19" s="6">
        <v>97685</v>
      </c>
      <c r="Y19" s="6">
        <v>0</v>
      </c>
      <c r="Z19" s="6">
        <v>195370</v>
      </c>
      <c r="AA19" s="6">
        <v>57830</v>
      </c>
      <c r="AB19" s="6">
        <v>97685</v>
      </c>
      <c r="AC19" s="6">
        <v>28915</v>
      </c>
      <c r="AD19" s="6">
        <v>293055</v>
      </c>
      <c r="AE19" s="6">
        <v>86745</v>
      </c>
      <c r="AF19" s="6">
        <v>293055</v>
      </c>
      <c r="AG19" s="6">
        <v>86745</v>
      </c>
      <c r="AH19" s="6">
        <v>195370</v>
      </c>
      <c r="AI19" s="6">
        <v>195370</v>
      </c>
      <c r="AJ19" s="6">
        <v>195370</v>
      </c>
      <c r="AK19" s="6">
        <v>195370</v>
      </c>
      <c r="AL19" s="6">
        <v>195370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48842.5</v>
      </c>
      <c r="AW19" s="6">
        <v>48842.5</v>
      </c>
      <c r="AX19" s="6">
        <v>293055</v>
      </c>
      <c r="AY19" s="6">
        <v>0</v>
      </c>
      <c r="AZ19" s="6">
        <v>0</v>
      </c>
      <c r="BA19" s="6">
        <v>4440.227272727273</v>
      </c>
      <c r="BB19" s="6">
        <v>0</v>
      </c>
      <c r="BC19" s="6">
        <v>0</v>
      </c>
      <c r="BD19" s="6">
        <v>5930</v>
      </c>
      <c r="BE19" s="6">
        <v>6540</v>
      </c>
      <c r="BF19" s="6">
        <v>7848</v>
      </c>
      <c r="BG19" s="6">
        <v>0</v>
      </c>
      <c r="BH19" s="6">
        <v>131492.26999999999</v>
      </c>
      <c r="BI19" s="6">
        <v>2133.52</v>
      </c>
      <c r="BJ19" s="6">
        <v>8175</v>
      </c>
      <c r="BK19" s="6">
        <v>0</v>
      </c>
      <c r="BL19" s="6"/>
      <c r="BM19" s="6">
        <v>0</v>
      </c>
      <c r="BN19" s="6">
        <v>0</v>
      </c>
      <c r="BO19" s="6">
        <v>0</v>
      </c>
      <c r="BP19" s="6">
        <v>0</v>
      </c>
      <c r="BQ19" s="26">
        <v>0</v>
      </c>
      <c r="BR19" s="26">
        <v>0</v>
      </c>
      <c r="BS19" s="26">
        <v>0</v>
      </c>
      <c r="BT19" s="26">
        <v>0</v>
      </c>
      <c r="BU19" s="26">
        <v>0</v>
      </c>
      <c r="BV19" s="26">
        <v>0</v>
      </c>
      <c r="BW19" s="26">
        <v>0</v>
      </c>
      <c r="BX19" s="26">
        <v>0</v>
      </c>
      <c r="BY19" s="2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5140</v>
      </c>
      <c r="CL19" s="6">
        <v>169200</v>
      </c>
      <c r="CM19" s="6">
        <v>0</v>
      </c>
      <c r="CN19" s="6">
        <v>0</v>
      </c>
      <c r="CO19" s="6">
        <v>0</v>
      </c>
      <c r="CP19" s="6">
        <v>21083.875</v>
      </c>
      <c r="CQ19" s="6">
        <v>0</v>
      </c>
      <c r="CR19" s="6">
        <v>0</v>
      </c>
      <c r="CS19" s="6">
        <v>0</v>
      </c>
      <c r="CT19" s="6">
        <v>30363</v>
      </c>
      <c r="CU19" s="6">
        <v>57108.976909090903</v>
      </c>
      <c r="CV19" s="6">
        <v>0</v>
      </c>
      <c r="CW19" s="6">
        <v>0</v>
      </c>
      <c r="CX19" s="6"/>
      <c r="CY19" s="6">
        <f>VLOOKUP(A19, 'At-Risk updating '!A:E, 5, 0)</f>
        <v>151153</v>
      </c>
      <c r="CZ19" s="6">
        <v>0</v>
      </c>
      <c r="DA19" s="6">
        <v>0</v>
      </c>
      <c r="DB19" s="6">
        <v>0</v>
      </c>
      <c r="DC19" s="6">
        <v>0</v>
      </c>
      <c r="DD19" s="6">
        <v>0</v>
      </c>
      <c r="DE19" s="10">
        <v>0</v>
      </c>
      <c r="DF19" s="6">
        <v>0</v>
      </c>
      <c r="DG19" s="7">
        <v>0</v>
      </c>
      <c r="DH19" s="11">
        <f>SUM(G19:DG19)</f>
        <v>4234233.7691818178</v>
      </c>
    </row>
    <row r="20" spans="1:112" ht="15.75" x14ac:dyDescent="0.25">
      <c r="A20" s="4">
        <v>247</v>
      </c>
      <c r="B20" s="4" t="s">
        <v>96</v>
      </c>
      <c r="C20" s="5" t="s">
        <v>201</v>
      </c>
      <c r="D20" s="5">
        <v>7</v>
      </c>
      <c r="E20" s="5">
        <v>288</v>
      </c>
      <c r="F20" s="5">
        <v>214</v>
      </c>
      <c r="G20" s="6">
        <v>171051</v>
      </c>
      <c r="H20" s="6">
        <v>97685</v>
      </c>
      <c r="I20" s="6">
        <v>0</v>
      </c>
      <c r="J20" s="7">
        <v>0</v>
      </c>
      <c r="K20" s="7">
        <v>0</v>
      </c>
      <c r="L20" s="6">
        <v>37985</v>
      </c>
      <c r="M20" s="6">
        <v>55700</v>
      </c>
      <c r="N20" s="6">
        <v>0</v>
      </c>
      <c r="O20" s="6">
        <v>0</v>
      </c>
      <c r="P20" s="6">
        <v>0</v>
      </c>
      <c r="Q20" s="6">
        <v>67656</v>
      </c>
      <c r="R20" s="6">
        <v>51186</v>
      </c>
      <c r="S20" s="8">
        <v>2</v>
      </c>
      <c r="T20" s="6">
        <v>82268</v>
      </c>
      <c r="U20" s="6">
        <v>48842.5</v>
      </c>
      <c r="V20" s="6">
        <v>97685</v>
      </c>
      <c r="W20" s="6">
        <v>97685</v>
      </c>
      <c r="X20" s="6">
        <v>97685</v>
      </c>
      <c r="Y20" s="6">
        <v>0</v>
      </c>
      <c r="Z20" s="6">
        <v>97685</v>
      </c>
      <c r="AA20" s="6">
        <v>28915</v>
      </c>
      <c r="AB20" s="6">
        <v>0</v>
      </c>
      <c r="AC20" s="6">
        <v>0</v>
      </c>
      <c r="AD20" s="6">
        <v>195370</v>
      </c>
      <c r="AE20" s="6">
        <v>57830</v>
      </c>
      <c r="AF20" s="6">
        <v>195370</v>
      </c>
      <c r="AG20" s="6">
        <v>57830</v>
      </c>
      <c r="AH20" s="6">
        <v>195370</v>
      </c>
      <c r="AI20" s="6">
        <v>195370</v>
      </c>
      <c r="AJ20" s="6">
        <v>195370</v>
      </c>
      <c r="AK20" s="6">
        <v>195370</v>
      </c>
      <c r="AL20" s="6">
        <v>195370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97685</v>
      </c>
      <c r="AW20" s="6">
        <v>195370</v>
      </c>
      <c r="AX20" s="6">
        <v>781480</v>
      </c>
      <c r="AY20" s="6">
        <v>115660</v>
      </c>
      <c r="AZ20" s="6">
        <v>45222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118833.08</v>
      </c>
      <c r="BI20" s="6">
        <v>1928.12</v>
      </c>
      <c r="BJ20" s="6">
        <v>7375</v>
      </c>
      <c r="BK20" s="6">
        <v>0</v>
      </c>
      <c r="BL20" s="6"/>
      <c r="BM20" s="6">
        <v>0</v>
      </c>
      <c r="BN20" s="6">
        <v>0</v>
      </c>
      <c r="BO20" s="6">
        <v>0</v>
      </c>
      <c r="BP20" s="6">
        <v>0</v>
      </c>
      <c r="BQ20" s="26">
        <v>0</v>
      </c>
      <c r="BR20" s="26">
        <v>0</v>
      </c>
      <c r="BS20" s="26">
        <v>0</v>
      </c>
      <c r="BT20" s="26">
        <v>0</v>
      </c>
      <c r="BU20" s="26">
        <v>0</v>
      </c>
      <c r="BV20" s="26">
        <v>0</v>
      </c>
      <c r="BW20" s="26">
        <v>0</v>
      </c>
      <c r="BX20" s="26">
        <v>0</v>
      </c>
      <c r="BY20" s="2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48842.5</v>
      </c>
      <c r="CE20" s="6">
        <v>0</v>
      </c>
      <c r="CF20" s="6">
        <v>0</v>
      </c>
      <c r="CG20" s="6">
        <v>0</v>
      </c>
      <c r="CH20" s="6">
        <v>0</v>
      </c>
      <c r="CI20" s="6">
        <v>0</v>
      </c>
      <c r="CJ20" s="6">
        <v>0</v>
      </c>
      <c r="CK20" s="6">
        <v>8560</v>
      </c>
      <c r="CL20" s="6">
        <v>0</v>
      </c>
      <c r="CM20" s="6">
        <v>0</v>
      </c>
      <c r="CN20" s="6">
        <v>0</v>
      </c>
      <c r="CO20" s="6">
        <v>0</v>
      </c>
      <c r="CP20" s="6">
        <v>16105.417808219179</v>
      </c>
      <c r="CQ20" s="6">
        <v>0</v>
      </c>
      <c r="CR20" s="6">
        <v>0</v>
      </c>
      <c r="CS20" s="6">
        <v>0</v>
      </c>
      <c r="CT20" s="6">
        <v>24795</v>
      </c>
      <c r="CU20" s="6">
        <v>56260.432499999995</v>
      </c>
      <c r="CV20" s="6">
        <v>0</v>
      </c>
      <c r="CW20" s="6">
        <v>0</v>
      </c>
      <c r="CX20" s="6"/>
      <c r="CY20" s="6">
        <f>VLOOKUP(A20, 'At-Risk updating '!A:E, 5, 0)</f>
        <v>101075.5</v>
      </c>
      <c r="CZ20" s="6">
        <v>0</v>
      </c>
      <c r="DA20" s="6">
        <v>0</v>
      </c>
      <c r="DB20" s="6">
        <v>0</v>
      </c>
      <c r="DC20" s="6">
        <v>0</v>
      </c>
      <c r="DD20" s="6">
        <v>0</v>
      </c>
      <c r="DE20" s="10">
        <v>0</v>
      </c>
      <c r="DF20" s="6">
        <v>0</v>
      </c>
      <c r="DG20" s="7">
        <v>60484.180191780441</v>
      </c>
      <c r="DH20" s="11">
        <f>SUM(G20:DG20)</f>
        <v>4194956.7304999996</v>
      </c>
    </row>
    <row r="21" spans="1:112" ht="15.75" x14ac:dyDescent="0.25">
      <c r="A21" s="4">
        <v>360</v>
      </c>
      <c r="B21" s="4" t="s">
        <v>97</v>
      </c>
      <c r="C21" s="5" t="s">
        <v>203</v>
      </c>
      <c r="D21" s="5">
        <v>6</v>
      </c>
      <c r="E21" s="5">
        <v>370</v>
      </c>
      <c r="F21" s="5">
        <v>45</v>
      </c>
      <c r="G21" s="6">
        <v>171051</v>
      </c>
      <c r="H21" s="6">
        <v>97685</v>
      </c>
      <c r="I21" s="6">
        <v>138141</v>
      </c>
      <c r="J21" s="7">
        <v>97685</v>
      </c>
      <c r="K21" s="7">
        <v>0</v>
      </c>
      <c r="L21" s="6">
        <v>75970</v>
      </c>
      <c r="M21" s="6">
        <v>55700</v>
      </c>
      <c r="N21" s="6">
        <v>0</v>
      </c>
      <c r="O21" s="6">
        <v>0</v>
      </c>
      <c r="P21" s="6">
        <v>0</v>
      </c>
      <c r="Q21" s="6">
        <v>67656</v>
      </c>
      <c r="R21" s="6">
        <v>51186</v>
      </c>
      <c r="S21" s="8">
        <v>1</v>
      </c>
      <c r="T21" s="6">
        <v>41134</v>
      </c>
      <c r="U21" s="6">
        <v>97685</v>
      </c>
      <c r="V21" s="6">
        <v>97685</v>
      </c>
      <c r="W21" s="6">
        <v>97685</v>
      </c>
      <c r="X21" s="6">
        <v>97685</v>
      </c>
      <c r="Y21" s="6">
        <v>0</v>
      </c>
      <c r="Z21" s="6">
        <v>0</v>
      </c>
      <c r="AA21" s="6">
        <v>0</v>
      </c>
      <c r="AB21" s="6">
        <v>781480</v>
      </c>
      <c r="AC21" s="6">
        <v>231320</v>
      </c>
      <c r="AD21" s="6">
        <v>0</v>
      </c>
      <c r="AE21" s="6">
        <v>0</v>
      </c>
      <c r="AF21" s="6">
        <v>97685</v>
      </c>
      <c r="AG21" s="6">
        <v>28915</v>
      </c>
      <c r="AH21" s="6">
        <v>97685</v>
      </c>
      <c r="AI21" s="6">
        <v>97685</v>
      </c>
      <c r="AJ21" s="6">
        <v>97685</v>
      </c>
      <c r="AK21" s="6">
        <v>97685</v>
      </c>
      <c r="AL21" s="6">
        <v>97685</v>
      </c>
      <c r="AM21" s="6">
        <v>39074</v>
      </c>
      <c r="AN21" s="6">
        <v>58611</v>
      </c>
      <c r="AO21" s="6">
        <v>87916.5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48842.5</v>
      </c>
      <c r="AW21" s="6">
        <v>48842.5</v>
      </c>
      <c r="AX21" s="6">
        <v>195370</v>
      </c>
      <c r="AY21" s="6">
        <v>0</v>
      </c>
      <c r="AZ21" s="6">
        <v>0</v>
      </c>
      <c r="BA21" s="6">
        <v>13320.681818181818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8950</v>
      </c>
      <c r="BK21" s="6">
        <v>0</v>
      </c>
      <c r="BL21" s="6"/>
      <c r="BM21" s="6">
        <v>0</v>
      </c>
      <c r="BN21" s="6">
        <v>0</v>
      </c>
      <c r="BO21" s="6">
        <v>0</v>
      </c>
      <c r="BP21" s="6">
        <v>0</v>
      </c>
      <c r="BQ21" s="26">
        <v>0</v>
      </c>
      <c r="BR21" s="26">
        <v>0</v>
      </c>
      <c r="BS21" s="26">
        <v>0</v>
      </c>
      <c r="BT21" s="26">
        <v>0</v>
      </c>
      <c r="BU21" s="26">
        <v>0</v>
      </c>
      <c r="BV21" s="26">
        <v>0</v>
      </c>
      <c r="BW21" s="26">
        <v>0</v>
      </c>
      <c r="BX21" s="26">
        <v>0</v>
      </c>
      <c r="BY21" s="2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195370</v>
      </c>
      <c r="CF21" s="6">
        <v>23000</v>
      </c>
      <c r="CG21" s="6">
        <v>5000</v>
      </c>
      <c r="CH21" s="6">
        <v>100000</v>
      </c>
      <c r="CI21" s="6">
        <v>0</v>
      </c>
      <c r="CJ21" s="6">
        <v>0</v>
      </c>
      <c r="CK21" s="6">
        <v>0</v>
      </c>
      <c r="CL21" s="6">
        <v>61200</v>
      </c>
      <c r="CM21" s="6">
        <v>0</v>
      </c>
      <c r="CN21" s="6">
        <v>0</v>
      </c>
      <c r="CO21" s="6">
        <v>0</v>
      </c>
      <c r="CP21" s="6">
        <v>20898.788888888888</v>
      </c>
      <c r="CQ21" s="6">
        <v>0</v>
      </c>
      <c r="CR21" s="6">
        <v>0</v>
      </c>
      <c r="CS21" s="6">
        <v>0</v>
      </c>
      <c r="CT21" s="6">
        <v>31929</v>
      </c>
      <c r="CU21" s="6">
        <v>54949.802727272719</v>
      </c>
      <c r="CV21" s="6">
        <v>0</v>
      </c>
      <c r="CW21" s="6">
        <v>0</v>
      </c>
      <c r="CX21" s="6"/>
      <c r="CY21" s="6">
        <f>VLOOKUP(A21, 'At-Risk updating '!A:E, 5, 0)</f>
        <v>1305.1000000000058</v>
      </c>
      <c r="CZ21" s="6">
        <v>0</v>
      </c>
      <c r="DA21" s="6">
        <v>0</v>
      </c>
      <c r="DB21" s="6">
        <v>0</v>
      </c>
      <c r="DC21" s="6">
        <v>0</v>
      </c>
      <c r="DD21" s="6">
        <v>0</v>
      </c>
      <c r="DE21" s="10">
        <v>0</v>
      </c>
      <c r="DF21" s="6">
        <v>0</v>
      </c>
      <c r="DG21" s="7">
        <v>0</v>
      </c>
      <c r="DH21" s="11">
        <f>SUM(G21:DG21)</f>
        <v>3809353.8734343434</v>
      </c>
    </row>
    <row r="22" spans="1:112" ht="15.75" x14ac:dyDescent="0.25">
      <c r="A22" s="4">
        <v>454</v>
      </c>
      <c r="B22" s="4" t="s">
        <v>98</v>
      </c>
      <c r="C22" s="5" t="s">
        <v>205</v>
      </c>
      <c r="D22" s="5">
        <v>1</v>
      </c>
      <c r="E22" s="5">
        <v>882</v>
      </c>
      <c r="F22" s="5">
        <v>728</v>
      </c>
      <c r="G22" s="6">
        <v>171051</v>
      </c>
      <c r="H22" s="6">
        <v>97685</v>
      </c>
      <c r="I22" s="6">
        <v>400608.89999999997</v>
      </c>
      <c r="J22" s="7">
        <v>97685</v>
      </c>
      <c r="K22" s="7">
        <v>334713</v>
      </c>
      <c r="L22" s="6">
        <v>75970</v>
      </c>
      <c r="M22" s="6">
        <v>55700</v>
      </c>
      <c r="N22" s="6">
        <v>89036.200000000012</v>
      </c>
      <c r="O22" s="6">
        <v>47542</v>
      </c>
      <c r="P22" s="6">
        <v>58487</v>
      </c>
      <c r="Q22" s="6">
        <v>135312</v>
      </c>
      <c r="R22" s="6">
        <v>204744</v>
      </c>
      <c r="S22" s="8">
        <v>4</v>
      </c>
      <c r="T22" s="6">
        <v>164536</v>
      </c>
      <c r="U22" s="6">
        <v>97685</v>
      </c>
      <c r="V22" s="6">
        <v>0</v>
      </c>
      <c r="W22" s="6">
        <v>0</v>
      </c>
      <c r="X22" s="6">
        <v>97685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136759</v>
      </c>
      <c r="AN22" s="6">
        <v>205138.5</v>
      </c>
      <c r="AO22" s="6">
        <v>273518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3787437.6131879962</v>
      </c>
      <c r="AV22" s="6">
        <v>97685</v>
      </c>
      <c r="AW22" s="6">
        <v>586110</v>
      </c>
      <c r="AX22" s="6">
        <v>2051385</v>
      </c>
      <c r="AY22" s="6">
        <v>433725</v>
      </c>
      <c r="AZ22" s="6">
        <v>135666</v>
      </c>
      <c r="BA22" s="6">
        <v>1856015</v>
      </c>
      <c r="BB22" s="6">
        <v>86745</v>
      </c>
      <c r="BC22" s="27">
        <v>316947</v>
      </c>
      <c r="BD22" s="6">
        <v>0</v>
      </c>
      <c r="BE22" s="6">
        <v>0</v>
      </c>
      <c r="BF22" s="6">
        <v>0</v>
      </c>
      <c r="BG22" s="6">
        <v>56644</v>
      </c>
      <c r="BH22" s="6">
        <v>316888.21000000002</v>
      </c>
      <c r="BI22" s="6">
        <v>5141.6400000000003</v>
      </c>
      <c r="BJ22" s="6">
        <v>19700</v>
      </c>
      <c r="BK22" s="6">
        <v>0</v>
      </c>
      <c r="BL22" s="6"/>
      <c r="BM22" s="6">
        <v>0</v>
      </c>
      <c r="BN22" s="6">
        <v>138141</v>
      </c>
      <c r="BO22" s="6">
        <v>0</v>
      </c>
      <c r="BP22" s="6">
        <v>0</v>
      </c>
      <c r="BQ22" s="26">
        <v>138141</v>
      </c>
      <c r="BR22" s="26">
        <v>20000</v>
      </c>
      <c r="BS22" s="26">
        <v>10000</v>
      </c>
      <c r="BT22" s="26">
        <v>9000</v>
      </c>
      <c r="BU22" s="26">
        <v>0</v>
      </c>
      <c r="BV22" s="26">
        <v>0</v>
      </c>
      <c r="BW22" s="26">
        <v>0</v>
      </c>
      <c r="BX22" s="26">
        <v>0</v>
      </c>
      <c r="BY22" s="26">
        <v>0</v>
      </c>
      <c r="BZ22" s="6">
        <v>97685</v>
      </c>
      <c r="CA22" s="6">
        <v>87556</v>
      </c>
      <c r="CB22" s="6">
        <v>0</v>
      </c>
      <c r="CC22" s="6">
        <v>0</v>
      </c>
      <c r="CD22" s="6">
        <v>73263.75</v>
      </c>
      <c r="CE22" s="6">
        <v>195370</v>
      </c>
      <c r="CF22" s="6">
        <v>23000</v>
      </c>
      <c r="CG22" s="6">
        <v>5000</v>
      </c>
      <c r="CH22" s="6">
        <v>100000</v>
      </c>
      <c r="CI22" s="6">
        <v>101560.06446048801</v>
      </c>
      <c r="CJ22" s="6">
        <v>12240</v>
      </c>
      <c r="CK22" s="6">
        <v>29120</v>
      </c>
      <c r="CL22" s="6">
        <v>49320</v>
      </c>
      <c r="CM22" s="6">
        <v>0</v>
      </c>
      <c r="CN22" s="6">
        <v>0</v>
      </c>
      <c r="CO22" s="6">
        <v>0</v>
      </c>
      <c r="CP22" s="6">
        <v>115408.461682243</v>
      </c>
      <c r="CQ22" s="6">
        <v>101560.06446048801</v>
      </c>
      <c r="CR22" s="6">
        <v>0</v>
      </c>
      <c r="CS22" s="6">
        <v>128716</v>
      </c>
      <c r="CT22" s="6">
        <v>76647</v>
      </c>
      <c r="CU22" s="6">
        <v>191722.83513163458</v>
      </c>
      <c r="CV22" s="6">
        <v>0</v>
      </c>
      <c r="CW22" s="6">
        <v>0</v>
      </c>
      <c r="CX22" s="6"/>
      <c r="CY22" s="6">
        <f>VLOOKUP(A22, 'At-Risk updating '!A:E, 5, 0)</f>
        <v>21112.457891023485</v>
      </c>
      <c r="CZ22" s="6">
        <v>0</v>
      </c>
      <c r="DA22" s="6">
        <v>0</v>
      </c>
      <c r="DB22" s="6">
        <v>0</v>
      </c>
      <c r="DC22" s="6">
        <v>0</v>
      </c>
      <c r="DD22" s="6">
        <v>0</v>
      </c>
      <c r="DE22" s="10">
        <v>0</v>
      </c>
      <c r="DF22" s="6">
        <v>0</v>
      </c>
      <c r="DG22" s="7">
        <v>0</v>
      </c>
      <c r="DH22" s="11">
        <f>SUM(G22:DG22)</f>
        <v>14218512.696813874</v>
      </c>
    </row>
    <row r="23" spans="1:112" ht="15.75" x14ac:dyDescent="0.25">
      <c r="A23" s="4">
        <v>947</v>
      </c>
      <c r="B23" s="4" t="s">
        <v>99</v>
      </c>
      <c r="C23" s="5" t="s">
        <v>206</v>
      </c>
      <c r="D23" s="5">
        <v>5</v>
      </c>
      <c r="E23" s="5">
        <v>5</v>
      </c>
      <c r="F23" s="5">
        <v>0</v>
      </c>
      <c r="G23" s="6">
        <v>85525.5</v>
      </c>
      <c r="H23" s="6">
        <v>0</v>
      </c>
      <c r="I23" s="6">
        <v>69070.5</v>
      </c>
      <c r="J23" s="7">
        <v>0</v>
      </c>
      <c r="K23" s="7">
        <v>0</v>
      </c>
      <c r="L23" s="27">
        <v>75970</v>
      </c>
      <c r="M23" s="6">
        <v>55700</v>
      </c>
      <c r="N23" s="6">
        <v>0</v>
      </c>
      <c r="O23" s="6">
        <v>0</v>
      </c>
      <c r="P23" s="6">
        <v>0</v>
      </c>
      <c r="Q23" s="6">
        <v>67656</v>
      </c>
      <c r="R23" s="6">
        <v>0</v>
      </c>
      <c r="S23" s="8">
        <v>0</v>
      </c>
      <c r="T23" s="6">
        <v>0</v>
      </c>
      <c r="U23" s="6">
        <v>48842.5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97685</v>
      </c>
      <c r="AQ23" s="6">
        <v>97685</v>
      </c>
      <c r="AR23" s="6">
        <v>97685</v>
      </c>
      <c r="AS23" s="6">
        <v>97685</v>
      </c>
      <c r="AT23" s="6">
        <v>0</v>
      </c>
      <c r="AU23" s="6">
        <v>0</v>
      </c>
      <c r="AV23" s="6">
        <v>0</v>
      </c>
      <c r="AW23" s="6">
        <v>97685</v>
      </c>
      <c r="AX23" s="6">
        <v>195370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50</v>
      </c>
      <c r="BK23" s="6">
        <v>0</v>
      </c>
      <c r="BL23" s="6"/>
      <c r="BM23" s="6">
        <v>0</v>
      </c>
      <c r="BN23" s="6">
        <v>0</v>
      </c>
      <c r="BO23" s="6">
        <v>0</v>
      </c>
      <c r="BP23" s="6">
        <v>0</v>
      </c>
      <c r="BQ23" s="26">
        <v>0</v>
      </c>
      <c r="BR23" s="26">
        <v>0</v>
      </c>
      <c r="BS23" s="26">
        <v>0</v>
      </c>
      <c r="BT23" s="26">
        <v>0</v>
      </c>
      <c r="BU23" s="26">
        <v>0</v>
      </c>
      <c r="BV23" s="26">
        <v>0</v>
      </c>
      <c r="BW23" s="26">
        <v>0</v>
      </c>
      <c r="BX23" s="26">
        <v>0</v>
      </c>
      <c r="BY23" s="2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0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0</v>
      </c>
      <c r="CL23" s="6">
        <v>0</v>
      </c>
      <c r="CM23" s="6">
        <v>0</v>
      </c>
      <c r="CN23" s="6" t="b">
        <v>0</v>
      </c>
      <c r="CO23" s="6" t="b">
        <v>0</v>
      </c>
      <c r="CP23" s="6">
        <v>14531</v>
      </c>
      <c r="CQ23" s="6">
        <v>0</v>
      </c>
      <c r="CR23" s="6">
        <v>0</v>
      </c>
      <c r="CS23" s="6">
        <v>0</v>
      </c>
      <c r="CT23" s="6">
        <v>8700</v>
      </c>
      <c r="CU23" s="6">
        <v>16298.3925</v>
      </c>
      <c r="CV23" s="6">
        <v>0</v>
      </c>
      <c r="CW23" s="6">
        <v>0</v>
      </c>
      <c r="CX23" s="6"/>
      <c r="CY23" s="6">
        <f>VLOOKUP(A23, 'At-Risk updating '!A:E, 5, 0)</f>
        <v>0</v>
      </c>
      <c r="CZ23" s="6">
        <v>0</v>
      </c>
      <c r="DA23" s="6">
        <v>0</v>
      </c>
      <c r="DB23" s="6">
        <v>0</v>
      </c>
      <c r="DC23" s="6">
        <v>0</v>
      </c>
      <c r="DD23" s="6">
        <v>0</v>
      </c>
      <c r="DE23" s="10">
        <v>0</v>
      </c>
      <c r="DF23" s="6">
        <v>0</v>
      </c>
      <c r="DG23" s="7">
        <v>0</v>
      </c>
      <c r="DH23" s="11">
        <f>SUM(G23:DG23)</f>
        <v>1126138.8925000001</v>
      </c>
    </row>
    <row r="24" spans="1:112" ht="15.75" x14ac:dyDescent="0.25">
      <c r="A24" s="4">
        <v>224</v>
      </c>
      <c r="B24" s="4" t="s">
        <v>100</v>
      </c>
      <c r="C24" s="5" t="s">
        <v>201</v>
      </c>
      <c r="D24" s="5">
        <v>1</v>
      </c>
      <c r="E24" s="5">
        <v>329</v>
      </c>
      <c r="F24" s="5">
        <v>164</v>
      </c>
      <c r="G24" s="6">
        <v>171051</v>
      </c>
      <c r="H24" s="6">
        <v>97685</v>
      </c>
      <c r="I24" s="6">
        <v>110512.8</v>
      </c>
      <c r="J24" s="7">
        <v>0</v>
      </c>
      <c r="K24" s="7">
        <v>0</v>
      </c>
      <c r="L24" s="6">
        <v>75970</v>
      </c>
      <c r="M24" s="6">
        <v>55700</v>
      </c>
      <c r="N24" s="6">
        <v>0</v>
      </c>
      <c r="O24" s="6">
        <v>0</v>
      </c>
      <c r="P24" s="6">
        <v>0</v>
      </c>
      <c r="Q24" s="6">
        <v>67656</v>
      </c>
      <c r="R24" s="6">
        <v>102372</v>
      </c>
      <c r="S24" s="8">
        <v>0</v>
      </c>
      <c r="T24" s="6">
        <v>0</v>
      </c>
      <c r="U24" s="6">
        <v>97685</v>
      </c>
      <c r="V24" s="6">
        <v>97685</v>
      </c>
      <c r="W24" s="6">
        <v>97685</v>
      </c>
      <c r="X24" s="6">
        <v>97685</v>
      </c>
      <c r="Y24" s="6">
        <v>146527.5</v>
      </c>
      <c r="Z24" s="6">
        <v>195370</v>
      </c>
      <c r="AA24" s="6">
        <v>57830</v>
      </c>
      <c r="AB24" s="6">
        <v>97685</v>
      </c>
      <c r="AC24" s="6">
        <v>57830</v>
      </c>
      <c r="AD24" s="6">
        <v>195370</v>
      </c>
      <c r="AE24" s="6">
        <v>57830</v>
      </c>
      <c r="AF24" s="6">
        <v>195370</v>
      </c>
      <c r="AG24" s="6">
        <v>57830</v>
      </c>
      <c r="AH24" s="6">
        <v>195370</v>
      </c>
      <c r="AI24" s="6">
        <v>195370</v>
      </c>
      <c r="AJ24" s="6">
        <v>195370</v>
      </c>
      <c r="AK24" s="6">
        <v>195370</v>
      </c>
      <c r="AL24" s="6">
        <v>195370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48842.5</v>
      </c>
      <c r="AW24" s="6">
        <v>48842.5</v>
      </c>
      <c r="AX24" s="6">
        <v>390740</v>
      </c>
      <c r="AY24" s="6">
        <v>28915</v>
      </c>
      <c r="AZ24" s="6">
        <v>45222</v>
      </c>
      <c r="BA24" s="6">
        <v>195370</v>
      </c>
      <c r="BB24" s="6">
        <v>0</v>
      </c>
      <c r="BC24" s="6">
        <v>0</v>
      </c>
      <c r="BD24" s="6">
        <v>35580</v>
      </c>
      <c r="BE24" s="6">
        <v>39240</v>
      </c>
      <c r="BF24" s="6">
        <v>7848</v>
      </c>
      <c r="BG24" s="6">
        <v>0</v>
      </c>
      <c r="BH24" s="6">
        <v>128633.75</v>
      </c>
      <c r="BI24" s="6">
        <v>2087.14</v>
      </c>
      <c r="BJ24" s="6">
        <v>8000</v>
      </c>
      <c r="BK24" s="6">
        <v>0</v>
      </c>
      <c r="BL24" s="6"/>
      <c r="BM24" s="6">
        <v>0</v>
      </c>
      <c r="BN24" s="6">
        <v>0</v>
      </c>
      <c r="BO24" s="6">
        <v>0</v>
      </c>
      <c r="BP24" s="6">
        <v>0</v>
      </c>
      <c r="BQ24" s="26">
        <v>0</v>
      </c>
      <c r="BR24" s="26">
        <v>0</v>
      </c>
      <c r="BS24" s="26">
        <v>0</v>
      </c>
      <c r="BT24" s="26">
        <v>0</v>
      </c>
      <c r="BU24" s="26">
        <v>0</v>
      </c>
      <c r="BV24" s="26">
        <v>0</v>
      </c>
      <c r="BW24" s="26">
        <v>0</v>
      </c>
      <c r="BX24" s="26">
        <v>0</v>
      </c>
      <c r="BY24" s="2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3280</v>
      </c>
      <c r="CL24" s="6">
        <v>0</v>
      </c>
      <c r="CM24" s="6">
        <v>0</v>
      </c>
      <c r="CN24" s="6">
        <v>0</v>
      </c>
      <c r="CO24" s="6">
        <v>0</v>
      </c>
      <c r="CP24" s="6">
        <v>18796.138906250002</v>
      </c>
      <c r="CQ24" s="6">
        <v>0</v>
      </c>
      <c r="CR24" s="6">
        <v>0</v>
      </c>
      <c r="CS24" s="6">
        <v>0</v>
      </c>
      <c r="CT24" s="6">
        <v>28449</v>
      </c>
      <c r="CU24" s="6">
        <v>58021.669499999996</v>
      </c>
      <c r="CV24" s="6">
        <v>0</v>
      </c>
      <c r="CW24" s="6">
        <v>0</v>
      </c>
      <c r="CX24" s="6"/>
      <c r="CY24" s="6">
        <f>VLOOKUP(A24, 'At-Risk updating '!A:E, 5, 0)</f>
        <v>4756</v>
      </c>
      <c r="CZ24" s="6">
        <v>0</v>
      </c>
      <c r="DA24" s="6">
        <v>0</v>
      </c>
      <c r="DB24" s="6">
        <v>0</v>
      </c>
      <c r="DC24" s="6">
        <v>0</v>
      </c>
      <c r="DD24" s="6">
        <v>0</v>
      </c>
      <c r="DE24" s="10">
        <v>0</v>
      </c>
      <c r="DF24" s="6">
        <v>0</v>
      </c>
      <c r="DG24" s="7">
        <v>0</v>
      </c>
      <c r="DH24" s="11">
        <f>SUM(G24:DG24)</f>
        <v>4202802.99840625</v>
      </c>
    </row>
    <row r="25" spans="1:112" ht="15.75" x14ac:dyDescent="0.25">
      <c r="A25" s="4">
        <v>442</v>
      </c>
      <c r="B25" s="4" t="s">
        <v>101</v>
      </c>
      <c r="C25" s="5" t="s">
        <v>205</v>
      </c>
      <c r="D25" s="5">
        <v>1</v>
      </c>
      <c r="E25" s="5">
        <v>1400</v>
      </c>
      <c r="F25" s="5">
        <v>904</v>
      </c>
      <c r="G25" s="6">
        <v>171051</v>
      </c>
      <c r="H25" s="6">
        <v>97685</v>
      </c>
      <c r="I25" s="6">
        <v>649262.70000000007</v>
      </c>
      <c r="J25" s="7">
        <v>97685</v>
      </c>
      <c r="K25" s="7">
        <v>490912.4</v>
      </c>
      <c r="L25" s="6">
        <v>75970</v>
      </c>
      <c r="M25" s="6">
        <v>55700</v>
      </c>
      <c r="N25" s="6">
        <v>141648.5</v>
      </c>
      <c r="O25" s="6">
        <v>47542</v>
      </c>
      <c r="P25" s="6">
        <v>58487</v>
      </c>
      <c r="Q25" s="6">
        <v>135312</v>
      </c>
      <c r="R25" s="6">
        <v>102372</v>
      </c>
      <c r="S25" s="8">
        <v>7</v>
      </c>
      <c r="T25" s="6">
        <v>287938</v>
      </c>
      <c r="U25" s="6">
        <v>97685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390740</v>
      </c>
      <c r="AN25" s="6">
        <v>478656.50000000006</v>
      </c>
      <c r="AO25" s="6">
        <v>498193.49999999994</v>
      </c>
      <c r="AP25" s="6">
        <v>1367590</v>
      </c>
      <c r="AQ25" s="6">
        <v>1025692.5</v>
      </c>
      <c r="AR25" s="6">
        <v>1045229.4999999999</v>
      </c>
      <c r="AS25" s="6">
        <v>1015924</v>
      </c>
      <c r="AT25" s="6">
        <v>0</v>
      </c>
      <c r="AU25" s="6">
        <v>0</v>
      </c>
      <c r="AV25" s="6">
        <v>97685</v>
      </c>
      <c r="AW25" s="6">
        <v>390740</v>
      </c>
      <c r="AX25" s="6">
        <v>1172220</v>
      </c>
      <c r="AY25" s="6">
        <v>57830</v>
      </c>
      <c r="AZ25" s="6">
        <v>0</v>
      </c>
      <c r="BA25" s="6">
        <v>2149070</v>
      </c>
      <c r="BB25" s="6">
        <v>57830</v>
      </c>
      <c r="BC25" s="27">
        <v>410752</v>
      </c>
      <c r="BD25" s="6">
        <v>0</v>
      </c>
      <c r="BE25" s="6">
        <v>0</v>
      </c>
      <c r="BF25" s="6">
        <v>0</v>
      </c>
      <c r="BG25" s="6">
        <v>56644</v>
      </c>
      <c r="BH25" s="6">
        <v>485966</v>
      </c>
      <c r="BI25" s="6">
        <v>7885</v>
      </c>
      <c r="BJ25" s="6">
        <v>34825</v>
      </c>
      <c r="BK25" s="6">
        <v>0</v>
      </c>
      <c r="BL25" s="6"/>
      <c r="BM25" s="6">
        <v>0</v>
      </c>
      <c r="BN25" s="6">
        <v>0</v>
      </c>
      <c r="BO25" s="6">
        <v>0</v>
      </c>
      <c r="BP25" s="6">
        <v>0</v>
      </c>
      <c r="BQ25" s="26">
        <v>0</v>
      </c>
      <c r="BR25" s="26">
        <v>0</v>
      </c>
      <c r="BS25" s="26">
        <v>0</v>
      </c>
      <c r="BT25" s="26">
        <v>0</v>
      </c>
      <c r="BU25" s="26">
        <v>55000</v>
      </c>
      <c r="BV25" s="26">
        <v>0</v>
      </c>
      <c r="BW25" s="26">
        <v>0</v>
      </c>
      <c r="BX25" s="26">
        <v>0</v>
      </c>
      <c r="BY25" s="26">
        <v>0</v>
      </c>
      <c r="BZ25" s="6">
        <v>97685</v>
      </c>
      <c r="CA25" s="6">
        <v>87556</v>
      </c>
      <c r="CB25" s="6">
        <v>134027</v>
      </c>
      <c r="CC25" s="6">
        <v>99697</v>
      </c>
      <c r="CD25" s="6">
        <v>195370</v>
      </c>
      <c r="CE25" s="6">
        <v>195370</v>
      </c>
      <c r="CF25" s="6">
        <v>23000</v>
      </c>
      <c r="CG25" s="6">
        <v>5000</v>
      </c>
      <c r="CH25" s="6">
        <v>100000</v>
      </c>
      <c r="CI25" s="6">
        <v>101560.06446048801</v>
      </c>
      <c r="CJ25" s="6">
        <v>12240</v>
      </c>
      <c r="CK25" s="6">
        <v>18080</v>
      </c>
      <c r="CL25" s="6">
        <v>261000</v>
      </c>
      <c r="CM25" s="6">
        <v>0</v>
      </c>
      <c r="CN25" s="6">
        <v>0</v>
      </c>
      <c r="CO25" s="6">
        <v>0</v>
      </c>
      <c r="CP25" s="6">
        <v>167561.37914999999</v>
      </c>
      <c r="CQ25" s="6">
        <v>101560.06446048801</v>
      </c>
      <c r="CR25" s="6">
        <v>0</v>
      </c>
      <c r="CS25" s="6">
        <v>0</v>
      </c>
      <c r="CT25" s="6">
        <v>121713</v>
      </c>
      <c r="CU25" s="6">
        <v>201403.40593381462</v>
      </c>
      <c r="CV25" s="6">
        <v>0</v>
      </c>
      <c r="CW25" s="7">
        <v>457685</v>
      </c>
      <c r="CX25" s="6"/>
      <c r="CY25" s="6">
        <f>VLOOKUP(A25, 'At-Risk updating '!A:E, 5, 0)</f>
        <v>26216.421079023508</v>
      </c>
      <c r="CZ25" s="6">
        <v>0</v>
      </c>
      <c r="DA25" s="6">
        <v>0</v>
      </c>
      <c r="DB25" s="6">
        <v>0</v>
      </c>
      <c r="DC25" s="6">
        <v>0</v>
      </c>
      <c r="DD25" s="6">
        <v>0</v>
      </c>
      <c r="DE25" s="10">
        <v>0</v>
      </c>
      <c r="DF25" s="6">
        <v>0</v>
      </c>
      <c r="DG25" s="7">
        <v>0</v>
      </c>
      <c r="DH25" s="11">
        <f>SUM(G25:DG25)</f>
        <v>15714454.935083812</v>
      </c>
    </row>
    <row r="26" spans="1:112" ht="15.75" x14ac:dyDescent="0.25">
      <c r="A26" s="4">
        <v>455</v>
      </c>
      <c r="B26" s="4" t="s">
        <v>102</v>
      </c>
      <c r="C26" s="5" t="s">
        <v>191</v>
      </c>
      <c r="D26" s="5">
        <v>4</v>
      </c>
      <c r="E26" s="5">
        <v>418</v>
      </c>
      <c r="F26" s="5">
        <v>307</v>
      </c>
      <c r="G26" s="6">
        <v>171051</v>
      </c>
      <c r="H26" s="6">
        <v>97685</v>
      </c>
      <c r="I26" s="6">
        <v>165769.19999999998</v>
      </c>
      <c r="J26" s="7">
        <v>0</v>
      </c>
      <c r="K26" s="7">
        <v>167356.5</v>
      </c>
      <c r="L26" s="6">
        <v>75970</v>
      </c>
      <c r="M26" s="6">
        <v>55700</v>
      </c>
      <c r="N26" s="6">
        <v>0</v>
      </c>
      <c r="O26" s="6">
        <v>47542</v>
      </c>
      <c r="P26" s="6">
        <v>58487</v>
      </c>
      <c r="Q26" s="6">
        <v>135312</v>
      </c>
      <c r="R26" s="6">
        <v>102372</v>
      </c>
      <c r="S26" s="8">
        <v>2</v>
      </c>
      <c r="T26" s="6">
        <v>82268</v>
      </c>
      <c r="U26" s="6">
        <v>97685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2189211.9483828153</v>
      </c>
      <c r="AV26" s="6">
        <v>97685</v>
      </c>
      <c r="AW26" s="6">
        <v>293055</v>
      </c>
      <c r="AX26" s="6">
        <v>976850</v>
      </c>
      <c r="AY26" s="6">
        <v>173490</v>
      </c>
      <c r="AZ26" s="6">
        <v>90444</v>
      </c>
      <c r="BA26" s="6">
        <v>390740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52598</v>
      </c>
      <c r="BH26" s="6">
        <v>155993.94</v>
      </c>
      <c r="BI26" s="6">
        <v>2531.0700000000002</v>
      </c>
      <c r="BJ26" s="6">
        <v>9700</v>
      </c>
      <c r="BK26" s="6">
        <v>0</v>
      </c>
      <c r="BL26" s="6"/>
      <c r="BM26" s="6">
        <v>0</v>
      </c>
      <c r="BN26" s="6">
        <v>0</v>
      </c>
      <c r="BO26" s="6">
        <v>0</v>
      </c>
      <c r="BP26" s="6">
        <v>0</v>
      </c>
      <c r="BQ26" s="26">
        <v>138141</v>
      </c>
      <c r="BR26" s="26">
        <v>20000</v>
      </c>
      <c r="BS26" s="26">
        <v>10000</v>
      </c>
      <c r="BT26" s="26">
        <v>9000</v>
      </c>
      <c r="BU26" s="26">
        <v>55000</v>
      </c>
      <c r="BV26" s="26">
        <v>0</v>
      </c>
      <c r="BW26" s="26">
        <v>0</v>
      </c>
      <c r="BX26" s="26">
        <v>0</v>
      </c>
      <c r="BY26" s="26">
        <v>0</v>
      </c>
      <c r="BZ26" s="6">
        <v>97685</v>
      </c>
      <c r="CA26" s="6">
        <v>87556</v>
      </c>
      <c r="CB26" s="6">
        <v>134027</v>
      </c>
      <c r="CC26" s="6">
        <v>99697</v>
      </c>
      <c r="CD26" s="6">
        <v>97685</v>
      </c>
      <c r="CE26" s="6">
        <v>0</v>
      </c>
      <c r="CF26" s="6">
        <v>0</v>
      </c>
      <c r="CG26" s="6">
        <v>0</v>
      </c>
      <c r="CH26" s="6">
        <v>0</v>
      </c>
      <c r="CI26" s="6">
        <v>101560.06446048801</v>
      </c>
      <c r="CJ26" s="6">
        <v>12240</v>
      </c>
      <c r="CK26" s="6">
        <v>12280</v>
      </c>
      <c r="CL26" s="6">
        <v>0</v>
      </c>
      <c r="CM26" s="6">
        <v>0</v>
      </c>
      <c r="CN26" s="6">
        <v>0</v>
      </c>
      <c r="CO26" s="6">
        <v>0</v>
      </c>
      <c r="CP26" s="6">
        <v>50195.731674208146</v>
      </c>
      <c r="CQ26" s="6">
        <v>101560.06446048801</v>
      </c>
      <c r="CR26" s="6">
        <v>0</v>
      </c>
      <c r="CS26" s="6">
        <v>0</v>
      </c>
      <c r="CT26" s="6">
        <v>31842</v>
      </c>
      <c r="CU26" s="6">
        <v>85076.906659556873</v>
      </c>
      <c r="CV26" s="6">
        <v>0</v>
      </c>
      <c r="CW26" s="6">
        <v>0</v>
      </c>
      <c r="CX26" s="6"/>
      <c r="CY26" s="6">
        <f>VLOOKUP(A26, 'At-Risk updating '!A:E, 5, 0)</f>
        <v>8903.4226962033426</v>
      </c>
      <c r="CZ26" s="6">
        <v>0</v>
      </c>
      <c r="DA26" s="6">
        <v>0</v>
      </c>
      <c r="DB26" s="6">
        <v>0</v>
      </c>
      <c r="DC26" s="6">
        <v>0</v>
      </c>
      <c r="DD26" s="6">
        <v>71144</v>
      </c>
      <c r="DE26" s="10">
        <v>0.5</v>
      </c>
      <c r="DF26" s="6">
        <v>48842.5</v>
      </c>
      <c r="DG26" s="7">
        <v>0</v>
      </c>
      <c r="DH26" s="11">
        <f>SUM(G26:DG26)</f>
        <v>6961934.8483337602</v>
      </c>
    </row>
    <row r="27" spans="1:112" ht="15.75" x14ac:dyDescent="0.25">
      <c r="A27" s="4">
        <v>405</v>
      </c>
      <c r="B27" s="4" t="s">
        <v>103</v>
      </c>
      <c r="C27" s="5" t="s">
        <v>204</v>
      </c>
      <c r="D27" s="5">
        <v>3</v>
      </c>
      <c r="E27" s="5">
        <v>1532</v>
      </c>
      <c r="F27" s="5">
        <v>116</v>
      </c>
      <c r="G27" s="6">
        <v>171051</v>
      </c>
      <c r="H27" s="6">
        <v>97685</v>
      </c>
      <c r="I27" s="6">
        <v>704519.1</v>
      </c>
      <c r="J27" s="7">
        <v>371203</v>
      </c>
      <c r="K27" s="7">
        <v>0</v>
      </c>
      <c r="L27" s="6">
        <v>75970</v>
      </c>
      <c r="M27" s="6">
        <v>55700</v>
      </c>
      <c r="N27" s="6">
        <v>153789.79999999999</v>
      </c>
      <c r="O27" s="6">
        <v>0</v>
      </c>
      <c r="P27" s="6">
        <v>0</v>
      </c>
      <c r="Q27" s="6">
        <v>67656</v>
      </c>
      <c r="R27" s="6">
        <v>153558</v>
      </c>
      <c r="S27" s="8">
        <v>4</v>
      </c>
      <c r="T27" s="6">
        <v>164536</v>
      </c>
      <c r="U27" s="6">
        <v>97685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2256523.5</v>
      </c>
      <c r="AN27" s="6">
        <v>2432356.5</v>
      </c>
      <c r="AO27" s="6">
        <v>2109996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195370</v>
      </c>
      <c r="AW27" s="6">
        <v>390740</v>
      </c>
      <c r="AX27" s="6">
        <v>976850</v>
      </c>
      <c r="AY27" s="6">
        <v>0</v>
      </c>
      <c r="AZ27" s="6">
        <v>0</v>
      </c>
      <c r="BA27" s="6">
        <v>195370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36925</v>
      </c>
      <c r="BK27" s="6">
        <v>101560.06446048801</v>
      </c>
      <c r="BL27" s="6"/>
      <c r="BM27" s="6">
        <v>0</v>
      </c>
      <c r="BN27" s="6">
        <v>0</v>
      </c>
      <c r="BO27" s="6">
        <v>0</v>
      </c>
      <c r="BP27" s="6">
        <v>0</v>
      </c>
      <c r="BQ27" s="26">
        <v>0</v>
      </c>
      <c r="BR27" s="26">
        <v>0</v>
      </c>
      <c r="BS27" s="26">
        <v>0</v>
      </c>
      <c r="BT27" s="26">
        <v>0</v>
      </c>
      <c r="BU27" s="26">
        <v>0</v>
      </c>
      <c r="BV27" s="26">
        <v>0</v>
      </c>
      <c r="BW27" s="26">
        <v>0</v>
      </c>
      <c r="BX27" s="26">
        <v>0</v>
      </c>
      <c r="BY27" s="2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293055</v>
      </c>
      <c r="CF27" s="6">
        <v>23000</v>
      </c>
      <c r="CG27" s="6">
        <v>5000</v>
      </c>
      <c r="CH27" s="6">
        <v>100000</v>
      </c>
      <c r="CI27" s="6">
        <v>0</v>
      </c>
      <c r="CJ27" s="6">
        <v>0</v>
      </c>
      <c r="CK27" s="6">
        <v>0</v>
      </c>
      <c r="CL27" s="6">
        <v>0</v>
      </c>
      <c r="CM27" s="6">
        <v>0</v>
      </c>
      <c r="CN27" s="6">
        <v>0</v>
      </c>
      <c r="CO27" s="6">
        <v>0</v>
      </c>
      <c r="CP27" s="6">
        <v>105568.54598540146</v>
      </c>
      <c r="CQ27" s="6">
        <v>0</v>
      </c>
      <c r="CR27" s="6">
        <v>0</v>
      </c>
      <c r="CS27" s="6">
        <v>0</v>
      </c>
      <c r="CT27" s="6">
        <v>133284</v>
      </c>
      <c r="CU27" s="6">
        <v>167477.60946690731</v>
      </c>
      <c r="CV27" s="6">
        <v>2151570.8800872043</v>
      </c>
      <c r="CW27" s="6">
        <v>0</v>
      </c>
      <c r="CX27" s="6"/>
      <c r="CY27" s="6">
        <f>VLOOKUP(A27, 'At-Risk updating '!A:E, 5, 0)</f>
        <v>3699.6000000000058</v>
      </c>
      <c r="CZ27" s="6">
        <v>0</v>
      </c>
      <c r="DA27" s="6">
        <v>0</v>
      </c>
      <c r="DB27" s="6">
        <v>0</v>
      </c>
      <c r="DC27" s="6">
        <v>0</v>
      </c>
      <c r="DD27" s="6">
        <v>0</v>
      </c>
      <c r="DE27" s="10">
        <v>0</v>
      </c>
      <c r="DF27" s="6">
        <v>0</v>
      </c>
      <c r="DG27" s="7">
        <v>0</v>
      </c>
      <c r="DH27" s="11">
        <f>SUM(G27:DG27)</f>
        <v>13791703.6</v>
      </c>
    </row>
    <row r="28" spans="1:112" ht="15.75" x14ac:dyDescent="0.25">
      <c r="A28" s="4">
        <v>349</v>
      </c>
      <c r="B28" s="4" t="s">
        <v>104</v>
      </c>
      <c r="C28" s="5" t="s">
        <v>201</v>
      </c>
      <c r="D28" s="5">
        <v>4</v>
      </c>
      <c r="E28" s="5">
        <v>530</v>
      </c>
      <c r="F28" s="5">
        <v>245</v>
      </c>
      <c r="G28" s="6">
        <v>171051</v>
      </c>
      <c r="H28" s="6">
        <v>97685</v>
      </c>
      <c r="I28" s="6">
        <v>179583.30000000002</v>
      </c>
      <c r="J28" s="7">
        <v>0</v>
      </c>
      <c r="K28" s="7">
        <v>0</v>
      </c>
      <c r="L28" s="6">
        <v>75970</v>
      </c>
      <c r="M28" s="6">
        <v>55700</v>
      </c>
      <c r="N28" s="6">
        <v>52612.3</v>
      </c>
      <c r="O28" s="6">
        <v>0</v>
      </c>
      <c r="P28" s="6">
        <v>0</v>
      </c>
      <c r="Q28" s="6">
        <v>67656</v>
      </c>
      <c r="R28" s="6">
        <v>51186</v>
      </c>
      <c r="S28" s="8">
        <v>3</v>
      </c>
      <c r="T28" s="6">
        <v>123402</v>
      </c>
      <c r="U28" s="6">
        <v>97685</v>
      </c>
      <c r="V28" s="6">
        <v>97685</v>
      </c>
      <c r="W28" s="6">
        <v>97685</v>
      </c>
      <c r="X28" s="6">
        <v>97685</v>
      </c>
      <c r="Y28" s="6">
        <v>146527.5</v>
      </c>
      <c r="Z28" s="6">
        <v>390740</v>
      </c>
      <c r="AA28" s="6">
        <v>115660</v>
      </c>
      <c r="AB28" s="6">
        <v>0</v>
      </c>
      <c r="AC28" s="6">
        <v>0</v>
      </c>
      <c r="AD28" s="6">
        <v>488425</v>
      </c>
      <c r="AE28" s="6">
        <v>144575</v>
      </c>
      <c r="AF28" s="6">
        <v>488425</v>
      </c>
      <c r="AG28" s="6">
        <v>144575</v>
      </c>
      <c r="AH28" s="6">
        <v>293055</v>
      </c>
      <c r="AI28" s="6">
        <v>293055</v>
      </c>
      <c r="AJ28" s="6">
        <v>195370</v>
      </c>
      <c r="AK28" s="6">
        <v>293055</v>
      </c>
      <c r="AL28" s="6">
        <v>195370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97685</v>
      </c>
      <c r="AW28" s="6">
        <v>146527.5</v>
      </c>
      <c r="AX28" s="6">
        <v>586110</v>
      </c>
      <c r="AY28" s="6">
        <v>115660</v>
      </c>
      <c r="AZ28" s="6">
        <v>0</v>
      </c>
      <c r="BA28" s="6">
        <v>683795</v>
      </c>
      <c r="BB28" s="6">
        <v>0</v>
      </c>
      <c r="BC28" s="6">
        <v>97685</v>
      </c>
      <c r="BD28" s="6">
        <v>0</v>
      </c>
      <c r="BE28" s="6">
        <v>0</v>
      </c>
      <c r="BF28" s="6">
        <v>0</v>
      </c>
      <c r="BG28" s="6">
        <v>0</v>
      </c>
      <c r="BH28" s="6">
        <v>200505.3</v>
      </c>
      <c r="BI28" s="6">
        <v>3253.28</v>
      </c>
      <c r="BJ28" s="6">
        <v>12450</v>
      </c>
      <c r="BK28" s="6">
        <v>0</v>
      </c>
      <c r="BL28" s="6"/>
      <c r="BM28" s="6">
        <v>0</v>
      </c>
      <c r="BN28" s="6">
        <v>0</v>
      </c>
      <c r="BO28" s="6">
        <v>0</v>
      </c>
      <c r="BP28" s="6">
        <v>0</v>
      </c>
      <c r="BQ28" s="26">
        <v>0</v>
      </c>
      <c r="BR28" s="26">
        <v>0</v>
      </c>
      <c r="BS28" s="26">
        <v>0</v>
      </c>
      <c r="BT28" s="26">
        <v>0</v>
      </c>
      <c r="BU28" s="26">
        <v>0</v>
      </c>
      <c r="BV28" s="26">
        <v>0</v>
      </c>
      <c r="BW28" s="26">
        <v>0</v>
      </c>
      <c r="BX28" s="26">
        <v>0</v>
      </c>
      <c r="BY28" s="2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0</v>
      </c>
      <c r="CE28" s="6">
        <v>0</v>
      </c>
      <c r="CF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4900</v>
      </c>
      <c r="CL28" s="6">
        <v>324000</v>
      </c>
      <c r="CM28" s="6">
        <v>0</v>
      </c>
      <c r="CN28" s="6">
        <v>0</v>
      </c>
      <c r="CO28" s="6">
        <v>0</v>
      </c>
      <c r="CP28" s="6">
        <v>27400.666666666664</v>
      </c>
      <c r="CQ28" s="6">
        <v>0</v>
      </c>
      <c r="CR28" s="6">
        <v>0</v>
      </c>
      <c r="CS28" s="6">
        <v>0</v>
      </c>
      <c r="CT28" s="6">
        <v>45849</v>
      </c>
      <c r="CU28" s="6">
        <v>97588.208999999988</v>
      </c>
      <c r="CV28" s="6">
        <v>0</v>
      </c>
      <c r="CW28" s="6">
        <v>0</v>
      </c>
      <c r="CX28" s="6"/>
      <c r="CY28" s="6">
        <f>VLOOKUP(A28, 'At-Risk updating '!A:E, 5, 0)</f>
        <v>7105</v>
      </c>
      <c r="CZ28" s="6">
        <v>0</v>
      </c>
      <c r="DA28" s="6">
        <v>0</v>
      </c>
      <c r="DB28" s="6">
        <v>0</v>
      </c>
      <c r="DC28" s="6">
        <v>0</v>
      </c>
      <c r="DD28" s="6">
        <v>0</v>
      </c>
      <c r="DE28" s="10">
        <v>0</v>
      </c>
      <c r="DF28" s="6">
        <v>0</v>
      </c>
      <c r="DG28" s="7">
        <v>0</v>
      </c>
      <c r="DH28" s="11">
        <f>SUM(G28:DG28)</f>
        <v>6904935.0556666665</v>
      </c>
    </row>
    <row r="29" spans="1:112" ht="15.75" x14ac:dyDescent="0.25">
      <c r="A29" s="4">
        <v>231</v>
      </c>
      <c r="B29" s="4" t="s">
        <v>105</v>
      </c>
      <c r="C29" s="5" t="s">
        <v>201</v>
      </c>
      <c r="D29" s="5">
        <v>7</v>
      </c>
      <c r="E29" s="5">
        <v>281</v>
      </c>
      <c r="F29" s="5">
        <v>216</v>
      </c>
      <c r="G29" s="6">
        <v>171051</v>
      </c>
      <c r="H29" s="6">
        <v>97685</v>
      </c>
      <c r="I29" s="6">
        <v>0</v>
      </c>
      <c r="J29" s="7">
        <v>0</v>
      </c>
      <c r="K29" s="7">
        <v>0</v>
      </c>
      <c r="L29" s="6">
        <v>37985</v>
      </c>
      <c r="M29" s="6">
        <v>55700</v>
      </c>
      <c r="N29" s="6">
        <v>0</v>
      </c>
      <c r="O29" s="6">
        <v>0</v>
      </c>
      <c r="P29" s="6">
        <v>0</v>
      </c>
      <c r="Q29" s="6">
        <v>67656</v>
      </c>
      <c r="R29" s="6">
        <v>51186</v>
      </c>
      <c r="S29" s="8">
        <v>1</v>
      </c>
      <c r="T29" s="6">
        <v>41134</v>
      </c>
      <c r="U29" s="6">
        <v>48842.5</v>
      </c>
      <c r="V29" s="6">
        <v>97685</v>
      </c>
      <c r="W29" s="6">
        <v>97685</v>
      </c>
      <c r="X29" s="6">
        <v>97685</v>
      </c>
      <c r="Y29" s="6">
        <v>0</v>
      </c>
      <c r="Z29" s="6">
        <v>97685</v>
      </c>
      <c r="AA29" s="6">
        <v>28915</v>
      </c>
      <c r="AB29" s="6">
        <v>97685</v>
      </c>
      <c r="AC29" s="6">
        <v>28915</v>
      </c>
      <c r="AD29" s="6">
        <v>97685</v>
      </c>
      <c r="AE29" s="6">
        <v>28915</v>
      </c>
      <c r="AF29" s="6">
        <v>195370</v>
      </c>
      <c r="AG29" s="6">
        <v>57830</v>
      </c>
      <c r="AH29" s="6">
        <v>97685</v>
      </c>
      <c r="AI29" s="6">
        <v>195370</v>
      </c>
      <c r="AJ29" s="6">
        <v>195370</v>
      </c>
      <c r="AK29" s="6">
        <v>195370</v>
      </c>
      <c r="AL29" s="6">
        <v>195370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97685</v>
      </c>
      <c r="AW29" s="6">
        <v>48842.5</v>
      </c>
      <c r="AX29" s="6">
        <v>488425</v>
      </c>
      <c r="AY29" s="6">
        <v>57830</v>
      </c>
      <c r="AZ29" s="6">
        <v>0</v>
      </c>
      <c r="BA29" s="6">
        <v>4440.227272727273</v>
      </c>
      <c r="BB29" s="6">
        <v>0</v>
      </c>
      <c r="BC29" s="6">
        <v>0</v>
      </c>
      <c r="BD29" s="6">
        <v>17790</v>
      </c>
      <c r="BE29" s="6">
        <v>19620</v>
      </c>
      <c r="BF29" s="6">
        <v>7848</v>
      </c>
      <c r="BG29" s="6">
        <v>0</v>
      </c>
      <c r="BH29" s="6">
        <v>99231.75</v>
      </c>
      <c r="BI29" s="6">
        <v>1610.08</v>
      </c>
      <c r="BJ29" s="6">
        <v>6175</v>
      </c>
      <c r="BK29" s="6">
        <v>0</v>
      </c>
      <c r="BL29" s="6"/>
      <c r="BM29" s="6">
        <v>0</v>
      </c>
      <c r="BN29" s="6">
        <v>0</v>
      </c>
      <c r="BO29" s="6">
        <v>0</v>
      </c>
      <c r="BP29" s="6">
        <v>97685</v>
      </c>
      <c r="BQ29" s="26">
        <v>0</v>
      </c>
      <c r="BR29" s="26">
        <v>0</v>
      </c>
      <c r="BS29" s="26">
        <v>0</v>
      </c>
      <c r="BT29" s="26">
        <v>0</v>
      </c>
      <c r="BU29" s="26">
        <v>0</v>
      </c>
      <c r="BV29" s="26">
        <v>0</v>
      </c>
      <c r="BW29" s="26">
        <v>0</v>
      </c>
      <c r="BX29" s="26">
        <v>0</v>
      </c>
      <c r="BY29" s="2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8640</v>
      </c>
      <c r="CL29" s="6">
        <v>104760</v>
      </c>
      <c r="CM29" s="6">
        <v>0</v>
      </c>
      <c r="CN29" s="6" t="b">
        <v>0</v>
      </c>
      <c r="CO29" s="6" t="b">
        <v>0</v>
      </c>
      <c r="CP29" s="6">
        <v>16788.3591160221</v>
      </c>
      <c r="CQ29" s="6">
        <v>0</v>
      </c>
      <c r="CR29" s="6">
        <v>0</v>
      </c>
      <c r="CS29" s="6">
        <v>0</v>
      </c>
      <c r="CT29" s="6">
        <v>24186</v>
      </c>
      <c r="CU29" s="6">
        <v>47676.633409090908</v>
      </c>
      <c r="CV29" s="6">
        <v>0</v>
      </c>
      <c r="CW29" s="6">
        <v>0</v>
      </c>
      <c r="CX29" s="6"/>
      <c r="CY29" s="6">
        <f>VLOOKUP(A29, 'At-Risk updating '!A:E, 5, 0)</f>
        <v>6264</v>
      </c>
      <c r="CZ29" s="6">
        <v>0</v>
      </c>
      <c r="DA29" s="6">
        <v>0</v>
      </c>
      <c r="DB29" s="6">
        <v>0</v>
      </c>
      <c r="DC29" s="6">
        <v>0</v>
      </c>
      <c r="DD29" s="6">
        <v>0</v>
      </c>
      <c r="DE29" s="10">
        <v>0</v>
      </c>
      <c r="DF29" s="6">
        <v>0</v>
      </c>
      <c r="DG29" s="7">
        <v>0</v>
      </c>
      <c r="DH29" s="11">
        <f>SUM(G29:DG29)</f>
        <v>3531958.04979784</v>
      </c>
    </row>
    <row r="30" spans="1:112" ht="15.75" x14ac:dyDescent="0.25">
      <c r="A30" s="4">
        <v>467</v>
      </c>
      <c r="B30" s="4" t="s">
        <v>106</v>
      </c>
      <c r="C30" s="5" t="s">
        <v>191</v>
      </c>
      <c r="D30" s="5">
        <v>5</v>
      </c>
      <c r="E30" s="5">
        <v>612</v>
      </c>
      <c r="F30" s="5">
        <v>470</v>
      </c>
      <c r="G30" s="6">
        <v>171051</v>
      </c>
      <c r="H30" s="6">
        <v>97685</v>
      </c>
      <c r="I30" s="6">
        <v>276282</v>
      </c>
      <c r="J30" s="7">
        <v>0</v>
      </c>
      <c r="K30" s="7">
        <v>267770.39999999997</v>
      </c>
      <c r="L30" s="6">
        <v>75970</v>
      </c>
      <c r="M30" s="6">
        <v>55700</v>
      </c>
      <c r="N30" s="6">
        <v>60706.5</v>
      </c>
      <c r="O30" s="6">
        <v>47542</v>
      </c>
      <c r="P30" s="6">
        <v>58487</v>
      </c>
      <c r="Q30" s="6">
        <v>67656</v>
      </c>
      <c r="R30" s="6">
        <v>204744</v>
      </c>
      <c r="S30" s="8">
        <v>3</v>
      </c>
      <c r="T30" s="6">
        <v>123402</v>
      </c>
      <c r="U30" s="6">
        <v>97685</v>
      </c>
      <c r="V30" s="6">
        <v>0</v>
      </c>
      <c r="W30" s="6">
        <v>0</v>
      </c>
      <c r="X30" s="6">
        <v>97685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3254966.6284057354</v>
      </c>
      <c r="AV30" s="6">
        <v>97685</v>
      </c>
      <c r="AW30" s="6">
        <v>390740</v>
      </c>
      <c r="AX30" s="6">
        <v>1465275</v>
      </c>
      <c r="AY30" s="6">
        <v>173490</v>
      </c>
      <c r="AZ30" s="6">
        <v>90444</v>
      </c>
      <c r="BA30" s="6">
        <v>97685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56644</v>
      </c>
      <c r="BH30" s="6">
        <v>262984.55</v>
      </c>
      <c r="BI30" s="6">
        <v>4267.04</v>
      </c>
      <c r="BJ30" s="6">
        <v>16350</v>
      </c>
      <c r="BK30" s="6">
        <v>0</v>
      </c>
      <c r="BL30" s="6"/>
      <c r="BM30" s="6">
        <v>0</v>
      </c>
      <c r="BN30" s="6">
        <v>0</v>
      </c>
      <c r="BO30" s="6">
        <v>0</v>
      </c>
      <c r="BP30" s="6">
        <v>0</v>
      </c>
      <c r="BQ30" s="26">
        <v>138141</v>
      </c>
      <c r="BR30" s="26">
        <v>30000</v>
      </c>
      <c r="BS30" s="26">
        <v>10000</v>
      </c>
      <c r="BT30" s="26">
        <v>9000</v>
      </c>
      <c r="BU30" s="26">
        <v>55000</v>
      </c>
      <c r="BV30" s="26">
        <v>0</v>
      </c>
      <c r="BW30" s="26">
        <v>0</v>
      </c>
      <c r="BX30" s="26">
        <v>0</v>
      </c>
      <c r="BY30" s="26">
        <v>0</v>
      </c>
      <c r="BZ30" s="6">
        <v>97685</v>
      </c>
      <c r="CA30" s="6">
        <v>87556</v>
      </c>
      <c r="CB30" s="6">
        <v>134027</v>
      </c>
      <c r="CC30" s="6">
        <v>99697</v>
      </c>
      <c r="CD30" s="6">
        <v>0</v>
      </c>
      <c r="CE30" s="6">
        <v>0</v>
      </c>
      <c r="CF30" s="6">
        <v>0</v>
      </c>
      <c r="CG30" s="6">
        <v>0</v>
      </c>
      <c r="CH30" s="6">
        <v>0</v>
      </c>
      <c r="CI30" s="6">
        <v>101560.06446048801</v>
      </c>
      <c r="CJ30" s="6">
        <v>12240</v>
      </c>
      <c r="CK30" s="6">
        <v>18800</v>
      </c>
      <c r="CL30" s="6">
        <v>0</v>
      </c>
      <c r="CM30" s="6">
        <v>0</v>
      </c>
      <c r="CN30" s="6">
        <v>0</v>
      </c>
      <c r="CO30" s="6">
        <v>0</v>
      </c>
      <c r="CP30" s="6">
        <v>85003.766363636358</v>
      </c>
      <c r="CQ30" s="6">
        <v>101560.06446048801</v>
      </c>
      <c r="CR30" s="6">
        <v>0</v>
      </c>
      <c r="CS30" s="6">
        <v>128716</v>
      </c>
      <c r="CT30" s="6">
        <v>53157</v>
      </c>
      <c r="CU30" s="6">
        <v>112136.57485990066</v>
      </c>
      <c r="CV30" s="6">
        <v>0</v>
      </c>
      <c r="CW30" s="6">
        <v>0</v>
      </c>
      <c r="CX30" s="6"/>
      <c r="CY30" s="6">
        <f>VLOOKUP(A30, 'At-Risk updating '!A:E, 5, 0)</f>
        <v>13630.49267328321</v>
      </c>
      <c r="CZ30" s="6">
        <v>0</v>
      </c>
      <c r="DA30" s="6">
        <v>0</v>
      </c>
      <c r="DB30" s="6">
        <v>0</v>
      </c>
      <c r="DC30" s="6">
        <v>0</v>
      </c>
      <c r="DD30" s="6">
        <v>0</v>
      </c>
      <c r="DE30" s="10">
        <v>0</v>
      </c>
      <c r="DF30" s="6">
        <v>0</v>
      </c>
      <c r="DG30" s="7">
        <v>0</v>
      </c>
      <c r="DH30" s="11">
        <f>SUM(G30:DG30)</f>
        <v>8900810.0812235307</v>
      </c>
    </row>
    <row r="31" spans="1:112" ht="15.75" x14ac:dyDescent="0.25">
      <c r="A31" s="4">
        <v>457</v>
      </c>
      <c r="B31" s="4" t="s">
        <v>107</v>
      </c>
      <c r="C31" s="5" t="s">
        <v>191</v>
      </c>
      <c r="D31" s="5">
        <v>6</v>
      </c>
      <c r="E31" s="5">
        <v>831</v>
      </c>
      <c r="F31" s="5">
        <v>609</v>
      </c>
      <c r="G31" s="6">
        <v>171051</v>
      </c>
      <c r="H31" s="6">
        <v>97685</v>
      </c>
      <c r="I31" s="6">
        <v>386794.8</v>
      </c>
      <c r="J31" s="7">
        <v>0</v>
      </c>
      <c r="K31" s="7">
        <v>368184.3</v>
      </c>
      <c r="L31" s="6">
        <v>75970</v>
      </c>
      <c r="M31" s="6">
        <v>55700</v>
      </c>
      <c r="N31" s="6">
        <v>84989.1</v>
      </c>
      <c r="O31" s="6">
        <v>47542</v>
      </c>
      <c r="P31" s="6">
        <v>58487</v>
      </c>
      <c r="Q31" s="6">
        <v>67656</v>
      </c>
      <c r="R31" s="6">
        <v>204744</v>
      </c>
      <c r="S31" s="8">
        <v>4</v>
      </c>
      <c r="T31" s="6">
        <v>164536</v>
      </c>
      <c r="U31" s="6">
        <v>97685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3517298.0739837959</v>
      </c>
      <c r="AV31" s="6">
        <v>97685</v>
      </c>
      <c r="AW31" s="6">
        <v>439582.5</v>
      </c>
      <c r="AX31" s="6">
        <v>2051385</v>
      </c>
      <c r="AY31" s="6">
        <v>318065</v>
      </c>
      <c r="AZ31" s="6">
        <v>45222</v>
      </c>
      <c r="BA31" s="6">
        <v>31081.590909090908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68782</v>
      </c>
      <c r="BH31" s="6">
        <v>392026.65</v>
      </c>
      <c r="BI31" s="6">
        <v>6360.8</v>
      </c>
      <c r="BJ31" s="6">
        <v>24375</v>
      </c>
      <c r="BK31" s="6">
        <v>101560.06446048801</v>
      </c>
      <c r="BL31" s="6"/>
      <c r="BM31" s="6">
        <v>0</v>
      </c>
      <c r="BN31" s="6">
        <v>0</v>
      </c>
      <c r="BO31" s="6">
        <v>97685</v>
      </c>
      <c r="BP31" s="6">
        <v>0</v>
      </c>
      <c r="BQ31" s="26">
        <v>138141</v>
      </c>
      <c r="BR31" s="26">
        <v>40000</v>
      </c>
      <c r="BS31" s="26">
        <v>10000</v>
      </c>
      <c r="BT31" s="26">
        <v>9000</v>
      </c>
      <c r="BU31" s="26">
        <v>0</v>
      </c>
      <c r="BV31" s="26">
        <v>0</v>
      </c>
      <c r="BW31" s="26">
        <v>0</v>
      </c>
      <c r="BX31" s="26">
        <v>101560.06446048801</v>
      </c>
      <c r="BY31" s="26">
        <v>15000</v>
      </c>
      <c r="BZ31" s="6">
        <v>97685</v>
      </c>
      <c r="CA31" s="6">
        <v>87556</v>
      </c>
      <c r="CB31" s="6">
        <v>0</v>
      </c>
      <c r="CC31" s="6">
        <v>0</v>
      </c>
      <c r="CD31" s="6">
        <v>97685</v>
      </c>
      <c r="CE31" s="6">
        <v>0</v>
      </c>
      <c r="CF31" s="6">
        <v>0</v>
      </c>
      <c r="CG31" s="6">
        <v>0</v>
      </c>
      <c r="CH31" s="6">
        <v>0</v>
      </c>
      <c r="CI31" s="6">
        <v>101560.06446048801</v>
      </c>
      <c r="CJ31" s="6">
        <v>12240</v>
      </c>
      <c r="CK31" s="6">
        <v>12180</v>
      </c>
      <c r="CL31" s="6">
        <v>0</v>
      </c>
      <c r="CM31" s="6">
        <v>0</v>
      </c>
      <c r="CN31" s="6">
        <v>0</v>
      </c>
      <c r="CO31" s="6">
        <v>0</v>
      </c>
      <c r="CP31" s="6">
        <v>111707.39090909091</v>
      </c>
      <c r="CQ31" s="6">
        <v>101560.06446048801</v>
      </c>
      <c r="CR31" s="6">
        <v>0</v>
      </c>
      <c r="CS31" s="6">
        <v>0</v>
      </c>
      <c r="CT31" s="6">
        <v>72210</v>
      </c>
      <c r="CU31" s="6">
        <v>131755.62837411527</v>
      </c>
      <c r="CV31" s="6">
        <v>0</v>
      </c>
      <c r="CW31" s="6">
        <v>0</v>
      </c>
      <c r="CX31" s="6"/>
      <c r="CY31" s="6">
        <f>VLOOKUP(A31, 'At-Risk updating '!A:E, 5, 0)</f>
        <v>56675.871079023229</v>
      </c>
      <c r="CZ31" s="6">
        <v>0</v>
      </c>
      <c r="DA31" s="6">
        <v>0</v>
      </c>
      <c r="DB31" s="6">
        <v>0</v>
      </c>
      <c r="DC31" s="6">
        <v>0</v>
      </c>
      <c r="DD31" s="6">
        <v>0</v>
      </c>
      <c r="DE31" s="10">
        <v>0</v>
      </c>
      <c r="DF31" s="6">
        <v>0</v>
      </c>
      <c r="DG31" s="7">
        <v>154011.04990293086</v>
      </c>
      <c r="DH31" s="11">
        <f>SUM(G31:DG31)</f>
        <v>10422664.013</v>
      </c>
    </row>
    <row r="32" spans="1:112" ht="15.75" x14ac:dyDescent="0.25">
      <c r="A32" s="4">
        <v>232</v>
      </c>
      <c r="B32" s="4" t="s">
        <v>108</v>
      </c>
      <c r="C32" s="5" t="s">
        <v>201</v>
      </c>
      <c r="D32" s="5">
        <v>3</v>
      </c>
      <c r="E32" s="5">
        <v>478</v>
      </c>
      <c r="F32" s="5">
        <v>30</v>
      </c>
      <c r="G32" s="6">
        <v>171051</v>
      </c>
      <c r="H32" s="6">
        <v>97685</v>
      </c>
      <c r="I32" s="6">
        <v>165769.19999999998</v>
      </c>
      <c r="J32" s="7">
        <v>0</v>
      </c>
      <c r="K32" s="7">
        <v>0</v>
      </c>
      <c r="L32" s="6">
        <v>75970</v>
      </c>
      <c r="M32" s="6">
        <v>55700</v>
      </c>
      <c r="N32" s="6">
        <v>48565.2</v>
      </c>
      <c r="O32" s="6">
        <v>0</v>
      </c>
      <c r="P32" s="6">
        <v>0</v>
      </c>
      <c r="Q32" s="6">
        <v>67656</v>
      </c>
      <c r="R32" s="6">
        <v>51186</v>
      </c>
      <c r="S32" s="8">
        <v>2</v>
      </c>
      <c r="T32" s="6">
        <v>82268</v>
      </c>
      <c r="U32" s="6">
        <v>97685</v>
      </c>
      <c r="V32" s="6">
        <v>97685</v>
      </c>
      <c r="W32" s="6">
        <v>97685</v>
      </c>
      <c r="X32" s="6">
        <v>97685</v>
      </c>
      <c r="Y32" s="6">
        <v>146527.5</v>
      </c>
      <c r="Z32" s="6">
        <v>0</v>
      </c>
      <c r="AA32" s="6">
        <v>0</v>
      </c>
      <c r="AB32" s="6">
        <v>0</v>
      </c>
      <c r="AC32" s="6">
        <v>0</v>
      </c>
      <c r="AD32" s="6">
        <v>195370</v>
      </c>
      <c r="AE32" s="6">
        <v>57830</v>
      </c>
      <c r="AF32" s="6">
        <v>293055</v>
      </c>
      <c r="AG32" s="6">
        <v>86745</v>
      </c>
      <c r="AH32" s="6">
        <v>390740</v>
      </c>
      <c r="AI32" s="6">
        <v>293055</v>
      </c>
      <c r="AJ32" s="6">
        <v>293055</v>
      </c>
      <c r="AK32" s="6">
        <v>293055</v>
      </c>
      <c r="AL32" s="6">
        <v>390740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48842.5</v>
      </c>
      <c r="AW32" s="6">
        <v>97685</v>
      </c>
      <c r="AX32" s="6">
        <v>293055</v>
      </c>
      <c r="AY32" s="6">
        <v>0</v>
      </c>
      <c r="AZ32" s="6">
        <v>0</v>
      </c>
      <c r="BA32" s="6">
        <v>195370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11925</v>
      </c>
      <c r="BK32" s="6">
        <v>0</v>
      </c>
      <c r="BL32" s="6"/>
      <c r="BM32" s="6">
        <v>0</v>
      </c>
      <c r="BN32" s="6">
        <v>0</v>
      </c>
      <c r="BO32" s="6">
        <v>0</v>
      </c>
      <c r="BP32" s="6">
        <v>0</v>
      </c>
      <c r="BQ32" s="26">
        <v>0</v>
      </c>
      <c r="BR32" s="26">
        <v>0</v>
      </c>
      <c r="BS32" s="26">
        <v>0</v>
      </c>
      <c r="BT32" s="26">
        <v>0</v>
      </c>
      <c r="BU32" s="26">
        <v>0</v>
      </c>
      <c r="BV32" s="26">
        <v>0</v>
      </c>
      <c r="BW32" s="26">
        <v>0</v>
      </c>
      <c r="BX32" s="26">
        <v>0</v>
      </c>
      <c r="BY32" s="2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0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0</v>
      </c>
      <c r="CL32" s="6">
        <v>0</v>
      </c>
      <c r="CM32" s="6">
        <v>0</v>
      </c>
      <c r="CN32" s="6">
        <v>0</v>
      </c>
      <c r="CO32" s="6">
        <v>0</v>
      </c>
      <c r="CP32" s="6">
        <v>25025.855421686749</v>
      </c>
      <c r="CQ32" s="6">
        <v>0</v>
      </c>
      <c r="CR32" s="6">
        <v>0</v>
      </c>
      <c r="CS32" s="6">
        <v>0</v>
      </c>
      <c r="CT32" s="6">
        <v>41412</v>
      </c>
      <c r="CU32" s="6">
        <v>64225.731</v>
      </c>
      <c r="CV32" s="6">
        <v>0</v>
      </c>
      <c r="CW32" s="6">
        <v>0</v>
      </c>
      <c r="CX32" s="6"/>
      <c r="CY32" s="6">
        <f>VLOOKUP(A32, 'At-Risk updating '!A:E, 5, 0)</f>
        <v>870</v>
      </c>
      <c r="CZ32" s="6">
        <v>0</v>
      </c>
      <c r="DA32" s="6">
        <v>0</v>
      </c>
      <c r="DB32" s="6">
        <v>0</v>
      </c>
      <c r="DC32" s="6">
        <v>0</v>
      </c>
      <c r="DD32" s="6">
        <v>0</v>
      </c>
      <c r="DE32" s="10">
        <v>0</v>
      </c>
      <c r="DF32" s="6">
        <v>0</v>
      </c>
      <c r="DG32" s="7">
        <v>0</v>
      </c>
      <c r="DH32" s="11">
        <f>SUM(G32:DG32)</f>
        <v>4425175.9864216866</v>
      </c>
    </row>
    <row r="33" spans="1:112" ht="15.75" x14ac:dyDescent="0.25">
      <c r="A33" s="4">
        <v>407</v>
      </c>
      <c r="B33" s="4" t="s">
        <v>109</v>
      </c>
      <c r="C33" s="5" t="s">
        <v>204</v>
      </c>
      <c r="D33" s="5">
        <v>6</v>
      </c>
      <c r="E33" s="5">
        <v>213</v>
      </c>
      <c r="F33" s="5">
        <v>151</v>
      </c>
      <c r="G33" s="6">
        <v>171051</v>
      </c>
      <c r="H33" s="6">
        <v>97685</v>
      </c>
      <c r="I33" s="6">
        <v>96698.7</v>
      </c>
      <c r="J33" s="7">
        <v>97685</v>
      </c>
      <c r="K33" s="7">
        <v>0</v>
      </c>
      <c r="L33" s="6">
        <v>37985</v>
      </c>
      <c r="M33" s="6">
        <v>55700</v>
      </c>
      <c r="N33" s="6">
        <v>0</v>
      </c>
      <c r="O33" s="6">
        <v>0</v>
      </c>
      <c r="P33" s="6">
        <v>0</v>
      </c>
      <c r="Q33" s="6">
        <v>67656</v>
      </c>
      <c r="R33" s="6">
        <v>153558</v>
      </c>
      <c r="S33" s="8">
        <v>0</v>
      </c>
      <c r="T33" s="6">
        <v>0</v>
      </c>
      <c r="U33" s="6">
        <v>48842.5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341897.5</v>
      </c>
      <c r="AN33" s="6">
        <v>312592</v>
      </c>
      <c r="AO33" s="6">
        <v>283286.5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97685</v>
      </c>
      <c r="AW33" s="6">
        <v>195370</v>
      </c>
      <c r="AX33" s="6">
        <v>683795</v>
      </c>
      <c r="AY33" s="6">
        <v>173490</v>
      </c>
      <c r="AZ33" s="6">
        <v>45222</v>
      </c>
      <c r="BA33" s="6">
        <v>13320.681818181818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84122.39</v>
      </c>
      <c r="BI33" s="6">
        <v>1364.92</v>
      </c>
      <c r="BJ33" s="6">
        <v>5225</v>
      </c>
      <c r="BK33" s="6">
        <v>101560.06446048801</v>
      </c>
      <c r="BL33" s="6"/>
      <c r="BM33" s="6">
        <v>0</v>
      </c>
      <c r="BN33" s="6">
        <v>138141</v>
      </c>
      <c r="BO33" s="6">
        <v>0</v>
      </c>
      <c r="BP33" s="6">
        <v>0</v>
      </c>
      <c r="BQ33" s="26">
        <v>0</v>
      </c>
      <c r="BR33" s="26">
        <v>0</v>
      </c>
      <c r="BS33" s="26">
        <v>0</v>
      </c>
      <c r="BT33" s="26">
        <v>0</v>
      </c>
      <c r="BU33" s="26">
        <v>0</v>
      </c>
      <c r="BV33" s="26">
        <v>0</v>
      </c>
      <c r="BW33" s="26">
        <v>0</v>
      </c>
      <c r="BX33" s="26">
        <v>0</v>
      </c>
      <c r="BY33" s="2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73263.75</v>
      </c>
      <c r="CE33" s="6">
        <v>195370</v>
      </c>
      <c r="CF33" s="6">
        <v>23000</v>
      </c>
      <c r="CG33" s="6">
        <v>5000</v>
      </c>
      <c r="CH33" s="6">
        <v>100000</v>
      </c>
      <c r="CI33" s="6">
        <v>0</v>
      </c>
      <c r="CJ33" s="6">
        <v>0</v>
      </c>
      <c r="CK33" s="6">
        <v>3020</v>
      </c>
      <c r="CL33" s="6">
        <v>0</v>
      </c>
      <c r="CM33" s="6">
        <v>0</v>
      </c>
      <c r="CN33" s="6">
        <v>0</v>
      </c>
      <c r="CO33" s="6">
        <v>0</v>
      </c>
      <c r="CP33" s="6">
        <v>17540.114285714284</v>
      </c>
      <c r="CQ33" s="6">
        <v>0</v>
      </c>
      <c r="CR33" s="6">
        <v>0</v>
      </c>
      <c r="CS33" s="6">
        <v>0</v>
      </c>
      <c r="CT33" s="6">
        <v>18444</v>
      </c>
      <c r="CU33" s="6">
        <v>52628.864194180045</v>
      </c>
      <c r="CV33" s="6">
        <v>0</v>
      </c>
      <c r="CW33" s="6">
        <v>0</v>
      </c>
      <c r="CX33" s="6"/>
      <c r="CY33" s="6">
        <f>VLOOKUP(A33, 'At-Risk updating '!A:E, 5, 0)</f>
        <v>4379</v>
      </c>
      <c r="CZ33" s="6">
        <v>0</v>
      </c>
      <c r="DA33" s="6">
        <v>0</v>
      </c>
      <c r="DB33" s="6">
        <v>0</v>
      </c>
      <c r="DC33" s="6">
        <v>0</v>
      </c>
      <c r="DD33" s="6">
        <v>0</v>
      </c>
      <c r="DE33" s="10">
        <v>0</v>
      </c>
      <c r="DF33" s="6">
        <v>0</v>
      </c>
      <c r="DG33" s="7">
        <v>0</v>
      </c>
      <c r="DH33" s="11">
        <f>SUM(G33:DG33)</f>
        <v>3796578.9847585643</v>
      </c>
    </row>
    <row r="34" spans="1:112" ht="15.75" x14ac:dyDescent="0.25">
      <c r="A34" s="4">
        <v>471</v>
      </c>
      <c r="B34" s="4" t="s">
        <v>110</v>
      </c>
      <c r="C34" s="5" t="s">
        <v>191</v>
      </c>
      <c r="D34" s="5">
        <v>2</v>
      </c>
      <c r="E34" s="5">
        <v>559</v>
      </c>
      <c r="F34" s="5">
        <v>173</v>
      </c>
      <c r="G34" s="6">
        <v>171051</v>
      </c>
      <c r="H34" s="6">
        <v>97685</v>
      </c>
      <c r="I34" s="6">
        <v>262467.89999999997</v>
      </c>
      <c r="J34" s="7">
        <v>0</v>
      </c>
      <c r="K34" s="7">
        <v>245456.2</v>
      </c>
      <c r="L34" s="6">
        <v>75970</v>
      </c>
      <c r="M34" s="6">
        <v>55700</v>
      </c>
      <c r="N34" s="6">
        <v>56659.399999999994</v>
      </c>
      <c r="O34" s="6">
        <v>47542</v>
      </c>
      <c r="P34" s="6">
        <v>58487</v>
      </c>
      <c r="Q34" s="6">
        <v>67656</v>
      </c>
      <c r="R34" s="6">
        <v>102372</v>
      </c>
      <c r="S34" s="8">
        <v>3</v>
      </c>
      <c r="T34" s="6">
        <v>123402</v>
      </c>
      <c r="U34" s="6">
        <v>97685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654489.5</v>
      </c>
      <c r="AQ34" s="6">
        <v>605647</v>
      </c>
      <c r="AR34" s="6">
        <v>556804.5</v>
      </c>
      <c r="AS34" s="6">
        <v>459119.5</v>
      </c>
      <c r="AT34" s="6">
        <v>0</v>
      </c>
      <c r="AU34" s="6">
        <v>0</v>
      </c>
      <c r="AV34" s="6">
        <v>48842.5</v>
      </c>
      <c r="AW34" s="6">
        <v>97685</v>
      </c>
      <c r="AX34" s="6">
        <v>293055</v>
      </c>
      <c r="AY34" s="6">
        <v>0</v>
      </c>
      <c r="AZ34" s="6">
        <v>0</v>
      </c>
      <c r="BA34" s="6">
        <v>17760.909090909092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13125</v>
      </c>
      <c r="BK34" s="6">
        <v>0</v>
      </c>
      <c r="BL34" s="6"/>
      <c r="BM34" s="6">
        <v>0</v>
      </c>
      <c r="BN34" s="6">
        <v>0</v>
      </c>
      <c r="BO34" s="6">
        <v>0</v>
      </c>
      <c r="BP34" s="6">
        <v>0</v>
      </c>
      <c r="BQ34" s="26">
        <v>0</v>
      </c>
      <c r="BR34" s="26">
        <v>0</v>
      </c>
      <c r="BS34" s="26">
        <v>0</v>
      </c>
      <c r="BT34" s="26">
        <v>0</v>
      </c>
      <c r="BU34" s="26">
        <v>0</v>
      </c>
      <c r="BV34" s="26">
        <v>0</v>
      </c>
      <c r="BW34" s="26">
        <v>0</v>
      </c>
      <c r="BX34" s="26">
        <v>0</v>
      </c>
      <c r="BY34" s="2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0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12240</v>
      </c>
      <c r="CK34" s="6">
        <v>3460</v>
      </c>
      <c r="CL34" s="6">
        <v>0</v>
      </c>
      <c r="CM34" s="6">
        <v>0</v>
      </c>
      <c r="CN34" s="6">
        <v>0</v>
      </c>
      <c r="CO34" s="6">
        <v>0</v>
      </c>
      <c r="CP34" s="6">
        <v>75292.055882352943</v>
      </c>
      <c r="CQ34" s="6">
        <v>0</v>
      </c>
      <c r="CR34" s="6">
        <v>0</v>
      </c>
      <c r="CS34" s="6">
        <v>0</v>
      </c>
      <c r="CT34" s="6">
        <v>48633</v>
      </c>
      <c r="CU34" s="6">
        <v>62933.061136363634</v>
      </c>
      <c r="CV34" s="6">
        <v>0</v>
      </c>
      <c r="CW34" s="6">
        <v>3001098.610816732</v>
      </c>
      <c r="CX34" s="6"/>
      <c r="CY34" s="6">
        <f>VLOOKUP(A34, 'At-Risk updating '!A:E, 5, 0)</f>
        <v>5017</v>
      </c>
      <c r="CZ34" s="6">
        <v>0</v>
      </c>
      <c r="DA34" s="6">
        <v>0</v>
      </c>
      <c r="DB34" s="6">
        <v>0</v>
      </c>
      <c r="DC34" s="6">
        <v>0</v>
      </c>
      <c r="DD34" s="6">
        <v>0</v>
      </c>
      <c r="DE34" s="10">
        <v>0</v>
      </c>
      <c r="DF34" s="6">
        <v>0</v>
      </c>
      <c r="DG34" s="7">
        <v>0</v>
      </c>
      <c r="DH34" s="11">
        <f>SUM(G34:DG34)</f>
        <v>7417339.1369263586</v>
      </c>
    </row>
    <row r="35" spans="1:112" ht="15.75" x14ac:dyDescent="0.25">
      <c r="A35" s="4">
        <v>238</v>
      </c>
      <c r="B35" s="4" t="s">
        <v>111</v>
      </c>
      <c r="C35" s="5" t="s">
        <v>201</v>
      </c>
      <c r="D35" s="5">
        <v>8</v>
      </c>
      <c r="E35" s="5">
        <v>297</v>
      </c>
      <c r="F35" s="5">
        <v>252</v>
      </c>
      <c r="G35" s="6">
        <v>171051</v>
      </c>
      <c r="H35" s="6">
        <v>97685</v>
      </c>
      <c r="I35" s="6">
        <v>0</v>
      </c>
      <c r="J35" s="7">
        <v>0</v>
      </c>
      <c r="K35" s="7">
        <v>0</v>
      </c>
      <c r="L35" s="6">
        <v>37985</v>
      </c>
      <c r="M35" s="6">
        <v>55700</v>
      </c>
      <c r="N35" s="6">
        <v>0</v>
      </c>
      <c r="O35" s="6">
        <v>0</v>
      </c>
      <c r="P35" s="6">
        <v>0</v>
      </c>
      <c r="Q35" s="6">
        <v>67656</v>
      </c>
      <c r="R35" s="6">
        <v>102372</v>
      </c>
      <c r="S35" s="8">
        <v>0</v>
      </c>
      <c r="T35" s="6">
        <v>0</v>
      </c>
      <c r="U35" s="6">
        <v>48842.5</v>
      </c>
      <c r="V35" s="6">
        <v>97685</v>
      </c>
      <c r="W35" s="6">
        <v>97685</v>
      </c>
      <c r="X35" s="6">
        <v>97685</v>
      </c>
      <c r="Y35" s="6">
        <v>0</v>
      </c>
      <c r="Z35" s="6">
        <v>97685</v>
      </c>
      <c r="AA35" s="6">
        <v>28915</v>
      </c>
      <c r="AB35" s="6">
        <v>97685</v>
      </c>
      <c r="AC35" s="6">
        <v>28915</v>
      </c>
      <c r="AD35" s="6">
        <v>97685</v>
      </c>
      <c r="AE35" s="6">
        <v>28915</v>
      </c>
      <c r="AF35" s="6">
        <v>195370</v>
      </c>
      <c r="AG35" s="6">
        <v>57830</v>
      </c>
      <c r="AH35" s="6">
        <v>97685</v>
      </c>
      <c r="AI35" s="6">
        <v>293055</v>
      </c>
      <c r="AJ35" s="6">
        <v>195370</v>
      </c>
      <c r="AK35" s="6">
        <v>195370</v>
      </c>
      <c r="AL35" s="6">
        <v>195370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97685</v>
      </c>
      <c r="AW35" s="6">
        <v>146527.5</v>
      </c>
      <c r="AX35" s="6">
        <v>586110</v>
      </c>
      <c r="AY35" s="6">
        <v>173490</v>
      </c>
      <c r="AZ35" s="6">
        <v>0</v>
      </c>
      <c r="BA35" s="6">
        <v>4440.227272727273</v>
      </c>
      <c r="BB35" s="6">
        <v>0</v>
      </c>
      <c r="BC35" s="6">
        <v>0</v>
      </c>
      <c r="BD35" s="6">
        <v>29650</v>
      </c>
      <c r="BE35" s="6">
        <v>32700</v>
      </c>
      <c r="BF35" s="6">
        <v>7848</v>
      </c>
      <c r="BG35" s="6">
        <v>0</v>
      </c>
      <c r="BH35" s="6">
        <v>129858.83</v>
      </c>
      <c r="BI35" s="6">
        <v>2107.0100000000002</v>
      </c>
      <c r="BJ35" s="6">
        <v>8075</v>
      </c>
      <c r="BK35" s="6">
        <v>0</v>
      </c>
      <c r="BL35" s="6"/>
      <c r="BM35" s="6">
        <v>0</v>
      </c>
      <c r="BN35" s="6">
        <v>0</v>
      </c>
      <c r="BO35" s="6">
        <v>0</v>
      </c>
      <c r="BP35" s="6">
        <v>0</v>
      </c>
      <c r="BQ35" s="26">
        <v>0</v>
      </c>
      <c r="BR35" s="26">
        <v>0</v>
      </c>
      <c r="BS35" s="26">
        <v>0</v>
      </c>
      <c r="BT35" s="26">
        <v>0</v>
      </c>
      <c r="BU35" s="26">
        <v>0</v>
      </c>
      <c r="BV35" s="26">
        <v>0</v>
      </c>
      <c r="BW35" s="26">
        <v>0</v>
      </c>
      <c r="BX35" s="26">
        <v>0</v>
      </c>
      <c r="BY35" s="2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48842.5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10080</v>
      </c>
      <c r="CL35" s="6">
        <v>0</v>
      </c>
      <c r="CM35" s="6">
        <v>409646.90909090918</v>
      </c>
      <c r="CN35" s="6">
        <v>6633.5634318181837</v>
      </c>
      <c r="CO35" s="6">
        <v>2960</v>
      </c>
      <c r="CP35" s="6">
        <v>17128.598356164384</v>
      </c>
      <c r="CQ35" s="6">
        <v>0</v>
      </c>
      <c r="CR35" s="6">
        <v>0</v>
      </c>
      <c r="CS35" s="6">
        <v>0</v>
      </c>
      <c r="CT35" s="6">
        <v>25752</v>
      </c>
      <c r="CU35" s="6">
        <v>58531.44204545454</v>
      </c>
      <c r="CV35" s="6">
        <v>0</v>
      </c>
      <c r="CW35" s="6">
        <v>0</v>
      </c>
      <c r="CX35" s="6"/>
      <c r="CY35" s="6">
        <f>VLOOKUP(A35, 'At-Risk updating '!A:E, 5, 0)</f>
        <v>7308</v>
      </c>
      <c r="CZ35" s="6">
        <v>0</v>
      </c>
      <c r="DA35" s="6">
        <v>0</v>
      </c>
      <c r="DB35" s="6">
        <v>0</v>
      </c>
      <c r="DC35" s="6">
        <v>0</v>
      </c>
      <c r="DD35" s="6">
        <v>0</v>
      </c>
      <c r="DE35" s="10">
        <v>0</v>
      </c>
      <c r="DF35" s="6">
        <v>0</v>
      </c>
      <c r="DG35" s="7">
        <v>0</v>
      </c>
      <c r="DH35" s="11">
        <f>SUM(G35:DG35)</f>
        <v>4289571.0801970735</v>
      </c>
    </row>
    <row r="36" spans="1:112" ht="15.75" x14ac:dyDescent="0.25">
      <c r="A36" s="4">
        <v>239</v>
      </c>
      <c r="B36" s="4" t="s">
        <v>112</v>
      </c>
      <c r="C36" s="5" t="s">
        <v>201</v>
      </c>
      <c r="D36" s="5">
        <v>2</v>
      </c>
      <c r="E36" s="5">
        <v>255</v>
      </c>
      <c r="F36" s="5">
        <v>121</v>
      </c>
      <c r="G36" s="6">
        <v>171051</v>
      </c>
      <c r="H36" s="6">
        <v>97685</v>
      </c>
      <c r="I36" s="6">
        <v>0</v>
      </c>
      <c r="J36" s="7">
        <v>0</v>
      </c>
      <c r="K36" s="7">
        <v>0</v>
      </c>
      <c r="L36" s="6">
        <v>37985</v>
      </c>
      <c r="M36" s="6">
        <v>55700</v>
      </c>
      <c r="N36" s="6">
        <v>0</v>
      </c>
      <c r="O36" s="6">
        <v>0</v>
      </c>
      <c r="P36" s="6">
        <v>0</v>
      </c>
      <c r="Q36" s="6">
        <v>67656</v>
      </c>
      <c r="R36" s="6">
        <v>51186</v>
      </c>
      <c r="S36" s="8">
        <v>1</v>
      </c>
      <c r="T36" s="6">
        <v>41134</v>
      </c>
      <c r="U36" s="6">
        <v>48842.5</v>
      </c>
      <c r="V36" s="6">
        <v>97685</v>
      </c>
      <c r="W36" s="6">
        <v>97685</v>
      </c>
      <c r="X36" s="6">
        <v>97685</v>
      </c>
      <c r="Y36" s="6">
        <v>0</v>
      </c>
      <c r="Z36" s="6">
        <v>0</v>
      </c>
      <c r="AA36" s="6">
        <v>0</v>
      </c>
      <c r="AB36" s="6">
        <v>488425</v>
      </c>
      <c r="AC36" s="6">
        <v>173490</v>
      </c>
      <c r="AD36" s="6">
        <v>0</v>
      </c>
      <c r="AE36" s="6">
        <v>0</v>
      </c>
      <c r="AF36" s="6">
        <v>195370</v>
      </c>
      <c r="AG36" s="6">
        <v>57830</v>
      </c>
      <c r="AH36" s="6">
        <v>195370</v>
      </c>
      <c r="AI36" s="6">
        <v>97685</v>
      </c>
      <c r="AJ36" s="6">
        <v>97685</v>
      </c>
      <c r="AK36" s="6">
        <v>97685</v>
      </c>
      <c r="AL36" s="6">
        <v>97685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97685</v>
      </c>
      <c r="AW36" s="6">
        <v>97685</v>
      </c>
      <c r="AX36" s="6">
        <v>683795</v>
      </c>
      <c r="AY36" s="6">
        <v>202405</v>
      </c>
      <c r="AZ36" s="6">
        <v>0</v>
      </c>
      <c r="BA36" s="6">
        <v>195370</v>
      </c>
      <c r="BB36" s="6">
        <v>0</v>
      </c>
      <c r="BC36" s="6">
        <v>0</v>
      </c>
      <c r="BD36" s="6">
        <v>29650</v>
      </c>
      <c r="BE36" s="6">
        <v>32700</v>
      </c>
      <c r="BF36" s="6">
        <v>7848</v>
      </c>
      <c r="BG36" s="6">
        <v>0</v>
      </c>
      <c r="BH36" s="6">
        <v>98006.66</v>
      </c>
      <c r="BI36" s="6">
        <v>1590.2</v>
      </c>
      <c r="BJ36" s="6">
        <v>6100</v>
      </c>
      <c r="BK36" s="6">
        <v>0</v>
      </c>
      <c r="BL36" s="6"/>
      <c r="BM36" s="6">
        <v>0</v>
      </c>
      <c r="BN36" s="6">
        <v>0</v>
      </c>
      <c r="BO36" s="6">
        <v>0</v>
      </c>
      <c r="BP36" s="6">
        <v>0</v>
      </c>
      <c r="BQ36" s="26">
        <v>0</v>
      </c>
      <c r="BR36" s="26">
        <v>0</v>
      </c>
      <c r="BS36" s="26">
        <v>0</v>
      </c>
      <c r="BT36" s="26">
        <v>0</v>
      </c>
      <c r="BU36" s="26">
        <v>0</v>
      </c>
      <c r="BV36" s="26">
        <v>0</v>
      </c>
      <c r="BW36" s="26">
        <v>0</v>
      </c>
      <c r="BX36" s="26">
        <v>0</v>
      </c>
      <c r="BY36" s="2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73263.75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2420</v>
      </c>
      <c r="CL36" s="6">
        <v>0</v>
      </c>
      <c r="CM36" s="6">
        <v>0</v>
      </c>
      <c r="CN36" s="6">
        <v>0</v>
      </c>
      <c r="CO36" s="6">
        <v>0</v>
      </c>
      <c r="CP36" s="6">
        <v>15044.674157303371</v>
      </c>
      <c r="CQ36" s="6">
        <v>0</v>
      </c>
      <c r="CR36" s="6">
        <v>0</v>
      </c>
      <c r="CS36" s="6">
        <v>0</v>
      </c>
      <c r="CT36" s="6">
        <v>21924</v>
      </c>
      <c r="CU36" s="6">
        <v>54636.892499999994</v>
      </c>
      <c r="CV36" s="6">
        <v>0</v>
      </c>
      <c r="CW36" s="6">
        <v>0</v>
      </c>
      <c r="CX36" s="6"/>
      <c r="CY36" s="6">
        <f>VLOOKUP(A36, 'At-Risk updating '!A:E, 5, 0)</f>
        <v>3509</v>
      </c>
      <c r="CZ36" s="6">
        <v>0</v>
      </c>
      <c r="DA36" s="6">
        <v>0</v>
      </c>
      <c r="DB36" s="6">
        <v>0</v>
      </c>
      <c r="DC36" s="6">
        <v>0</v>
      </c>
      <c r="DD36" s="6">
        <v>0</v>
      </c>
      <c r="DE36" s="10">
        <v>0</v>
      </c>
      <c r="DF36" s="6">
        <v>0</v>
      </c>
      <c r="DG36" s="7">
        <v>0</v>
      </c>
      <c r="DH36" s="11">
        <f>SUM(G36:DG36)</f>
        <v>3989153.6766573037</v>
      </c>
    </row>
    <row r="37" spans="1:112" ht="15.75" x14ac:dyDescent="0.25">
      <c r="A37" s="4">
        <v>227</v>
      </c>
      <c r="B37" s="4" t="s">
        <v>113</v>
      </c>
      <c r="C37" s="5" t="s">
        <v>201</v>
      </c>
      <c r="D37" s="5">
        <v>1</v>
      </c>
      <c r="E37" s="5">
        <v>440</v>
      </c>
      <c r="F37" s="5">
        <v>248</v>
      </c>
      <c r="G37" s="6">
        <v>171051</v>
      </c>
      <c r="H37" s="6">
        <v>97685</v>
      </c>
      <c r="I37" s="6">
        <v>151955.1</v>
      </c>
      <c r="J37" s="7">
        <v>0</v>
      </c>
      <c r="K37" s="7">
        <v>0</v>
      </c>
      <c r="L37" s="6">
        <v>75970</v>
      </c>
      <c r="M37" s="6">
        <v>55700</v>
      </c>
      <c r="N37" s="6">
        <v>44518.100000000006</v>
      </c>
      <c r="O37" s="6">
        <v>0</v>
      </c>
      <c r="P37" s="6">
        <v>0</v>
      </c>
      <c r="Q37" s="6">
        <v>67656</v>
      </c>
      <c r="R37" s="6">
        <v>102372</v>
      </c>
      <c r="S37" s="8">
        <v>1</v>
      </c>
      <c r="T37" s="6">
        <v>41134</v>
      </c>
      <c r="U37" s="6">
        <v>97685</v>
      </c>
      <c r="V37" s="6">
        <v>97685</v>
      </c>
      <c r="W37" s="6">
        <v>97685</v>
      </c>
      <c r="X37" s="6">
        <v>97685</v>
      </c>
      <c r="Y37" s="6">
        <v>195370</v>
      </c>
      <c r="Z37" s="6">
        <v>195370</v>
      </c>
      <c r="AA37" s="6">
        <v>57830</v>
      </c>
      <c r="AB37" s="6">
        <v>0</v>
      </c>
      <c r="AC37" s="6">
        <v>0</v>
      </c>
      <c r="AD37" s="6">
        <v>293055</v>
      </c>
      <c r="AE37" s="6">
        <v>86745</v>
      </c>
      <c r="AF37" s="6">
        <v>293055</v>
      </c>
      <c r="AG37" s="6">
        <v>86745</v>
      </c>
      <c r="AH37" s="6">
        <v>293055</v>
      </c>
      <c r="AI37" s="6">
        <v>293055</v>
      </c>
      <c r="AJ37" s="6">
        <v>293055</v>
      </c>
      <c r="AK37" s="6">
        <v>293055</v>
      </c>
      <c r="AL37" s="6">
        <v>293055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97685</v>
      </c>
      <c r="AW37" s="6">
        <v>195370</v>
      </c>
      <c r="AX37" s="6">
        <v>293055</v>
      </c>
      <c r="AY37" s="6">
        <v>0</v>
      </c>
      <c r="AZ37" s="6">
        <v>0</v>
      </c>
      <c r="BA37" s="6">
        <v>683795</v>
      </c>
      <c r="BB37" s="6">
        <v>0</v>
      </c>
      <c r="BC37" s="6">
        <v>97685</v>
      </c>
      <c r="BD37" s="6">
        <v>41510</v>
      </c>
      <c r="BE37" s="6">
        <v>45780</v>
      </c>
      <c r="BF37" s="6">
        <v>7848</v>
      </c>
      <c r="BG37" s="6">
        <v>0</v>
      </c>
      <c r="BH37" s="6">
        <v>159669.19</v>
      </c>
      <c r="BI37" s="6">
        <v>2590.6999999999998</v>
      </c>
      <c r="BJ37" s="6">
        <v>9925</v>
      </c>
      <c r="BK37" s="6">
        <v>101560</v>
      </c>
      <c r="BL37" s="6"/>
      <c r="BM37" s="6">
        <v>0</v>
      </c>
      <c r="BN37" s="6">
        <v>0</v>
      </c>
      <c r="BO37" s="6">
        <v>0</v>
      </c>
      <c r="BP37" s="6">
        <v>0</v>
      </c>
      <c r="BQ37" s="26">
        <v>0</v>
      </c>
      <c r="BR37" s="26">
        <v>0</v>
      </c>
      <c r="BS37" s="26">
        <v>0</v>
      </c>
      <c r="BT37" s="26">
        <v>0</v>
      </c>
      <c r="BU37" s="26">
        <v>0</v>
      </c>
      <c r="BV37" s="26">
        <v>0</v>
      </c>
      <c r="BW37" s="26">
        <v>0</v>
      </c>
      <c r="BX37" s="26">
        <v>0</v>
      </c>
      <c r="BY37" s="2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48842.5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4960</v>
      </c>
      <c r="CL37" s="6">
        <v>0</v>
      </c>
      <c r="CM37" s="6">
        <v>547648</v>
      </c>
      <c r="CN37" s="6">
        <v>9838.6891400000022</v>
      </c>
      <c r="CO37" s="6">
        <v>4380</v>
      </c>
      <c r="CP37" s="6">
        <v>23818.454545454544</v>
      </c>
      <c r="CQ37" s="6">
        <v>0</v>
      </c>
      <c r="CR37" s="6">
        <v>0</v>
      </c>
      <c r="CS37" s="6">
        <v>0</v>
      </c>
      <c r="CT37" s="6">
        <v>38106</v>
      </c>
      <c r="CU37" s="6">
        <v>86811.963000000003</v>
      </c>
      <c r="CV37" s="6">
        <v>0</v>
      </c>
      <c r="CW37" s="6">
        <v>0</v>
      </c>
      <c r="CX37" s="6"/>
      <c r="CY37" s="6">
        <f>VLOOKUP(A37, 'At-Risk updating '!A:E, 5, 0)</f>
        <v>7192.3108599999687</v>
      </c>
      <c r="CZ37" s="6">
        <v>0</v>
      </c>
      <c r="DA37" s="6">
        <v>0</v>
      </c>
      <c r="DB37" s="6">
        <v>0</v>
      </c>
      <c r="DC37" s="6">
        <v>0</v>
      </c>
      <c r="DD37" s="6">
        <v>0</v>
      </c>
      <c r="DE37" s="10">
        <v>0</v>
      </c>
      <c r="DF37" s="6">
        <v>0</v>
      </c>
      <c r="DG37" s="7">
        <v>0</v>
      </c>
      <c r="DH37" s="11">
        <f>SUM(G37:DG37)</f>
        <v>6380298.0075454554</v>
      </c>
    </row>
    <row r="38" spans="1:112" ht="15.75" x14ac:dyDescent="0.25">
      <c r="A38" s="4">
        <v>246</v>
      </c>
      <c r="B38" s="4" t="s">
        <v>114</v>
      </c>
      <c r="C38" s="5" t="s">
        <v>204</v>
      </c>
      <c r="D38" s="5">
        <v>2</v>
      </c>
      <c r="E38" s="5">
        <v>384</v>
      </c>
      <c r="F38" s="5">
        <v>91</v>
      </c>
      <c r="G38" s="6">
        <v>171051</v>
      </c>
      <c r="H38" s="6">
        <v>97685</v>
      </c>
      <c r="I38" s="6">
        <v>179583.30000000002</v>
      </c>
      <c r="J38" s="7">
        <v>97685</v>
      </c>
      <c r="K38" s="7">
        <v>0</v>
      </c>
      <c r="L38" s="6">
        <v>75970</v>
      </c>
      <c r="M38" s="6">
        <v>55700</v>
      </c>
      <c r="N38" s="6">
        <v>0</v>
      </c>
      <c r="O38" s="6">
        <v>0</v>
      </c>
      <c r="P38" s="6">
        <v>0</v>
      </c>
      <c r="Q38" s="6">
        <v>67656</v>
      </c>
      <c r="R38" s="6">
        <v>102372</v>
      </c>
      <c r="S38" s="8">
        <v>1</v>
      </c>
      <c r="T38" s="6">
        <v>41134</v>
      </c>
      <c r="U38" s="6">
        <v>97685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615415.5</v>
      </c>
      <c r="AN38" s="6">
        <v>576341.5</v>
      </c>
      <c r="AO38" s="6">
        <v>507962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48842.5</v>
      </c>
      <c r="AW38" s="6">
        <v>97685</v>
      </c>
      <c r="AX38" s="6">
        <v>683795</v>
      </c>
      <c r="AY38" s="6">
        <v>115660</v>
      </c>
      <c r="AZ38" s="6">
        <v>0</v>
      </c>
      <c r="BA38" s="6">
        <v>97685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58804</v>
      </c>
      <c r="BI38" s="6">
        <v>954.12</v>
      </c>
      <c r="BJ38" s="6">
        <v>9375</v>
      </c>
      <c r="BK38" s="6">
        <v>0</v>
      </c>
      <c r="BL38" s="6"/>
      <c r="BM38" s="6">
        <v>195370</v>
      </c>
      <c r="BN38" s="6">
        <v>0</v>
      </c>
      <c r="BO38" s="6">
        <v>0</v>
      </c>
      <c r="BP38" s="6">
        <v>0</v>
      </c>
      <c r="BQ38" s="26">
        <v>0</v>
      </c>
      <c r="BR38" s="26">
        <v>0</v>
      </c>
      <c r="BS38" s="26">
        <v>0</v>
      </c>
      <c r="BT38" s="26">
        <v>0</v>
      </c>
      <c r="BU38" s="26">
        <v>0</v>
      </c>
      <c r="BV38" s="26">
        <v>0</v>
      </c>
      <c r="BW38" s="26">
        <v>0</v>
      </c>
      <c r="BX38" s="26">
        <v>0</v>
      </c>
      <c r="BY38" s="2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293055</v>
      </c>
      <c r="CF38" s="6">
        <v>23000</v>
      </c>
      <c r="CG38" s="6">
        <v>5000</v>
      </c>
      <c r="CH38" s="6">
        <v>100000</v>
      </c>
      <c r="CI38" s="6">
        <v>0</v>
      </c>
      <c r="CJ38" s="6">
        <v>0</v>
      </c>
      <c r="CK38" s="6">
        <v>0</v>
      </c>
      <c r="CL38" s="6">
        <v>52560</v>
      </c>
      <c r="CM38" s="6">
        <v>0</v>
      </c>
      <c r="CN38" s="6">
        <v>0</v>
      </c>
      <c r="CO38" s="6">
        <v>0</v>
      </c>
      <c r="CP38" s="6">
        <v>29301.141237113403</v>
      </c>
      <c r="CQ38" s="6">
        <v>0</v>
      </c>
      <c r="CR38" s="6">
        <v>0</v>
      </c>
      <c r="CS38" s="6">
        <v>0</v>
      </c>
      <c r="CT38" s="6">
        <v>33321</v>
      </c>
      <c r="CU38" s="6">
        <v>65563.391999999993</v>
      </c>
      <c r="CV38" s="6">
        <v>0</v>
      </c>
      <c r="CW38" s="6">
        <v>0</v>
      </c>
      <c r="CX38" s="6"/>
      <c r="CY38" s="6">
        <f>VLOOKUP(A38, 'At-Risk updating '!A:E, 5, 0)</f>
        <v>2773.8999999999942</v>
      </c>
      <c r="CZ38" s="6">
        <v>0</v>
      </c>
      <c r="DA38" s="6">
        <v>0</v>
      </c>
      <c r="DB38" s="6">
        <v>0</v>
      </c>
      <c r="DC38" s="6">
        <v>0</v>
      </c>
      <c r="DD38" s="6">
        <v>0</v>
      </c>
      <c r="DE38" s="10">
        <v>0</v>
      </c>
      <c r="DF38" s="6">
        <v>0</v>
      </c>
      <c r="DG38" s="7">
        <v>0</v>
      </c>
      <c r="DH38" s="11">
        <f>SUM(G38:DG38)</f>
        <v>4598986.3532371139</v>
      </c>
    </row>
    <row r="39" spans="1:112" ht="15.75" x14ac:dyDescent="0.25">
      <c r="A39" s="4">
        <v>413</v>
      </c>
      <c r="B39" s="4" t="s">
        <v>115</v>
      </c>
      <c r="C39" s="5" t="s">
        <v>204</v>
      </c>
      <c r="D39" s="5">
        <v>8</v>
      </c>
      <c r="E39" s="5">
        <v>333</v>
      </c>
      <c r="F39" s="5">
        <v>293</v>
      </c>
      <c r="G39" s="6">
        <v>171051</v>
      </c>
      <c r="H39" s="6">
        <v>97685</v>
      </c>
      <c r="I39" s="6">
        <v>151955.1</v>
      </c>
      <c r="J39" s="7">
        <v>97685</v>
      </c>
      <c r="K39" s="7">
        <v>0</v>
      </c>
      <c r="L39" s="6">
        <v>75970</v>
      </c>
      <c r="M39" s="6">
        <v>55700</v>
      </c>
      <c r="N39" s="6">
        <v>0</v>
      </c>
      <c r="O39" s="6">
        <v>0</v>
      </c>
      <c r="P39" s="6">
        <v>58487</v>
      </c>
      <c r="Q39" s="6">
        <v>67656</v>
      </c>
      <c r="R39" s="6">
        <v>153558</v>
      </c>
      <c r="S39" s="8">
        <v>2</v>
      </c>
      <c r="T39" s="6">
        <v>82268</v>
      </c>
      <c r="U39" s="6">
        <v>97685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527499</v>
      </c>
      <c r="AN39" s="6">
        <v>468888</v>
      </c>
      <c r="AO39" s="6">
        <v>478656.50000000006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97685</v>
      </c>
      <c r="AW39" s="6">
        <v>390740</v>
      </c>
      <c r="AX39" s="6">
        <v>879165</v>
      </c>
      <c r="AY39" s="6">
        <v>173490</v>
      </c>
      <c r="AZ39" s="6">
        <v>45222</v>
      </c>
      <c r="BA39" s="6">
        <v>8880.454545454546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155177.22</v>
      </c>
      <c r="BI39" s="6">
        <v>2517.8200000000002</v>
      </c>
      <c r="BJ39" s="6">
        <v>9650</v>
      </c>
      <c r="BK39" s="6">
        <v>0</v>
      </c>
      <c r="BL39" s="6"/>
      <c r="BM39" s="6">
        <v>0</v>
      </c>
      <c r="BN39" s="6">
        <v>138141</v>
      </c>
      <c r="BO39" s="6">
        <v>0</v>
      </c>
      <c r="BP39" s="6">
        <v>0</v>
      </c>
      <c r="BQ39" s="26">
        <v>0</v>
      </c>
      <c r="BR39" s="26">
        <v>0</v>
      </c>
      <c r="BS39" s="26">
        <v>0</v>
      </c>
      <c r="BT39" s="26">
        <v>0</v>
      </c>
      <c r="BU39" s="26">
        <v>0</v>
      </c>
      <c r="BV39" s="26">
        <v>0</v>
      </c>
      <c r="BW39" s="26">
        <v>0</v>
      </c>
      <c r="BX39" s="26">
        <v>0</v>
      </c>
      <c r="BY39" s="2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195370</v>
      </c>
      <c r="CF39" s="6">
        <v>23000</v>
      </c>
      <c r="CG39" s="6">
        <v>5000</v>
      </c>
      <c r="CH39" s="6">
        <v>100000</v>
      </c>
      <c r="CI39" s="6">
        <v>0</v>
      </c>
      <c r="CJ39" s="6">
        <v>0</v>
      </c>
      <c r="CK39" s="6">
        <v>11720</v>
      </c>
      <c r="CL39" s="6">
        <v>0</v>
      </c>
      <c r="CM39" s="6">
        <v>423335.81818181789</v>
      </c>
      <c r="CN39" s="6">
        <v>8562.5138836363622</v>
      </c>
      <c r="CO39" s="6">
        <v>3320</v>
      </c>
      <c r="CP39" s="6">
        <v>25323.446491228071</v>
      </c>
      <c r="CQ39" s="6">
        <v>0</v>
      </c>
      <c r="CR39" s="6">
        <v>0</v>
      </c>
      <c r="CS39" s="6">
        <v>0</v>
      </c>
      <c r="CT39" s="6">
        <v>28884</v>
      </c>
      <c r="CU39" s="6">
        <v>75551.593090909097</v>
      </c>
      <c r="CV39" s="6">
        <v>0</v>
      </c>
      <c r="CW39" s="6">
        <v>0</v>
      </c>
      <c r="CX39" s="6"/>
      <c r="CY39" s="6">
        <f>VLOOKUP(A39, 'At-Risk updating '!A:E, 5, 0)</f>
        <v>8497.2679345457582</v>
      </c>
      <c r="CZ39" s="6">
        <v>0</v>
      </c>
      <c r="DA39" s="6">
        <v>0</v>
      </c>
      <c r="DB39" s="6">
        <v>0</v>
      </c>
      <c r="DC39" s="6">
        <v>0</v>
      </c>
      <c r="DD39" s="6">
        <v>0</v>
      </c>
      <c r="DE39" s="10">
        <v>0</v>
      </c>
      <c r="DF39" s="6">
        <v>0</v>
      </c>
      <c r="DG39" s="7">
        <v>865637.75237240735</v>
      </c>
      <c r="DH39" s="11">
        <f>SUM(G39:DG39)</f>
        <v>6259616.4864999996</v>
      </c>
    </row>
    <row r="40" spans="1:112" ht="15.75" x14ac:dyDescent="0.25">
      <c r="A40" s="4">
        <v>258</v>
      </c>
      <c r="B40" s="4" t="s">
        <v>116</v>
      </c>
      <c r="C40" s="5" t="s">
        <v>201</v>
      </c>
      <c r="D40" s="5">
        <v>3</v>
      </c>
      <c r="E40" s="5">
        <v>321</v>
      </c>
      <c r="F40" s="5">
        <v>32</v>
      </c>
      <c r="G40" s="6">
        <v>171051</v>
      </c>
      <c r="H40" s="6">
        <v>97685</v>
      </c>
      <c r="I40" s="6">
        <v>110512.8</v>
      </c>
      <c r="J40" s="7">
        <v>0</v>
      </c>
      <c r="K40" s="7">
        <v>0</v>
      </c>
      <c r="L40" s="6">
        <v>75970</v>
      </c>
      <c r="M40" s="6">
        <v>55700</v>
      </c>
      <c r="N40" s="6">
        <v>0</v>
      </c>
      <c r="O40" s="6">
        <v>0</v>
      </c>
      <c r="P40" s="6">
        <v>0</v>
      </c>
      <c r="Q40" s="6">
        <v>67656</v>
      </c>
      <c r="R40" s="6">
        <v>51186</v>
      </c>
      <c r="S40" s="8">
        <v>3</v>
      </c>
      <c r="T40" s="6">
        <v>123402</v>
      </c>
      <c r="U40" s="6">
        <v>97685</v>
      </c>
      <c r="V40" s="6">
        <v>97685</v>
      </c>
      <c r="W40" s="6">
        <v>97685</v>
      </c>
      <c r="X40" s="6">
        <v>97685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195370</v>
      </c>
      <c r="AE40" s="6">
        <v>57830</v>
      </c>
      <c r="AF40" s="6">
        <v>293055</v>
      </c>
      <c r="AG40" s="6">
        <v>86745</v>
      </c>
      <c r="AH40" s="6">
        <v>293055</v>
      </c>
      <c r="AI40" s="6">
        <v>195370</v>
      </c>
      <c r="AJ40" s="6">
        <v>195370</v>
      </c>
      <c r="AK40" s="6">
        <v>195370</v>
      </c>
      <c r="AL40" s="6">
        <v>195370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48842.5</v>
      </c>
      <c r="AW40" s="6">
        <v>97685</v>
      </c>
      <c r="AX40" s="6">
        <v>586110</v>
      </c>
      <c r="AY40" s="6">
        <v>173490</v>
      </c>
      <c r="AZ40" s="6">
        <v>0</v>
      </c>
      <c r="BA40" s="6">
        <v>195370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7800</v>
      </c>
      <c r="BK40" s="6">
        <v>0</v>
      </c>
      <c r="BL40" s="6"/>
      <c r="BM40" s="6">
        <v>0</v>
      </c>
      <c r="BN40" s="6">
        <v>0</v>
      </c>
      <c r="BO40" s="6">
        <v>0</v>
      </c>
      <c r="BP40" s="6">
        <v>0</v>
      </c>
      <c r="BQ40" s="26">
        <v>0</v>
      </c>
      <c r="BR40" s="26">
        <v>0</v>
      </c>
      <c r="BS40" s="26">
        <v>0</v>
      </c>
      <c r="BT40" s="26">
        <v>0</v>
      </c>
      <c r="BU40" s="26">
        <v>0</v>
      </c>
      <c r="BV40" s="26">
        <v>0</v>
      </c>
      <c r="BW40" s="26">
        <v>0</v>
      </c>
      <c r="BX40" s="26">
        <v>0</v>
      </c>
      <c r="BY40" s="2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0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0</v>
      </c>
      <c r="CL40" s="6">
        <v>0</v>
      </c>
      <c r="CM40" s="6">
        <v>0</v>
      </c>
      <c r="CN40" s="6">
        <v>0</v>
      </c>
      <c r="CO40" s="6">
        <v>0</v>
      </c>
      <c r="CP40" s="6">
        <v>18655.160909090911</v>
      </c>
      <c r="CQ40" s="6">
        <v>0</v>
      </c>
      <c r="CR40" s="6">
        <v>0</v>
      </c>
      <c r="CS40" s="6">
        <v>0</v>
      </c>
      <c r="CT40" s="6">
        <v>27666</v>
      </c>
      <c r="CU40" s="6">
        <v>59294.029499999997</v>
      </c>
      <c r="CV40" s="6">
        <v>0</v>
      </c>
      <c r="CW40" s="6">
        <v>0</v>
      </c>
      <c r="CX40" s="6"/>
      <c r="CY40" s="6">
        <f>VLOOKUP(A40, 'At-Risk updating '!A:E, 5, 0)</f>
        <v>928</v>
      </c>
      <c r="CZ40" s="6">
        <v>0</v>
      </c>
      <c r="DA40" s="6">
        <v>0</v>
      </c>
      <c r="DB40" s="6">
        <v>0</v>
      </c>
      <c r="DC40" s="6">
        <v>0</v>
      </c>
      <c r="DD40" s="6">
        <v>0</v>
      </c>
      <c r="DE40" s="10">
        <v>0</v>
      </c>
      <c r="DF40" s="6">
        <v>0</v>
      </c>
      <c r="DG40" s="7">
        <v>0</v>
      </c>
      <c r="DH40" s="11">
        <f>SUM(G40:DG40)</f>
        <v>4067281.4904090911</v>
      </c>
    </row>
    <row r="41" spans="1:112" ht="15.75" x14ac:dyDescent="0.25">
      <c r="A41" s="4">
        <v>249</v>
      </c>
      <c r="B41" s="4" t="s">
        <v>117</v>
      </c>
      <c r="C41" s="5" t="s">
        <v>201</v>
      </c>
      <c r="D41" s="5">
        <v>8</v>
      </c>
      <c r="E41" s="5">
        <v>445</v>
      </c>
      <c r="F41" s="5">
        <v>405</v>
      </c>
      <c r="G41" s="6">
        <v>171051</v>
      </c>
      <c r="H41" s="6">
        <v>97685</v>
      </c>
      <c r="I41" s="6">
        <v>151955.1</v>
      </c>
      <c r="J41" s="7">
        <v>0</v>
      </c>
      <c r="K41" s="7">
        <v>0</v>
      </c>
      <c r="L41" s="6">
        <v>75970</v>
      </c>
      <c r="M41" s="6">
        <v>55700</v>
      </c>
      <c r="N41" s="6">
        <v>44518.100000000006</v>
      </c>
      <c r="O41" s="6">
        <v>0</v>
      </c>
      <c r="P41" s="6">
        <v>0</v>
      </c>
      <c r="Q41" s="6">
        <v>67656</v>
      </c>
      <c r="R41" s="6">
        <v>153558</v>
      </c>
      <c r="S41" s="8">
        <v>0</v>
      </c>
      <c r="T41" s="6">
        <v>0</v>
      </c>
      <c r="U41" s="6">
        <v>97685</v>
      </c>
      <c r="V41" s="6">
        <v>97685</v>
      </c>
      <c r="W41" s="6">
        <v>97685</v>
      </c>
      <c r="X41" s="6">
        <v>97685</v>
      </c>
      <c r="Y41" s="6">
        <v>146527.5</v>
      </c>
      <c r="Z41" s="6">
        <v>195370</v>
      </c>
      <c r="AA41" s="6">
        <v>57830</v>
      </c>
      <c r="AB41" s="6">
        <v>0</v>
      </c>
      <c r="AC41" s="6">
        <v>0</v>
      </c>
      <c r="AD41" s="6">
        <v>195370</v>
      </c>
      <c r="AE41" s="6">
        <v>57830</v>
      </c>
      <c r="AF41" s="6">
        <v>293055</v>
      </c>
      <c r="AG41" s="6">
        <v>86745</v>
      </c>
      <c r="AH41" s="6">
        <v>293055</v>
      </c>
      <c r="AI41" s="6">
        <v>293055</v>
      </c>
      <c r="AJ41" s="6">
        <v>390740</v>
      </c>
      <c r="AK41" s="6">
        <v>195370</v>
      </c>
      <c r="AL41" s="6">
        <v>390740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97685</v>
      </c>
      <c r="AW41" s="6">
        <v>195370</v>
      </c>
      <c r="AX41" s="6">
        <v>488425</v>
      </c>
      <c r="AY41" s="6">
        <v>28915</v>
      </c>
      <c r="AZ41" s="6">
        <v>45222</v>
      </c>
      <c r="BA41" s="6">
        <v>4440.227272727273</v>
      </c>
      <c r="BB41" s="6">
        <v>0</v>
      </c>
      <c r="BC41" s="6">
        <v>0</v>
      </c>
      <c r="BD41" s="6">
        <v>41510</v>
      </c>
      <c r="BE41" s="6">
        <v>45780</v>
      </c>
      <c r="BF41" s="6">
        <v>7848</v>
      </c>
      <c r="BG41" s="6">
        <v>0</v>
      </c>
      <c r="BH41" s="6">
        <v>189887.91</v>
      </c>
      <c r="BI41" s="6">
        <v>3081.01</v>
      </c>
      <c r="BJ41" s="6">
        <v>11800</v>
      </c>
      <c r="BK41" s="6">
        <v>0</v>
      </c>
      <c r="BL41" s="6"/>
      <c r="BM41" s="6">
        <v>0</v>
      </c>
      <c r="BN41" s="6">
        <v>0</v>
      </c>
      <c r="BO41" s="6">
        <v>0</v>
      </c>
      <c r="BP41" s="6">
        <v>0</v>
      </c>
      <c r="BQ41" s="26">
        <v>0</v>
      </c>
      <c r="BR41" s="26">
        <v>0</v>
      </c>
      <c r="BS41" s="26">
        <v>0</v>
      </c>
      <c r="BT41" s="26">
        <v>0</v>
      </c>
      <c r="BU41" s="26">
        <v>0</v>
      </c>
      <c r="BV41" s="26">
        <v>0</v>
      </c>
      <c r="BW41" s="26">
        <v>0</v>
      </c>
      <c r="BX41" s="26">
        <v>0</v>
      </c>
      <c r="BY41" s="2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16200</v>
      </c>
      <c r="CL41" s="6">
        <v>0</v>
      </c>
      <c r="CM41" s="6">
        <v>479358.90909090918</v>
      </c>
      <c r="CN41" s="6">
        <v>8744.6926218181761</v>
      </c>
      <c r="CO41" s="6">
        <v>4420</v>
      </c>
      <c r="CP41" s="6">
        <v>23910</v>
      </c>
      <c r="CQ41" s="6">
        <v>0</v>
      </c>
      <c r="CR41" s="6">
        <v>0</v>
      </c>
      <c r="CS41" s="6">
        <v>0</v>
      </c>
      <c r="CT41" s="6">
        <v>38454</v>
      </c>
      <c r="CU41" s="6">
        <v>77159.052545454557</v>
      </c>
      <c r="CV41" s="6">
        <v>0</v>
      </c>
      <c r="CW41" s="6">
        <v>0</v>
      </c>
      <c r="CX41" s="6"/>
      <c r="CY41" s="6">
        <f>VLOOKUP(A41, 'At-Risk updating '!A:E, 5, 0)</f>
        <v>13205.898287272663</v>
      </c>
      <c r="CZ41" s="6">
        <v>0</v>
      </c>
      <c r="DA41" s="6">
        <v>0</v>
      </c>
      <c r="DB41" s="6">
        <v>0</v>
      </c>
      <c r="DC41" s="6">
        <v>0</v>
      </c>
      <c r="DD41" s="6">
        <v>0</v>
      </c>
      <c r="DE41" s="10">
        <v>0</v>
      </c>
      <c r="DF41" s="6">
        <v>0</v>
      </c>
      <c r="DG41" s="7">
        <v>0</v>
      </c>
      <c r="DH41" s="11">
        <f>SUM(G41:DG41)</f>
        <v>5625937.399818182</v>
      </c>
    </row>
    <row r="42" spans="1:112" ht="15.75" x14ac:dyDescent="0.25">
      <c r="A42" s="4">
        <v>251</v>
      </c>
      <c r="B42" s="4" t="s">
        <v>118</v>
      </c>
      <c r="C42" s="5" t="s">
        <v>201</v>
      </c>
      <c r="D42" s="5">
        <v>7</v>
      </c>
      <c r="E42" s="5">
        <v>294</v>
      </c>
      <c r="F42" s="5">
        <v>236</v>
      </c>
      <c r="G42" s="6">
        <v>171051</v>
      </c>
      <c r="H42" s="6">
        <v>97685</v>
      </c>
      <c r="I42" s="6">
        <v>0</v>
      </c>
      <c r="J42" s="7">
        <v>0</v>
      </c>
      <c r="K42" s="7">
        <v>0</v>
      </c>
      <c r="L42" s="6">
        <v>37985</v>
      </c>
      <c r="M42" s="6">
        <v>55700</v>
      </c>
      <c r="N42" s="6">
        <v>0</v>
      </c>
      <c r="O42" s="6">
        <v>0</v>
      </c>
      <c r="P42" s="6">
        <v>0</v>
      </c>
      <c r="Q42" s="6">
        <v>67656</v>
      </c>
      <c r="R42" s="6">
        <v>102372</v>
      </c>
      <c r="S42" s="8">
        <v>0</v>
      </c>
      <c r="T42" s="6">
        <v>0</v>
      </c>
      <c r="U42" s="6">
        <v>48842.5</v>
      </c>
      <c r="V42" s="6">
        <v>97685</v>
      </c>
      <c r="W42" s="6">
        <v>97685</v>
      </c>
      <c r="X42" s="6">
        <v>97685</v>
      </c>
      <c r="Y42" s="6">
        <v>0</v>
      </c>
      <c r="Z42" s="6">
        <v>195370</v>
      </c>
      <c r="AA42" s="6">
        <v>57830</v>
      </c>
      <c r="AB42" s="6">
        <v>0</v>
      </c>
      <c r="AC42" s="6">
        <v>0</v>
      </c>
      <c r="AD42" s="6">
        <v>195370</v>
      </c>
      <c r="AE42" s="6">
        <v>57830</v>
      </c>
      <c r="AF42" s="6">
        <v>195370</v>
      </c>
      <c r="AG42" s="6">
        <v>57830</v>
      </c>
      <c r="AH42" s="6">
        <v>195370</v>
      </c>
      <c r="AI42" s="6">
        <v>195370</v>
      </c>
      <c r="AJ42" s="6">
        <v>195370</v>
      </c>
      <c r="AK42" s="6">
        <v>195370</v>
      </c>
      <c r="AL42" s="6">
        <v>195370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97685</v>
      </c>
      <c r="AW42" s="6">
        <v>97685</v>
      </c>
      <c r="AX42" s="6">
        <v>683795</v>
      </c>
      <c r="AY42" s="6">
        <v>202405</v>
      </c>
      <c r="AZ42" s="6">
        <v>0</v>
      </c>
      <c r="BA42" s="6">
        <v>17760.909090909092</v>
      </c>
      <c r="BB42" s="6">
        <v>0</v>
      </c>
      <c r="BC42" s="6">
        <v>0</v>
      </c>
      <c r="BD42" s="6">
        <v>29650</v>
      </c>
      <c r="BE42" s="6">
        <v>32700</v>
      </c>
      <c r="BF42" s="6">
        <v>7848</v>
      </c>
      <c r="BG42" s="6">
        <v>0</v>
      </c>
      <c r="BH42" s="6">
        <v>110665.86</v>
      </c>
      <c r="BI42" s="6">
        <v>1795.6</v>
      </c>
      <c r="BJ42" s="6">
        <v>6875</v>
      </c>
      <c r="BK42" s="6">
        <v>0</v>
      </c>
      <c r="BL42" s="6"/>
      <c r="BM42" s="6">
        <v>0</v>
      </c>
      <c r="BN42" s="6">
        <v>0</v>
      </c>
      <c r="BO42" s="6">
        <v>0</v>
      </c>
      <c r="BP42" s="6">
        <v>0</v>
      </c>
      <c r="BQ42" s="26">
        <v>0</v>
      </c>
      <c r="BR42" s="26">
        <v>0</v>
      </c>
      <c r="BS42" s="26">
        <v>0</v>
      </c>
      <c r="BT42" s="26">
        <v>0</v>
      </c>
      <c r="BU42" s="26">
        <v>0</v>
      </c>
      <c r="BV42" s="26">
        <v>0</v>
      </c>
      <c r="BW42" s="26">
        <v>0</v>
      </c>
      <c r="BX42" s="26">
        <v>0</v>
      </c>
      <c r="BY42" s="2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9440</v>
      </c>
      <c r="CL42" s="6">
        <v>48960</v>
      </c>
      <c r="CM42" s="6">
        <v>0</v>
      </c>
      <c r="CN42" s="6">
        <v>0</v>
      </c>
      <c r="CO42" s="6">
        <v>0</v>
      </c>
      <c r="CP42" s="6">
        <v>16820.361809045226</v>
      </c>
      <c r="CQ42" s="6">
        <v>0</v>
      </c>
      <c r="CR42" s="6">
        <v>0</v>
      </c>
      <c r="CS42" s="6">
        <v>0</v>
      </c>
      <c r="CT42" s="6">
        <v>25491</v>
      </c>
      <c r="CU42" s="6">
        <v>56386.311136363634</v>
      </c>
      <c r="CV42" s="6">
        <v>0</v>
      </c>
      <c r="CW42" s="6">
        <v>0</v>
      </c>
      <c r="CX42" s="6"/>
      <c r="CY42" s="6">
        <f>VLOOKUP(A42, 'At-Risk updating '!A:E, 5, 0)</f>
        <v>55905.5</v>
      </c>
      <c r="CZ42" s="6">
        <v>0</v>
      </c>
      <c r="DA42" s="6">
        <v>0</v>
      </c>
      <c r="DB42" s="6">
        <v>0</v>
      </c>
      <c r="DC42" s="6">
        <v>0</v>
      </c>
      <c r="DD42" s="6">
        <v>0</v>
      </c>
      <c r="DE42" s="10">
        <v>0</v>
      </c>
      <c r="DF42" s="6">
        <v>0</v>
      </c>
      <c r="DG42" s="7">
        <v>0</v>
      </c>
      <c r="DH42" s="11">
        <f>SUM(G42:DG42)</f>
        <v>4112665.0420363178</v>
      </c>
    </row>
    <row r="43" spans="1:112" ht="15.75" x14ac:dyDescent="0.25">
      <c r="A43" s="4">
        <v>252</v>
      </c>
      <c r="B43" s="4" t="s">
        <v>119</v>
      </c>
      <c r="C43" s="5" t="s">
        <v>201</v>
      </c>
      <c r="D43" s="5">
        <v>2</v>
      </c>
      <c r="E43" s="5">
        <v>335</v>
      </c>
      <c r="F43" s="5">
        <v>20</v>
      </c>
      <c r="G43" s="6">
        <v>171051</v>
      </c>
      <c r="H43" s="6">
        <v>97685</v>
      </c>
      <c r="I43" s="6">
        <v>110512.8</v>
      </c>
      <c r="J43" s="7">
        <v>0</v>
      </c>
      <c r="K43" s="7">
        <v>0</v>
      </c>
      <c r="L43" s="6">
        <v>75970</v>
      </c>
      <c r="M43" s="6">
        <v>55700</v>
      </c>
      <c r="N43" s="6">
        <v>0</v>
      </c>
      <c r="O43" s="6">
        <v>0</v>
      </c>
      <c r="P43" s="6">
        <v>0</v>
      </c>
      <c r="Q43" s="6">
        <v>67656</v>
      </c>
      <c r="R43" s="6">
        <v>102372</v>
      </c>
      <c r="S43" s="8">
        <v>0</v>
      </c>
      <c r="T43" s="6">
        <v>0</v>
      </c>
      <c r="U43" s="6">
        <v>97685</v>
      </c>
      <c r="V43" s="6">
        <v>97685</v>
      </c>
      <c r="W43" s="6">
        <v>97685</v>
      </c>
      <c r="X43" s="6">
        <v>97685</v>
      </c>
      <c r="Y43" s="6">
        <v>0</v>
      </c>
      <c r="Z43" s="6">
        <v>97685</v>
      </c>
      <c r="AA43" s="6">
        <v>28915</v>
      </c>
      <c r="AB43" s="6">
        <v>0</v>
      </c>
      <c r="AC43" s="6">
        <v>0</v>
      </c>
      <c r="AD43" s="6">
        <v>195370</v>
      </c>
      <c r="AE43" s="6">
        <v>57830</v>
      </c>
      <c r="AF43" s="6">
        <v>293055</v>
      </c>
      <c r="AG43" s="6">
        <v>86745</v>
      </c>
      <c r="AH43" s="6">
        <v>293055</v>
      </c>
      <c r="AI43" s="6">
        <v>195370</v>
      </c>
      <c r="AJ43" s="6">
        <v>195370</v>
      </c>
      <c r="AK43" s="6">
        <v>195370</v>
      </c>
      <c r="AL43" s="6">
        <v>195370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48842.5</v>
      </c>
      <c r="AW43" s="6">
        <v>97685</v>
      </c>
      <c r="AX43" s="6">
        <v>195370</v>
      </c>
      <c r="AY43" s="6">
        <v>28915</v>
      </c>
      <c r="AZ43" s="6">
        <v>0</v>
      </c>
      <c r="BA43" s="6">
        <v>97685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8225</v>
      </c>
      <c r="BK43" s="6">
        <v>0</v>
      </c>
      <c r="BL43" s="6"/>
      <c r="BM43" s="6">
        <v>0</v>
      </c>
      <c r="BN43" s="6">
        <v>0</v>
      </c>
      <c r="BO43" s="6">
        <v>0</v>
      </c>
      <c r="BP43" s="6">
        <v>0</v>
      </c>
      <c r="BQ43" s="26">
        <v>0</v>
      </c>
      <c r="BR43" s="26">
        <v>0</v>
      </c>
      <c r="BS43" s="26">
        <v>0</v>
      </c>
      <c r="BT43" s="26">
        <v>0</v>
      </c>
      <c r="BU43" s="26">
        <v>0</v>
      </c>
      <c r="BV43" s="26">
        <v>0</v>
      </c>
      <c r="BW43" s="26">
        <v>0</v>
      </c>
      <c r="BX43" s="26">
        <v>0</v>
      </c>
      <c r="BY43" s="2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0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0</v>
      </c>
      <c r="CL43" s="6">
        <v>0</v>
      </c>
      <c r="CM43" s="6">
        <v>0</v>
      </c>
      <c r="CN43" s="6">
        <v>0</v>
      </c>
      <c r="CO43" s="6">
        <v>0</v>
      </c>
      <c r="CP43" s="6">
        <v>18186.966250000001</v>
      </c>
      <c r="CQ43" s="6">
        <v>0</v>
      </c>
      <c r="CR43" s="6">
        <v>0</v>
      </c>
      <c r="CS43" s="6">
        <v>0</v>
      </c>
      <c r="CT43" s="6">
        <v>28971</v>
      </c>
      <c r="CU43" s="6">
        <v>50614.789499999999</v>
      </c>
      <c r="CV43" s="6">
        <v>0</v>
      </c>
      <c r="CW43" s="6">
        <v>35000</v>
      </c>
      <c r="CX43" s="29" t="s">
        <v>120</v>
      </c>
      <c r="CY43" s="6">
        <f>VLOOKUP(A43, 'At-Risk updating '!A:E, 5, 0)</f>
        <v>580</v>
      </c>
      <c r="CZ43" s="6">
        <v>0</v>
      </c>
      <c r="DA43" s="6">
        <v>0</v>
      </c>
      <c r="DB43" s="6">
        <v>0</v>
      </c>
      <c r="DC43" s="6">
        <v>0</v>
      </c>
      <c r="DD43" s="6">
        <v>0</v>
      </c>
      <c r="DE43" s="10">
        <v>0</v>
      </c>
      <c r="DF43" s="6">
        <v>0</v>
      </c>
      <c r="DG43" s="7">
        <v>0</v>
      </c>
      <c r="DH43" s="11">
        <f>SUM(G43:DG43)</f>
        <v>3515897.0557499998</v>
      </c>
    </row>
    <row r="44" spans="1:112" ht="31.5" x14ac:dyDescent="0.25">
      <c r="A44" s="4">
        <v>950</v>
      </c>
      <c r="B44" s="4" t="s">
        <v>121</v>
      </c>
      <c r="C44" s="5" t="s">
        <v>206</v>
      </c>
      <c r="D44" s="5">
        <v>7</v>
      </c>
      <c r="E44" s="5">
        <v>38</v>
      </c>
      <c r="F44" s="5">
        <v>0</v>
      </c>
      <c r="G44" s="6">
        <v>171051</v>
      </c>
      <c r="H44" s="27">
        <v>48842.5</v>
      </c>
      <c r="I44" s="6">
        <v>0</v>
      </c>
      <c r="J44" s="7">
        <v>0</v>
      </c>
      <c r="K44" s="7">
        <v>0</v>
      </c>
      <c r="L44" s="27">
        <v>37985</v>
      </c>
      <c r="M44" s="6">
        <v>55700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8">
        <v>0</v>
      </c>
      <c r="T44" s="6">
        <v>0</v>
      </c>
      <c r="U44" s="6">
        <v>48842.5</v>
      </c>
      <c r="V44" s="6">
        <v>0</v>
      </c>
      <c r="W44" s="6">
        <v>0</v>
      </c>
      <c r="X44" s="6">
        <v>0</v>
      </c>
      <c r="Y44" s="6">
        <v>48842.5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156296</v>
      </c>
      <c r="AU44" s="6">
        <v>0</v>
      </c>
      <c r="AV44" s="6">
        <v>0</v>
      </c>
      <c r="AW44" s="6">
        <v>97685</v>
      </c>
      <c r="AX44" s="6">
        <v>390740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12138</v>
      </c>
      <c r="BH44" s="6">
        <v>0</v>
      </c>
      <c r="BI44" s="6">
        <v>0</v>
      </c>
      <c r="BJ44" s="6">
        <v>1200</v>
      </c>
      <c r="BK44" s="6">
        <v>0</v>
      </c>
      <c r="BL44" s="6"/>
      <c r="BM44" s="6">
        <v>0</v>
      </c>
      <c r="BN44" s="6">
        <v>0</v>
      </c>
      <c r="BO44" s="6">
        <v>0</v>
      </c>
      <c r="BP44" s="6">
        <v>0</v>
      </c>
      <c r="BQ44" s="26">
        <v>0</v>
      </c>
      <c r="BR44" s="26">
        <v>0</v>
      </c>
      <c r="BS44" s="26">
        <v>0</v>
      </c>
      <c r="BT44" s="26">
        <v>0</v>
      </c>
      <c r="BU44" s="26">
        <v>0</v>
      </c>
      <c r="BV44" s="26">
        <v>0</v>
      </c>
      <c r="BW44" s="26">
        <v>0</v>
      </c>
      <c r="BX44" s="26">
        <v>0</v>
      </c>
      <c r="BY44" s="2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0</v>
      </c>
      <c r="CE44" s="6">
        <v>0</v>
      </c>
      <c r="CF44" s="6">
        <v>0</v>
      </c>
      <c r="CG44" s="6">
        <v>0</v>
      </c>
      <c r="CH44" s="6">
        <v>0</v>
      </c>
      <c r="CI44" s="6">
        <v>0</v>
      </c>
      <c r="CJ44" s="6">
        <v>0</v>
      </c>
      <c r="CK44" s="6">
        <v>0</v>
      </c>
      <c r="CL44" s="6">
        <v>0</v>
      </c>
      <c r="CM44" s="6">
        <v>0</v>
      </c>
      <c r="CN44" s="6">
        <v>0</v>
      </c>
      <c r="CO44" s="6">
        <v>0</v>
      </c>
      <c r="CP44" s="6">
        <v>2592.8000000000002</v>
      </c>
      <c r="CQ44" s="6">
        <v>0</v>
      </c>
      <c r="CR44" s="6">
        <v>0</v>
      </c>
      <c r="CS44" s="6">
        <v>0</v>
      </c>
      <c r="CT44" s="6">
        <v>3306</v>
      </c>
      <c r="CU44" s="6">
        <v>15839.7675</v>
      </c>
      <c r="CV44" s="6">
        <v>0</v>
      </c>
      <c r="CW44" s="6">
        <v>116943</v>
      </c>
      <c r="CX44" s="30" t="s">
        <v>122</v>
      </c>
      <c r="CY44" s="6">
        <f>VLOOKUP(A44, 'At-Risk updating '!A:E, 5, 0)</f>
        <v>0</v>
      </c>
      <c r="CZ44" s="6">
        <v>0</v>
      </c>
      <c r="DA44" s="6">
        <v>0</v>
      </c>
      <c r="DB44" s="6">
        <v>0</v>
      </c>
      <c r="DC44" s="6">
        <v>0</v>
      </c>
      <c r="DD44" s="6">
        <v>0</v>
      </c>
      <c r="DE44" s="10">
        <v>0</v>
      </c>
      <c r="DF44" s="6">
        <v>0</v>
      </c>
      <c r="DG44" s="7">
        <v>0</v>
      </c>
      <c r="DH44" s="11">
        <f>SUM(G44:DG44)</f>
        <v>1208004.0675000001</v>
      </c>
    </row>
    <row r="45" spans="1:112" ht="15.75" x14ac:dyDescent="0.25">
      <c r="A45" s="4">
        <v>339</v>
      </c>
      <c r="B45" s="4" t="s">
        <v>123</v>
      </c>
      <c r="C45" s="5" t="s">
        <v>201</v>
      </c>
      <c r="D45" s="5">
        <v>6</v>
      </c>
      <c r="E45" s="5">
        <v>511</v>
      </c>
      <c r="F45" s="5">
        <v>248</v>
      </c>
      <c r="G45" s="6">
        <v>171051</v>
      </c>
      <c r="H45" s="6">
        <v>97685</v>
      </c>
      <c r="I45" s="6">
        <v>179583.30000000002</v>
      </c>
      <c r="J45" s="7">
        <v>0</v>
      </c>
      <c r="K45" s="7">
        <v>0</v>
      </c>
      <c r="L45" s="6">
        <v>75970</v>
      </c>
      <c r="M45" s="6">
        <v>55700</v>
      </c>
      <c r="N45" s="6">
        <v>52612.3</v>
      </c>
      <c r="O45" s="6">
        <v>0</v>
      </c>
      <c r="P45" s="6">
        <v>0</v>
      </c>
      <c r="Q45" s="6">
        <v>67656</v>
      </c>
      <c r="R45" s="6">
        <v>51186</v>
      </c>
      <c r="S45" s="8">
        <v>2</v>
      </c>
      <c r="T45" s="6">
        <v>82268</v>
      </c>
      <c r="U45" s="6">
        <v>97685</v>
      </c>
      <c r="V45" s="6">
        <v>97685</v>
      </c>
      <c r="W45" s="6">
        <v>97685</v>
      </c>
      <c r="X45" s="6">
        <v>97685</v>
      </c>
      <c r="Y45" s="6">
        <v>146527.5</v>
      </c>
      <c r="Z45" s="6">
        <v>293055</v>
      </c>
      <c r="AA45" s="6">
        <v>86745</v>
      </c>
      <c r="AB45" s="6">
        <v>97685</v>
      </c>
      <c r="AC45" s="6">
        <v>57830</v>
      </c>
      <c r="AD45" s="6">
        <v>293055</v>
      </c>
      <c r="AE45" s="6">
        <v>86745</v>
      </c>
      <c r="AF45" s="6">
        <v>390740</v>
      </c>
      <c r="AG45" s="6">
        <v>115660</v>
      </c>
      <c r="AH45" s="6">
        <v>390740</v>
      </c>
      <c r="AI45" s="6">
        <v>293055</v>
      </c>
      <c r="AJ45" s="6">
        <v>293055</v>
      </c>
      <c r="AK45" s="6">
        <v>293055</v>
      </c>
      <c r="AL45" s="6">
        <v>293055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97685</v>
      </c>
      <c r="AW45" s="6">
        <v>146527.5</v>
      </c>
      <c r="AX45" s="6">
        <v>781480</v>
      </c>
      <c r="AY45" s="6">
        <v>86745</v>
      </c>
      <c r="AZ45" s="6">
        <v>0</v>
      </c>
      <c r="BA45" s="6">
        <v>39962.045454545456</v>
      </c>
      <c r="BB45" s="6">
        <v>0</v>
      </c>
      <c r="BC45" s="6">
        <v>0</v>
      </c>
      <c r="BD45" s="6">
        <v>41510</v>
      </c>
      <c r="BE45" s="6">
        <v>45780</v>
      </c>
      <c r="BF45" s="6">
        <v>7848</v>
      </c>
      <c r="BG45" s="6">
        <v>0</v>
      </c>
      <c r="BH45" s="6">
        <v>202955.47</v>
      </c>
      <c r="BI45" s="6">
        <v>3293.04</v>
      </c>
      <c r="BJ45" s="6">
        <v>12625</v>
      </c>
      <c r="BK45" s="6">
        <v>0</v>
      </c>
      <c r="BL45" s="6"/>
      <c r="BM45" s="6">
        <v>0</v>
      </c>
      <c r="BN45" s="6">
        <v>0</v>
      </c>
      <c r="BO45" s="6">
        <v>97685</v>
      </c>
      <c r="BP45" s="6">
        <v>0</v>
      </c>
      <c r="BQ45" s="26">
        <v>0</v>
      </c>
      <c r="BR45" s="26">
        <v>0</v>
      </c>
      <c r="BS45" s="26">
        <v>0</v>
      </c>
      <c r="BT45" s="26">
        <v>0</v>
      </c>
      <c r="BU45" s="26">
        <v>0</v>
      </c>
      <c r="BV45" s="26">
        <v>0</v>
      </c>
      <c r="BW45" s="26">
        <v>0</v>
      </c>
      <c r="BX45" s="26">
        <v>0</v>
      </c>
      <c r="BY45" s="2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97685</v>
      </c>
      <c r="CE45" s="6">
        <v>0</v>
      </c>
      <c r="CF45" s="6">
        <v>0</v>
      </c>
      <c r="CG45" s="6">
        <v>0</v>
      </c>
      <c r="CH45" s="6">
        <v>0</v>
      </c>
      <c r="CI45" s="6">
        <v>0</v>
      </c>
      <c r="CJ45" s="6">
        <v>0</v>
      </c>
      <c r="CK45" s="6">
        <v>4960</v>
      </c>
      <c r="CL45" s="6">
        <v>0</v>
      </c>
      <c r="CM45" s="6">
        <v>0</v>
      </c>
      <c r="CN45" s="6">
        <v>0</v>
      </c>
      <c r="CO45" s="6">
        <v>0</v>
      </c>
      <c r="CP45" s="6">
        <v>28771.458333333332</v>
      </c>
      <c r="CQ45" s="6">
        <v>0</v>
      </c>
      <c r="CR45" s="6">
        <v>0</v>
      </c>
      <c r="CS45" s="6">
        <v>0</v>
      </c>
      <c r="CT45" s="6">
        <v>44196</v>
      </c>
      <c r="CU45" s="6">
        <v>84083.079681818184</v>
      </c>
      <c r="CV45" s="6">
        <v>0</v>
      </c>
      <c r="CW45" s="6">
        <v>0</v>
      </c>
      <c r="CX45" s="6"/>
      <c r="CY45" s="6">
        <f>VLOOKUP(A45, 'At-Risk updating '!A:E, 5, 0)</f>
        <v>22422</v>
      </c>
      <c r="CZ45" s="6">
        <v>0</v>
      </c>
      <c r="DA45" s="6">
        <v>0</v>
      </c>
      <c r="DB45" s="6">
        <v>0</v>
      </c>
      <c r="DC45" s="6">
        <v>0</v>
      </c>
      <c r="DD45" s="6">
        <v>0</v>
      </c>
      <c r="DE45" s="10">
        <v>0</v>
      </c>
      <c r="DF45" s="6">
        <v>0</v>
      </c>
      <c r="DG45" s="7">
        <v>0</v>
      </c>
      <c r="DH45" s="11">
        <f>SUM(G45:DG45)</f>
        <v>6201669.6934696967</v>
      </c>
    </row>
    <row r="46" spans="1:112" ht="15.75" x14ac:dyDescent="0.25">
      <c r="A46" s="4">
        <v>254</v>
      </c>
      <c r="B46" s="4" t="s">
        <v>124</v>
      </c>
      <c r="C46" s="5" t="s">
        <v>201</v>
      </c>
      <c r="D46" s="5">
        <v>3</v>
      </c>
      <c r="E46" s="5">
        <v>730</v>
      </c>
      <c r="F46" s="5">
        <v>17</v>
      </c>
      <c r="G46" s="6">
        <v>171051</v>
      </c>
      <c r="H46" s="6">
        <v>97685</v>
      </c>
      <c r="I46" s="6">
        <v>248653.80000000002</v>
      </c>
      <c r="J46" s="7">
        <v>0</v>
      </c>
      <c r="K46" s="7">
        <v>0</v>
      </c>
      <c r="L46" s="6">
        <v>75970</v>
      </c>
      <c r="M46" s="6">
        <v>55700</v>
      </c>
      <c r="N46" s="6">
        <v>72847.8</v>
      </c>
      <c r="O46" s="6">
        <v>0</v>
      </c>
      <c r="P46" s="6">
        <v>0</v>
      </c>
      <c r="Q46" s="6">
        <v>67656</v>
      </c>
      <c r="R46" s="6">
        <v>102372</v>
      </c>
      <c r="S46" s="8">
        <v>2</v>
      </c>
      <c r="T46" s="6">
        <v>82268</v>
      </c>
      <c r="U46" s="6">
        <v>97685</v>
      </c>
      <c r="V46" s="6">
        <v>97685</v>
      </c>
      <c r="W46" s="6">
        <v>97685</v>
      </c>
      <c r="X46" s="6">
        <v>97685</v>
      </c>
      <c r="Y46" s="6">
        <v>341897.5</v>
      </c>
      <c r="Z46" s="6">
        <v>0</v>
      </c>
      <c r="AA46" s="6">
        <v>0</v>
      </c>
      <c r="AB46" s="6">
        <v>0</v>
      </c>
      <c r="AC46" s="6">
        <v>0</v>
      </c>
      <c r="AD46" s="6">
        <v>293055</v>
      </c>
      <c r="AE46" s="6">
        <v>86745</v>
      </c>
      <c r="AF46" s="6">
        <v>488425</v>
      </c>
      <c r="AG46" s="6">
        <v>144575</v>
      </c>
      <c r="AH46" s="6">
        <v>488425</v>
      </c>
      <c r="AI46" s="6">
        <v>488425</v>
      </c>
      <c r="AJ46" s="6">
        <v>488425</v>
      </c>
      <c r="AK46" s="6">
        <v>390740</v>
      </c>
      <c r="AL46" s="6">
        <v>488425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97685</v>
      </c>
      <c r="AW46" s="6">
        <v>146527.5</v>
      </c>
      <c r="AX46" s="6">
        <v>390740</v>
      </c>
      <c r="AY46" s="6">
        <v>0</v>
      </c>
      <c r="AZ46" s="6">
        <v>0</v>
      </c>
      <c r="BA46" s="6">
        <v>97685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18050</v>
      </c>
      <c r="BK46" s="6">
        <v>0</v>
      </c>
      <c r="BL46" s="6"/>
      <c r="BM46" s="6">
        <v>0</v>
      </c>
      <c r="BN46" s="6">
        <v>0</v>
      </c>
      <c r="BO46" s="6">
        <v>0</v>
      </c>
      <c r="BP46" s="6">
        <v>0</v>
      </c>
      <c r="BQ46" s="26">
        <v>0</v>
      </c>
      <c r="BR46" s="26">
        <v>0</v>
      </c>
      <c r="BS46" s="26">
        <v>0</v>
      </c>
      <c r="BT46" s="26">
        <v>0</v>
      </c>
      <c r="BU46" s="26">
        <v>0</v>
      </c>
      <c r="BV46" s="26">
        <v>0</v>
      </c>
      <c r="BW46" s="26">
        <v>0</v>
      </c>
      <c r="BX46" s="26">
        <v>0</v>
      </c>
      <c r="BY46" s="2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37664.315999999999</v>
      </c>
      <c r="CQ46" s="6">
        <v>0</v>
      </c>
      <c r="CR46" s="6">
        <v>0</v>
      </c>
      <c r="CS46" s="6">
        <v>0</v>
      </c>
      <c r="CT46" s="6">
        <v>63336</v>
      </c>
      <c r="CU46" s="6">
        <v>86950.778999999995</v>
      </c>
      <c r="CV46" s="6">
        <v>549280.30500000063</v>
      </c>
      <c r="CW46" s="6">
        <v>0</v>
      </c>
      <c r="CX46" s="6"/>
      <c r="CY46" s="6">
        <f>VLOOKUP(A46, 'At-Risk updating '!A:E, 5, 0)</f>
        <v>2717</v>
      </c>
      <c r="CZ46" s="6">
        <v>0</v>
      </c>
      <c r="DA46" s="6">
        <v>0</v>
      </c>
      <c r="DB46" s="6">
        <v>0</v>
      </c>
      <c r="DC46" s="6">
        <v>0</v>
      </c>
      <c r="DD46" s="6">
        <v>0</v>
      </c>
      <c r="DE46" s="10">
        <v>0</v>
      </c>
      <c r="DF46" s="6">
        <v>0</v>
      </c>
      <c r="DG46" s="7">
        <v>0</v>
      </c>
      <c r="DH46" s="11">
        <f>SUM(G46:DG46)</f>
        <v>6554719</v>
      </c>
    </row>
    <row r="47" spans="1:112" ht="15.75" x14ac:dyDescent="0.25">
      <c r="A47" s="4">
        <v>433</v>
      </c>
      <c r="B47" s="4" t="s">
        <v>125</v>
      </c>
      <c r="C47" s="5" t="s">
        <v>204</v>
      </c>
      <c r="D47" s="5">
        <v>6</v>
      </c>
      <c r="E47" s="5">
        <v>311</v>
      </c>
      <c r="F47" s="5">
        <v>195</v>
      </c>
      <c r="G47" s="6">
        <v>171051</v>
      </c>
      <c r="H47" s="6">
        <v>97685</v>
      </c>
      <c r="I47" s="6">
        <v>138141</v>
      </c>
      <c r="J47" s="7">
        <v>97685</v>
      </c>
      <c r="K47" s="7">
        <v>0</v>
      </c>
      <c r="L47" s="6">
        <v>75970</v>
      </c>
      <c r="M47" s="6">
        <v>55700</v>
      </c>
      <c r="N47" s="6">
        <v>0</v>
      </c>
      <c r="O47" s="6">
        <v>0</v>
      </c>
      <c r="P47" s="6">
        <v>0</v>
      </c>
      <c r="Q47" s="6">
        <v>67656</v>
      </c>
      <c r="R47" s="6">
        <v>102372</v>
      </c>
      <c r="S47" s="8">
        <v>2</v>
      </c>
      <c r="T47" s="6">
        <v>82268</v>
      </c>
      <c r="U47" s="6">
        <v>97685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478656.50000000006</v>
      </c>
      <c r="AN47" s="6">
        <v>488425</v>
      </c>
      <c r="AO47" s="6">
        <v>420045.5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97685</v>
      </c>
      <c r="AW47" s="6">
        <v>195370</v>
      </c>
      <c r="AX47" s="6">
        <v>683795</v>
      </c>
      <c r="AY47" s="6">
        <v>86745</v>
      </c>
      <c r="AZ47" s="6">
        <v>0</v>
      </c>
      <c r="BA47" s="6">
        <v>8880.454545454546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110665.86</v>
      </c>
      <c r="BI47" s="6">
        <v>1795.6</v>
      </c>
      <c r="BJ47" s="6">
        <v>6875</v>
      </c>
      <c r="BK47" s="6">
        <v>0</v>
      </c>
      <c r="BL47" s="6"/>
      <c r="BM47" s="6">
        <v>0</v>
      </c>
      <c r="BN47" s="6">
        <v>138141</v>
      </c>
      <c r="BO47" s="6">
        <v>0</v>
      </c>
      <c r="BP47" s="6">
        <v>0</v>
      </c>
      <c r="BQ47" s="26">
        <v>0</v>
      </c>
      <c r="BR47" s="26">
        <v>0</v>
      </c>
      <c r="BS47" s="26">
        <v>0</v>
      </c>
      <c r="BT47" s="26">
        <v>0</v>
      </c>
      <c r="BU47" s="26">
        <v>0</v>
      </c>
      <c r="BV47" s="26">
        <v>0</v>
      </c>
      <c r="BW47" s="26">
        <v>0</v>
      </c>
      <c r="BX47" s="26">
        <v>0</v>
      </c>
      <c r="BY47" s="2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73263.75</v>
      </c>
      <c r="CE47" s="6">
        <v>195370</v>
      </c>
      <c r="CF47" s="6">
        <v>23000</v>
      </c>
      <c r="CG47" s="6">
        <v>5000</v>
      </c>
      <c r="CH47" s="6">
        <v>100000</v>
      </c>
      <c r="CI47" s="6">
        <v>0</v>
      </c>
      <c r="CJ47" s="6">
        <v>0</v>
      </c>
      <c r="CK47" s="6">
        <v>3900</v>
      </c>
      <c r="CL47" s="6">
        <v>0</v>
      </c>
      <c r="CM47" s="6">
        <v>0</v>
      </c>
      <c r="CN47" s="6">
        <v>0</v>
      </c>
      <c r="CO47" s="6">
        <v>0</v>
      </c>
      <c r="CP47" s="6">
        <v>25393.731707317074</v>
      </c>
      <c r="CQ47" s="6">
        <v>0</v>
      </c>
      <c r="CR47" s="6">
        <v>0</v>
      </c>
      <c r="CS47" s="6">
        <v>0</v>
      </c>
      <c r="CT47" s="6">
        <v>26970</v>
      </c>
      <c r="CU47" s="6">
        <v>58189.89681818182</v>
      </c>
      <c r="CV47" s="6">
        <v>0</v>
      </c>
      <c r="CW47" s="6">
        <v>0</v>
      </c>
      <c r="CX47" s="6"/>
      <c r="CY47" s="6">
        <f>VLOOKUP(A47, 'At-Risk updating '!A:E, 5, 0)</f>
        <v>5655</v>
      </c>
      <c r="CZ47" s="6">
        <v>0</v>
      </c>
      <c r="DA47" s="6">
        <v>0</v>
      </c>
      <c r="DB47" s="6">
        <v>0</v>
      </c>
      <c r="DC47" s="6">
        <v>0</v>
      </c>
      <c r="DD47" s="6">
        <v>0</v>
      </c>
      <c r="DE47" s="10">
        <v>0</v>
      </c>
      <c r="DF47" s="6">
        <v>0</v>
      </c>
      <c r="DG47" s="7">
        <v>0</v>
      </c>
      <c r="DH47" s="11">
        <f>SUM(G47:DG47)</f>
        <v>4220037.2930709533</v>
      </c>
    </row>
    <row r="48" spans="1:112" ht="15.75" x14ac:dyDescent="0.25">
      <c r="A48" s="4">
        <v>416</v>
      </c>
      <c r="B48" s="4" t="s">
        <v>126</v>
      </c>
      <c r="C48" s="5" t="s">
        <v>204</v>
      </c>
      <c r="D48" s="5">
        <v>8</v>
      </c>
      <c r="E48" s="5">
        <v>245</v>
      </c>
      <c r="F48" s="5">
        <v>218</v>
      </c>
      <c r="G48" s="6">
        <v>171051</v>
      </c>
      <c r="H48" s="6">
        <v>97685</v>
      </c>
      <c r="I48" s="6">
        <v>110512.8</v>
      </c>
      <c r="J48" s="7">
        <v>97685</v>
      </c>
      <c r="K48" s="7">
        <v>0</v>
      </c>
      <c r="L48" s="6">
        <v>37985</v>
      </c>
      <c r="M48" s="6">
        <v>55700</v>
      </c>
      <c r="N48" s="6">
        <v>0</v>
      </c>
      <c r="O48" s="6">
        <v>0</v>
      </c>
      <c r="P48" s="6">
        <v>58487</v>
      </c>
      <c r="Q48" s="6">
        <v>67656</v>
      </c>
      <c r="R48" s="6">
        <v>102372</v>
      </c>
      <c r="S48" s="8">
        <v>1</v>
      </c>
      <c r="T48" s="6">
        <v>41134</v>
      </c>
      <c r="U48" s="6">
        <v>48842.5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371203</v>
      </c>
      <c r="AN48" s="6">
        <v>332129</v>
      </c>
      <c r="AO48" s="6">
        <v>380971.5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97685</v>
      </c>
      <c r="AW48" s="6">
        <v>293055</v>
      </c>
      <c r="AX48" s="6">
        <v>683795</v>
      </c>
      <c r="AY48" s="6">
        <v>57830</v>
      </c>
      <c r="AZ48" s="6">
        <v>45222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117199.64</v>
      </c>
      <c r="BI48" s="6">
        <v>1901.61</v>
      </c>
      <c r="BJ48" s="6">
        <v>7275</v>
      </c>
      <c r="BK48" s="6">
        <v>0</v>
      </c>
      <c r="BL48" s="6"/>
      <c r="BM48" s="6">
        <v>97685</v>
      </c>
      <c r="BN48" s="6">
        <v>138141</v>
      </c>
      <c r="BO48" s="6">
        <v>0</v>
      </c>
      <c r="BP48" s="6">
        <v>0</v>
      </c>
      <c r="BQ48" s="26">
        <v>0</v>
      </c>
      <c r="BR48" s="26">
        <v>0</v>
      </c>
      <c r="BS48" s="26">
        <v>0</v>
      </c>
      <c r="BT48" s="26">
        <v>0</v>
      </c>
      <c r="BU48" s="26">
        <v>0</v>
      </c>
      <c r="BV48" s="26">
        <v>0</v>
      </c>
      <c r="BW48" s="26">
        <v>0</v>
      </c>
      <c r="BX48" s="26">
        <v>0</v>
      </c>
      <c r="BY48" s="2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195370</v>
      </c>
      <c r="CF48" s="6">
        <v>23000</v>
      </c>
      <c r="CG48" s="6">
        <v>5000</v>
      </c>
      <c r="CH48" s="6">
        <v>100000</v>
      </c>
      <c r="CI48" s="6">
        <v>0</v>
      </c>
      <c r="CJ48" s="6">
        <v>0</v>
      </c>
      <c r="CK48" s="6">
        <v>8720</v>
      </c>
      <c r="CL48" s="6">
        <v>0</v>
      </c>
      <c r="CM48" s="6">
        <v>312540</v>
      </c>
      <c r="CN48" s="6">
        <v>6791.0525599999964</v>
      </c>
      <c r="CO48" s="6">
        <v>2430</v>
      </c>
      <c r="CP48" s="6">
        <v>21237.69090909091</v>
      </c>
      <c r="CQ48" s="6">
        <v>0</v>
      </c>
      <c r="CR48" s="6">
        <v>0</v>
      </c>
      <c r="CS48" s="6">
        <v>0</v>
      </c>
      <c r="CT48" s="6">
        <v>21141</v>
      </c>
      <c r="CU48" s="6">
        <v>59921.051999999996</v>
      </c>
      <c r="CV48" s="6">
        <v>0</v>
      </c>
      <c r="CW48" s="6">
        <v>0</v>
      </c>
      <c r="CX48" s="6"/>
      <c r="CY48" s="6">
        <f>VLOOKUP(A48, 'At-Risk updating '!A:E, 5, 0)</f>
        <v>6322</v>
      </c>
      <c r="CZ48" s="6">
        <v>0</v>
      </c>
      <c r="DA48" s="6">
        <v>0</v>
      </c>
      <c r="DB48" s="6">
        <v>0</v>
      </c>
      <c r="DC48" s="6">
        <v>0</v>
      </c>
      <c r="DD48" s="6">
        <v>0</v>
      </c>
      <c r="DE48" s="10">
        <v>0</v>
      </c>
      <c r="DF48" s="6">
        <v>0</v>
      </c>
      <c r="DG48" s="7">
        <v>0</v>
      </c>
      <c r="DH48" s="11">
        <f>SUM(G48:DG48)</f>
        <v>4275676.8454690911</v>
      </c>
    </row>
    <row r="49" spans="1:112" ht="15.75" x14ac:dyDescent="0.25">
      <c r="A49" s="4">
        <v>421</v>
      </c>
      <c r="B49" s="4" t="s">
        <v>127</v>
      </c>
      <c r="C49" s="5" t="s">
        <v>204</v>
      </c>
      <c r="D49" s="5">
        <v>7</v>
      </c>
      <c r="E49" s="5">
        <v>432</v>
      </c>
      <c r="F49" s="5">
        <v>307</v>
      </c>
      <c r="G49" s="6">
        <v>171051</v>
      </c>
      <c r="H49" s="6">
        <v>97685</v>
      </c>
      <c r="I49" s="6">
        <v>193397.4</v>
      </c>
      <c r="J49" s="7">
        <v>107453.50000000001</v>
      </c>
      <c r="K49" s="7">
        <v>0</v>
      </c>
      <c r="L49" s="6">
        <v>75970</v>
      </c>
      <c r="M49" s="6">
        <v>55700</v>
      </c>
      <c r="N49" s="6">
        <v>44518.100000000006</v>
      </c>
      <c r="O49" s="6">
        <v>0</v>
      </c>
      <c r="P49" s="6">
        <v>58487</v>
      </c>
      <c r="Q49" s="6">
        <v>67656</v>
      </c>
      <c r="R49" s="6">
        <v>102372</v>
      </c>
      <c r="S49" s="8">
        <v>1</v>
      </c>
      <c r="T49" s="6">
        <v>41134</v>
      </c>
      <c r="U49" s="6">
        <v>97685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664258</v>
      </c>
      <c r="AN49" s="6">
        <v>674026.5</v>
      </c>
      <c r="AO49" s="6">
        <v>586110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97685</v>
      </c>
      <c r="AW49" s="6">
        <v>390740</v>
      </c>
      <c r="AX49" s="6">
        <v>781480</v>
      </c>
      <c r="AY49" s="6">
        <v>144575</v>
      </c>
      <c r="AZ49" s="6">
        <v>90444</v>
      </c>
      <c r="BA49" s="6">
        <v>31081.590909090908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181312.33</v>
      </c>
      <c r="BI49" s="6">
        <v>2941.87</v>
      </c>
      <c r="BJ49" s="6">
        <v>11275</v>
      </c>
      <c r="BK49" s="6">
        <v>0</v>
      </c>
      <c r="BL49" s="6"/>
      <c r="BM49" s="6">
        <v>97685</v>
      </c>
      <c r="BN49" s="6">
        <v>138141</v>
      </c>
      <c r="BO49" s="6">
        <v>0</v>
      </c>
      <c r="BP49" s="6">
        <v>0</v>
      </c>
      <c r="BQ49" s="26">
        <v>0</v>
      </c>
      <c r="BR49" s="26">
        <v>0</v>
      </c>
      <c r="BS49" s="26">
        <v>0</v>
      </c>
      <c r="BT49" s="26">
        <v>0</v>
      </c>
      <c r="BU49" s="26">
        <v>0</v>
      </c>
      <c r="BV49" s="26">
        <v>0</v>
      </c>
      <c r="BW49" s="26">
        <v>0</v>
      </c>
      <c r="BX49" s="26">
        <v>0</v>
      </c>
      <c r="BY49" s="2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E49" s="6">
        <v>293055</v>
      </c>
      <c r="CF49" s="6">
        <v>23000</v>
      </c>
      <c r="CG49" s="6">
        <v>5000</v>
      </c>
      <c r="CH49" s="6">
        <v>100000</v>
      </c>
      <c r="CI49" s="6">
        <v>0</v>
      </c>
      <c r="CJ49" s="6">
        <v>0</v>
      </c>
      <c r="CK49" s="6">
        <v>6140</v>
      </c>
      <c r="CL49" s="6">
        <v>0</v>
      </c>
      <c r="CM49" s="6">
        <v>475780.3636363633</v>
      </c>
      <c r="CN49" s="6">
        <v>9652.8897727272706</v>
      </c>
      <c r="CO49" s="6">
        <v>4320</v>
      </c>
      <c r="CP49" s="6">
        <v>33478.400000000001</v>
      </c>
      <c r="CQ49" s="6">
        <v>0</v>
      </c>
      <c r="CR49" s="6">
        <v>0</v>
      </c>
      <c r="CS49" s="6">
        <v>0</v>
      </c>
      <c r="CT49" s="6">
        <v>37584</v>
      </c>
      <c r="CU49" s="6">
        <v>85172.556818181809</v>
      </c>
      <c r="CV49" s="6">
        <v>0</v>
      </c>
      <c r="CW49" s="6">
        <v>0</v>
      </c>
      <c r="CX49" s="6"/>
      <c r="CY49" s="6">
        <f>VLOOKUP(A49, 'At-Risk updating '!A:E, 5, 0)</f>
        <v>8903.3465909094084</v>
      </c>
      <c r="CZ49" s="6">
        <v>0</v>
      </c>
      <c r="DA49" s="6">
        <v>0</v>
      </c>
      <c r="DB49" s="6">
        <v>0</v>
      </c>
      <c r="DC49" s="6">
        <v>0</v>
      </c>
      <c r="DD49" s="6">
        <v>0</v>
      </c>
      <c r="DE49" s="10">
        <v>0</v>
      </c>
      <c r="DF49" s="6">
        <v>0</v>
      </c>
      <c r="DG49" s="7">
        <v>0</v>
      </c>
      <c r="DH49" s="11">
        <f>SUM(G49:DG49)</f>
        <v>6086951.8477272727</v>
      </c>
    </row>
    <row r="50" spans="1:112" ht="15.75" x14ac:dyDescent="0.25">
      <c r="A50" s="4">
        <v>257</v>
      </c>
      <c r="B50" s="4" t="s">
        <v>128</v>
      </c>
      <c r="C50" s="5" t="s">
        <v>201</v>
      </c>
      <c r="D50" s="5">
        <v>8</v>
      </c>
      <c r="E50" s="5">
        <v>306</v>
      </c>
      <c r="F50" s="5">
        <v>268</v>
      </c>
      <c r="G50" s="6">
        <v>171051</v>
      </c>
      <c r="H50" s="6">
        <v>97685</v>
      </c>
      <c r="I50" s="6">
        <v>110512.8</v>
      </c>
      <c r="J50" s="7">
        <v>0</v>
      </c>
      <c r="K50" s="7">
        <v>0</v>
      </c>
      <c r="L50" s="6">
        <v>75970</v>
      </c>
      <c r="M50" s="6">
        <v>55700</v>
      </c>
      <c r="N50" s="6">
        <v>0</v>
      </c>
      <c r="O50" s="6">
        <v>0</v>
      </c>
      <c r="P50" s="6">
        <v>0</v>
      </c>
      <c r="Q50" s="6">
        <v>67656</v>
      </c>
      <c r="R50" s="6">
        <v>102372</v>
      </c>
      <c r="S50" s="8">
        <v>0</v>
      </c>
      <c r="T50" s="6">
        <v>0</v>
      </c>
      <c r="U50" s="6">
        <v>97685</v>
      </c>
      <c r="V50" s="6">
        <v>97685</v>
      </c>
      <c r="W50" s="6">
        <v>97685</v>
      </c>
      <c r="X50" s="6">
        <v>97685</v>
      </c>
      <c r="Y50" s="6">
        <v>146527.5</v>
      </c>
      <c r="Z50" s="6">
        <v>195370</v>
      </c>
      <c r="AA50" s="6">
        <v>57830</v>
      </c>
      <c r="AB50" s="6">
        <v>0</v>
      </c>
      <c r="AC50" s="6">
        <v>0</v>
      </c>
      <c r="AD50" s="6">
        <v>195370</v>
      </c>
      <c r="AE50" s="6">
        <v>57830</v>
      </c>
      <c r="AF50" s="6">
        <v>195370</v>
      </c>
      <c r="AG50" s="6">
        <v>57830</v>
      </c>
      <c r="AH50" s="6">
        <v>195370</v>
      </c>
      <c r="AI50" s="6">
        <v>195370</v>
      </c>
      <c r="AJ50" s="6">
        <v>195370</v>
      </c>
      <c r="AK50" s="6">
        <v>195370</v>
      </c>
      <c r="AL50" s="6">
        <v>195370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97685</v>
      </c>
      <c r="AW50" s="6">
        <v>97685</v>
      </c>
      <c r="AX50" s="6">
        <v>293055</v>
      </c>
      <c r="AY50" s="6">
        <v>0</v>
      </c>
      <c r="AZ50" s="6">
        <v>0</v>
      </c>
      <c r="BA50" s="6">
        <v>8880.454545454546</v>
      </c>
      <c r="BB50" s="6">
        <v>0</v>
      </c>
      <c r="BC50" s="6">
        <v>0</v>
      </c>
      <c r="BD50" s="6">
        <v>23720</v>
      </c>
      <c r="BE50" s="6">
        <v>26160</v>
      </c>
      <c r="BF50" s="6">
        <v>7848</v>
      </c>
      <c r="BG50" s="6">
        <v>0</v>
      </c>
      <c r="BH50" s="6">
        <v>125775.22</v>
      </c>
      <c r="BI50" s="6">
        <v>2040.76</v>
      </c>
      <c r="BJ50" s="6">
        <v>7825</v>
      </c>
      <c r="BK50" s="6">
        <v>0</v>
      </c>
      <c r="BL50" s="6"/>
      <c r="BM50" s="6">
        <v>0</v>
      </c>
      <c r="BN50" s="6">
        <v>0</v>
      </c>
      <c r="BO50" s="6">
        <v>0</v>
      </c>
      <c r="BP50" s="6">
        <v>0</v>
      </c>
      <c r="BQ50" s="26">
        <v>0</v>
      </c>
      <c r="BR50" s="26">
        <v>0</v>
      </c>
      <c r="BS50" s="26">
        <v>0</v>
      </c>
      <c r="BT50" s="26">
        <v>0</v>
      </c>
      <c r="BU50" s="26">
        <v>0</v>
      </c>
      <c r="BV50" s="26">
        <v>0</v>
      </c>
      <c r="BW50" s="26">
        <v>0</v>
      </c>
      <c r="BX50" s="26">
        <v>0</v>
      </c>
      <c r="BY50" s="2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73263.75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10720</v>
      </c>
      <c r="CL50" s="6">
        <v>0</v>
      </c>
      <c r="CM50" s="6">
        <v>0</v>
      </c>
      <c r="CN50" s="6">
        <v>0</v>
      </c>
      <c r="CO50" s="6">
        <v>0</v>
      </c>
      <c r="CP50" s="6">
        <v>19146.63846153846</v>
      </c>
      <c r="CQ50" s="6">
        <v>0</v>
      </c>
      <c r="CR50" s="6">
        <v>0</v>
      </c>
      <c r="CS50" s="6">
        <v>0</v>
      </c>
      <c r="CT50" s="6">
        <v>26361</v>
      </c>
      <c r="CU50" s="6">
        <v>51779.546318181812</v>
      </c>
      <c r="CV50" s="6">
        <v>0</v>
      </c>
      <c r="CW50" s="6">
        <v>0</v>
      </c>
      <c r="CX50" s="6"/>
      <c r="CY50" s="6">
        <f>VLOOKUP(A50, 'At-Risk updating '!A:E, 5, 0)</f>
        <v>49102</v>
      </c>
      <c r="CZ50" s="6">
        <v>0</v>
      </c>
      <c r="DA50" s="6">
        <v>0</v>
      </c>
      <c r="DB50" s="6">
        <v>0</v>
      </c>
      <c r="DC50" s="6">
        <v>0</v>
      </c>
      <c r="DD50" s="6">
        <v>0</v>
      </c>
      <c r="DE50" s="10">
        <v>0</v>
      </c>
      <c r="DF50" s="6">
        <v>0</v>
      </c>
      <c r="DG50" s="7">
        <v>0</v>
      </c>
      <c r="DH50" s="11">
        <f>SUM(G50:DG50)</f>
        <v>3875711.6693251748</v>
      </c>
    </row>
    <row r="51" spans="1:112" ht="15.75" x14ac:dyDescent="0.25">
      <c r="A51" s="4">
        <v>272</v>
      </c>
      <c r="B51" s="4" t="s">
        <v>129</v>
      </c>
      <c r="C51" s="5" t="s">
        <v>201</v>
      </c>
      <c r="D51" s="5">
        <v>3</v>
      </c>
      <c r="E51" s="5">
        <v>407</v>
      </c>
      <c r="F51" s="5">
        <v>13</v>
      </c>
      <c r="G51" s="6">
        <v>171051</v>
      </c>
      <c r="H51" s="6">
        <v>97685</v>
      </c>
      <c r="I51" s="6">
        <v>138141</v>
      </c>
      <c r="J51" s="7">
        <v>0</v>
      </c>
      <c r="K51" s="7">
        <v>0</v>
      </c>
      <c r="L51" s="6">
        <v>75970</v>
      </c>
      <c r="M51" s="6">
        <v>55700</v>
      </c>
      <c r="N51" s="6">
        <v>40471</v>
      </c>
      <c r="O51" s="6">
        <v>0</v>
      </c>
      <c r="P51" s="6">
        <v>0</v>
      </c>
      <c r="Q51" s="6">
        <v>67656</v>
      </c>
      <c r="R51" s="6">
        <v>102372</v>
      </c>
      <c r="S51" s="8">
        <v>0</v>
      </c>
      <c r="T51" s="6">
        <v>0</v>
      </c>
      <c r="U51" s="6">
        <v>97685</v>
      </c>
      <c r="V51" s="6">
        <v>97685</v>
      </c>
      <c r="W51" s="6">
        <v>97685</v>
      </c>
      <c r="X51" s="6">
        <v>97685</v>
      </c>
      <c r="Y51" s="6">
        <v>146527.5</v>
      </c>
      <c r="Z51" s="6">
        <v>0</v>
      </c>
      <c r="AA51" s="6">
        <v>0</v>
      </c>
      <c r="AB51" s="6">
        <v>0</v>
      </c>
      <c r="AC51" s="6">
        <v>0</v>
      </c>
      <c r="AD51" s="6">
        <v>195370</v>
      </c>
      <c r="AE51" s="6">
        <v>57830</v>
      </c>
      <c r="AF51" s="6">
        <v>293055</v>
      </c>
      <c r="AG51" s="6">
        <v>86745</v>
      </c>
      <c r="AH51" s="6">
        <v>293055</v>
      </c>
      <c r="AI51" s="6">
        <v>293055</v>
      </c>
      <c r="AJ51" s="6">
        <v>293055</v>
      </c>
      <c r="AK51" s="6">
        <v>293055</v>
      </c>
      <c r="AL51" s="6">
        <v>195370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48842.5</v>
      </c>
      <c r="AW51" s="6">
        <v>97685</v>
      </c>
      <c r="AX51" s="6">
        <v>293055</v>
      </c>
      <c r="AY51" s="6">
        <v>0</v>
      </c>
      <c r="AZ51" s="6">
        <v>0</v>
      </c>
      <c r="BA51" s="6">
        <v>97685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9925</v>
      </c>
      <c r="BK51" s="6">
        <v>0</v>
      </c>
      <c r="BL51" s="6"/>
      <c r="BM51" s="6">
        <v>0</v>
      </c>
      <c r="BN51" s="6">
        <v>0</v>
      </c>
      <c r="BO51" s="6">
        <v>0</v>
      </c>
      <c r="BP51" s="6">
        <v>0</v>
      </c>
      <c r="BQ51" s="26">
        <v>0</v>
      </c>
      <c r="BR51" s="26">
        <v>0</v>
      </c>
      <c r="BS51" s="26">
        <v>0</v>
      </c>
      <c r="BT51" s="26">
        <v>0</v>
      </c>
      <c r="BU51" s="26">
        <v>0</v>
      </c>
      <c r="BV51" s="26">
        <v>0</v>
      </c>
      <c r="BW51" s="26">
        <v>0</v>
      </c>
      <c r="BX51" s="26">
        <v>0</v>
      </c>
      <c r="BY51" s="2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22355.475490196077</v>
      </c>
      <c r="CQ51" s="6">
        <v>0</v>
      </c>
      <c r="CR51" s="6">
        <v>0</v>
      </c>
      <c r="CS51" s="6">
        <v>0</v>
      </c>
      <c r="CT51" s="6">
        <v>35148</v>
      </c>
      <c r="CU51" s="6">
        <v>57362.564999999995</v>
      </c>
      <c r="CV51" s="6">
        <v>0</v>
      </c>
      <c r="CW51" s="6">
        <v>0</v>
      </c>
      <c r="CX51" s="6"/>
      <c r="CY51" s="6">
        <f>VLOOKUP(A51, 'At-Risk updating '!A:E, 5, 0)</f>
        <v>8415</v>
      </c>
      <c r="CZ51" s="6">
        <v>0</v>
      </c>
      <c r="DA51" s="6">
        <v>0</v>
      </c>
      <c r="DB51" s="6">
        <v>0</v>
      </c>
      <c r="DC51" s="6">
        <v>0</v>
      </c>
      <c r="DD51" s="6">
        <v>0</v>
      </c>
      <c r="DE51" s="10">
        <v>0</v>
      </c>
      <c r="DF51" s="6">
        <v>0</v>
      </c>
      <c r="DG51" s="7">
        <v>0</v>
      </c>
      <c r="DH51" s="11">
        <f>SUM(G51:DG51)</f>
        <v>3957377.0404901961</v>
      </c>
    </row>
    <row r="52" spans="1:112" ht="15.75" x14ac:dyDescent="0.25">
      <c r="A52" s="4">
        <v>259</v>
      </c>
      <c r="B52" s="4" t="s">
        <v>130</v>
      </c>
      <c r="C52" s="5" t="s">
        <v>201</v>
      </c>
      <c r="D52" s="5">
        <v>7</v>
      </c>
      <c r="E52" s="5">
        <v>389</v>
      </c>
      <c r="F52" s="5">
        <v>316</v>
      </c>
      <c r="G52" s="6">
        <v>171051</v>
      </c>
      <c r="H52" s="6">
        <v>97685</v>
      </c>
      <c r="I52" s="6">
        <v>138141</v>
      </c>
      <c r="J52" s="7">
        <v>0</v>
      </c>
      <c r="K52" s="7">
        <v>0</v>
      </c>
      <c r="L52" s="6">
        <v>75970</v>
      </c>
      <c r="M52" s="6">
        <v>55700</v>
      </c>
      <c r="N52" s="6">
        <v>0</v>
      </c>
      <c r="O52" s="6">
        <v>0</v>
      </c>
      <c r="P52" s="6">
        <v>0</v>
      </c>
      <c r="Q52" s="6">
        <v>67656</v>
      </c>
      <c r="R52" s="6">
        <v>102372</v>
      </c>
      <c r="S52" s="8">
        <v>1</v>
      </c>
      <c r="T52" s="6">
        <v>41134</v>
      </c>
      <c r="U52" s="6">
        <v>97685</v>
      </c>
      <c r="V52" s="6">
        <v>97685</v>
      </c>
      <c r="W52" s="6">
        <v>97685</v>
      </c>
      <c r="X52" s="6">
        <v>97685</v>
      </c>
      <c r="Y52" s="6">
        <v>0</v>
      </c>
      <c r="Z52" s="6">
        <v>195370</v>
      </c>
      <c r="AA52" s="6">
        <v>57830</v>
      </c>
      <c r="AB52" s="6">
        <v>0</v>
      </c>
      <c r="AC52" s="6">
        <v>0</v>
      </c>
      <c r="AD52" s="6">
        <v>195370</v>
      </c>
      <c r="AE52" s="6">
        <v>57830</v>
      </c>
      <c r="AF52" s="6">
        <v>293055</v>
      </c>
      <c r="AG52" s="6">
        <v>86745</v>
      </c>
      <c r="AH52" s="6">
        <v>293055</v>
      </c>
      <c r="AI52" s="6">
        <v>195370</v>
      </c>
      <c r="AJ52" s="6">
        <v>195370</v>
      </c>
      <c r="AK52" s="6">
        <v>293055</v>
      </c>
      <c r="AL52" s="6">
        <v>195370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97685</v>
      </c>
      <c r="AW52" s="6">
        <v>97685</v>
      </c>
      <c r="AX52" s="6">
        <v>488425</v>
      </c>
      <c r="AY52" s="6">
        <v>28915</v>
      </c>
      <c r="AZ52" s="6">
        <v>0</v>
      </c>
      <c r="BA52" s="6">
        <v>0</v>
      </c>
      <c r="BB52" s="6">
        <v>0</v>
      </c>
      <c r="BC52" s="6">
        <v>0</v>
      </c>
      <c r="BD52" s="6">
        <v>35580</v>
      </c>
      <c r="BE52" s="6">
        <v>39240</v>
      </c>
      <c r="BF52" s="6">
        <v>7848</v>
      </c>
      <c r="BG52" s="6">
        <v>0</v>
      </c>
      <c r="BH52" s="6">
        <v>143334.75</v>
      </c>
      <c r="BI52" s="6">
        <v>2325.67</v>
      </c>
      <c r="BJ52" s="6">
        <v>8900</v>
      </c>
      <c r="BK52" s="6">
        <v>0</v>
      </c>
      <c r="BL52" s="6"/>
      <c r="BM52" s="6">
        <v>0</v>
      </c>
      <c r="BN52" s="6">
        <v>0</v>
      </c>
      <c r="BO52" s="6">
        <v>0</v>
      </c>
      <c r="BP52" s="6">
        <v>0</v>
      </c>
      <c r="BQ52" s="26">
        <v>0</v>
      </c>
      <c r="BR52" s="26">
        <v>0</v>
      </c>
      <c r="BS52" s="26">
        <v>0</v>
      </c>
      <c r="BT52" s="26">
        <v>0</v>
      </c>
      <c r="BU52" s="26">
        <v>0</v>
      </c>
      <c r="BV52" s="26">
        <v>0</v>
      </c>
      <c r="BW52" s="26">
        <v>0</v>
      </c>
      <c r="BX52" s="26">
        <v>0</v>
      </c>
      <c r="BY52" s="2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0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12640</v>
      </c>
      <c r="CL52" s="6">
        <v>210600</v>
      </c>
      <c r="CM52" s="6">
        <v>0</v>
      </c>
      <c r="CN52" s="6">
        <v>0</v>
      </c>
      <c r="CO52" s="6">
        <v>0</v>
      </c>
      <c r="CP52" s="6">
        <v>22519.27135678392</v>
      </c>
      <c r="CQ52" s="6">
        <v>0</v>
      </c>
      <c r="CR52" s="6">
        <v>0</v>
      </c>
      <c r="CS52" s="6">
        <v>0</v>
      </c>
      <c r="CT52" s="6">
        <v>33582</v>
      </c>
      <c r="CU52" s="6">
        <v>61832.684999999998</v>
      </c>
      <c r="CV52" s="6">
        <v>0</v>
      </c>
      <c r="CW52" s="6">
        <v>0</v>
      </c>
      <c r="CX52" s="6"/>
      <c r="CY52" s="6">
        <f>VLOOKUP(A52, 'At-Risk updating '!A:E, 5, 0)</f>
        <v>42299</v>
      </c>
      <c r="CZ52" s="6">
        <v>0</v>
      </c>
      <c r="DA52" s="6">
        <v>0</v>
      </c>
      <c r="DB52" s="6">
        <v>0</v>
      </c>
      <c r="DC52" s="6">
        <v>0</v>
      </c>
      <c r="DD52" s="6">
        <v>0</v>
      </c>
      <c r="DE52" s="10">
        <v>0</v>
      </c>
      <c r="DF52" s="6">
        <v>0</v>
      </c>
      <c r="DG52" s="7">
        <v>0</v>
      </c>
      <c r="DH52" s="11">
        <f>SUM(G52:DG52)</f>
        <v>4532281.3763567833</v>
      </c>
    </row>
    <row r="53" spans="1:112" ht="15.75" x14ac:dyDescent="0.25">
      <c r="A53" s="4">
        <v>344</v>
      </c>
      <c r="B53" s="4" t="s">
        <v>131</v>
      </c>
      <c r="C53" s="5" t="s">
        <v>201</v>
      </c>
      <c r="D53" s="5">
        <v>8</v>
      </c>
      <c r="E53" s="5">
        <v>393</v>
      </c>
      <c r="F53" s="5">
        <v>348</v>
      </c>
      <c r="G53" s="6">
        <v>171051</v>
      </c>
      <c r="H53" s="6">
        <v>97685</v>
      </c>
      <c r="I53" s="6">
        <v>138141</v>
      </c>
      <c r="J53" s="7">
        <v>0</v>
      </c>
      <c r="K53" s="7">
        <v>0</v>
      </c>
      <c r="L53" s="6">
        <v>75970</v>
      </c>
      <c r="M53" s="6">
        <v>55700</v>
      </c>
      <c r="N53" s="6">
        <v>0</v>
      </c>
      <c r="O53" s="6">
        <v>0</v>
      </c>
      <c r="P53" s="6">
        <v>0</v>
      </c>
      <c r="Q53" s="6">
        <v>67656</v>
      </c>
      <c r="R53" s="6">
        <v>51186</v>
      </c>
      <c r="S53" s="8">
        <v>2</v>
      </c>
      <c r="T53" s="6">
        <v>82268</v>
      </c>
      <c r="U53" s="6">
        <v>97685</v>
      </c>
      <c r="V53" s="6">
        <v>97685</v>
      </c>
      <c r="W53" s="6">
        <v>97685</v>
      </c>
      <c r="X53" s="6">
        <v>97685</v>
      </c>
      <c r="Y53" s="6">
        <v>0</v>
      </c>
      <c r="Z53" s="6">
        <v>195370</v>
      </c>
      <c r="AA53" s="6">
        <v>57830</v>
      </c>
      <c r="AB53" s="6">
        <v>0</v>
      </c>
      <c r="AC53" s="6">
        <v>0</v>
      </c>
      <c r="AD53" s="6">
        <v>293055</v>
      </c>
      <c r="AE53" s="6">
        <v>86745</v>
      </c>
      <c r="AF53" s="6">
        <v>293055</v>
      </c>
      <c r="AG53" s="6">
        <v>86745</v>
      </c>
      <c r="AH53" s="6">
        <v>293055</v>
      </c>
      <c r="AI53" s="6">
        <v>293055</v>
      </c>
      <c r="AJ53" s="6">
        <v>195370</v>
      </c>
      <c r="AK53" s="6">
        <v>195370</v>
      </c>
      <c r="AL53" s="6">
        <v>293055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97685</v>
      </c>
      <c r="AW53" s="6">
        <v>97685</v>
      </c>
      <c r="AX53" s="6">
        <v>390740</v>
      </c>
      <c r="AY53" s="6">
        <v>0</v>
      </c>
      <c r="AZ53" s="6">
        <v>0</v>
      </c>
      <c r="BA53" s="6">
        <v>13320.681818181818</v>
      </c>
      <c r="BB53" s="6">
        <v>0</v>
      </c>
      <c r="BC53" s="6">
        <v>0</v>
      </c>
      <c r="BD53" s="6">
        <v>23720</v>
      </c>
      <c r="BE53" s="6">
        <v>26160</v>
      </c>
      <c r="BF53" s="6">
        <v>7848</v>
      </c>
      <c r="BG53" s="6">
        <v>0</v>
      </c>
      <c r="BH53" s="6">
        <v>160077.54999999999</v>
      </c>
      <c r="BI53" s="6">
        <v>2597.33</v>
      </c>
      <c r="BJ53" s="6">
        <v>9950</v>
      </c>
      <c r="BK53" s="6">
        <v>0</v>
      </c>
      <c r="BL53" s="6"/>
      <c r="BM53" s="6">
        <v>0</v>
      </c>
      <c r="BN53" s="6">
        <v>0</v>
      </c>
      <c r="BO53" s="6">
        <v>0</v>
      </c>
      <c r="BP53" s="6">
        <v>97685</v>
      </c>
      <c r="BQ53" s="26">
        <v>0</v>
      </c>
      <c r="BR53" s="26">
        <v>0</v>
      </c>
      <c r="BS53" s="26">
        <v>0</v>
      </c>
      <c r="BT53" s="26">
        <v>0</v>
      </c>
      <c r="BU53" s="26">
        <v>0</v>
      </c>
      <c r="BV53" s="26">
        <v>0</v>
      </c>
      <c r="BW53" s="26">
        <v>0</v>
      </c>
      <c r="BX53" s="26">
        <v>0</v>
      </c>
      <c r="BY53" s="2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E53" s="6">
        <v>0</v>
      </c>
      <c r="CF53" s="6">
        <v>0</v>
      </c>
      <c r="CG53" s="6">
        <v>0</v>
      </c>
      <c r="CH53" s="6">
        <v>0</v>
      </c>
      <c r="CI53" s="6">
        <v>0</v>
      </c>
      <c r="CJ53" s="6">
        <v>0</v>
      </c>
      <c r="CK53" s="6">
        <v>13920</v>
      </c>
      <c r="CL53" s="6">
        <v>0</v>
      </c>
      <c r="CM53" s="6">
        <v>432710.72727272706</v>
      </c>
      <c r="CN53" s="6">
        <v>7556.913795454544</v>
      </c>
      <c r="CO53" s="6">
        <v>3900</v>
      </c>
      <c r="CP53" s="6">
        <v>21517.68918918919</v>
      </c>
      <c r="CQ53" s="6">
        <v>0</v>
      </c>
      <c r="CR53" s="6">
        <v>0</v>
      </c>
      <c r="CS53" s="6">
        <v>0</v>
      </c>
      <c r="CT53" s="6">
        <v>33930</v>
      </c>
      <c r="CU53" s="6">
        <v>66678.651136363624</v>
      </c>
      <c r="CV53" s="6">
        <v>0</v>
      </c>
      <c r="CW53" s="6">
        <v>0</v>
      </c>
      <c r="CX53" s="6"/>
      <c r="CY53" s="6">
        <f>VLOOKUP(A53, 'At-Risk updating '!A:E, 5, 0)</f>
        <v>37093.858931818395</v>
      </c>
      <c r="CZ53" s="6">
        <v>0</v>
      </c>
      <c r="DA53" s="6">
        <v>0</v>
      </c>
      <c r="DB53" s="6">
        <v>0</v>
      </c>
      <c r="DC53" s="6">
        <v>0</v>
      </c>
      <c r="DD53" s="6">
        <v>0</v>
      </c>
      <c r="DE53" s="10">
        <v>0</v>
      </c>
      <c r="DF53" s="6">
        <v>0</v>
      </c>
      <c r="DG53" s="7">
        <v>0</v>
      </c>
      <c r="DH53" s="11">
        <f>SUM(G53:DG53)</f>
        <v>4957880.4021437345</v>
      </c>
    </row>
    <row r="54" spans="1:112" ht="15.75" x14ac:dyDescent="0.25">
      <c r="A54" s="4">
        <v>417</v>
      </c>
      <c r="B54" s="4" t="s">
        <v>132</v>
      </c>
      <c r="C54" s="5" t="s">
        <v>204</v>
      </c>
      <c r="D54" s="5">
        <v>8</v>
      </c>
      <c r="E54" s="5">
        <v>207</v>
      </c>
      <c r="F54" s="5">
        <v>187</v>
      </c>
      <c r="G54" s="6">
        <v>171051</v>
      </c>
      <c r="H54" s="6">
        <v>97685</v>
      </c>
      <c r="I54" s="6">
        <v>96698.7</v>
      </c>
      <c r="J54" s="7">
        <v>97685</v>
      </c>
      <c r="K54" s="7">
        <v>0</v>
      </c>
      <c r="L54" s="6">
        <v>37985</v>
      </c>
      <c r="M54" s="6">
        <v>55700</v>
      </c>
      <c r="N54" s="6">
        <v>0</v>
      </c>
      <c r="O54" s="6">
        <v>0</v>
      </c>
      <c r="P54" s="6">
        <v>58487</v>
      </c>
      <c r="Q54" s="6">
        <v>67656</v>
      </c>
      <c r="R54" s="6">
        <v>153558</v>
      </c>
      <c r="S54" s="8">
        <v>1</v>
      </c>
      <c r="T54" s="6">
        <v>41134</v>
      </c>
      <c r="U54" s="6">
        <v>48842.5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322360.5</v>
      </c>
      <c r="AN54" s="6">
        <v>302823.5</v>
      </c>
      <c r="AO54" s="6">
        <v>293055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97685</v>
      </c>
      <c r="AW54" s="6">
        <v>390740</v>
      </c>
      <c r="AX54" s="6">
        <v>683795</v>
      </c>
      <c r="AY54" s="6">
        <v>57830</v>
      </c>
      <c r="AZ54" s="6">
        <v>90444</v>
      </c>
      <c r="BA54" s="6">
        <v>8880.454545454546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100048.47</v>
      </c>
      <c r="BI54" s="6">
        <v>1623.33</v>
      </c>
      <c r="BJ54" s="6">
        <v>6225</v>
      </c>
      <c r="BK54" s="6">
        <v>0</v>
      </c>
      <c r="BL54" s="6"/>
      <c r="BM54" s="6">
        <v>0</v>
      </c>
      <c r="BN54" s="6">
        <v>138141</v>
      </c>
      <c r="BO54" s="6">
        <v>0</v>
      </c>
      <c r="BP54" s="6">
        <v>0</v>
      </c>
      <c r="BQ54" s="26">
        <v>0</v>
      </c>
      <c r="BR54" s="26">
        <v>0</v>
      </c>
      <c r="BS54" s="26">
        <v>0</v>
      </c>
      <c r="BT54" s="26">
        <v>0</v>
      </c>
      <c r="BU54" s="26">
        <v>0</v>
      </c>
      <c r="BV54" s="26">
        <v>0</v>
      </c>
      <c r="BW54" s="26">
        <v>0</v>
      </c>
      <c r="BX54" s="26">
        <v>0</v>
      </c>
      <c r="BY54" s="2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195370</v>
      </c>
      <c r="CF54" s="6">
        <v>23000</v>
      </c>
      <c r="CG54" s="6">
        <v>5000</v>
      </c>
      <c r="CH54" s="6">
        <v>100000</v>
      </c>
      <c r="CI54" s="6">
        <v>0</v>
      </c>
      <c r="CJ54" s="6">
        <v>0</v>
      </c>
      <c r="CK54" s="6">
        <v>7480</v>
      </c>
      <c r="CL54" s="6">
        <v>0</v>
      </c>
      <c r="CM54" s="6">
        <v>0</v>
      </c>
      <c r="CN54" s="6">
        <v>0</v>
      </c>
      <c r="CO54" s="6">
        <v>0</v>
      </c>
      <c r="CP54" s="6">
        <v>17603.866666666665</v>
      </c>
      <c r="CQ54" s="6">
        <v>0</v>
      </c>
      <c r="CR54" s="6">
        <v>0</v>
      </c>
      <c r="CS54" s="6">
        <v>0</v>
      </c>
      <c r="CT54" s="6">
        <v>17922</v>
      </c>
      <c r="CU54" s="6">
        <v>54114.099818181821</v>
      </c>
      <c r="CV54" s="6">
        <v>0</v>
      </c>
      <c r="CW54" s="6">
        <v>0</v>
      </c>
      <c r="CX54" s="6"/>
      <c r="CY54" s="6">
        <f>VLOOKUP(A54, 'At-Risk updating '!A:E, 5, 0)</f>
        <v>5423</v>
      </c>
      <c r="CZ54" s="6">
        <v>0</v>
      </c>
      <c r="DA54" s="6">
        <v>0</v>
      </c>
      <c r="DB54" s="6">
        <v>0</v>
      </c>
      <c r="DC54" s="6">
        <v>0</v>
      </c>
      <c r="DD54" s="6">
        <v>0</v>
      </c>
      <c r="DE54" s="10">
        <v>0</v>
      </c>
      <c r="DF54" s="6">
        <v>0</v>
      </c>
      <c r="DG54" s="7">
        <v>275229.68146969704</v>
      </c>
      <c r="DH54" s="11">
        <f>SUM(G54:DG54)</f>
        <v>4121277.1025000005</v>
      </c>
    </row>
    <row r="55" spans="1:112" ht="15.75" x14ac:dyDescent="0.25">
      <c r="A55" s="4">
        <v>261</v>
      </c>
      <c r="B55" s="4" t="s">
        <v>133</v>
      </c>
      <c r="C55" s="5" t="s">
        <v>201</v>
      </c>
      <c r="D55" s="5">
        <v>4</v>
      </c>
      <c r="E55" s="5">
        <v>779</v>
      </c>
      <c r="F55" s="5">
        <v>22</v>
      </c>
      <c r="G55" s="6">
        <v>171051</v>
      </c>
      <c r="H55" s="6">
        <v>97685</v>
      </c>
      <c r="I55" s="6">
        <v>276282</v>
      </c>
      <c r="J55" s="7">
        <v>0</v>
      </c>
      <c r="K55" s="7">
        <v>0</v>
      </c>
      <c r="L55" s="6">
        <v>75970</v>
      </c>
      <c r="M55" s="6">
        <v>55700</v>
      </c>
      <c r="N55" s="6">
        <v>80942</v>
      </c>
      <c r="O55" s="6">
        <v>0</v>
      </c>
      <c r="P55" s="6">
        <v>0</v>
      </c>
      <c r="Q55" s="6">
        <v>67656</v>
      </c>
      <c r="R55" s="6">
        <v>51186</v>
      </c>
      <c r="S55" s="8">
        <v>4</v>
      </c>
      <c r="T55" s="6">
        <v>164536</v>
      </c>
      <c r="U55" s="6">
        <v>97685</v>
      </c>
      <c r="V55" s="6">
        <v>97685</v>
      </c>
      <c r="W55" s="6">
        <v>97685</v>
      </c>
      <c r="X55" s="6">
        <v>97685</v>
      </c>
      <c r="Y55" s="6">
        <v>439582.5</v>
      </c>
      <c r="Z55" s="6">
        <v>0</v>
      </c>
      <c r="AA55" s="6">
        <v>0</v>
      </c>
      <c r="AB55" s="6">
        <v>0</v>
      </c>
      <c r="AC55" s="6">
        <v>0</v>
      </c>
      <c r="AD55" s="6">
        <v>488425</v>
      </c>
      <c r="AE55" s="6">
        <v>144575</v>
      </c>
      <c r="AF55" s="6">
        <v>488425</v>
      </c>
      <c r="AG55" s="6">
        <v>144575</v>
      </c>
      <c r="AH55" s="6">
        <v>586110</v>
      </c>
      <c r="AI55" s="6">
        <v>488425</v>
      </c>
      <c r="AJ55" s="6">
        <v>488425</v>
      </c>
      <c r="AK55" s="6">
        <v>390740</v>
      </c>
      <c r="AL55" s="6">
        <v>488425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97685</v>
      </c>
      <c r="AW55" s="6">
        <v>48842.5</v>
      </c>
      <c r="AX55" s="6">
        <v>488425</v>
      </c>
      <c r="AY55" s="6">
        <v>57830</v>
      </c>
      <c r="AZ55" s="6">
        <v>0</v>
      </c>
      <c r="BA55" s="6">
        <v>97685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19000</v>
      </c>
      <c r="BK55" s="6">
        <v>0</v>
      </c>
      <c r="BL55" s="6"/>
      <c r="BM55" s="6">
        <v>0</v>
      </c>
      <c r="BN55" s="6">
        <v>0</v>
      </c>
      <c r="BO55" s="6">
        <v>0</v>
      </c>
      <c r="BP55" s="6">
        <v>0</v>
      </c>
      <c r="BQ55" s="26">
        <v>0</v>
      </c>
      <c r="BR55" s="26">
        <v>0</v>
      </c>
      <c r="BS55" s="26">
        <v>0</v>
      </c>
      <c r="BT55" s="26">
        <v>0</v>
      </c>
      <c r="BU55" s="26">
        <v>0</v>
      </c>
      <c r="BV55" s="26">
        <v>0</v>
      </c>
      <c r="BW55" s="26">
        <v>0</v>
      </c>
      <c r="BX55" s="26">
        <v>0</v>
      </c>
      <c r="BY55" s="2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0</v>
      </c>
      <c r="CE55" s="6">
        <v>0</v>
      </c>
      <c r="CF55" s="6">
        <v>0</v>
      </c>
      <c r="CG55" s="6">
        <v>0</v>
      </c>
      <c r="CH55" s="6">
        <v>0</v>
      </c>
      <c r="CI55" s="6">
        <v>0</v>
      </c>
      <c r="CJ55" s="6">
        <v>0</v>
      </c>
      <c r="CK55" s="6">
        <v>0</v>
      </c>
      <c r="CL55" s="6">
        <v>0</v>
      </c>
      <c r="CM55" s="6">
        <v>0</v>
      </c>
      <c r="CN55" s="6">
        <v>0</v>
      </c>
      <c r="CO55" s="6">
        <v>0</v>
      </c>
      <c r="CP55" s="6">
        <v>41633.043478260872</v>
      </c>
      <c r="CQ55" s="6">
        <v>0</v>
      </c>
      <c r="CR55" s="6">
        <v>0</v>
      </c>
      <c r="CS55" s="6">
        <v>0</v>
      </c>
      <c r="CT55" s="6">
        <v>69252</v>
      </c>
      <c r="CU55" s="6">
        <v>95548.845000000001</v>
      </c>
      <c r="CV55" s="6">
        <v>568643.11152173951</v>
      </c>
      <c r="CW55" s="6">
        <v>0</v>
      </c>
      <c r="CX55" s="6"/>
      <c r="CY55" s="6">
        <f>VLOOKUP(A55, 'At-Risk updating '!A:E, 5, 0)</f>
        <v>9580</v>
      </c>
      <c r="CZ55" s="6">
        <v>0</v>
      </c>
      <c r="DA55" s="6">
        <v>0</v>
      </c>
      <c r="DB55" s="6">
        <v>0</v>
      </c>
      <c r="DC55" s="6">
        <v>0</v>
      </c>
      <c r="DD55" s="6">
        <v>0</v>
      </c>
      <c r="DE55" s="10">
        <v>0</v>
      </c>
      <c r="DF55" s="6">
        <v>0</v>
      </c>
      <c r="DG55" s="7">
        <v>0</v>
      </c>
      <c r="DH55" s="11">
        <f>SUM(G55:DG55)</f>
        <v>7173584</v>
      </c>
    </row>
    <row r="56" spans="1:112" ht="15.75" x14ac:dyDescent="0.25">
      <c r="A56" s="4">
        <v>262</v>
      </c>
      <c r="B56" s="4" t="s">
        <v>134</v>
      </c>
      <c r="C56" s="5" t="s">
        <v>201</v>
      </c>
      <c r="D56" s="5">
        <v>5</v>
      </c>
      <c r="E56" s="5">
        <v>338</v>
      </c>
      <c r="F56" s="5">
        <v>196</v>
      </c>
      <c r="G56" s="6">
        <v>171051</v>
      </c>
      <c r="H56" s="6">
        <v>97685</v>
      </c>
      <c r="I56" s="6">
        <v>110512.8</v>
      </c>
      <c r="J56" s="7">
        <v>0</v>
      </c>
      <c r="K56" s="7">
        <v>0</v>
      </c>
      <c r="L56" s="6">
        <v>75970</v>
      </c>
      <c r="M56" s="6">
        <v>55700</v>
      </c>
      <c r="N56" s="6">
        <v>0</v>
      </c>
      <c r="O56" s="6">
        <v>0</v>
      </c>
      <c r="P56" s="6">
        <v>0</v>
      </c>
      <c r="Q56" s="6">
        <v>67656</v>
      </c>
      <c r="R56" s="6">
        <v>51186</v>
      </c>
      <c r="S56" s="8">
        <v>2</v>
      </c>
      <c r="T56" s="6">
        <v>82268</v>
      </c>
      <c r="U56" s="6">
        <v>97685</v>
      </c>
      <c r="V56" s="6">
        <v>97685</v>
      </c>
      <c r="W56" s="6">
        <v>97685</v>
      </c>
      <c r="X56" s="6">
        <v>97685</v>
      </c>
      <c r="Y56" s="6">
        <v>0</v>
      </c>
      <c r="Z56" s="6">
        <v>97685</v>
      </c>
      <c r="AA56" s="6">
        <v>28915</v>
      </c>
      <c r="AB56" s="6">
        <v>293055</v>
      </c>
      <c r="AC56" s="6">
        <v>86745</v>
      </c>
      <c r="AD56" s="6">
        <v>97685</v>
      </c>
      <c r="AE56" s="6">
        <v>28915</v>
      </c>
      <c r="AF56" s="6">
        <v>195370</v>
      </c>
      <c r="AG56" s="6">
        <v>57830</v>
      </c>
      <c r="AH56" s="6">
        <v>195370</v>
      </c>
      <c r="AI56" s="6">
        <v>195370</v>
      </c>
      <c r="AJ56" s="6">
        <v>195370</v>
      </c>
      <c r="AK56" s="6">
        <v>195370</v>
      </c>
      <c r="AL56" s="6">
        <v>195370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48842.5</v>
      </c>
      <c r="AW56" s="6">
        <v>97685</v>
      </c>
      <c r="AX56" s="6">
        <v>390740</v>
      </c>
      <c r="AY56" s="6">
        <v>57830</v>
      </c>
      <c r="AZ56" s="6">
        <v>0</v>
      </c>
      <c r="BA56" s="6">
        <v>97685</v>
      </c>
      <c r="BB56" s="6">
        <v>0</v>
      </c>
      <c r="BC56" s="6">
        <v>0</v>
      </c>
      <c r="BD56" s="6">
        <v>35580</v>
      </c>
      <c r="BE56" s="6">
        <v>39240</v>
      </c>
      <c r="BF56" s="6">
        <v>7848</v>
      </c>
      <c r="BG56" s="6">
        <v>0</v>
      </c>
      <c r="BH56" s="6">
        <v>122099.97</v>
      </c>
      <c r="BI56" s="6">
        <v>1981.12</v>
      </c>
      <c r="BJ56" s="6">
        <v>7600</v>
      </c>
      <c r="BK56" s="6">
        <v>0</v>
      </c>
      <c r="BL56" s="6"/>
      <c r="BM56" s="6">
        <v>0</v>
      </c>
      <c r="BN56" s="6">
        <v>0</v>
      </c>
      <c r="BO56" s="6">
        <v>0</v>
      </c>
      <c r="BP56" s="6">
        <v>0</v>
      </c>
      <c r="BQ56" s="26">
        <v>0</v>
      </c>
      <c r="BR56" s="26">
        <v>0</v>
      </c>
      <c r="BS56" s="26">
        <v>0</v>
      </c>
      <c r="BT56" s="26">
        <v>0</v>
      </c>
      <c r="BU56" s="26">
        <v>0</v>
      </c>
      <c r="BV56" s="26">
        <v>0</v>
      </c>
      <c r="BW56" s="26">
        <v>0</v>
      </c>
      <c r="BX56" s="26">
        <v>0</v>
      </c>
      <c r="BY56" s="2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6">
        <v>3920</v>
      </c>
      <c r="CL56" s="6">
        <v>0</v>
      </c>
      <c r="CM56" s="6">
        <v>0</v>
      </c>
      <c r="CN56" s="6">
        <v>0</v>
      </c>
      <c r="CO56" s="6">
        <v>0</v>
      </c>
      <c r="CP56" s="6">
        <v>19755.400000000001</v>
      </c>
      <c r="CQ56" s="6">
        <v>0</v>
      </c>
      <c r="CR56" s="6">
        <v>0</v>
      </c>
      <c r="CS56" s="6">
        <v>0</v>
      </c>
      <c r="CT56" s="6">
        <v>29145</v>
      </c>
      <c r="CU56" s="6">
        <v>54879.019499999995</v>
      </c>
      <c r="CV56" s="6">
        <v>0</v>
      </c>
      <c r="CW56" s="6">
        <v>0</v>
      </c>
      <c r="CX56" s="6"/>
      <c r="CY56" s="6">
        <f>VLOOKUP(A56, 'At-Risk updating '!A:E, 5, 0)</f>
        <v>10851.5</v>
      </c>
      <c r="CZ56" s="6">
        <v>0</v>
      </c>
      <c r="DA56" s="6">
        <v>0</v>
      </c>
      <c r="DB56" s="6">
        <v>0</v>
      </c>
      <c r="DC56" s="6">
        <v>0</v>
      </c>
      <c r="DD56" s="6">
        <v>0</v>
      </c>
      <c r="DE56" s="10">
        <v>0</v>
      </c>
      <c r="DF56" s="6">
        <v>0</v>
      </c>
      <c r="DG56" s="7">
        <v>0</v>
      </c>
      <c r="DH56" s="11">
        <f>SUM(G56:DG56)</f>
        <v>3991503.3095</v>
      </c>
    </row>
    <row r="57" spans="1:112" ht="15.75" x14ac:dyDescent="0.25">
      <c r="A57" s="4">
        <v>370</v>
      </c>
      <c r="B57" s="4" t="s">
        <v>135</v>
      </c>
      <c r="C57" s="5" t="s">
        <v>201</v>
      </c>
      <c r="D57" s="5">
        <v>5</v>
      </c>
      <c r="E57" s="5">
        <v>287</v>
      </c>
      <c r="F57" s="5">
        <v>174</v>
      </c>
      <c r="G57" s="6">
        <v>171051</v>
      </c>
      <c r="H57" s="6">
        <v>97685</v>
      </c>
      <c r="I57" s="6">
        <v>0</v>
      </c>
      <c r="J57" s="7">
        <v>0</v>
      </c>
      <c r="K57" s="7">
        <v>0</v>
      </c>
      <c r="L57" s="6">
        <v>37985</v>
      </c>
      <c r="M57" s="6">
        <v>55700</v>
      </c>
      <c r="N57" s="6">
        <v>0</v>
      </c>
      <c r="O57" s="6">
        <v>0</v>
      </c>
      <c r="P57" s="6">
        <v>0</v>
      </c>
      <c r="Q57" s="6">
        <v>67656</v>
      </c>
      <c r="R57" s="6">
        <v>51186</v>
      </c>
      <c r="S57" s="8">
        <v>1</v>
      </c>
      <c r="T57" s="6">
        <v>41134</v>
      </c>
      <c r="U57" s="6">
        <v>48842.5</v>
      </c>
      <c r="V57" s="6">
        <v>97685</v>
      </c>
      <c r="W57" s="6">
        <v>97685</v>
      </c>
      <c r="X57" s="6">
        <v>97685</v>
      </c>
      <c r="Y57" s="6">
        <v>0</v>
      </c>
      <c r="Z57" s="6">
        <v>195370</v>
      </c>
      <c r="AA57" s="6">
        <v>57830</v>
      </c>
      <c r="AB57" s="6">
        <v>0</v>
      </c>
      <c r="AC57" s="6">
        <v>0</v>
      </c>
      <c r="AD57" s="6">
        <v>195370</v>
      </c>
      <c r="AE57" s="6">
        <v>57830</v>
      </c>
      <c r="AF57" s="6">
        <v>195370</v>
      </c>
      <c r="AG57" s="6">
        <v>57830</v>
      </c>
      <c r="AH57" s="6">
        <v>195370</v>
      </c>
      <c r="AI57" s="6">
        <v>195370</v>
      </c>
      <c r="AJ57" s="6">
        <v>195370</v>
      </c>
      <c r="AK57" s="6">
        <v>195370</v>
      </c>
      <c r="AL57" s="6">
        <v>195370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48842.5</v>
      </c>
      <c r="AW57" s="6">
        <v>146527.5</v>
      </c>
      <c r="AX57" s="6">
        <v>976850</v>
      </c>
      <c r="AY57" s="6">
        <v>289150</v>
      </c>
      <c r="AZ57" s="6">
        <v>90444</v>
      </c>
      <c r="BA57" s="6">
        <v>97685</v>
      </c>
      <c r="BB57" s="6">
        <v>0</v>
      </c>
      <c r="BC57" s="6">
        <v>0</v>
      </c>
      <c r="BD57" s="6">
        <v>17790</v>
      </c>
      <c r="BE57" s="6">
        <v>19620</v>
      </c>
      <c r="BF57" s="6">
        <v>7848</v>
      </c>
      <c r="BG57" s="6">
        <v>0</v>
      </c>
      <c r="BH57" s="6">
        <v>115566.19</v>
      </c>
      <c r="BI57" s="6">
        <v>1875.11</v>
      </c>
      <c r="BJ57" s="6">
        <v>7175</v>
      </c>
      <c r="BK57" s="6">
        <v>0</v>
      </c>
      <c r="BL57" s="6"/>
      <c r="BM57" s="6">
        <v>0</v>
      </c>
      <c r="BN57" s="6">
        <v>0</v>
      </c>
      <c r="BO57" s="6">
        <v>0</v>
      </c>
      <c r="BP57" s="6">
        <v>0</v>
      </c>
      <c r="BQ57" s="26">
        <v>0</v>
      </c>
      <c r="BR57" s="26">
        <v>0</v>
      </c>
      <c r="BS57" s="26">
        <v>0</v>
      </c>
      <c r="BT57" s="26">
        <v>0</v>
      </c>
      <c r="BU57" s="26">
        <v>0</v>
      </c>
      <c r="BV57" s="26">
        <v>0</v>
      </c>
      <c r="BW57" s="26">
        <v>0</v>
      </c>
      <c r="BX57" s="26">
        <v>0</v>
      </c>
      <c r="BY57" s="2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0</v>
      </c>
      <c r="CH57" s="6">
        <v>0</v>
      </c>
      <c r="CI57" s="6">
        <v>0</v>
      </c>
      <c r="CJ57" s="6">
        <v>0</v>
      </c>
      <c r="CK57" s="6">
        <v>3480</v>
      </c>
      <c r="CL57" s="6">
        <v>0</v>
      </c>
      <c r="CM57" s="6">
        <v>0</v>
      </c>
      <c r="CN57" s="6">
        <v>0</v>
      </c>
      <c r="CO57" s="6">
        <v>0</v>
      </c>
      <c r="CP57" s="6">
        <v>17191.849056603773</v>
      </c>
      <c r="CQ57" s="6">
        <v>0</v>
      </c>
      <c r="CR57" s="6">
        <v>0</v>
      </c>
      <c r="CS57" s="6">
        <v>0</v>
      </c>
      <c r="CT57" s="6">
        <v>24708</v>
      </c>
      <c r="CU57" s="6">
        <v>63753.652499999997</v>
      </c>
      <c r="CV57" s="6">
        <v>0</v>
      </c>
      <c r="CW57" s="6">
        <v>0</v>
      </c>
      <c r="CX57" s="6"/>
      <c r="CY57" s="6">
        <f>VLOOKUP(A57, 'At-Risk updating '!A:E, 5, 0)</f>
        <v>94691</v>
      </c>
      <c r="CZ57" s="6">
        <v>0</v>
      </c>
      <c r="DA57" s="6">
        <v>0</v>
      </c>
      <c r="DB57" s="6">
        <v>0</v>
      </c>
      <c r="DC57" s="6">
        <v>0</v>
      </c>
      <c r="DD57" s="6">
        <v>0</v>
      </c>
      <c r="DE57" s="10">
        <v>0</v>
      </c>
      <c r="DF57" s="6">
        <v>0</v>
      </c>
      <c r="DG57" s="7">
        <v>0</v>
      </c>
      <c r="DH57" s="11">
        <f>SUM(G57:DG57)</f>
        <v>4623943.301556604</v>
      </c>
    </row>
    <row r="58" spans="1:112" ht="15.75" x14ac:dyDescent="0.25">
      <c r="A58" s="4">
        <v>264</v>
      </c>
      <c r="B58" s="4" t="s">
        <v>136</v>
      </c>
      <c r="C58" s="5" t="s">
        <v>203</v>
      </c>
      <c r="D58" s="5">
        <v>4</v>
      </c>
      <c r="E58" s="5">
        <v>375</v>
      </c>
      <c r="F58" s="5">
        <v>214</v>
      </c>
      <c r="G58" s="6">
        <v>171051</v>
      </c>
      <c r="H58" s="6">
        <v>97685</v>
      </c>
      <c r="I58" s="6">
        <v>55256.4</v>
      </c>
      <c r="J58" s="7">
        <v>97685</v>
      </c>
      <c r="K58" s="7">
        <v>0</v>
      </c>
      <c r="L58" s="6">
        <v>75970</v>
      </c>
      <c r="M58" s="6">
        <v>55700</v>
      </c>
      <c r="N58" s="6">
        <v>0</v>
      </c>
      <c r="O58" s="6">
        <v>0</v>
      </c>
      <c r="P58" s="6">
        <v>0</v>
      </c>
      <c r="Q58" s="6">
        <v>67656</v>
      </c>
      <c r="R58" s="6">
        <v>102372</v>
      </c>
      <c r="S58" s="8">
        <v>1</v>
      </c>
      <c r="T58" s="6">
        <v>41134</v>
      </c>
      <c r="U58" s="6">
        <v>97685</v>
      </c>
      <c r="V58" s="6">
        <v>97685</v>
      </c>
      <c r="W58" s="6">
        <v>97685</v>
      </c>
      <c r="X58" s="6">
        <v>97685</v>
      </c>
      <c r="Y58" s="6">
        <v>0</v>
      </c>
      <c r="Z58" s="6">
        <v>97685</v>
      </c>
      <c r="AA58" s="6">
        <v>28915</v>
      </c>
      <c r="AB58" s="6">
        <v>97685</v>
      </c>
      <c r="AC58" s="6">
        <v>28915</v>
      </c>
      <c r="AD58" s="6">
        <v>97685</v>
      </c>
      <c r="AE58" s="6">
        <v>28915</v>
      </c>
      <c r="AF58" s="6">
        <v>195370</v>
      </c>
      <c r="AG58" s="6">
        <v>57830</v>
      </c>
      <c r="AH58" s="6">
        <v>195370</v>
      </c>
      <c r="AI58" s="6">
        <v>195370</v>
      </c>
      <c r="AJ58" s="6">
        <v>97685</v>
      </c>
      <c r="AK58" s="6">
        <v>195370</v>
      </c>
      <c r="AL58" s="6">
        <v>195370</v>
      </c>
      <c r="AM58" s="6">
        <v>185601.5</v>
      </c>
      <c r="AN58" s="6">
        <v>166064.5</v>
      </c>
      <c r="AO58" s="6">
        <v>166064.5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48842.5</v>
      </c>
      <c r="AW58" s="6">
        <v>293055</v>
      </c>
      <c r="AX58" s="6">
        <v>683795</v>
      </c>
      <c r="AY58" s="6">
        <v>86745</v>
      </c>
      <c r="AZ58" s="6">
        <v>90444</v>
      </c>
      <c r="BA58" s="6">
        <v>586110</v>
      </c>
      <c r="BB58" s="6">
        <v>0</v>
      </c>
      <c r="BC58" s="6">
        <v>97685</v>
      </c>
      <c r="BD58" s="6">
        <v>29650</v>
      </c>
      <c r="BE58" s="6">
        <v>32700</v>
      </c>
      <c r="BF58" s="6">
        <v>7848</v>
      </c>
      <c r="BG58" s="6">
        <v>0</v>
      </c>
      <c r="BH58" s="6">
        <v>138434.41</v>
      </c>
      <c r="BI58" s="6">
        <v>2246.16</v>
      </c>
      <c r="BJ58" s="6">
        <v>8600</v>
      </c>
      <c r="BK58" s="6">
        <v>0</v>
      </c>
      <c r="BL58" s="6"/>
      <c r="BM58" s="6">
        <v>0</v>
      </c>
      <c r="BN58" s="6">
        <v>0</v>
      </c>
      <c r="BO58" s="6">
        <v>0</v>
      </c>
      <c r="BP58" s="6">
        <v>0</v>
      </c>
      <c r="BQ58" s="26">
        <v>0</v>
      </c>
      <c r="BR58" s="26">
        <v>0</v>
      </c>
      <c r="BS58" s="26">
        <v>0</v>
      </c>
      <c r="BT58" s="26">
        <v>0</v>
      </c>
      <c r="BU58" s="26">
        <v>0</v>
      </c>
      <c r="BV58" s="26">
        <v>0</v>
      </c>
      <c r="BW58" s="26">
        <v>0</v>
      </c>
      <c r="BX58" s="26">
        <v>0</v>
      </c>
      <c r="BY58" s="2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6">
        <v>195370</v>
      </c>
      <c r="CF58" s="6">
        <v>23000</v>
      </c>
      <c r="CG58" s="6">
        <v>5000</v>
      </c>
      <c r="CH58" s="6">
        <v>100000</v>
      </c>
      <c r="CI58" s="6">
        <v>0</v>
      </c>
      <c r="CJ58" s="6">
        <v>0</v>
      </c>
      <c r="CK58" s="6">
        <v>4280</v>
      </c>
      <c r="CL58" s="6">
        <v>0</v>
      </c>
      <c r="CM58" s="6">
        <v>0</v>
      </c>
      <c r="CN58" s="6">
        <v>0</v>
      </c>
      <c r="CO58" s="6">
        <v>0</v>
      </c>
      <c r="CP58" s="6">
        <v>23050.7</v>
      </c>
      <c r="CQ58" s="6">
        <v>0</v>
      </c>
      <c r="CR58" s="6">
        <v>0</v>
      </c>
      <c r="CS58" s="6">
        <v>0</v>
      </c>
      <c r="CT58" s="6">
        <v>32364</v>
      </c>
      <c r="CU58" s="6">
        <v>80507.870999999999</v>
      </c>
      <c r="CV58" s="6">
        <v>0</v>
      </c>
      <c r="CW58" s="6">
        <v>0</v>
      </c>
      <c r="CX58" s="6"/>
      <c r="CY58" s="6">
        <f>VLOOKUP(A58, 'At-Risk updating '!A:E, 5, 0)</f>
        <v>30143.799999999988</v>
      </c>
      <c r="CZ58" s="6">
        <v>0</v>
      </c>
      <c r="DA58" s="6">
        <v>0</v>
      </c>
      <c r="DB58" s="6">
        <v>0</v>
      </c>
      <c r="DC58" s="6">
        <v>0</v>
      </c>
      <c r="DD58" s="6">
        <v>0</v>
      </c>
      <c r="DE58" s="10">
        <v>0</v>
      </c>
      <c r="DF58" s="6">
        <v>0</v>
      </c>
      <c r="DG58" s="7">
        <v>0</v>
      </c>
      <c r="DH58" s="11">
        <f>SUM(G58:DG58)</f>
        <v>5785017.3410000009</v>
      </c>
    </row>
    <row r="59" spans="1:112" ht="15.75" x14ac:dyDescent="0.25">
      <c r="A59" s="4">
        <v>266</v>
      </c>
      <c r="B59" s="4" t="s">
        <v>137</v>
      </c>
      <c r="C59" s="5" t="s">
        <v>201</v>
      </c>
      <c r="D59" s="5">
        <v>8</v>
      </c>
      <c r="E59" s="5">
        <v>602</v>
      </c>
      <c r="F59" s="5">
        <v>250</v>
      </c>
      <c r="G59" s="6">
        <v>171051</v>
      </c>
      <c r="H59" s="6">
        <v>97685</v>
      </c>
      <c r="I59" s="6">
        <v>165769.19999999998</v>
      </c>
      <c r="J59" s="7">
        <v>0</v>
      </c>
      <c r="K59" s="7">
        <v>0</v>
      </c>
      <c r="L59" s="6">
        <v>75970</v>
      </c>
      <c r="M59" s="6">
        <v>55700</v>
      </c>
      <c r="N59" s="6">
        <v>60706.5</v>
      </c>
      <c r="O59" s="6">
        <v>0</v>
      </c>
      <c r="P59" s="6">
        <v>0</v>
      </c>
      <c r="Q59" s="6">
        <v>67656</v>
      </c>
      <c r="R59" s="6">
        <v>102372</v>
      </c>
      <c r="S59" s="8">
        <v>1</v>
      </c>
      <c r="T59" s="6">
        <v>41134</v>
      </c>
      <c r="U59" s="6">
        <v>97685</v>
      </c>
      <c r="V59" s="6">
        <v>97685</v>
      </c>
      <c r="W59" s="6">
        <v>97685</v>
      </c>
      <c r="X59" s="6">
        <v>97685</v>
      </c>
      <c r="Y59" s="6">
        <v>146527.5</v>
      </c>
      <c r="Z59" s="6">
        <v>293055</v>
      </c>
      <c r="AA59" s="6">
        <v>86745</v>
      </c>
      <c r="AB59" s="6">
        <v>0</v>
      </c>
      <c r="AC59" s="6">
        <v>0</v>
      </c>
      <c r="AD59" s="6">
        <v>293055</v>
      </c>
      <c r="AE59" s="6">
        <v>86745</v>
      </c>
      <c r="AF59" s="6">
        <v>293055</v>
      </c>
      <c r="AG59" s="6">
        <v>86745</v>
      </c>
      <c r="AH59" s="6">
        <v>293055</v>
      </c>
      <c r="AI59" s="6">
        <v>293055</v>
      </c>
      <c r="AJ59" s="6">
        <v>293055</v>
      </c>
      <c r="AK59" s="6">
        <v>293055</v>
      </c>
      <c r="AL59" s="6">
        <v>293055</v>
      </c>
      <c r="AM59" s="6">
        <v>146527.5</v>
      </c>
      <c r="AN59" s="6">
        <v>146527.5</v>
      </c>
      <c r="AO59" s="6">
        <v>146527.5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48842.5</v>
      </c>
      <c r="AW59" s="6">
        <v>146527.5</v>
      </c>
      <c r="AX59" s="6">
        <v>488425</v>
      </c>
      <c r="AY59" s="6">
        <v>0</v>
      </c>
      <c r="AZ59" s="6">
        <v>0</v>
      </c>
      <c r="BA59" s="6">
        <v>22201.136363636364</v>
      </c>
      <c r="BB59" s="6">
        <v>0</v>
      </c>
      <c r="BC59" s="6">
        <v>0</v>
      </c>
      <c r="BD59" s="6">
        <v>53370</v>
      </c>
      <c r="BE59" s="6">
        <v>58860</v>
      </c>
      <c r="BF59" s="6">
        <v>7848</v>
      </c>
      <c r="BG59" s="6">
        <v>0</v>
      </c>
      <c r="BH59" s="6">
        <v>224190.24</v>
      </c>
      <c r="BI59" s="6">
        <v>3637.58</v>
      </c>
      <c r="BJ59" s="6">
        <v>13925</v>
      </c>
      <c r="BK59" s="6">
        <v>0</v>
      </c>
      <c r="BL59" s="6"/>
      <c r="BM59" s="6">
        <v>0</v>
      </c>
      <c r="BN59" s="6">
        <v>0</v>
      </c>
      <c r="BO59" s="6">
        <v>0</v>
      </c>
      <c r="BP59" s="6">
        <v>0</v>
      </c>
      <c r="BQ59" s="26">
        <v>0</v>
      </c>
      <c r="BR59" s="26">
        <v>0</v>
      </c>
      <c r="BS59" s="26">
        <v>0</v>
      </c>
      <c r="BT59" s="26">
        <v>0</v>
      </c>
      <c r="BU59" s="26">
        <v>0</v>
      </c>
      <c r="BV59" s="26">
        <v>0</v>
      </c>
      <c r="BW59" s="26">
        <v>0</v>
      </c>
      <c r="BX59" s="26">
        <v>0</v>
      </c>
      <c r="BY59" s="2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48842.5</v>
      </c>
      <c r="CE59" s="6">
        <v>195370</v>
      </c>
      <c r="CF59" s="6">
        <v>23000</v>
      </c>
      <c r="CG59" s="6">
        <v>5000</v>
      </c>
      <c r="CH59" s="6">
        <v>100000</v>
      </c>
      <c r="CI59" s="6">
        <v>0</v>
      </c>
      <c r="CJ59" s="6">
        <v>0</v>
      </c>
      <c r="CK59" s="6">
        <v>5000</v>
      </c>
      <c r="CL59" s="6">
        <v>154800</v>
      </c>
      <c r="CM59" s="6">
        <v>0</v>
      </c>
      <c r="CN59" s="6">
        <v>0</v>
      </c>
      <c r="CO59" s="6">
        <v>0</v>
      </c>
      <c r="CP59" s="6">
        <v>33309.429166666669</v>
      </c>
      <c r="CQ59" s="6">
        <v>0</v>
      </c>
      <c r="CR59" s="6">
        <v>0</v>
      </c>
      <c r="CS59" s="6">
        <v>0</v>
      </c>
      <c r="CT59" s="6">
        <v>52113</v>
      </c>
      <c r="CU59" s="6">
        <v>83636.022545454543</v>
      </c>
      <c r="CV59" s="6">
        <v>0</v>
      </c>
      <c r="CW59" s="6">
        <v>0</v>
      </c>
      <c r="CX59" s="6"/>
      <c r="CY59" s="6">
        <f>VLOOKUP(A59, 'At-Risk updating '!A:E, 5, 0)</f>
        <v>7250.2999999999884</v>
      </c>
      <c r="CZ59" s="6">
        <v>0</v>
      </c>
      <c r="DA59" s="6">
        <v>0</v>
      </c>
      <c r="DB59" s="6">
        <v>0</v>
      </c>
      <c r="DC59" s="6">
        <v>0</v>
      </c>
      <c r="DD59" s="6">
        <v>0</v>
      </c>
      <c r="DE59" s="10">
        <v>0</v>
      </c>
      <c r="DF59" s="6">
        <v>0</v>
      </c>
      <c r="DG59" s="7">
        <v>0</v>
      </c>
      <c r="DH59" s="11">
        <f>SUM(G59:DG59)</f>
        <v>6195717.9080757573</v>
      </c>
    </row>
    <row r="60" spans="1:112" ht="15.75" x14ac:dyDescent="0.25">
      <c r="A60" s="4">
        <v>271</v>
      </c>
      <c r="B60" s="4" t="s">
        <v>138</v>
      </c>
      <c r="C60" s="5" t="s">
        <v>201</v>
      </c>
      <c r="D60" s="5">
        <v>6</v>
      </c>
      <c r="E60" s="5">
        <v>395</v>
      </c>
      <c r="F60" s="5">
        <v>116</v>
      </c>
      <c r="G60" s="6">
        <v>171051</v>
      </c>
      <c r="H60" s="6">
        <v>97685</v>
      </c>
      <c r="I60" s="6">
        <v>138141</v>
      </c>
      <c r="J60" s="7">
        <v>0</v>
      </c>
      <c r="K60" s="7">
        <v>0</v>
      </c>
      <c r="L60" s="6">
        <v>75970</v>
      </c>
      <c r="M60" s="6">
        <v>55700</v>
      </c>
      <c r="N60" s="6">
        <v>0</v>
      </c>
      <c r="O60" s="6">
        <v>0</v>
      </c>
      <c r="P60" s="6">
        <v>0</v>
      </c>
      <c r="Q60" s="6">
        <v>67656</v>
      </c>
      <c r="R60" s="6">
        <v>51186</v>
      </c>
      <c r="S60" s="8">
        <v>1</v>
      </c>
      <c r="T60" s="6">
        <v>41134</v>
      </c>
      <c r="U60" s="6">
        <v>97685</v>
      </c>
      <c r="V60" s="6">
        <v>97685</v>
      </c>
      <c r="W60" s="6">
        <v>97685</v>
      </c>
      <c r="X60" s="6">
        <v>97685</v>
      </c>
      <c r="Y60" s="6">
        <v>0</v>
      </c>
      <c r="Z60" s="6">
        <v>293055</v>
      </c>
      <c r="AA60" s="6">
        <v>86745</v>
      </c>
      <c r="AB60" s="6">
        <v>0</v>
      </c>
      <c r="AC60" s="6">
        <v>0</v>
      </c>
      <c r="AD60" s="6">
        <v>293055</v>
      </c>
      <c r="AE60" s="6">
        <v>86745</v>
      </c>
      <c r="AF60" s="6">
        <v>293055</v>
      </c>
      <c r="AG60" s="6">
        <v>86745</v>
      </c>
      <c r="AH60" s="6">
        <v>293055</v>
      </c>
      <c r="AI60" s="6">
        <v>195370</v>
      </c>
      <c r="AJ60" s="6">
        <v>293055</v>
      </c>
      <c r="AK60" s="6">
        <v>195370</v>
      </c>
      <c r="AL60" s="6">
        <v>195370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97685</v>
      </c>
      <c r="AW60" s="6">
        <v>146527.5</v>
      </c>
      <c r="AX60" s="6">
        <v>781480</v>
      </c>
      <c r="AY60" s="6">
        <v>231320</v>
      </c>
      <c r="AZ60" s="6">
        <v>0</v>
      </c>
      <c r="BA60" s="6">
        <v>17760.909090909092</v>
      </c>
      <c r="BB60" s="6">
        <v>0</v>
      </c>
      <c r="BC60" s="6">
        <v>0</v>
      </c>
      <c r="BD60" s="6">
        <v>65230</v>
      </c>
      <c r="BE60" s="6">
        <v>71940</v>
      </c>
      <c r="BF60" s="6">
        <v>7848</v>
      </c>
      <c r="BG60" s="6">
        <v>0</v>
      </c>
      <c r="BH60" s="6">
        <v>149460.16</v>
      </c>
      <c r="BI60" s="6">
        <v>2425.0500000000002</v>
      </c>
      <c r="BJ60" s="6">
        <v>9300</v>
      </c>
      <c r="BK60" s="6">
        <v>0</v>
      </c>
      <c r="BL60" s="6"/>
      <c r="BM60" s="6">
        <v>0</v>
      </c>
      <c r="BN60" s="6">
        <v>0</v>
      </c>
      <c r="BO60" s="6">
        <v>0</v>
      </c>
      <c r="BP60" s="6">
        <v>0</v>
      </c>
      <c r="BQ60" s="26">
        <v>0</v>
      </c>
      <c r="BR60" s="26">
        <v>0</v>
      </c>
      <c r="BS60" s="26">
        <v>0</v>
      </c>
      <c r="BT60" s="26">
        <v>0</v>
      </c>
      <c r="BU60" s="26">
        <v>0</v>
      </c>
      <c r="BV60" s="26">
        <v>0</v>
      </c>
      <c r="BW60" s="26">
        <v>0</v>
      </c>
      <c r="BX60" s="26">
        <v>0</v>
      </c>
      <c r="BY60" s="2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2320</v>
      </c>
      <c r="CL60" s="6">
        <v>0</v>
      </c>
      <c r="CM60" s="6">
        <v>0</v>
      </c>
      <c r="CN60" s="6">
        <v>0</v>
      </c>
      <c r="CO60" s="6">
        <v>0</v>
      </c>
      <c r="CP60" s="6">
        <v>22346.209944751383</v>
      </c>
      <c r="CQ60" s="6">
        <v>0</v>
      </c>
      <c r="CR60" s="6">
        <v>0</v>
      </c>
      <c r="CS60" s="6">
        <v>0</v>
      </c>
      <c r="CT60" s="6">
        <v>34104</v>
      </c>
      <c r="CU60" s="6">
        <v>70134.846136363631</v>
      </c>
      <c r="CV60" s="6">
        <v>0</v>
      </c>
      <c r="CW60" s="6">
        <v>0</v>
      </c>
      <c r="CX60" s="6"/>
      <c r="CY60" s="6">
        <f>VLOOKUP(A60, 'At-Risk updating '!A:E, 5, 0)</f>
        <v>3364</v>
      </c>
      <c r="CZ60" s="6">
        <v>0</v>
      </c>
      <c r="DA60" s="6">
        <v>0</v>
      </c>
      <c r="DB60" s="6">
        <v>0</v>
      </c>
      <c r="DC60" s="6">
        <v>0</v>
      </c>
      <c r="DD60" s="6">
        <v>0</v>
      </c>
      <c r="DE60" s="10">
        <v>0</v>
      </c>
      <c r="DF60" s="6">
        <v>0</v>
      </c>
      <c r="DG60" s="7">
        <v>0</v>
      </c>
      <c r="DH60" s="11">
        <f>SUM(G60:DG60)</f>
        <v>5114129.6751720235</v>
      </c>
    </row>
    <row r="61" spans="1:112" ht="15.75" x14ac:dyDescent="0.25">
      <c r="A61" s="4">
        <v>884</v>
      </c>
      <c r="B61" s="4" t="s">
        <v>139</v>
      </c>
      <c r="C61" s="5" t="s">
        <v>206</v>
      </c>
      <c r="D61" s="5">
        <v>5</v>
      </c>
      <c r="E61" s="5">
        <v>393</v>
      </c>
      <c r="F61" s="5">
        <v>0</v>
      </c>
      <c r="G61" s="6">
        <v>171051</v>
      </c>
      <c r="H61" s="6">
        <v>0</v>
      </c>
      <c r="I61" s="6">
        <v>0</v>
      </c>
      <c r="J61" s="7">
        <v>0</v>
      </c>
      <c r="K61" s="7">
        <v>152629.12800000003</v>
      </c>
      <c r="L61" s="6">
        <v>0</v>
      </c>
      <c r="M61" s="6">
        <v>55700</v>
      </c>
      <c r="N61" s="6">
        <v>0</v>
      </c>
      <c r="O61" s="6">
        <v>0</v>
      </c>
      <c r="P61" s="6">
        <v>0</v>
      </c>
      <c r="Q61" s="6">
        <v>67656</v>
      </c>
      <c r="R61" s="6">
        <v>51186</v>
      </c>
      <c r="S61" s="8">
        <v>1</v>
      </c>
      <c r="T61" s="6">
        <v>41134</v>
      </c>
      <c r="U61" s="6">
        <v>97685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390740</v>
      </c>
      <c r="AQ61" s="6">
        <v>322360.5</v>
      </c>
      <c r="AR61" s="6">
        <v>293055</v>
      </c>
      <c r="AS61" s="6">
        <v>234444</v>
      </c>
      <c r="AT61" s="6">
        <v>0</v>
      </c>
      <c r="AU61" s="6">
        <v>0</v>
      </c>
      <c r="AV61" s="6">
        <v>48842.5</v>
      </c>
      <c r="AW61" s="6">
        <v>195370</v>
      </c>
      <c r="AX61" s="6">
        <v>293055</v>
      </c>
      <c r="AY61" s="6">
        <v>0</v>
      </c>
      <c r="AZ61" s="6">
        <v>0</v>
      </c>
      <c r="BA61" s="6">
        <v>17760.909090909092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64736</v>
      </c>
      <c r="BH61" s="6">
        <v>122099.97</v>
      </c>
      <c r="BI61" s="6">
        <v>1981.12</v>
      </c>
      <c r="BJ61" s="6">
        <v>7600</v>
      </c>
      <c r="BK61" s="6">
        <v>0</v>
      </c>
      <c r="BL61" s="6"/>
      <c r="BM61" s="6">
        <v>0</v>
      </c>
      <c r="BN61" s="6">
        <v>0</v>
      </c>
      <c r="BO61" s="6">
        <v>0</v>
      </c>
      <c r="BP61" s="6">
        <v>0</v>
      </c>
      <c r="BQ61" s="26">
        <v>0</v>
      </c>
      <c r="BR61" s="26">
        <v>0</v>
      </c>
      <c r="BS61" s="26">
        <v>0</v>
      </c>
      <c r="BT61" s="26">
        <v>0</v>
      </c>
      <c r="BU61" s="26">
        <v>0</v>
      </c>
      <c r="BV61" s="26">
        <v>0</v>
      </c>
      <c r="BW61" s="26">
        <v>0</v>
      </c>
      <c r="BX61" s="26">
        <v>0</v>
      </c>
      <c r="BY61" s="2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0</v>
      </c>
      <c r="CJ61" s="6">
        <v>12240</v>
      </c>
      <c r="CK61" s="6">
        <v>0</v>
      </c>
      <c r="CL61" s="6">
        <v>0</v>
      </c>
      <c r="CM61" s="6">
        <v>0</v>
      </c>
      <c r="CN61" s="6" t="b">
        <v>0</v>
      </c>
      <c r="CO61" s="6" t="b">
        <v>0</v>
      </c>
      <c r="CP61" s="6">
        <v>41008.061000000002</v>
      </c>
      <c r="CQ61" s="6">
        <v>101560.06446048801</v>
      </c>
      <c r="CR61" s="6">
        <v>150000</v>
      </c>
      <c r="CS61" s="6">
        <v>0</v>
      </c>
      <c r="CT61" s="27">
        <v>31535</v>
      </c>
      <c r="CU61" s="6">
        <v>38013.436523270961</v>
      </c>
      <c r="CV61" s="6">
        <v>0</v>
      </c>
      <c r="CW61" s="6">
        <v>0</v>
      </c>
      <c r="CX61" s="6"/>
      <c r="CY61" s="6">
        <f>VLOOKUP(A61, 'At-Risk updating '!A:E, 5, 0)</f>
        <v>0</v>
      </c>
      <c r="CZ61" s="6">
        <v>0</v>
      </c>
      <c r="DA61" s="6">
        <v>0</v>
      </c>
      <c r="DB61" s="6">
        <v>0</v>
      </c>
      <c r="DC61" s="6">
        <v>0</v>
      </c>
      <c r="DD61" s="6">
        <v>0</v>
      </c>
      <c r="DE61" s="10">
        <v>0</v>
      </c>
      <c r="DF61" s="6">
        <v>0</v>
      </c>
      <c r="DG61" s="7">
        <v>434326.31992533198</v>
      </c>
      <c r="DH61" s="11">
        <f>SUM(G61:DG61)</f>
        <v>3437770.0090000005</v>
      </c>
    </row>
    <row r="62" spans="1:112" ht="15.75" x14ac:dyDescent="0.25">
      <c r="A62" s="4">
        <v>420</v>
      </c>
      <c r="B62" s="4" t="s">
        <v>140</v>
      </c>
      <c r="C62" s="5" t="s">
        <v>204</v>
      </c>
      <c r="D62" s="5">
        <v>4</v>
      </c>
      <c r="E62" s="5">
        <v>142</v>
      </c>
      <c r="F62" s="5">
        <v>98</v>
      </c>
      <c r="G62" s="6">
        <v>171051</v>
      </c>
      <c r="H62" s="6">
        <v>97685</v>
      </c>
      <c r="I62" s="6">
        <v>69070.5</v>
      </c>
      <c r="J62" s="7">
        <v>97685</v>
      </c>
      <c r="K62" s="7">
        <v>0</v>
      </c>
      <c r="L62" s="6">
        <v>37985</v>
      </c>
      <c r="M62" s="6">
        <v>55700</v>
      </c>
      <c r="N62" s="6">
        <v>0</v>
      </c>
      <c r="O62" s="6">
        <v>0</v>
      </c>
      <c r="P62" s="6">
        <v>0</v>
      </c>
      <c r="Q62" s="6">
        <v>67656</v>
      </c>
      <c r="R62" s="6">
        <v>0</v>
      </c>
      <c r="S62" s="8">
        <v>1</v>
      </c>
      <c r="T62" s="6">
        <v>41134</v>
      </c>
      <c r="U62" s="6">
        <v>48842.5</v>
      </c>
      <c r="V62" s="6">
        <v>48842.5</v>
      </c>
      <c r="W62" s="6">
        <v>48842.5</v>
      </c>
      <c r="X62" s="6">
        <v>48842.5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341897.5</v>
      </c>
      <c r="AN62" s="6">
        <v>283286.5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 t="s">
        <v>200</v>
      </c>
      <c r="AW62" s="6">
        <v>97685</v>
      </c>
      <c r="AX62" s="6">
        <v>195370</v>
      </c>
      <c r="AY62" s="6">
        <v>0</v>
      </c>
      <c r="AZ62" s="6">
        <v>0</v>
      </c>
      <c r="BA62" s="6">
        <v>195370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26135.11</v>
      </c>
      <c r="BI62" s="6">
        <v>424.05</v>
      </c>
      <c r="BJ62" s="6">
        <v>1625</v>
      </c>
      <c r="BK62" s="6">
        <v>0</v>
      </c>
      <c r="BL62" s="6">
        <v>101560</v>
      </c>
      <c r="BM62" s="6">
        <v>0</v>
      </c>
      <c r="BN62" s="6">
        <v>0</v>
      </c>
      <c r="BO62" s="6">
        <v>0</v>
      </c>
      <c r="BP62" s="6">
        <v>0</v>
      </c>
      <c r="BQ62" s="26">
        <v>0</v>
      </c>
      <c r="BR62" s="26">
        <v>0</v>
      </c>
      <c r="BS62" s="26">
        <v>0</v>
      </c>
      <c r="BT62" s="26">
        <v>0</v>
      </c>
      <c r="BU62" s="26">
        <v>0</v>
      </c>
      <c r="BV62" s="26">
        <v>0</v>
      </c>
      <c r="BW62" s="26">
        <v>0</v>
      </c>
      <c r="BX62" s="26">
        <v>0</v>
      </c>
      <c r="BY62" s="2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97685</v>
      </c>
      <c r="CF62" s="6">
        <v>23000</v>
      </c>
      <c r="CG62" s="6">
        <v>5000</v>
      </c>
      <c r="CH62" s="6">
        <v>100000</v>
      </c>
      <c r="CI62" s="6">
        <v>0</v>
      </c>
      <c r="CJ62" s="6">
        <v>0</v>
      </c>
      <c r="CK62" s="6">
        <v>1960</v>
      </c>
      <c r="CL62" s="6">
        <v>0</v>
      </c>
      <c r="CM62" s="6">
        <v>0</v>
      </c>
      <c r="CN62" s="6">
        <v>0</v>
      </c>
      <c r="CO62" s="6">
        <v>0</v>
      </c>
      <c r="CP62" s="6">
        <v>14691.140740740741</v>
      </c>
      <c r="CQ62" s="6">
        <v>0</v>
      </c>
      <c r="CR62" s="6">
        <v>0</v>
      </c>
      <c r="CS62" s="6">
        <v>0</v>
      </c>
      <c r="CT62" s="6">
        <v>12354</v>
      </c>
      <c r="CU62" s="6">
        <v>32169.4575</v>
      </c>
      <c r="CV62" s="6">
        <v>0</v>
      </c>
      <c r="CW62" s="6">
        <v>0</v>
      </c>
      <c r="CX62" s="6"/>
      <c r="CY62" s="6">
        <f>VLOOKUP(A62, 'At-Risk updating '!A:E, 5, 0)</f>
        <v>2842.1000000000058</v>
      </c>
      <c r="CZ62" s="6">
        <v>0</v>
      </c>
      <c r="DA62" s="6">
        <v>0</v>
      </c>
      <c r="DB62" s="6">
        <v>0</v>
      </c>
      <c r="DC62" s="6">
        <v>0</v>
      </c>
      <c r="DD62" s="6">
        <v>0</v>
      </c>
      <c r="DE62" s="10">
        <v>0</v>
      </c>
      <c r="DF62" s="6">
        <v>0</v>
      </c>
      <c r="DG62" s="7">
        <v>0</v>
      </c>
      <c r="DH62" s="11">
        <f>SUM(G62:DG62)</f>
        <v>2366392.3582407408</v>
      </c>
    </row>
    <row r="63" spans="1:112" ht="15.75" x14ac:dyDescent="0.25">
      <c r="A63" s="4">
        <v>308</v>
      </c>
      <c r="B63" s="4" t="s">
        <v>141</v>
      </c>
      <c r="C63" s="5" t="s">
        <v>201</v>
      </c>
      <c r="D63" s="5">
        <v>8</v>
      </c>
      <c r="E63" s="5">
        <v>263</v>
      </c>
      <c r="F63" s="5">
        <v>231</v>
      </c>
      <c r="G63" s="6">
        <v>171051</v>
      </c>
      <c r="H63" s="6">
        <v>97685</v>
      </c>
      <c r="I63" s="6">
        <v>0</v>
      </c>
      <c r="J63" s="7">
        <v>0</v>
      </c>
      <c r="K63" s="7">
        <v>0</v>
      </c>
      <c r="L63" s="6">
        <v>37985</v>
      </c>
      <c r="M63" s="6">
        <v>55700</v>
      </c>
      <c r="N63" s="6">
        <v>0</v>
      </c>
      <c r="O63" s="6">
        <v>0</v>
      </c>
      <c r="P63" s="6">
        <v>0</v>
      </c>
      <c r="Q63" s="6">
        <v>67656</v>
      </c>
      <c r="R63" s="6">
        <v>51186</v>
      </c>
      <c r="S63" s="8">
        <v>2</v>
      </c>
      <c r="T63" s="6">
        <v>82268</v>
      </c>
      <c r="U63" s="6">
        <v>48842.5</v>
      </c>
      <c r="V63" s="6">
        <v>97685</v>
      </c>
      <c r="W63" s="6">
        <v>97685</v>
      </c>
      <c r="X63" s="6">
        <v>97685</v>
      </c>
      <c r="Y63" s="6">
        <v>0</v>
      </c>
      <c r="Z63" s="6">
        <v>195370</v>
      </c>
      <c r="AA63" s="6">
        <v>57830</v>
      </c>
      <c r="AB63" s="6">
        <v>0</v>
      </c>
      <c r="AC63" s="6">
        <v>0</v>
      </c>
      <c r="AD63" s="6">
        <v>195370</v>
      </c>
      <c r="AE63" s="6">
        <v>57830</v>
      </c>
      <c r="AF63" s="6">
        <v>195370</v>
      </c>
      <c r="AG63" s="6">
        <v>57830</v>
      </c>
      <c r="AH63" s="6">
        <v>97685</v>
      </c>
      <c r="AI63" s="6">
        <v>97685</v>
      </c>
      <c r="AJ63" s="6">
        <v>195370</v>
      </c>
      <c r="AK63" s="6">
        <v>195370</v>
      </c>
      <c r="AL63" s="6">
        <v>195370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97685</v>
      </c>
      <c r="AW63" s="6">
        <v>97685</v>
      </c>
      <c r="AX63" s="6">
        <v>390740</v>
      </c>
      <c r="AY63" s="6">
        <v>28915</v>
      </c>
      <c r="AZ63" s="6">
        <v>45222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95964.86</v>
      </c>
      <c r="BI63" s="6">
        <v>1557.07</v>
      </c>
      <c r="BJ63" s="6">
        <v>5975</v>
      </c>
      <c r="BK63" s="6">
        <v>0</v>
      </c>
      <c r="BL63" s="6"/>
      <c r="BM63" s="6">
        <v>0</v>
      </c>
      <c r="BN63" s="6">
        <v>0</v>
      </c>
      <c r="BO63" s="6">
        <v>0</v>
      </c>
      <c r="BP63" s="6">
        <v>0</v>
      </c>
      <c r="BQ63" s="26">
        <v>0</v>
      </c>
      <c r="BR63" s="26">
        <v>0</v>
      </c>
      <c r="BS63" s="26">
        <v>0</v>
      </c>
      <c r="BT63" s="26">
        <v>0</v>
      </c>
      <c r="BU63" s="26">
        <v>0</v>
      </c>
      <c r="BV63" s="26">
        <v>0</v>
      </c>
      <c r="BW63" s="26">
        <v>0</v>
      </c>
      <c r="BX63" s="26">
        <v>0</v>
      </c>
      <c r="BY63" s="2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9240</v>
      </c>
      <c r="CL63" s="6">
        <v>46800</v>
      </c>
      <c r="CM63" s="6">
        <v>0</v>
      </c>
      <c r="CN63" s="6">
        <v>0</v>
      </c>
      <c r="CO63" s="6">
        <v>0</v>
      </c>
      <c r="CP63" s="6">
        <v>15237.471153846154</v>
      </c>
      <c r="CQ63" s="6">
        <v>0</v>
      </c>
      <c r="CR63" s="6">
        <v>0</v>
      </c>
      <c r="CS63" s="6">
        <v>0</v>
      </c>
      <c r="CT63" s="6">
        <v>22707</v>
      </c>
      <c r="CU63" s="6">
        <v>47303.332499999997</v>
      </c>
      <c r="CV63" s="6">
        <v>0</v>
      </c>
      <c r="CW63" s="6">
        <v>0</v>
      </c>
      <c r="CX63" s="6"/>
      <c r="CY63" s="6">
        <f>VLOOKUP(A63, 'At-Risk updating '!A:E, 5, 0)</f>
        <v>87520.5</v>
      </c>
      <c r="CZ63" s="6">
        <v>0</v>
      </c>
      <c r="DA63" s="6">
        <v>0</v>
      </c>
      <c r="DB63" s="6">
        <v>0</v>
      </c>
      <c r="DC63" s="6">
        <v>0</v>
      </c>
      <c r="DD63" s="6">
        <v>0</v>
      </c>
      <c r="DE63" s="10">
        <v>0</v>
      </c>
      <c r="DF63" s="6">
        <v>0</v>
      </c>
      <c r="DG63" s="7">
        <v>0</v>
      </c>
      <c r="DH63" s="11">
        <f>SUM(G63:DG63)</f>
        <v>3439062.7336538457</v>
      </c>
    </row>
    <row r="64" spans="1:112" ht="15.75" x14ac:dyDescent="0.25">
      <c r="A64" s="4">
        <v>273</v>
      </c>
      <c r="B64" s="4" t="s">
        <v>142</v>
      </c>
      <c r="C64" s="5" t="s">
        <v>201</v>
      </c>
      <c r="D64" s="5">
        <v>3</v>
      </c>
      <c r="E64" s="5">
        <v>404</v>
      </c>
      <c r="F64" s="5">
        <v>9</v>
      </c>
      <c r="G64" s="6">
        <v>171051</v>
      </c>
      <c r="H64" s="6">
        <v>97685</v>
      </c>
      <c r="I64" s="6">
        <v>138141</v>
      </c>
      <c r="J64" s="7">
        <v>0</v>
      </c>
      <c r="K64" s="7">
        <v>0</v>
      </c>
      <c r="L64" s="6">
        <v>75970</v>
      </c>
      <c r="M64" s="6">
        <v>55700</v>
      </c>
      <c r="N64" s="6">
        <v>40471</v>
      </c>
      <c r="O64" s="6">
        <v>0</v>
      </c>
      <c r="P64" s="6">
        <v>0</v>
      </c>
      <c r="Q64" s="6">
        <v>67656</v>
      </c>
      <c r="R64" s="6">
        <v>51186</v>
      </c>
      <c r="S64" s="8">
        <v>3</v>
      </c>
      <c r="T64" s="6">
        <v>123402</v>
      </c>
      <c r="U64" s="6">
        <v>97685</v>
      </c>
      <c r="V64" s="6">
        <v>97685</v>
      </c>
      <c r="W64" s="6">
        <v>97685</v>
      </c>
      <c r="X64" s="6">
        <v>97685</v>
      </c>
      <c r="Y64" s="6">
        <v>146527.5</v>
      </c>
      <c r="Z64" s="6">
        <v>0</v>
      </c>
      <c r="AA64" s="6">
        <v>0</v>
      </c>
      <c r="AB64" s="6">
        <v>0</v>
      </c>
      <c r="AC64" s="6">
        <v>0</v>
      </c>
      <c r="AD64" s="6">
        <v>195370</v>
      </c>
      <c r="AE64" s="6">
        <v>57830</v>
      </c>
      <c r="AF64" s="6">
        <v>293055</v>
      </c>
      <c r="AG64" s="6">
        <v>86745</v>
      </c>
      <c r="AH64" s="6">
        <v>293055</v>
      </c>
      <c r="AI64" s="6">
        <v>293055</v>
      </c>
      <c r="AJ64" s="6">
        <v>293055</v>
      </c>
      <c r="AK64" s="6">
        <v>293055</v>
      </c>
      <c r="AL64" s="6">
        <v>195370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48842.5</v>
      </c>
      <c r="AW64" s="6">
        <v>48842.5</v>
      </c>
      <c r="AX64" s="6">
        <v>195370</v>
      </c>
      <c r="AY64" s="6">
        <v>0</v>
      </c>
      <c r="AZ64" s="6">
        <v>0</v>
      </c>
      <c r="BA64" s="6">
        <v>97685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9475</v>
      </c>
      <c r="BK64" s="6">
        <v>0</v>
      </c>
      <c r="BL64" s="6"/>
      <c r="BM64" s="6">
        <v>0</v>
      </c>
      <c r="BN64" s="6">
        <v>0</v>
      </c>
      <c r="BO64" s="6">
        <v>0</v>
      </c>
      <c r="BP64" s="6">
        <v>0</v>
      </c>
      <c r="BQ64" s="26">
        <v>0</v>
      </c>
      <c r="BR64" s="26">
        <v>0</v>
      </c>
      <c r="BS64" s="26">
        <v>0</v>
      </c>
      <c r="BT64" s="26">
        <v>0</v>
      </c>
      <c r="BU64" s="26">
        <v>0</v>
      </c>
      <c r="BV64" s="26">
        <v>0</v>
      </c>
      <c r="BW64" s="26">
        <v>0</v>
      </c>
      <c r="BX64" s="26">
        <v>0</v>
      </c>
      <c r="BY64" s="2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0</v>
      </c>
      <c r="CJ64" s="6">
        <v>0</v>
      </c>
      <c r="CK64" s="6">
        <v>0</v>
      </c>
      <c r="CL64" s="6">
        <v>0</v>
      </c>
      <c r="CM64" s="6">
        <v>0</v>
      </c>
      <c r="CN64" s="6">
        <v>0</v>
      </c>
      <c r="CO64" s="6">
        <v>0</v>
      </c>
      <c r="CP64" s="6">
        <v>22500.838783783784</v>
      </c>
      <c r="CQ64" s="6">
        <v>0</v>
      </c>
      <c r="CR64" s="6">
        <v>0</v>
      </c>
      <c r="CS64" s="6">
        <v>0</v>
      </c>
      <c r="CT64" s="6">
        <v>35061</v>
      </c>
      <c r="CU64" s="6">
        <v>56247.892499999994</v>
      </c>
      <c r="CV64" s="6">
        <v>0</v>
      </c>
      <c r="CW64" s="6">
        <v>0</v>
      </c>
      <c r="CX64" s="6"/>
      <c r="CY64" s="6">
        <f>VLOOKUP(A64, 'At-Risk updating '!A:E, 5, 0)</f>
        <v>708.5</v>
      </c>
      <c r="CZ64" s="6">
        <v>0</v>
      </c>
      <c r="DA64" s="6">
        <v>0</v>
      </c>
      <c r="DB64" s="6">
        <v>0</v>
      </c>
      <c r="DC64" s="6">
        <v>0</v>
      </c>
      <c r="DD64" s="6">
        <v>0</v>
      </c>
      <c r="DE64" s="10">
        <v>0</v>
      </c>
      <c r="DF64" s="6">
        <v>0</v>
      </c>
      <c r="DG64" s="12">
        <v>0</v>
      </c>
      <c r="DH64" s="11">
        <f>SUM(G64:DG64)</f>
        <v>3873855.7312837839</v>
      </c>
    </row>
    <row r="65" spans="1:112" ht="15.75" x14ac:dyDescent="0.25">
      <c r="A65" s="4">
        <v>284</v>
      </c>
      <c r="B65" s="4" t="s">
        <v>143</v>
      </c>
      <c r="C65" s="5" t="s">
        <v>201</v>
      </c>
      <c r="D65" s="5">
        <v>1</v>
      </c>
      <c r="E65" s="5">
        <v>398</v>
      </c>
      <c r="F65" s="5">
        <v>142</v>
      </c>
      <c r="G65" s="6">
        <v>171051</v>
      </c>
      <c r="H65" s="6">
        <v>97685</v>
      </c>
      <c r="I65" s="6">
        <v>138141</v>
      </c>
      <c r="J65" s="7">
        <v>0</v>
      </c>
      <c r="K65" s="7">
        <v>0</v>
      </c>
      <c r="L65" s="6">
        <v>75970</v>
      </c>
      <c r="M65" s="6">
        <v>55700</v>
      </c>
      <c r="N65" s="6">
        <v>0</v>
      </c>
      <c r="O65" s="6">
        <v>0</v>
      </c>
      <c r="P65" s="6">
        <v>0</v>
      </c>
      <c r="Q65" s="6">
        <v>67656</v>
      </c>
      <c r="R65" s="6">
        <v>102372</v>
      </c>
      <c r="S65" s="8">
        <v>2</v>
      </c>
      <c r="T65" s="6">
        <v>82268</v>
      </c>
      <c r="U65" s="6">
        <v>97685</v>
      </c>
      <c r="V65" s="6">
        <v>97685</v>
      </c>
      <c r="W65" s="6">
        <v>97685</v>
      </c>
      <c r="X65" s="6">
        <v>195370</v>
      </c>
      <c r="Y65" s="6">
        <v>0</v>
      </c>
      <c r="Z65" s="6">
        <v>195370</v>
      </c>
      <c r="AA65" s="6">
        <v>57830</v>
      </c>
      <c r="AB65" s="6">
        <v>195370</v>
      </c>
      <c r="AC65" s="6">
        <v>57830</v>
      </c>
      <c r="AD65" s="6">
        <v>195370</v>
      </c>
      <c r="AE65" s="6">
        <v>57830</v>
      </c>
      <c r="AF65" s="6">
        <v>293055</v>
      </c>
      <c r="AG65" s="6">
        <v>86745</v>
      </c>
      <c r="AH65" s="6">
        <v>293055</v>
      </c>
      <c r="AI65" s="6">
        <v>195370</v>
      </c>
      <c r="AJ65" s="6">
        <v>195370</v>
      </c>
      <c r="AK65" s="6">
        <v>293055</v>
      </c>
      <c r="AL65" s="6">
        <v>195370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48842.5</v>
      </c>
      <c r="AW65" s="6">
        <v>195370</v>
      </c>
      <c r="AX65" s="6">
        <v>488425</v>
      </c>
      <c r="AY65" s="6">
        <v>57830</v>
      </c>
      <c r="AZ65" s="6">
        <v>90444</v>
      </c>
      <c r="BA65" s="6">
        <v>683795</v>
      </c>
      <c r="BB65" s="6">
        <v>0</v>
      </c>
      <c r="BC65" s="6">
        <v>97685</v>
      </c>
      <c r="BD65" s="6">
        <v>65230</v>
      </c>
      <c r="BE65" s="6">
        <v>71940</v>
      </c>
      <c r="BF65" s="6">
        <v>7848</v>
      </c>
      <c r="BG65" s="6">
        <v>0</v>
      </c>
      <c r="BH65" s="6">
        <v>160485.91</v>
      </c>
      <c r="BI65" s="6">
        <v>2603.9499999999998</v>
      </c>
      <c r="BJ65" s="6">
        <v>9975</v>
      </c>
      <c r="BK65" s="6">
        <v>0</v>
      </c>
      <c r="BL65" s="6"/>
      <c r="BM65" s="6">
        <v>0</v>
      </c>
      <c r="BN65" s="6">
        <v>0</v>
      </c>
      <c r="BO65" s="6">
        <v>0</v>
      </c>
      <c r="BP65" s="6">
        <v>0</v>
      </c>
      <c r="BQ65" s="26">
        <v>0</v>
      </c>
      <c r="BR65" s="26">
        <v>0</v>
      </c>
      <c r="BS65" s="26">
        <v>0</v>
      </c>
      <c r="BT65" s="26">
        <v>0</v>
      </c>
      <c r="BU65" s="26">
        <v>0</v>
      </c>
      <c r="BV65" s="26">
        <v>0</v>
      </c>
      <c r="BW65" s="26">
        <v>0</v>
      </c>
      <c r="BX65" s="26">
        <v>0</v>
      </c>
      <c r="BY65" s="2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48842.5</v>
      </c>
      <c r="CE65" s="6">
        <v>0</v>
      </c>
      <c r="CF65" s="6">
        <v>0</v>
      </c>
      <c r="CG65" s="6">
        <v>0</v>
      </c>
      <c r="CH65" s="6">
        <v>0</v>
      </c>
      <c r="CI65" s="6">
        <v>0</v>
      </c>
      <c r="CJ65" s="6">
        <v>0</v>
      </c>
      <c r="CK65" s="6">
        <v>2840</v>
      </c>
      <c r="CL65" s="6">
        <v>0</v>
      </c>
      <c r="CM65" s="6">
        <v>0</v>
      </c>
      <c r="CN65" s="6">
        <v>0</v>
      </c>
      <c r="CO65" s="6">
        <v>0</v>
      </c>
      <c r="CP65" s="6">
        <v>21306.744680851065</v>
      </c>
      <c r="CQ65" s="6">
        <v>0</v>
      </c>
      <c r="CR65" s="6">
        <v>0</v>
      </c>
      <c r="CS65" s="6">
        <v>128716</v>
      </c>
      <c r="CT65" s="6">
        <v>34365</v>
      </c>
      <c r="CU65" s="6">
        <v>78799.19249999999</v>
      </c>
      <c r="CV65" s="6">
        <v>0</v>
      </c>
      <c r="CW65" s="6">
        <v>35000</v>
      </c>
      <c r="CX65" s="29" t="s">
        <v>120</v>
      </c>
      <c r="CY65" s="6">
        <f>VLOOKUP(A65, 'At-Risk updating '!A:E, 5, 0)</f>
        <v>15550.5</v>
      </c>
      <c r="CZ65" s="6">
        <v>0</v>
      </c>
      <c r="DA65" s="6">
        <v>0</v>
      </c>
      <c r="DB65" s="6">
        <v>0</v>
      </c>
      <c r="DC65" s="6">
        <v>0</v>
      </c>
      <c r="DD65" s="6">
        <v>0</v>
      </c>
      <c r="DE65" s="10">
        <v>0</v>
      </c>
      <c r="DF65" s="6">
        <v>0</v>
      </c>
      <c r="DG65" s="12">
        <v>0</v>
      </c>
      <c r="DH65" s="11">
        <f>SUM(G65:DG65)</f>
        <v>5936784.297180851</v>
      </c>
    </row>
    <row r="66" spans="1:112" ht="15.75" x14ac:dyDescent="0.25">
      <c r="A66" s="4">
        <v>274</v>
      </c>
      <c r="B66" s="4" t="s">
        <v>144</v>
      </c>
      <c r="C66" s="5" t="s">
        <v>201</v>
      </c>
      <c r="D66" s="5">
        <v>6</v>
      </c>
      <c r="E66" s="5">
        <v>403</v>
      </c>
      <c r="F66" s="5">
        <v>58</v>
      </c>
      <c r="G66" s="6">
        <v>171051</v>
      </c>
      <c r="H66" s="6">
        <v>97685</v>
      </c>
      <c r="I66" s="6">
        <v>138141</v>
      </c>
      <c r="J66" s="7">
        <v>0</v>
      </c>
      <c r="K66" s="7">
        <v>0</v>
      </c>
      <c r="L66" s="6">
        <v>75970</v>
      </c>
      <c r="M66" s="6">
        <v>55700</v>
      </c>
      <c r="N66" s="6">
        <v>40471</v>
      </c>
      <c r="O66" s="6">
        <v>0</v>
      </c>
      <c r="P66" s="6">
        <v>0</v>
      </c>
      <c r="Q66" s="6">
        <v>67656</v>
      </c>
      <c r="R66" s="6">
        <v>102372</v>
      </c>
      <c r="S66" s="8">
        <v>0</v>
      </c>
      <c r="T66" s="6">
        <v>0</v>
      </c>
      <c r="U66" s="6">
        <v>97685</v>
      </c>
      <c r="V66" s="6">
        <v>97685</v>
      </c>
      <c r="W66" s="6">
        <v>97685</v>
      </c>
      <c r="X66" s="6">
        <v>97685</v>
      </c>
      <c r="Y66" s="6">
        <v>146527.5</v>
      </c>
      <c r="Z66" s="6">
        <v>195370</v>
      </c>
      <c r="AA66" s="6">
        <v>57830</v>
      </c>
      <c r="AB66" s="6">
        <v>97685</v>
      </c>
      <c r="AC66" s="6">
        <v>28915</v>
      </c>
      <c r="AD66" s="6">
        <v>195370</v>
      </c>
      <c r="AE66" s="6">
        <v>57830</v>
      </c>
      <c r="AF66" s="6">
        <v>293055</v>
      </c>
      <c r="AG66" s="6">
        <v>86745</v>
      </c>
      <c r="AH66" s="6">
        <v>293055</v>
      </c>
      <c r="AI66" s="6">
        <v>293055</v>
      </c>
      <c r="AJ66" s="6">
        <v>195370</v>
      </c>
      <c r="AK66" s="6">
        <v>195370</v>
      </c>
      <c r="AL66" s="6">
        <v>195370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48842.5</v>
      </c>
      <c r="AW66" s="6">
        <v>97685</v>
      </c>
      <c r="AX66" s="6">
        <v>293055</v>
      </c>
      <c r="AY66" s="6">
        <v>0</v>
      </c>
      <c r="AZ66" s="6">
        <v>0</v>
      </c>
      <c r="BA66" s="6">
        <v>4440.227272727273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9725</v>
      </c>
      <c r="BK66" s="6">
        <v>0</v>
      </c>
      <c r="BL66" s="6"/>
      <c r="BM66" s="6">
        <v>0</v>
      </c>
      <c r="BN66" s="6">
        <v>0</v>
      </c>
      <c r="BO66" s="6">
        <v>0</v>
      </c>
      <c r="BP66" s="6">
        <v>0</v>
      </c>
      <c r="BQ66" s="26">
        <v>0</v>
      </c>
      <c r="BR66" s="26">
        <v>0</v>
      </c>
      <c r="BS66" s="26">
        <v>0</v>
      </c>
      <c r="BT66" s="26">
        <v>0</v>
      </c>
      <c r="BU66" s="26">
        <v>0</v>
      </c>
      <c r="BV66" s="26">
        <v>0</v>
      </c>
      <c r="BW66" s="26">
        <v>0</v>
      </c>
      <c r="BX66" s="26">
        <v>0</v>
      </c>
      <c r="BY66" s="2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0</v>
      </c>
      <c r="CJ66" s="6">
        <v>0</v>
      </c>
      <c r="CK66" s="6">
        <v>0</v>
      </c>
      <c r="CL66" s="6">
        <v>0</v>
      </c>
      <c r="CM66" s="6">
        <v>0</v>
      </c>
      <c r="CN66" s="6">
        <v>0</v>
      </c>
      <c r="CO66" s="6">
        <v>0</v>
      </c>
      <c r="CP66" s="6">
        <v>21515.902061855668</v>
      </c>
      <c r="CQ66" s="6">
        <v>0</v>
      </c>
      <c r="CR66" s="6">
        <v>0</v>
      </c>
      <c r="CS66" s="6">
        <v>0</v>
      </c>
      <c r="CT66" s="6">
        <v>34887</v>
      </c>
      <c r="CU66" s="6">
        <v>58730.343409090907</v>
      </c>
      <c r="CV66" s="6">
        <v>0</v>
      </c>
      <c r="CW66" s="6">
        <v>0</v>
      </c>
      <c r="CX66" s="6"/>
      <c r="CY66" s="6">
        <f>VLOOKUP(A66, 'At-Risk updating '!A:E, 5, 0)</f>
        <v>1682</v>
      </c>
      <c r="CZ66" s="6">
        <v>0</v>
      </c>
      <c r="DA66" s="6">
        <v>0</v>
      </c>
      <c r="DB66" s="6">
        <v>0</v>
      </c>
      <c r="DC66" s="6">
        <v>0</v>
      </c>
      <c r="DD66" s="6">
        <v>0</v>
      </c>
      <c r="DE66" s="10">
        <v>0</v>
      </c>
      <c r="DF66" s="6">
        <v>0</v>
      </c>
      <c r="DG66" s="7">
        <v>0</v>
      </c>
      <c r="DH66" s="11">
        <f>SUM(G66:DG66)</f>
        <v>4041896.4727436737</v>
      </c>
    </row>
    <row r="67" spans="1:112" ht="15.75" x14ac:dyDescent="0.25">
      <c r="A67" s="4">
        <v>435</v>
      </c>
      <c r="B67" s="4" t="s">
        <v>145</v>
      </c>
      <c r="C67" s="5" t="s">
        <v>204</v>
      </c>
      <c r="D67" s="5">
        <v>5</v>
      </c>
      <c r="E67" s="5">
        <v>222</v>
      </c>
      <c r="F67" s="5">
        <v>135</v>
      </c>
      <c r="G67" s="6">
        <v>85525.5</v>
      </c>
      <c r="H67" s="6">
        <v>97685</v>
      </c>
      <c r="I67" s="6">
        <v>234839.69999999998</v>
      </c>
      <c r="J67" s="7">
        <v>97685</v>
      </c>
      <c r="K67" s="7">
        <v>0</v>
      </c>
      <c r="L67" s="6">
        <v>37985</v>
      </c>
      <c r="M67" s="6">
        <v>55700</v>
      </c>
      <c r="N67" s="6">
        <v>0</v>
      </c>
      <c r="O67" s="6">
        <v>0</v>
      </c>
      <c r="P67" s="6">
        <v>0</v>
      </c>
      <c r="Q67" s="6">
        <v>67656</v>
      </c>
      <c r="R67" s="6">
        <v>102372</v>
      </c>
      <c r="S67" s="8">
        <v>1</v>
      </c>
      <c r="T67" s="6">
        <v>41134</v>
      </c>
      <c r="U67" s="6">
        <v>48842.5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361434.5</v>
      </c>
      <c r="AN67" s="6">
        <v>351666</v>
      </c>
      <c r="AO67" s="6">
        <v>273518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97685</v>
      </c>
      <c r="AW67" s="6">
        <v>146527.5</v>
      </c>
      <c r="AX67" s="6">
        <v>488425</v>
      </c>
      <c r="AY67" s="6">
        <v>86745</v>
      </c>
      <c r="AZ67" s="6">
        <v>90444</v>
      </c>
      <c r="BA67" s="6">
        <v>35521.818181818184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91472.89</v>
      </c>
      <c r="BI67" s="6">
        <v>1484.19</v>
      </c>
      <c r="BJ67" s="6">
        <v>5675</v>
      </c>
      <c r="BK67" s="6">
        <v>0</v>
      </c>
      <c r="BL67" s="6"/>
      <c r="BM67" s="6">
        <v>0</v>
      </c>
      <c r="BN67" s="6">
        <v>0</v>
      </c>
      <c r="BO67" s="6">
        <v>0</v>
      </c>
      <c r="BP67" s="6">
        <v>0</v>
      </c>
      <c r="BQ67" s="26">
        <v>0</v>
      </c>
      <c r="BR67" s="26">
        <v>0</v>
      </c>
      <c r="BS67" s="26">
        <v>0</v>
      </c>
      <c r="BT67" s="26">
        <v>0</v>
      </c>
      <c r="BU67" s="26">
        <v>0</v>
      </c>
      <c r="BV67" s="26">
        <v>0</v>
      </c>
      <c r="BW67" s="26">
        <v>0</v>
      </c>
      <c r="BX67" s="26">
        <v>0</v>
      </c>
      <c r="BY67" s="2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195370</v>
      </c>
      <c r="CF67" s="6">
        <v>23000</v>
      </c>
      <c r="CG67" s="6">
        <v>5000</v>
      </c>
      <c r="CH67" s="6">
        <v>100000</v>
      </c>
      <c r="CI67" s="6">
        <v>0</v>
      </c>
      <c r="CJ67" s="6">
        <v>0</v>
      </c>
      <c r="CK67" s="6">
        <v>2700</v>
      </c>
      <c r="CL67" s="6">
        <v>0</v>
      </c>
      <c r="CM67" s="6">
        <v>0</v>
      </c>
      <c r="CN67" s="6">
        <v>0</v>
      </c>
      <c r="CO67" s="6">
        <v>0</v>
      </c>
      <c r="CP67" s="6">
        <v>20201.686111111114</v>
      </c>
      <c r="CQ67" s="6">
        <v>0</v>
      </c>
      <c r="CR67" s="6">
        <v>0</v>
      </c>
      <c r="CS67" s="6">
        <v>0</v>
      </c>
      <c r="CT67" s="6">
        <v>19227</v>
      </c>
      <c r="CU67" s="6">
        <v>46451.422772727274</v>
      </c>
      <c r="CV67" s="6">
        <v>0</v>
      </c>
      <c r="CW67" s="6">
        <v>0</v>
      </c>
      <c r="CX67" s="6"/>
      <c r="CY67" s="6">
        <f>VLOOKUP(A67, 'At-Risk updating '!A:E, 5, 0)</f>
        <v>3915.2999999999884</v>
      </c>
      <c r="CZ67" s="6">
        <v>0</v>
      </c>
      <c r="DA67" s="6">
        <v>0</v>
      </c>
      <c r="DB67" s="6">
        <v>0</v>
      </c>
      <c r="DC67" s="6">
        <v>0</v>
      </c>
      <c r="DD67" s="6">
        <v>0</v>
      </c>
      <c r="DE67" s="10">
        <v>0</v>
      </c>
      <c r="DF67" s="6">
        <v>0</v>
      </c>
      <c r="DG67" s="7">
        <v>0</v>
      </c>
      <c r="DH67" s="11">
        <f>SUM(G67:DG67)</f>
        <v>3315890.0070656571</v>
      </c>
    </row>
    <row r="68" spans="1:112" ht="15.75" x14ac:dyDescent="0.25">
      <c r="A68" s="4">
        <v>458</v>
      </c>
      <c r="B68" s="4" t="s">
        <v>146</v>
      </c>
      <c r="C68" s="5" t="s">
        <v>191</v>
      </c>
      <c r="D68" s="5">
        <v>5</v>
      </c>
      <c r="E68" s="5">
        <v>639</v>
      </c>
      <c r="F68" s="5">
        <v>253</v>
      </c>
      <c r="G68" s="6">
        <v>85525.5</v>
      </c>
      <c r="H68" s="6">
        <v>97685</v>
      </c>
      <c r="I68" s="6">
        <v>290096.10000000003</v>
      </c>
      <c r="J68" s="7">
        <v>0</v>
      </c>
      <c r="K68" s="7">
        <v>290084.60000000003</v>
      </c>
      <c r="L68" s="6">
        <v>75970</v>
      </c>
      <c r="M68" s="6">
        <v>55700</v>
      </c>
      <c r="N68" s="6">
        <v>64753.600000000006</v>
      </c>
      <c r="O68" s="6">
        <v>47542</v>
      </c>
      <c r="P68" s="6">
        <v>58487</v>
      </c>
      <c r="Q68" s="6">
        <v>67656</v>
      </c>
      <c r="R68" s="6">
        <v>153558</v>
      </c>
      <c r="S68" s="8">
        <v>2</v>
      </c>
      <c r="T68" s="6">
        <v>82268</v>
      </c>
      <c r="U68" s="6">
        <v>97685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761943</v>
      </c>
      <c r="AQ68" s="6">
        <v>498193.49999999994</v>
      </c>
      <c r="AR68" s="6">
        <v>781480</v>
      </c>
      <c r="AS68" s="6">
        <v>566573</v>
      </c>
      <c r="AT68" s="6">
        <v>0</v>
      </c>
      <c r="AU68" s="6">
        <v>0</v>
      </c>
      <c r="AV68" s="6">
        <v>48842.5</v>
      </c>
      <c r="AW68" s="6">
        <v>195370</v>
      </c>
      <c r="AX68" s="6">
        <v>97685</v>
      </c>
      <c r="AY68" s="6">
        <v>0</v>
      </c>
      <c r="AZ68" s="6">
        <v>0</v>
      </c>
      <c r="BA68" s="6">
        <v>35521.818181818184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263801.27</v>
      </c>
      <c r="BI68" s="6">
        <v>4280.29</v>
      </c>
      <c r="BJ68" s="6">
        <v>16400</v>
      </c>
      <c r="BK68" s="6">
        <v>0</v>
      </c>
      <c r="BL68" s="6"/>
      <c r="BM68" s="6">
        <v>0</v>
      </c>
      <c r="BN68" s="6">
        <v>0</v>
      </c>
      <c r="BO68" s="6">
        <v>0</v>
      </c>
      <c r="BP68" s="6">
        <v>0</v>
      </c>
      <c r="BQ68" s="26">
        <v>0</v>
      </c>
      <c r="BR68" s="26">
        <v>0</v>
      </c>
      <c r="BS68" s="26">
        <v>0</v>
      </c>
      <c r="BT68" s="26">
        <v>0</v>
      </c>
      <c r="BU68" s="26">
        <v>110000</v>
      </c>
      <c r="BV68" s="26">
        <v>0</v>
      </c>
      <c r="BW68" s="26">
        <v>0</v>
      </c>
      <c r="BX68" s="26">
        <v>0</v>
      </c>
      <c r="BY68" s="26">
        <v>0</v>
      </c>
      <c r="BZ68" s="6">
        <v>97685</v>
      </c>
      <c r="CA68" s="6">
        <v>87556</v>
      </c>
      <c r="CB68" s="6">
        <v>268054</v>
      </c>
      <c r="CC68" s="6">
        <v>99697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101560.06446048801</v>
      </c>
      <c r="CJ68" s="6">
        <v>12240</v>
      </c>
      <c r="CK68" s="6">
        <v>5060</v>
      </c>
      <c r="CL68" s="6">
        <v>0</v>
      </c>
      <c r="CM68" s="6">
        <v>0</v>
      </c>
      <c r="CN68" s="6">
        <v>0</v>
      </c>
      <c r="CO68" s="6">
        <v>0</v>
      </c>
      <c r="CP68" s="6">
        <v>82712.003750000003</v>
      </c>
      <c r="CQ68" s="6">
        <v>0</v>
      </c>
      <c r="CR68" s="6">
        <v>0</v>
      </c>
      <c r="CS68" s="6">
        <v>0</v>
      </c>
      <c r="CT68" s="6">
        <v>55593</v>
      </c>
      <c r="CU68" s="6">
        <v>68312.695239634588</v>
      </c>
      <c r="CV68" s="6">
        <v>0</v>
      </c>
      <c r="CW68" s="6">
        <v>1680585.0389999999</v>
      </c>
      <c r="CX68" s="6"/>
      <c r="CY68" s="6">
        <f>VLOOKUP(A68, 'At-Risk updating '!A:E, 5, 0)</f>
        <v>32643.25</v>
      </c>
      <c r="CZ68" s="6">
        <v>0</v>
      </c>
      <c r="DA68" s="6">
        <v>0</v>
      </c>
      <c r="DB68" s="6">
        <v>0</v>
      </c>
      <c r="DC68" s="6">
        <v>0</v>
      </c>
      <c r="DD68" s="6">
        <v>0</v>
      </c>
      <c r="DE68" s="10">
        <v>0</v>
      </c>
      <c r="DF68" s="6">
        <v>0</v>
      </c>
      <c r="DG68" s="7">
        <v>0</v>
      </c>
      <c r="DH68" s="11">
        <f t="shared" ref="DH68:DH117" si="0">SUM(G68:DG68)</f>
        <v>7438801.230631941</v>
      </c>
    </row>
    <row r="69" spans="1:112" ht="15.75" x14ac:dyDescent="0.25">
      <c r="A69" s="4">
        <v>280</v>
      </c>
      <c r="B69" s="4" t="s">
        <v>147</v>
      </c>
      <c r="C69" s="5" t="s">
        <v>201</v>
      </c>
      <c r="D69" s="5">
        <v>6</v>
      </c>
      <c r="E69" s="5">
        <v>383</v>
      </c>
      <c r="F69" s="5">
        <v>271</v>
      </c>
      <c r="G69" s="6">
        <v>171051</v>
      </c>
      <c r="H69" s="6">
        <v>97685</v>
      </c>
      <c r="I69" s="6">
        <v>138141</v>
      </c>
      <c r="J69" s="7">
        <v>0</v>
      </c>
      <c r="K69" s="7">
        <v>0</v>
      </c>
      <c r="L69" s="6">
        <v>75970</v>
      </c>
      <c r="M69" s="6">
        <v>55700</v>
      </c>
      <c r="N69" s="6">
        <v>0</v>
      </c>
      <c r="O69" s="6">
        <v>0</v>
      </c>
      <c r="P69" s="6">
        <v>0</v>
      </c>
      <c r="Q69" s="6">
        <v>67656</v>
      </c>
      <c r="R69" s="6">
        <v>204744</v>
      </c>
      <c r="S69" s="8">
        <v>0</v>
      </c>
      <c r="T69" s="6">
        <v>0</v>
      </c>
      <c r="U69" s="6">
        <v>97685</v>
      </c>
      <c r="V69" s="6">
        <v>97685</v>
      </c>
      <c r="W69" s="6">
        <v>97685</v>
      </c>
      <c r="X69" s="6">
        <v>97685</v>
      </c>
      <c r="Y69" s="6">
        <v>293055</v>
      </c>
      <c r="Z69" s="6">
        <v>195370</v>
      </c>
      <c r="AA69" s="6">
        <v>57830</v>
      </c>
      <c r="AB69" s="6">
        <v>293055</v>
      </c>
      <c r="AC69" s="6">
        <v>86745</v>
      </c>
      <c r="AD69" s="6">
        <v>97685</v>
      </c>
      <c r="AE69" s="6">
        <v>28915</v>
      </c>
      <c r="AF69" s="6">
        <v>195370</v>
      </c>
      <c r="AG69" s="6">
        <v>57830</v>
      </c>
      <c r="AH69" s="6">
        <v>195370</v>
      </c>
      <c r="AI69" s="6">
        <v>195370</v>
      </c>
      <c r="AJ69" s="6">
        <v>195370</v>
      </c>
      <c r="AK69" s="6">
        <v>195370</v>
      </c>
      <c r="AL69" s="6">
        <v>195370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97685</v>
      </c>
      <c r="AW69" s="6">
        <v>195370</v>
      </c>
      <c r="AX69" s="6">
        <v>586110</v>
      </c>
      <c r="AY69" s="6">
        <v>86745</v>
      </c>
      <c r="AZ69" s="6">
        <v>0</v>
      </c>
      <c r="BA69" s="6">
        <v>39962.045454545456</v>
      </c>
      <c r="BB69" s="6">
        <v>0</v>
      </c>
      <c r="BC69" s="6">
        <v>0</v>
      </c>
      <c r="BD69" s="6">
        <v>35580</v>
      </c>
      <c r="BE69" s="6">
        <v>39240</v>
      </c>
      <c r="BF69" s="6">
        <v>7848</v>
      </c>
      <c r="BG69" s="6">
        <v>0</v>
      </c>
      <c r="BH69" s="6">
        <v>160485.91</v>
      </c>
      <c r="BI69" s="6">
        <v>2603.9499999999998</v>
      </c>
      <c r="BJ69" s="6">
        <v>9975</v>
      </c>
      <c r="BK69" s="6">
        <v>0</v>
      </c>
      <c r="BL69" s="6"/>
      <c r="BM69" s="6">
        <v>0</v>
      </c>
      <c r="BN69" s="6">
        <v>0</v>
      </c>
      <c r="BO69" s="6">
        <v>0</v>
      </c>
      <c r="BP69" s="6">
        <v>0</v>
      </c>
      <c r="BQ69" s="26">
        <v>0</v>
      </c>
      <c r="BR69" s="26">
        <v>0</v>
      </c>
      <c r="BS69" s="26">
        <v>0</v>
      </c>
      <c r="BT69" s="26">
        <v>0</v>
      </c>
      <c r="BU69" s="26">
        <v>0</v>
      </c>
      <c r="BV69" s="26">
        <v>0</v>
      </c>
      <c r="BW69" s="26">
        <v>0</v>
      </c>
      <c r="BX69" s="26">
        <v>0</v>
      </c>
      <c r="BY69" s="2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0</v>
      </c>
      <c r="CJ69" s="6">
        <v>0</v>
      </c>
      <c r="CK69" s="6">
        <v>5420</v>
      </c>
      <c r="CL69" s="6">
        <v>83160</v>
      </c>
      <c r="CM69" s="6">
        <v>0</v>
      </c>
      <c r="CN69" s="6">
        <v>0</v>
      </c>
      <c r="CO69" s="6">
        <v>0</v>
      </c>
      <c r="CP69" s="6">
        <v>20466.909090909092</v>
      </c>
      <c r="CQ69" s="6">
        <v>0</v>
      </c>
      <c r="CR69" s="6">
        <v>0</v>
      </c>
      <c r="CS69" s="6">
        <v>0</v>
      </c>
      <c r="CT69" s="6">
        <v>33147</v>
      </c>
      <c r="CU69" s="6">
        <v>68601.360681818187</v>
      </c>
      <c r="CV69" s="6">
        <v>0</v>
      </c>
      <c r="CW69" s="6">
        <v>0</v>
      </c>
      <c r="CX69" s="7"/>
      <c r="CY69" s="6">
        <f>VLOOKUP(A69, 'At-Risk updating '!A:E, 5, 0)</f>
        <v>97667.5</v>
      </c>
      <c r="CZ69" s="6">
        <v>0</v>
      </c>
      <c r="DA69" s="6">
        <v>0</v>
      </c>
      <c r="DB69" s="6">
        <v>0</v>
      </c>
      <c r="DC69" s="6">
        <v>0</v>
      </c>
      <c r="DD69" s="6">
        <v>0</v>
      </c>
      <c r="DE69" s="10">
        <v>0</v>
      </c>
      <c r="DF69" s="6">
        <v>0</v>
      </c>
      <c r="DG69" s="7">
        <v>0</v>
      </c>
      <c r="DH69" s="11">
        <f t="shared" si="0"/>
        <v>5054459.6752272733</v>
      </c>
    </row>
    <row r="70" spans="1:112" ht="15.75" x14ac:dyDescent="0.25">
      <c r="A70" s="4">
        <v>285</v>
      </c>
      <c r="B70" s="4" t="s">
        <v>148</v>
      </c>
      <c r="C70" s="5" t="s">
        <v>201</v>
      </c>
      <c r="D70" s="5">
        <v>8</v>
      </c>
      <c r="E70" s="5">
        <v>421</v>
      </c>
      <c r="F70" s="5">
        <v>371</v>
      </c>
      <c r="G70" s="6">
        <v>171051</v>
      </c>
      <c r="H70" s="6">
        <v>97685</v>
      </c>
      <c r="I70" s="6">
        <v>138141</v>
      </c>
      <c r="J70" s="7">
        <v>0</v>
      </c>
      <c r="K70" s="7">
        <v>0</v>
      </c>
      <c r="L70" s="6">
        <v>75970</v>
      </c>
      <c r="M70" s="6">
        <v>55700</v>
      </c>
      <c r="N70" s="6">
        <v>40471</v>
      </c>
      <c r="O70" s="6">
        <v>0</v>
      </c>
      <c r="P70" s="6">
        <v>0</v>
      </c>
      <c r="Q70" s="6">
        <v>67656</v>
      </c>
      <c r="R70" s="6">
        <v>51186</v>
      </c>
      <c r="S70" s="8">
        <v>2</v>
      </c>
      <c r="T70" s="6">
        <v>82268</v>
      </c>
      <c r="U70" s="6">
        <v>97685</v>
      </c>
      <c r="V70" s="6">
        <v>97685</v>
      </c>
      <c r="W70" s="6">
        <v>97685</v>
      </c>
      <c r="X70" s="6">
        <v>97685</v>
      </c>
      <c r="Y70" s="6">
        <v>146527.5</v>
      </c>
      <c r="Z70" s="6">
        <v>195370</v>
      </c>
      <c r="AA70" s="6">
        <v>57830</v>
      </c>
      <c r="AB70" s="6">
        <v>97685</v>
      </c>
      <c r="AC70" s="6">
        <v>28915</v>
      </c>
      <c r="AD70" s="6">
        <v>195370</v>
      </c>
      <c r="AE70" s="6">
        <v>57830</v>
      </c>
      <c r="AF70" s="6">
        <v>293055</v>
      </c>
      <c r="AG70" s="6">
        <v>86745</v>
      </c>
      <c r="AH70" s="6">
        <v>293055</v>
      </c>
      <c r="AI70" s="6">
        <v>293055</v>
      </c>
      <c r="AJ70" s="6">
        <v>293055</v>
      </c>
      <c r="AK70" s="6">
        <v>195370</v>
      </c>
      <c r="AL70" s="6">
        <v>195370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97685</v>
      </c>
      <c r="AW70" s="6">
        <v>97685</v>
      </c>
      <c r="AX70" s="6">
        <v>390740</v>
      </c>
      <c r="AY70" s="6">
        <v>28915</v>
      </c>
      <c r="AZ70" s="6">
        <v>0</v>
      </c>
      <c r="BA70" s="6">
        <v>0</v>
      </c>
      <c r="BB70" s="6">
        <v>0</v>
      </c>
      <c r="BC70" s="6">
        <v>0</v>
      </c>
      <c r="BD70" s="6">
        <v>29650</v>
      </c>
      <c r="BE70" s="6">
        <v>32700</v>
      </c>
      <c r="BF70" s="6">
        <v>7848</v>
      </c>
      <c r="BG70" s="6">
        <v>0</v>
      </c>
      <c r="BH70" s="6">
        <v>170286.58</v>
      </c>
      <c r="BI70" s="6">
        <v>2762.97</v>
      </c>
      <c r="BJ70" s="6">
        <v>10575</v>
      </c>
      <c r="BK70" s="6">
        <v>0</v>
      </c>
      <c r="BL70" s="6"/>
      <c r="BM70" s="6">
        <v>0</v>
      </c>
      <c r="BN70" s="6">
        <v>0</v>
      </c>
      <c r="BO70" s="6">
        <v>0</v>
      </c>
      <c r="BP70" s="6">
        <v>97685</v>
      </c>
      <c r="BQ70" s="26">
        <v>0</v>
      </c>
      <c r="BR70" s="26">
        <v>0</v>
      </c>
      <c r="BS70" s="26">
        <v>0</v>
      </c>
      <c r="BT70" s="26">
        <v>0</v>
      </c>
      <c r="BU70" s="26">
        <v>0</v>
      </c>
      <c r="BV70" s="26">
        <v>0</v>
      </c>
      <c r="BW70" s="26">
        <v>0</v>
      </c>
      <c r="BX70" s="26">
        <v>0</v>
      </c>
      <c r="BY70" s="2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0</v>
      </c>
      <c r="CJ70" s="6">
        <v>0</v>
      </c>
      <c r="CK70" s="6">
        <v>14840</v>
      </c>
      <c r="CL70" s="6">
        <v>0</v>
      </c>
      <c r="CM70" s="6">
        <v>0</v>
      </c>
      <c r="CN70" s="6">
        <v>0</v>
      </c>
      <c r="CO70" s="6">
        <v>0</v>
      </c>
      <c r="CP70" s="6">
        <v>24144.104166666668</v>
      </c>
      <c r="CQ70" s="6">
        <v>0</v>
      </c>
      <c r="CR70" s="6">
        <v>0</v>
      </c>
      <c r="CS70" s="6">
        <v>0</v>
      </c>
      <c r="CT70" s="6">
        <v>36366</v>
      </c>
      <c r="CU70" s="6">
        <v>63226.8825</v>
      </c>
      <c r="CV70" s="6">
        <v>0</v>
      </c>
      <c r="CW70" s="6">
        <v>0</v>
      </c>
      <c r="CX70" s="6"/>
      <c r="CY70" s="6">
        <f>VLOOKUP(A70, 'At-Risk updating '!A:E, 5, 0)</f>
        <v>120963.5</v>
      </c>
      <c r="CZ70" s="6">
        <v>0</v>
      </c>
      <c r="DA70" s="6">
        <v>0</v>
      </c>
      <c r="DB70" s="6">
        <v>0</v>
      </c>
      <c r="DC70" s="6">
        <v>0</v>
      </c>
      <c r="DD70" s="6">
        <v>0</v>
      </c>
      <c r="DE70" s="10">
        <v>0</v>
      </c>
      <c r="DF70" s="6">
        <v>0</v>
      </c>
      <c r="DG70" s="12">
        <v>0</v>
      </c>
      <c r="DH70" s="11">
        <f t="shared" si="0"/>
        <v>4826175.5366666671</v>
      </c>
    </row>
    <row r="71" spans="1:112" ht="15.75" x14ac:dyDescent="0.25">
      <c r="A71" s="4">
        <v>287</v>
      </c>
      <c r="B71" s="4" t="s">
        <v>149</v>
      </c>
      <c r="C71" s="5" t="s">
        <v>201</v>
      </c>
      <c r="D71" s="5">
        <v>3</v>
      </c>
      <c r="E71" s="5">
        <v>577</v>
      </c>
      <c r="F71" s="5">
        <v>27</v>
      </c>
      <c r="G71" s="6">
        <v>171051</v>
      </c>
      <c r="H71" s="6">
        <v>97685</v>
      </c>
      <c r="I71" s="6">
        <v>193397.4</v>
      </c>
      <c r="J71" s="7">
        <v>0</v>
      </c>
      <c r="K71" s="7">
        <v>0</v>
      </c>
      <c r="L71" s="6">
        <v>75970</v>
      </c>
      <c r="M71" s="6">
        <v>55700</v>
      </c>
      <c r="N71" s="6">
        <v>56659.399999999994</v>
      </c>
      <c r="O71" s="6">
        <v>0</v>
      </c>
      <c r="P71" s="6">
        <v>0</v>
      </c>
      <c r="Q71" s="6">
        <v>67656</v>
      </c>
      <c r="R71" s="6">
        <v>102372</v>
      </c>
      <c r="S71" s="8">
        <v>2</v>
      </c>
      <c r="T71" s="6">
        <v>82268</v>
      </c>
      <c r="U71" s="6">
        <v>97685</v>
      </c>
      <c r="V71" s="6">
        <v>97685</v>
      </c>
      <c r="W71" s="6">
        <v>97685</v>
      </c>
      <c r="X71" s="6">
        <v>97685</v>
      </c>
      <c r="Y71" s="6">
        <v>146527.5</v>
      </c>
      <c r="Z71" s="6">
        <v>0</v>
      </c>
      <c r="AA71" s="6">
        <v>0</v>
      </c>
      <c r="AB71" s="6">
        <v>0</v>
      </c>
      <c r="AC71" s="6">
        <v>0</v>
      </c>
      <c r="AD71" s="6">
        <v>293055</v>
      </c>
      <c r="AE71" s="6">
        <v>86745</v>
      </c>
      <c r="AF71" s="6">
        <v>390740</v>
      </c>
      <c r="AG71" s="6">
        <v>115660</v>
      </c>
      <c r="AH71" s="6">
        <v>390740</v>
      </c>
      <c r="AI71" s="6">
        <v>488425</v>
      </c>
      <c r="AJ71" s="6">
        <v>488425</v>
      </c>
      <c r="AK71" s="6">
        <v>390740</v>
      </c>
      <c r="AL71" s="6">
        <v>488425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48842.5</v>
      </c>
      <c r="AW71" s="6">
        <v>97685</v>
      </c>
      <c r="AX71" s="6">
        <v>390740</v>
      </c>
      <c r="AY71" s="6">
        <v>28915</v>
      </c>
      <c r="AZ71" s="6">
        <v>0</v>
      </c>
      <c r="BA71" s="6">
        <v>195370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14325</v>
      </c>
      <c r="BK71" s="6">
        <v>0</v>
      </c>
      <c r="BL71" s="6"/>
      <c r="BM71" s="6">
        <v>0</v>
      </c>
      <c r="BN71" s="6">
        <v>0</v>
      </c>
      <c r="BO71" s="6">
        <v>0</v>
      </c>
      <c r="BP71" s="6">
        <v>0</v>
      </c>
      <c r="BQ71" s="26">
        <v>0</v>
      </c>
      <c r="BR71" s="26">
        <v>0</v>
      </c>
      <c r="BS71" s="26">
        <v>0</v>
      </c>
      <c r="BT71" s="26">
        <v>0</v>
      </c>
      <c r="BU71" s="26">
        <v>0</v>
      </c>
      <c r="BV71" s="26">
        <v>0</v>
      </c>
      <c r="BW71" s="26">
        <v>0</v>
      </c>
      <c r="BX71" s="26">
        <v>0</v>
      </c>
      <c r="BY71" s="2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0</v>
      </c>
      <c r="CL71" s="6">
        <v>0</v>
      </c>
      <c r="CM71" s="6">
        <v>0</v>
      </c>
      <c r="CN71" s="6">
        <v>0</v>
      </c>
      <c r="CO71" s="6">
        <v>0</v>
      </c>
      <c r="CP71" s="6">
        <v>28134.883720930233</v>
      </c>
      <c r="CQ71" s="6">
        <v>0</v>
      </c>
      <c r="CR71" s="6">
        <v>0</v>
      </c>
      <c r="CS71" s="6">
        <v>0</v>
      </c>
      <c r="CT71" s="6">
        <v>50112</v>
      </c>
      <c r="CU71" s="6">
        <v>80018.006999999998</v>
      </c>
      <c r="CV71" s="6">
        <v>0</v>
      </c>
      <c r="CW71" s="6">
        <v>0</v>
      </c>
      <c r="CX71" s="6"/>
      <c r="CY71" s="6">
        <f>VLOOKUP(A71, 'At-Risk updating '!A:E, 5, 0)</f>
        <v>2345.6666666666715</v>
      </c>
      <c r="CZ71" s="6">
        <v>0</v>
      </c>
      <c r="DA71" s="6">
        <v>0</v>
      </c>
      <c r="DB71" s="6">
        <v>0</v>
      </c>
      <c r="DC71" s="6">
        <v>0</v>
      </c>
      <c r="DD71" s="6">
        <v>0</v>
      </c>
      <c r="DE71" s="10">
        <v>0</v>
      </c>
      <c r="DF71" s="6">
        <v>0</v>
      </c>
      <c r="DG71" s="7">
        <v>0</v>
      </c>
      <c r="DH71" s="11">
        <f t="shared" si="0"/>
        <v>5509471.3573875977</v>
      </c>
    </row>
    <row r="72" spans="1:112" ht="15.75" x14ac:dyDescent="0.25">
      <c r="A72" s="4">
        <v>288</v>
      </c>
      <c r="B72" s="4" t="s">
        <v>150</v>
      </c>
      <c r="C72" s="5" t="s">
        <v>201</v>
      </c>
      <c r="D72" s="5">
        <v>7</v>
      </c>
      <c r="E72" s="5">
        <v>395</v>
      </c>
      <c r="F72" s="5">
        <v>317</v>
      </c>
      <c r="G72" s="6">
        <v>171051</v>
      </c>
      <c r="H72" s="6">
        <v>97685</v>
      </c>
      <c r="I72" s="6">
        <v>138141</v>
      </c>
      <c r="J72" s="7">
        <v>0</v>
      </c>
      <c r="K72" s="7">
        <v>0</v>
      </c>
      <c r="L72" s="6">
        <v>75970</v>
      </c>
      <c r="M72" s="6">
        <v>55700</v>
      </c>
      <c r="N72" s="6">
        <v>40471</v>
      </c>
      <c r="O72" s="6">
        <v>0</v>
      </c>
      <c r="P72" s="6">
        <v>0</v>
      </c>
      <c r="Q72" s="6">
        <v>67656</v>
      </c>
      <c r="R72" s="6">
        <v>0</v>
      </c>
      <c r="S72" s="8">
        <v>2</v>
      </c>
      <c r="T72" s="6">
        <v>82268</v>
      </c>
      <c r="U72" s="6">
        <v>97685</v>
      </c>
      <c r="V72" s="6">
        <v>97685</v>
      </c>
      <c r="W72" s="6">
        <v>97685</v>
      </c>
      <c r="X72" s="6">
        <v>97685</v>
      </c>
      <c r="Y72" s="6">
        <v>244212.5</v>
      </c>
      <c r="Z72" s="6">
        <v>0</v>
      </c>
      <c r="AA72" s="6">
        <v>0</v>
      </c>
      <c r="AB72" s="6">
        <v>586110</v>
      </c>
      <c r="AC72" s="6">
        <v>173490</v>
      </c>
      <c r="AD72" s="6">
        <v>0</v>
      </c>
      <c r="AE72" s="6">
        <v>0</v>
      </c>
      <c r="AF72" s="6">
        <v>293055</v>
      </c>
      <c r="AG72" s="6">
        <v>86745</v>
      </c>
      <c r="AH72" s="6">
        <v>293055</v>
      </c>
      <c r="AI72" s="6">
        <v>293055</v>
      </c>
      <c r="AJ72" s="6">
        <v>195370</v>
      </c>
      <c r="AK72" s="6">
        <v>293055</v>
      </c>
      <c r="AL72" s="6">
        <v>195370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97685</v>
      </c>
      <c r="AW72" s="6">
        <v>97685</v>
      </c>
      <c r="AX72" s="6">
        <v>293055</v>
      </c>
      <c r="AY72" s="6">
        <v>0</v>
      </c>
      <c r="AZ72" s="6">
        <v>0</v>
      </c>
      <c r="BA72" s="6">
        <v>17760.909090909092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157627.38</v>
      </c>
      <c r="BI72" s="6">
        <v>2557.5700000000002</v>
      </c>
      <c r="BJ72" s="6">
        <v>9800</v>
      </c>
      <c r="BK72" s="6">
        <v>0</v>
      </c>
      <c r="BL72" s="6"/>
      <c r="BM72" s="6">
        <v>0</v>
      </c>
      <c r="BN72" s="6">
        <v>0</v>
      </c>
      <c r="BO72" s="6">
        <v>0</v>
      </c>
      <c r="BP72" s="6">
        <v>97685</v>
      </c>
      <c r="BQ72" s="26">
        <v>0</v>
      </c>
      <c r="BR72" s="26">
        <v>0</v>
      </c>
      <c r="BS72" s="26">
        <v>0</v>
      </c>
      <c r="BT72" s="26">
        <v>0</v>
      </c>
      <c r="BU72" s="26">
        <v>0</v>
      </c>
      <c r="BV72" s="26">
        <v>0</v>
      </c>
      <c r="BW72" s="26">
        <v>0</v>
      </c>
      <c r="BX72" s="26">
        <v>0</v>
      </c>
      <c r="BY72" s="2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12680</v>
      </c>
      <c r="CL72" s="6">
        <v>111760</v>
      </c>
      <c r="CM72" s="6">
        <v>0</v>
      </c>
      <c r="CN72" s="6">
        <v>0</v>
      </c>
      <c r="CO72" s="6">
        <v>0</v>
      </c>
      <c r="CP72" s="6">
        <v>23458.95</v>
      </c>
      <c r="CQ72" s="6">
        <v>0</v>
      </c>
      <c r="CR72" s="6">
        <v>0</v>
      </c>
      <c r="CS72" s="6">
        <v>0</v>
      </c>
      <c r="CT72" s="6">
        <v>35148</v>
      </c>
      <c r="CU72" s="6">
        <v>65867.181136363637</v>
      </c>
      <c r="CV72" s="6">
        <v>0</v>
      </c>
      <c r="CW72" s="6">
        <v>0</v>
      </c>
      <c r="CX72" s="6"/>
      <c r="CY72" s="6">
        <f>VLOOKUP(A72, 'At-Risk updating '!A:E, 5, 0)</f>
        <v>33240.5</v>
      </c>
      <c r="CZ72" s="6">
        <v>0</v>
      </c>
      <c r="DA72" s="6">
        <v>0</v>
      </c>
      <c r="DB72" s="6">
        <v>0</v>
      </c>
      <c r="DC72" s="6">
        <v>0</v>
      </c>
      <c r="DD72" s="6">
        <v>0</v>
      </c>
      <c r="DE72" s="10">
        <v>0</v>
      </c>
      <c r="DF72" s="6">
        <v>0</v>
      </c>
      <c r="DG72" s="7">
        <v>0</v>
      </c>
      <c r="DH72" s="11">
        <f t="shared" si="0"/>
        <v>4829211.9902272727</v>
      </c>
    </row>
    <row r="73" spans="1:112" ht="15.75" x14ac:dyDescent="0.25">
      <c r="A73" s="4">
        <v>290</v>
      </c>
      <c r="B73" s="4" t="s">
        <v>151</v>
      </c>
      <c r="C73" s="5" t="s">
        <v>201</v>
      </c>
      <c r="D73" s="5">
        <v>5</v>
      </c>
      <c r="E73" s="5">
        <v>187</v>
      </c>
      <c r="F73" s="5">
        <v>133</v>
      </c>
      <c r="G73" s="6">
        <v>171051</v>
      </c>
      <c r="H73" s="6">
        <v>97685</v>
      </c>
      <c r="I73" s="6">
        <v>0</v>
      </c>
      <c r="J73" s="7">
        <v>0</v>
      </c>
      <c r="K73" s="7">
        <v>0</v>
      </c>
      <c r="L73" s="27">
        <v>75970</v>
      </c>
      <c r="M73" s="6">
        <v>55700</v>
      </c>
      <c r="N73" s="6">
        <v>0</v>
      </c>
      <c r="O73" s="6">
        <v>0</v>
      </c>
      <c r="P73" s="6">
        <v>0</v>
      </c>
      <c r="Q73" s="6">
        <v>67656</v>
      </c>
      <c r="R73" s="6">
        <v>51186</v>
      </c>
      <c r="S73" s="8">
        <v>1</v>
      </c>
      <c r="T73" s="6">
        <v>41134</v>
      </c>
      <c r="U73" s="6">
        <v>48842.5</v>
      </c>
      <c r="V73" s="6">
        <v>97685</v>
      </c>
      <c r="W73" s="6">
        <v>97685</v>
      </c>
      <c r="X73" s="6">
        <v>97685</v>
      </c>
      <c r="Y73" s="6">
        <v>0</v>
      </c>
      <c r="Z73" s="6">
        <v>97685</v>
      </c>
      <c r="AA73" s="6">
        <v>28915</v>
      </c>
      <c r="AB73" s="6">
        <v>0</v>
      </c>
      <c r="AC73" s="6">
        <v>0</v>
      </c>
      <c r="AD73" s="6">
        <v>97685</v>
      </c>
      <c r="AE73" s="6">
        <v>28915</v>
      </c>
      <c r="AF73" s="6">
        <v>195370</v>
      </c>
      <c r="AG73" s="6">
        <v>57830</v>
      </c>
      <c r="AH73" s="6">
        <v>97685</v>
      </c>
      <c r="AI73" s="6">
        <v>195370</v>
      </c>
      <c r="AJ73" s="6">
        <v>97685</v>
      </c>
      <c r="AK73" s="6">
        <v>97685</v>
      </c>
      <c r="AL73" s="6">
        <v>97685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48842.5</v>
      </c>
      <c r="AW73" s="6">
        <v>97685</v>
      </c>
      <c r="AX73" s="6">
        <v>683795</v>
      </c>
      <c r="AY73" s="6">
        <v>115660</v>
      </c>
      <c r="AZ73" s="6">
        <v>0</v>
      </c>
      <c r="BA73" s="6">
        <v>97685</v>
      </c>
      <c r="BB73" s="6">
        <v>0</v>
      </c>
      <c r="BC73" s="6">
        <v>0</v>
      </c>
      <c r="BD73" s="6">
        <v>23720</v>
      </c>
      <c r="BE73" s="6">
        <v>26160</v>
      </c>
      <c r="BF73" s="6">
        <v>7848</v>
      </c>
      <c r="BG73" s="6">
        <v>0</v>
      </c>
      <c r="BH73" s="6">
        <v>77996.97</v>
      </c>
      <c r="BI73" s="6">
        <v>1265.53</v>
      </c>
      <c r="BJ73" s="6">
        <v>4850</v>
      </c>
      <c r="BK73" s="6">
        <v>0</v>
      </c>
      <c r="BL73" s="6"/>
      <c r="BM73" s="6">
        <v>0</v>
      </c>
      <c r="BN73" s="6">
        <v>0</v>
      </c>
      <c r="BO73" s="6">
        <v>0</v>
      </c>
      <c r="BP73" s="6">
        <v>0</v>
      </c>
      <c r="BQ73" s="26">
        <v>0</v>
      </c>
      <c r="BR73" s="26">
        <v>0</v>
      </c>
      <c r="BS73" s="26">
        <v>0</v>
      </c>
      <c r="BT73" s="26">
        <v>0</v>
      </c>
      <c r="BU73" s="26">
        <v>0</v>
      </c>
      <c r="BV73" s="26">
        <v>0</v>
      </c>
      <c r="BW73" s="26">
        <v>0</v>
      </c>
      <c r="BX73" s="26">
        <v>0</v>
      </c>
      <c r="BY73" s="2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2660</v>
      </c>
      <c r="CL73" s="6">
        <v>39960</v>
      </c>
      <c r="CM73" s="6">
        <v>0</v>
      </c>
      <c r="CN73" s="6">
        <v>0</v>
      </c>
      <c r="CO73" s="6">
        <v>0</v>
      </c>
      <c r="CP73" s="6">
        <v>11357.122762148338</v>
      </c>
      <c r="CQ73" s="6">
        <v>0</v>
      </c>
      <c r="CR73" s="6">
        <v>0</v>
      </c>
      <c r="CS73" s="6">
        <v>0</v>
      </c>
      <c r="CT73" s="6">
        <v>16182</v>
      </c>
      <c r="CU73" s="6">
        <v>46176.254999999997</v>
      </c>
      <c r="CV73" s="6">
        <v>0</v>
      </c>
      <c r="CW73" s="6">
        <v>0</v>
      </c>
      <c r="CX73" s="6"/>
      <c r="CY73" s="6">
        <f>VLOOKUP(A73, 'At-Risk updating '!A:E, 5, 0)</f>
        <v>78072</v>
      </c>
      <c r="CZ73" s="6">
        <v>0</v>
      </c>
      <c r="DA73" s="6">
        <v>0</v>
      </c>
      <c r="DB73" s="6">
        <v>0</v>
      </c>
      <c r="DC73" s="6">
        <v>0</v>
      </c>
      <c r="DD73" s="6">
        <v>0</v>
      </c>
      <c r="DE73" s="10">
        <v>0</v>
      </c>
      <c r="DF73" s="6">
        <v>0</v>
      </c>
      <c r="DG73" s="7">
        <v>0</v>
      </c>
      <c r="DH73" s="11">
        <f t="shared" si="0"/>
        <v>3374705.8777621482</v>
      </c>
    </row>
    <row r="74" spans="1:112" ht="15.75" x14ac:dyDescent="0.25">
      <c r="A74" s="4">
        <v>291</v>
      </c>
      <c r="B74" s="4" t="s">
        <v>152</v>
      </c>
      <c r="C74" s="5" t="s">
        <v>201</v>
      </c>
      <c r="D74" s="5">
        <v>8</v>
      </c>
      <c r="E74" s="5">
        <v>422</v>
      </c>
      <c r="F74" s="5">
        <v>332</v>
      </c>
      <c r="G74" s="6">
        <v>171051</v>
      </c>
      <c r="H74" s="6">
        <v>97685</v>
      </c>
      <c r="I74" s="6">
        <v>151955.1</v>
      </c>
      <c r="J74" s="7">
        <v>0</v>
      </c>
      <c r="K74" s="7">
        <v>0</v>
      </c>
      <c r="L74" s="6">
        <v>75970</v>
      </c>
      <c r="M74" s="6">
        <v>55700</v>
      </c>
      <c r="N74" s="6">
        <v>44518.100000000006</v>
      </c>
      <c r="O74" s="6">
        <v>0</v>
      </c>
      <c r="P74" s="6">
        <v>0</v>
      </c>
      <c r="Q74" s="6">
        <v>67656</v>
      </c>
      <c r="R74" s="6">
        <v>51186</v>
      </c>
      <c r="S74" s="8">
        <v>2</v>
      </c>
      <c r="T74" s="6">
        <v>82268</v>
      </c>
      <c r="U74" s="6">
        <v>97685</v>
      </c>
      <c r="V74" s="6">
        <v>97685</v>
      </c>
      <c r="W74" s="6">
        <v>97685</v>
      </c>
      <c r="X74" s="6">
        <v>97685</v>
      </c>
      <c r="Y74" s="6">
        <v>146527.5</v>
      </c>
      <c r="Z74" s="6">
        <v>293055</v>
      </c>
      <c r="AA74" s="6">
        <v>86745</v>
      </c>
      <c r="AB74" s="6">
        <v>0</v>
      </c>
      <c r="AC74" s="6">
        <v>0</v>
      </c>
      <c r="AD74" s="6">
        <v>293055</v>
      </c>
      <c r="AE74" s="6">
        <v>86745</v>
      </c>
      <c r="AF74" s="6">
        <v>293055</v>
      </c>
      <c r="AG74" s="6">
        <v>86745</v>
      </c>
      <c r="AH74" s="6">
        <v>293055</v>
      </c>
      <c r="AI74" s="6">
        <v>293055</v>
      </c>
      <c r="AJ74" s="6">
        <v>293055</v>
      </c>
      <c r="AK74" s="6">
        <v>195370</v>
      </c>
      <c r="AL74" s="6">
        <v>293055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97685</v>
      </c>
      <c r="AW74" s="6">
        <v>97685</v>
      </c>
      <c r="AX74" s="6">
        <v>390740</v>
      </c>
      <c r="AY74" s="6">
        <v>0</v>
      </c>
      <c r="AZ74" s="6">
        <v>0</v>
      </c>
      <c r="BA74" s="6">
        <v>4440.227272727273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169469.86</v>
      </c>
      <c r="BI74" s="6">
        <v>2749.72</v>
      </c>
      <c r="BJ74" s="6">
        <v>10525</v>
      </c>
      <c r="BK74" s="6">
        <v>0</v>
      </c>
      <c r="BL74" s="6"/>
      <c r="BM74" s="6">
        <v>0</v>
      </c>
      <c r="BN74" s="6">
        <v>0</v>
      </c>
      <c r="BO74" s="6">
        <v>0</v>
      </c>
      <c r="BP74" s="6">
        <v>0</v>
      </c>
      <c r="BQ74" s="26">
        <v>0</v>
      </c>
      <c r="BR74" s="26">
        <v>0</v>
      </c>
      <c r="BS74" s="26">
        <v>0</v>
      </c>
      <c r="BT74" s="26">
        <v>0</v>
      </c>
      <c r="BU74" s="26">
        <v>0</v>
      </c>
      <c r="BV74" s="26">
        <v>0</v>
      </c>
      <c r="BW74" s="26">
        <v>97685</v>
      </c>
      <c r="BX74" s="26">
        <v>0</v>
      </c>
      <c r="BY74" s="2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13280</v>
      </c>
      <c r="CL74" s="6">
        <v>146600</v>
      </c>
      <c r="CM74" s="6">
        <v>0</v>
      </c>
      <c r="CN74" s="6">
        <v>0</v>
      </c>
      <c r="CO74" s="6">
        <v>0</v>
      </c>
      <c r="CP74" s="6">
        <v>23921.737499999999</v>
      </c>
      <c r="CQ74" s="6">
        <v>0</v>
      </c>
      <c r="CR74" s="6">
        <v>0</v>
      </c>
      <c r="CS74" s="6">
        <v>0</v>
      </c>
      <c r="CT74" s="6">
        <v>36627</v>
      </c>
      <c r="CU74" s="6">
        <v>68690.953909090909</v>
      </c>
      <c r="CV74" s="6">
        <v>0</v>
      </c>
      <c r="CW74" s="6">
        <v>0</v>
      </c>
      <c r="CX74" s="6"/>
      <c r="CY74" s="6">
        <f>VLOOKUP(A74, 'At-Risk updating '!A:E, 5, 0)</f>
        <v>123835</v>
      </c>
      <c r="CZ74" s="6">
        <v>0</v>
      </c>
      <c r="DA74" s="6">
        <v>0</v>
      </c>
      <c r="DB74" s="6">
        <v>0</v>
      </c>
      <c r="DC74" s="6">
        <v>0</v>
      </c>
      <c r="DD74" s="6">
        <v>0</v>
      </c>
      <c r="DE74" s="10">
        <v>0</v>
      </c>
      <c r="DF74" s="6">
        <v>0</v>
      </c>
      <c r="DG74" s="7">
        <v>0</v>
      </c>
      <c r="DH74" s="11">
        <f t="shared" si="0"/>
        <v>5126183.1986818183</v>
      </c>
    </row>
    <row r="75" spans="1:112" ht="15.75" x14ac:dyDescent="0.25">
      <c r="A75" s="4">
        <v>292</v>
      </c>
      <c r="B75" s="4" t="s">
        <v>153</v>
      </c>
      <c r="C75" s="5" t="s">
        <v>203</v>
      </c>
      <c r="D75" s="5">
        <v>3</v>
      </c>
      <c r="E75" s="5">
        <v>678</v>
      </c>
      <c r="F75" s="5">
        <v>77</v>
      </c>
      <c r="G75" s="6">
        <v>171051</v>
      </c>
      <c r="H75" s="6">
        <v>195370</v>
      </c>
      <c r="I75" s="6">
        <v>262467.89999999997</v>
      </c>
      <c r="J75" s="7">
        <v>97685</v>
      </c>
      <c r="K75" s="7">
        <v>0</v>
      </c>
      <c r="L75" s="6">
        <v>75970</v>
      </c>
      <c r="M75" s="6">
        <v>55700</v>
      </c>
      <c r="N75" s="6">
        <v>68800.7</v>
      </c>
      <c r="O75" s="6">
        <v>0</v>
      </c>
      <c r="P75" s="6">
        <v>0</v>
      </c>
      <c r="Q75" s="6">
        <v>135312</v>
      </c>
      <c r="R75" s="6">
        <v>153558</v>
      </c>
      <c r="S75" s="8">
        <v>1</v>
      </c>
      <c r="T75" s="6">
        <v>41134</v>
      </c>
      <c r="U75" s="6">
        <v>195370</v>
      </c>
      <c r="V75" s="6">
        <v>97685</v>
      </c>
      <c r="W75" s="6">
        <v>97685</v>
      </c>
      <c r="X75" s="6">
        <v>97685</v>
      </c>
      <c r="Y75" s="6">
        <v>341897.5</v>
      </c>
      <c r="Z75" s="6">
        <v>0</v>
      </c>
      <c r="AA75" s="6">
        <v>0</v>
      </c>
      <c r="AB75" s="6">
        <v>0</v>
      </c>
      <c r="AC75" s="6">
        <v>0</v>
      </c>
      <c r="AD75" s="6">
        <v>195370</v>
      </c>
      <c r="AE75" s="6">
        <v>57830</v>
      </c>
      <c r="AF75" s="6">
        <v>293055</v>
      </c>
      <c r="AG75" s="6">
        <v>86745</v>
      </c>
      <c r="AH75" s="6">
        <v>390740</v>
      </c>
      <c r="AI75" s="6">
        <v>390740</v>
      </c>
      <c r="AJ75" s="6">
        <v>390740</v>
      </c>
      <c r="AK75" s="6">
        <v>390740</v>
      </c>
      <c r="AL75" s="6">
        <v>390740</v>
      </c>
      <c r="AM75" s="6">
        <v>351666</v>
      </c>
      <c r="AN75" s="6">
        <v>371203</v>
      </c>
      <c r="AO75" s="6">
        <v>361434.5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146527.5</v>
      </c>
      <c r="AW75" s="6">
        <v>195370</v>
      </c>
      <c r="AX75" s="6">
        <v>683795</v>
      </c>
      <c r="AY75" s="6">
        <v>28915</v>
      </c>
      <c r="AZ75" s="6">
        <v>0</v>
      </c>
      <c r="BA75" s="6">
        <v>390740</v>
      </c>
      <c r="BB75" s="6">
        <v>0</v>
      </c>
      <c r="BC75" s="6">
        <v>97685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16850</v>
      </c>
      <c r="BK75" s="6">
        <v>0</v>
      </c>
      <c r="BL75" s="6"/>
      <c r="BM75" s="6">
        <v>0</v>
      </c>
      <c r="BN75" s="6">
        <v>0</v>
      </c>
      <c r="BO75" s="6">
        <v>0</v>
      </c>
      <c r="BP75" s="6">
        <v>0</v>
      </c>
      <c r="BQ75" s="26">
        <v>0</v>
      </c>
      <c r="BR75" s="26">
        <v>0</v>
      </c>
      <c r="BS75" s="26">
        <v>0</v>
      </c>
      <c r="BT75" s="26">
        <v>0</v>
      </c>
      <c r="BU75" s="26">
        <v>0</v>
      </c>
      <c r="BV75" s="26">
        <v>0</v>
      </c>
      <c r="BW75" s="26">
        <v>0</v>
      </c>
      <c r="BX75" s="26">
        <v>0</v>
      </c>
      <c r="BY75" s="2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195370</v>
      </c>
      <c r="CF75" s="6">
        <v>23000</v>
      </c>
      <c r="CG75" s="6">
        <v>5000</v>
      </c>
      <c r="CH75" s="6">
        <v>100000</v>
      </c>
      <c r="CI75" s="6">
        <v>0</v>
      </c>
      <c r="CJ75" s="6">
        <v>0</v>
      </c>
      <c r="CK75" s="6">
        <v>0</v>
      </c>
      <c r="CL75" s="6">
        <v>0</v>
      </c>
      <c r="CM75" s="6">
        <v>0</v>
      </c>
      <c r="CN75" s="6">
        <v>0</v>
      </c>
      <c r="CO75" s="6">
        <v>0</v>
      </c>
      <c r="CP75" s="6">
        <v>38827.929376854605</v>
      </c>
      <c r="CQ75" s="6">
        <v>0</v>
      </c>
      <c r="CR75" s="6">
        <v>0</v>
      </c>
      <c r="CS75" s="6">
        <v>0</v>
      </c>
      <c r="CT75" s="6">
        <v>58899</v>
      </c>
      <c r="CU75" s="6">
        <v>113951.6565</v>
      </c>
      <c r="CV75" s="6">
        <v>0</v>
      </c>
      <c r="CW75" s="6">
        <v>500000</v>
      </c>
      <c r="CX75" s="6"/>
      <c r="CY75" s="6">
        <f>VLOOKUP(A75, 'At-Risk updating '!A:E, 5, 0)</f>
        <v>2233</v>
      </c>
      <c r="CZ75" s="6">
        <v>0</v>
      </c>
      <c r="DA75" s="6">
        <v>0</v>
      </c>
      <c r="DB75" s="6">
        <v>0</v>
      </c>
      <c r="DC75" s="6">
        <v>0</v>
      </c>
      <c r="DD75" s="6">
        <v>0</v>
      </c>
      <c r="DE75" s="10">
        <v>0</v>
      </c>
      <c r="DF75" s="6">
        <v>0</v>
      </c>
      <c r="DG75" s="7">
        <v>0</v>
      </c>
      <c r="DH75" s="11">
        <f t="shared" si="0"/>
        <v>8355539.6858768538</v>
      </c>
    </row>
    <row r="76" spans="1:112" ht="15.75" x14ac:dyDescent="0.25">
      <c r="A76" s="4">
        <v>294</v>
      </c>
      <c r="B76" s="4" t="s">
        <v>154</v>
      </c>
      <c r="C76" s="5" t="s">
        <v>201</v>
      </c>
      <c r="D76" s="5">
        <v>8</v>
      </c>
      <c r="E76" s="5">
        <v>391</v>
      </c>
      <c r="F76" s="5">
        <v>334</v>
      </c>
      <c r="G76" s="6">
        <v>171051</v>
      </c>
      <c r="H76" s="6">
        <v>97685</v>
      </c>
      <c r="I76" s="6">
        <v>138141</v>
      </c>
      <c r="J76" s="7">
        <v>0</v>
      </c>
      <c r="K76" s="7">
        <v>0</v>
      </c>
      <c r="L76" s="6">
        <v>75970</v>
      </c>
      <c r="M76" s="6">
        <v>55700</v>
      </c>
      <c r="N76" s="6">
        <v>0</v>
      </c>
      <c r="O76" s="6">
        <v>0</v>
      </c>
      <c r="P76" s="6">
        <v>0</v>
      </c>
      <c r="Q76" s="6">
        <v>67656</v>
      </c>
      <c r="R76" s="6">
        <v>102372</v>
      </c>
      <c r="S76" s="8">
        <v>1</v>
      </c>
      <c r="T76" s="6">
        <v>41134</v>
      </c>
      <c r="U76" s="6">
        <v>97685</v>
      </c>
      <c r="V76" s="6">
        <v>97685</v>
      </c>
      <c r="W76" s="6">
        <v>97685</v>
      </c>
      <c r="X76" s="6">
        <v>97685</v>
      </c>
      <c r="Y76" s="6">
        <v>146527.5</v>
      </c>
      <c r="Z76" s="6">
        <v>195370</v>
      </c>
      <c r="AA76" s="6">
        <v>57830</v>
      </c>
      <c r="AB76" s="6">
        <v>0</v>
      </c>
      <c r="AC76" s="6">
        <v>0</v>
      </c>
      <c r="AD76" s="6">
        <v>195370</v>
      </c>
      <c r="AE76" s="6">
        <v>57830</v>
      </c>
      <c r="AF76" s="6">
        <v>293055</v>
      </c>
      <c r="AG76" s="6">
        <v>86745</v>
      </c>
      <c r="AH76" s="6">
        <v>293055</v>
      </c>
      <c r="AI76" s="6">
        <v>293055</v>
      </c>
      <c r="AJ76" s="6">
        <v>293055</v>
      </c>
      <c r="AK76" s="6">
        <v>195370</v>
      </c>
      <c r="AL76" s="6">
        <v>195370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97685</v>
      </c>
      <c r="AW76" s="6">
        <v>146527.5</v>
      </c>
      <c r="AX76" s="6">
        <v>879165</v>
      </c>
      <c r="AY76" s="6">
        <v>231320</v>
      </c>
      <c r="AZ76" s="6">
        <v>0</v>
      </c>
      <c r="BA76" s="6">
        <v>0</v>
      </c>
      <c r="BB76" s="6">
        <v>0</v>
      </c>
      <c r="BC76" s="6">
        <v>0</v>
      </c>
      <c r="BD76" s="6">
        <v>47440</v>
      </c>
      <c r="BE76" s="6">
        <v>52320</v>
      </c>
      <c r="BF76" s="6">
        <v>7848</v>
      </c>
      <c r="BG76" s="6">
        <v>0</v>
      </c>
      <c r="BH76" s="6">
        <v>162527.72</v>
      </c>
      <c r="BI76" s="6">
        <v>2637.08</v>
      </c>
      <c r="BJ76" s="6">
        <v>10100</v>
      </c>
      <c r="BK76" s="6">
        <v>0</v>
      </c>
      <c r="BL76" s="6"/>
      <c r="BM76" s="6">
        <v>0</v>
      </c>
      <c r="BN76" s="6">
        <v>0</v>
      </c>
      <c r="BO76" s="6">
        <v>0</v>
      </c>
      <c r="BP76" s="6">
        <v>0</v>
      </c>
      <c r="BQ76" s="26">
        <v>0</v>
      </c>
      <c r="BR76" s="26">
        <v>0</v>
      </c>
      <c r="BS76" s="26">
        <v>0</v>
      </c>
      <c r="BT76" s="26">
        <v>0</v>
      </c>
      <c r="BU76" s="26">
        <v>0</v>
      </c>
      <c r="BV76" s="26">
        <v>0</v>
      </c>
      <c r="BW76" s="26">
        <v>0</v>
      </c>
      <c r="BX76" s="26">
        <v>0</v>
      </c>
      <c r="BY76" s="2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13360</v>
      </c>
      <c r="CL76" s="6">
        <v>0</v>
      </c>
      <c r="CM76" s="6">
        <v>0</v>
      </c>
      <c r="CN76" s="6">
        <v>0</v>
      </c>
      <c r="CO76" s="6">
        <v>0</v>
      </c>
      <c r="CP76" s="6">
        <v>22637.989528795813</v>
      </c>
      <c r="CQ76" s="6">
        <v>0</v>
      </c>
      <c r="CR76" s="6">
        <v>0</v>
      </c>
      <c r="CS76" s="6">
        <v>0</v>
      </c>
      <c r="CT76" s="6">
        <v>33930</v>
      </c>
      <c r="CU76" s="6">
        <v>71966.684999999998</v>
      </c>
      <c r="CV76" s="6">
        <v>0</v>
      </c>
      <c r="CW76" s="6">
        <v>0</v>
      </c>
      <c r="CX76" s="6"/>
      <c r="CY76" s="6">
        <f>VLOOKUP(A76, 'At-Risk updating '!A:E, 5, 0)</f>
        <v>55752.5</v>
      </c>
      <c r="CZ76" s="6">
        <v>0</v>
      </c>
      <c r="DA76" s="6">
        <v>0</v>
      </c>
      <c r="DB76" s="6">
        <v>0</v>
      </c>
      <c r="DC76" s="6">
        <v>0</v>
      </c>
      <c r="DD76" s="6">
        <v>0</v>
      </c>
      <c r="DE76" s="10">
        <v>0</v>
      </c>
      <c r="DF76" s="6">
        <v>0</v>
      </c>
      <c r="DG76" s="7">
        <v>0</v>
      </c>
      <c r="DH76" s="11">
        <f t="shared" si="0"/>
        <v>5278299.9745287951</v>
      </c>
    </row>
    <row r="77" spans="1:112" ht="15.75" x14ac:dyDescent="0.25">
      <c r="A77" s="4">
        <v>295</v>
      </c>
      <c r="B77" s="4" t="s">
        <v>155</v>
      </c>
      <c r="C77" s="5" t="s">
        <v>201</v>
      </c>
      <c r="D77" s="5">
        <v>6</v>
      </c>
      <c r="E77" s="5">
        <v>318</v>
      </c>
      <c r="F77" s="5">
        <v>184</v>
      </c>
      <c r="G77" s="6">
        <v>171051</v>
      </c>
      <c r="H77" s="6">
        <v>97685</v>
      </c>
      <c r="I77" s="6">
        <v>110512.8</v>
      </c>
      <c r="J77" s="7">
        <v>0</v>
      </c>
      <c r="K77" s="7">
        <v>0</v>
      </c>
      <c r="L77" s="6">
        <v>75970</v>
      </c>
      <c r="M77" s="6">
        <v>55700</v>
      </c>
      <c r="N77" s="6">
        <v>0</v>
      </c>
      <c r="O77" s="6">
        <v>0</v>
      </c>
      <c r="P77" s="6">
        <v>0</v>
      </c>
      <c r="Q77" s="6">
        <v>67656</v>
      </c>
      <c r="R77" s="6">
        <v>51186</v>
      </c>
      <c r="S77" s="8">
        <v>1</v>
      </c>
      <c r="T77" s="6">
        <v>41134</v>
      </c>
      <c r="U77" s="6">
        <v>97685</v>
      </c>
      <c r="V77" s="6">
        <v>97685</v>
      </c>
      <c r="W77" s="6">
        <v>97685</v>
      </c>
      <c r="X77" s="6">
        <v>97685</v>
      </c>
      <c r="Y77" s="6">
        <v>0</v>
      </c>
      <c r="Z77" s="6">
        <v>195370</v>
      </c>
      <c r="AA77" s="6">
        <v>57830</v>
      </c>
      <c r="AB77" s="6">
        <v>0</v>
      </c>
      <c r="AC77" s="6">
        <v>0</v>
      </c>
      <c r="AD77" s="6">
        <v>195370</v>
      </c>
      <c r="AE77" s="6">
        <v>57830</v>
      </c>
      <c r="AF77" s="6">
        <v>195370</v>
      </c>
      <c r="AG77" s="6">
        <v>57830</v>
      </c>
      <c r="AH77" s="6">
        <v>195370</v>
      </c>
      <c r="AI77" s="6">
        <v>195370</v>
      </c>
      <c r="AJ77" s="6">
        <v>195370</v>
      </c>
      <c r="AK77" s="6">
        <v>195370</v>
      </c>
      <c r="AL77" s="6">
        <v>195370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97685</v>
      </c>
      <c r="AW77" s="6">
        <v>146527.5</v>
      </c>
      <c r="AX77" s="6">
        <v>781480</v>
      </c>
      <c r="AY77" s="6">
        <v>144575</v>
      </c>
      <c r="AZ77" s="6">
        <v>90444</v>
      </c>
      <c r="BA77" s="6">
        <v>26641.363636363636</v>
      </c>
      <c r="BB77" s="6">
        <v>0</v>
      </c>
      <c r="BC77" s="6">
        <v>0</v>
      </c>
      <c r="BD77" s="6">
        <v>65230</v>
      </c>
      <c r="BE77" s="6">
        <v>71940</v>
      </c>
      <c r="BF77" s="6">
        <v>7848</v>
      </c>
      <c r="BG77" s="6">
        <v>0</v>
      </c>
      <c r="BH77" s="6">
        <v>123733.41</v>
      </c>
      <c r="BI77" s="6">
        <v>2007.63</v>
      </c>
      <c r="BJ77" s="6">
        <v>7700</v>
      </c>
      <c r="BK77" s="6">
        <v>0</v>
      </c>
      <c r="BL77" s="6"/>
      <c r="BM77" s="6">
        <v>0</v>
      </c>
      <c r="BN77" s="6">
        <v>0</v>
      </c>
      <c r="BO77" s="6">
        <v>0</v>
      </c>
      <c r="BP77" s="6">
        <v>0</v>
      </c>
      <c r="BQ77" s="26">
        <v>0</v>
      </c>
      <c r="BR77" s="26">
        <v>0</v>
      </c>
      <c r="BS77" s="26">
        <v>0</v>
      </c>
      <c r="BT77" s="26">
        <v>0</v>
      </c>
      <c r="BU77" s="26">
        <v>0</v>
      </c>
      <c r="BV77" s="26">
        <v>0</v>
      </c>
      <c r="BW77" s="26">
        <v>0</v>
      </c>
      <c r="BX77" s="26">
        <v>0</v>
      </c>
      <c r="BY77" s="2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3680</v>
      </c>
      <c r="CL77" s="6">
        <v>0</v>
      </c>
      <c r="CM77" s="6">
        <v>0</v>
      </c>
      <c r="CN77" s="6">
        <v>0</v>
      </c>
      <c r="CO77" s="6">
        <v>0</v>
      </c>
      <c r="CP77" s="6">
        <v>19428.252873563219</v>
      </c>
      <c r="CQ77" s="6">
        <v>0</v>
      </c>
      <c r="CR77" s="6">
        <v>0</v>
      </c>
      <c r="CS77" s="6">
        <v>0</v>
      </c>
      <c r="CT77" s="6">
        <v>27579</v>
      </c>
      <c r="CU77" s="6">
        <v>61281.564954545451</v>
      </c>
      <c r="CV77" s="6">
        <v>0</v>
      </c>
      <c r="CW77" s="6">
        <v>0</v>
      </c>
      <c r="CX77" s="6"/>
      <c r="CY77" s="6">
        <f>VLOOKUP(A77, 'At-Risk updating '!A:E, 5, 0)</f>
        <v>185106.5</v>
      </c>
      <c r="CZ77" s="6">
        <v>0</v>
      </c>
      <c r="DA77" s="6">
        <v>0</v>
      </c>
      <c r="DB77" s="6">
        <v>0</v>
      </c>
      <c r="DC77" s="6">
        <v>0</v>
      </c>
      <c r="DD77" s="6">
        <v>0</v>
      </c>
      <c r="DE77" s="10">
        <v>0</v>
      </c>
      <c r="DF77" s="6">
        <v>0</v>
      </c>
      <c r="DG77" s="7">
        <v>0</v>
      </c>
      <c r="DH77" s="11">
        <f t="shared" si="0"/>
        <v>4660973.0214644726</v>
      </c>
    </row>
    <row r="78" spans="1:112" ht="15.75" x14ac:dyDescent="0.25">
      <c r="A78" s="4">
        <v>301</v>
      </c>
      <c r="B78" s="4" t="s">
        <v>156</v>
      </c>
      <c r="C78" s="5" t="s">
        <v>201</v>
      </c>
      <c r="D78" s="5">
        <v>6</v>
      </c>
      <c r="E78" s="5">
        <v>225</v>
      </c>
      <c r="F78" s="5">
        <v>27</v>
      </c>
      <c r="G78" s="6">
        <v>0</v>
      </c>
      <c r="H78" s="6">
        <v>97685</v>
      </c>
      <c r="I78" s="6">
        <v>138141</v>
      </c>
      <c r="J78" s="7">
        <v>0</v>
      </c>
      <c r="K78" s="7">
        <v>0</v>
      </c>
      <c r="L78" s="6">
        <v>37985</v>
      </c>
      <c r="M78" s="6">
        <v>55700</v>
      </c>
      <c r="N78" s="6">
        <v>0</v>
      </c>
      <c r="O78" s="6">
        <v>0</v>
      </c>
      <c r="P78" s="6">
        <v>0</v>
      </c>
      <c r="Q78" s="6">
        <v>67656</v>
      </c>
      <c r="R78" s="6">
        <v>102372</v>
      </c>
      <c r="S78" s="8">
        <v>0</v>
      </c>
      <c r="T78" s="6">
        <v>0</v>
      </c>
      <c r="U78" s="6">
        <v>48842.5</v>
      </c>
      <c r="V78" s="6">
        <v>97685</v>
      </c>
      <c r="W78" s="6">
        <v>97685</v>
      </c>
      <c r="X78" s="6">
        <v>97685</v>
      </c>
      <c r="Y78" s="6">
        <v>0</v>
      </c>
      <c r="Z78" s="6">
        <v>390740</v>
      </c>
      <c r="AA78" s="6">
        <v>115660</v>
      </c>
      <c r="AB78" s="6">
        <v>0</v>
      </c>
      <c r="AC78" s="6">
        <v>0</v>
      </c>
      <c r="AD78" s="6">
        <v>390740</v>
      </c>
      <c r="AE78" s="6">
        <v>115660</v>
      </c>
      <c r="AF78" s="6">
        <v>390740</v>
      </c>
      <c r="AG78" s="6">
        <v>115660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48842.5</v>
      </c>
      <c r="AW78" s="6">
        <v>48842.5</v>
      </c>
      <c r="AX78" s="6">
        <v>97685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5725</v>
      </c>
      <c r="BK78" s="6">
        <v>0</v>
      </c>
      <c r="BL78" s="6"/>
      <c r="BM78" s="6">
        <v>0</v>
      </c>
      <c r="BN78" s="6">
        <v>0</v>
      </c>
      <c r="BO78" s="6">
        <v>0</v>
      </c>
      <c r="BP78" s="6">
        <v>0</v>
      </c>
      <c r="BQ78" s="26">
        <v>0</v>
      </c>
      <c r="BR78" s="26">
        <v>0</v>
      </c>
      <c r="BS78" s="26">
        <v>0</v>
      </c>
      <c r="BT78" s="26">
        <v>0</v>
      </c>
      <c r="BU78" s="26">
        <v>0</v>
      </c>
      <c r="BV78" s="26">
        <v>0</v>
      </c>
      <c r="BW78" s="26">
        <v>0</v>
      </c>
      <c r="BX78" s="26">
        <v>0</v>
      </c>
      <c r="BY78" s="2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0</v>
      </c>
      <c r="CL78" s="6">
        <v>0</v>
      </c>
      <c r="CM78" s="6">
        <v>0</v>
      </c>
      <c r="CN78" s="6">
        <v>0</v>
      </c>
      <c r="CO78" s="6">
        <v>0</v>
      </c>
      <c r="CP78" s="6">
        <v>13658.631578947368</v>
      </c>
      <c r="CQ78" s="6">
        <v>0</v>
      </c>
      <c r="CR78" s="6">
        <v>0</v>
      </c>
      <c r="CS78" s="6">
        <v>0</v>
      </c>
      <c r="CT78" s="6">
        <v>19575</v>
      </c>
      <c r="CU78" s="6">
        <v>38340.097499999996</v>
      </c>
      <c r="CV78" s="6">
        <v>0</v>
      </c>
      <c r="CW78" s="6">
        <v>0</v>
      </c>
      <c r="CX78" s="6"/>
      <c r="CY78" s="6">
        <f>VLOOKUP(A78, 'At-Risk updating '!A:E, 5, 0)</f>
        <v>42961.5</v>
      </c>
      <c r="CZ78" s="6">
        <v>0</v>
      </c>
      <c r="DA78" s="6">
        <v>0</v>
      </c>
      <c r="DB78" s="6">
        <v>0</v>
      </c>
      <c r="DC78" s="6">
        <v>0</v>
      </c>
      <c r="DD78" s="6">
        <v>0</v>
      </c>
      <c r="DE78" s="10">
        <v>0</v>
      </c>
      <c r="DF78" s="6">
        <v>0</v>
      </c>
      <c r="DG78" s="7">
        <v>0</v>
      </c>
      <c r="DH78" s="11">
        <f t="shared" si="0"/>
        <v>2676266.7290789476</v>
      </c>
    </row>
    <row r="79" spans="1:112" ht="15.75" x14ac:dyDescent="0.25">
      <c r="A79" s="4">
        <v>478</v>
      </c>
      <c r="B79" s="4" t="s">
        <v>157</v>
      </c>
      <c r="C79" s="5" t="s">
        <v>191</v>
      </c>
      <c r="D79" s="5">
        <v>5</v>
      </c>
      <c r="E79" s="5">
        <v>313</v>
      </c>
      <c r="F79" s="5">
        <v>211</v>
      </c>
      <c r="G79" s="6">
        <v>171051</v>
      </c>
      <c r="H79" s="6">
        <v>97685</v>
      </c>
      <c r="I79" s="6">
        <v>138141</v>
      </c>
      <c r="J79" s="7">
        <v>0</v>
      </c>
      <c r="K79" s="7">
        <v>133885.19999999998</v>
      </c>
      <c r="L79" s="6">
        <v>75970</v>
      </c>
      <c r="M79" s="6">
        <v>55700</v>
      </c>
      <c r="N79" s="6">
        <v>0</v>
      </c>
      <c r="O79" s="6">
        <v>47542</v>
      </c>
      <c r="P79" s="6">
        <v>58487</v>
      </c>
      <c r="Q79" s="6">
        <v>67656</v>
      </c>
      <c r="R79" s="6">
        <v>102372</v>
      </c>
      <c r="S79" s="8">
        <v>1</v>
      </c>
      <c r="T79" s="6">
        <v>41134</v>
      </c>
      <c r="U79" s="6">
        <v>97685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625184</v>
      </c>
      <c r="AQ79" s="6">
        <v>449350.99999999994</v>
      </c>
      <c r="AR79" s="6">
        <v>244212.5</v>
      </c>
      <c r="AS79" s="6">
        <v>380971.5</v>
      </c>
      <c r="AT79" s="6">
        <v>0</v>
      </c>
      <c r="AU79" s="6">
        <v>0</v>
      </c>
      <c r="AV79" s="6">
        <v>48842.5</v>
      </c>
      <c r="AW79" s="6">
        <v>146527.5</v>
      </c>
      <c r="AX79" s="6">
        <v>293055</v>
      </c>
      <c r="AY79" s="6">
        <v>0</v>
      </c>
      <c r="AZ79" s="6">
        <v>0</v>
      </c>
      <c r="BA79" s="6">
        <v>44402.272727272728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24276</v>
      </c>
      <c r="BH79" s="6">
        <v>122916.69</v>
      </c>
      <c r="BI79" s="6">
        <v>1994.38</v>
      </c>
      <c r="BJ79" s="6">
        <v>7650</v>
      </c>
      <c r="BK79" s="6">
        <v>0</v>
      </c>
      <c r="BL79" s="6"/>
      <c r="BM79" s="6">
        <v>0</v>
      </c>
      <c r="BN79" s="6">
        <v>0</v>
      </c>
      <c r="BO79" s="6">
        <v>0</v>
      </c>
      <c r="BP79" s="6">
        <v>0</v>
      </c>
      <c r="BQ79" s="26">
        <v>0</v>
      </c>
      <c r="BR79" s="26">
        <v>0</v>
      </c>
      <c r="BS79" s="26">
        <v>0</v>
      </c>
      <c r="BT79" s="26">
        <v>0</v>
      </c>
      <c r="BU79" s="26">
        <v>55000</v>
      </c>
      <c r="BV79" s="26">
        <v>0</v>
      </c>
      <c r="BW79" s="26">
        <v>0</v>
      </c>
      <c r="BX79" s="26">
        <v>0</v>
      </c>
      <c r="BY79" s="26">
        <v>0</v>
      </c>
      <c r="BZ79" s="6">
        <v>97685</v>
      </c>
      <c r="CA79" s="6">
        <v>87556</v>
      </c>
      <c r="CB79" s="6">
        <v>134027</v>
      </c>
      <c r="CC79" s="6">
        <v>99697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101560.06446048801</v>
      </c>
      <c r="CJ79" s="6">
        <v>12240</v>
      </c>
      <c r="CK79" s="6">
        <v>4220</v>
      </c>
      <c r="CL79" s="6">
        <v>0</v>
      </c>
      <c r="CM79" s="6">
        <v>0</v>
      </c>
      <c r="CN79" s="6">
        <v>0</v>
      </c>
      <c r="CO79" s="6">
        <v>0</v>
      </c>
      <c r="CP79" s="6">
        <v>43591.25</v>
      </c>
      <c r="CQ79" s="6">
        <v>0</v>
      </c>
      <c r="CR79" s="6">
        <v>0</v>
      </c>
      <c r="CS79" s="6">
        <v>0</v>
      </c>
      <c r="CT79" s="6">
        <v>27144</v>
      </c>
      <c r="CU79" s="6">
        <v>51321.218057816419</v>
      </c>
      <c r="CV79" s="6">
        <v>0</v>
      </c>
      <c r="CW79" s="6">
        <v>0</v>
      </c>
      <c r="CX79" s="6"/>
      <c r="CY79" s="6">
        <f>VLOOKUP(A79, 'At-Risk updating '!A:E, 5, 0)</f>
        <v>6119</v>
      </c>
      <c r="CZ79" s="6">
        <v>0</v>
      </c>
      <c r="DA79" s="6">
        <v>0</v>
      </c>
      <c r="DB79" s="6">
        <v>0</v>
      </c>
      <c r="DC79" s="6">
        <v>0</v>
      </c>
      <c r="DD79" s="6">
        <v>0</v>
      </c>
      <c r="DE79" s="10">
        <v>0</v>
      </c>
      <c r="DF79" s="6">
        <v>0</v>
      </c>
      <c r="DG79" s="7">
        <v>0</v>
      </c>
      <c r="DH79" s="11">
        <f t="shared" si="0"/>
        <v>4196853.0752455769</v>
      </c>
    </row>
    <row r="80" spans="1:112" ht="15.75" x14ac:dyDescent="0.25">
      <c r="A80" s="4">
        <v>299</v>
      </c>
      <c r="B80" s="4" t="s">
        <v>158</v>
      </c>
      <c r="C80" s="5" t="s">
        <v>201</v>
      </c>
      <c r="D80" s="5">
        <v>7</v>
      </c>
      <c r="E80" s="5">
        <v>391</v>
      </c>
      <c r="F80" s="5">
        <v>311</v>
      </c>
      <c r="G80" s="6">
        <v>171051</v>
      </c>
      <c r="H80" s="6">
        <v>97685</v>
      </c>
      <c r="I80" s="6">
        <v>138141</v>
      </c>
      <c r="J80" s="7">
        <v>0</v>
      </c>
      <c r="K80" s="7">
        <v>0</v>
      </c>
      <c r="L80" s="6">
        <v>75970</v>
      </c>
      <c r="M80" s="6">
        <v>55700</v>
      </c>
      <c r="N80" s="6">
        <v>0</v>
      </c>
      <c r="O80" s="6">
        <v>0</v>
      </c>
      <c r="P80" s="6">
        <v>0</v>
      </c>
      <c r="Q80" s="6">
        <v>67656</v>
      </c>
      <c r="R80" s="6">
        <v>51186</v>
      </c>
      <c r="S80" s="8">
        <v>2</v>
      </c>
      <c r="T80" s="6">
        <v>82268</v>
      </c>
      <c r="U80" s="6">
        <v>97685</v>
      </c>
      <c r="V80" s="6">
        <v>97685</v>
      </c>
      <c r="W80" s="6">
        <v>97685</v>
      </c>
      <c r="X80" s="6">
        <v>97685</v>
      </c>
      <c r="Y80" s="6">
        <v>97685</v>
      </c>
      <c r="Z80" s="6">
        <v>195370</v>
      </c>
      <c r="AA80" s="6">
        <v>57830</v>
      </c>
      <c r="AB80" s="6">
        <v>0</v>
      </c>
      <c r="AC80" s="6">
        <v>0</v>
      </c>
      <c r="AD80" s="6">
        <v>195370</v>
      </c>
      <c r="AE80" s="6">
        <v>57830</v>
      </c>
      <c r="AF80" s="6">
        <v>293055</v>
      </c>
      <c r="AG80" s="6">
        <v>86745</v>
      </c>
      <c r="AH80" s="6">
        <v>293055</v>
      </c>
      <c r="AI80" s="6">
        <v>293055</v>
      </c>
      <c r="AJ80" s="6">
        <v>195370</v>
      </c>
      <c r="AK80" s="6">
        <v>293055</v>
      </c>
      <c r="AL80" s="6">
        <v>293055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97685</v>
      </c>
      <c r="AW80" s="6">
        <v>97685</v>
      </c>
      <c r="AX80" s="6">
        <v>586110</v>
      </c>
      <c r="AY80" s="6">
        <v>173490</v>
      </c>
      <c r="AZ80" s="6">
        <v>0</v>
      </c>
      <c r="BA80" s="6">
        <v>97685</v>
      </c>
      <c r="BB80" s="6">
        <v>0</v>
      </c>
      <c r="BC80" s="6">
        <v>0</v>
      </c>
      <c r="BD80" s="6">
        <v>47440</v>
      </c>
      <c r="BE80" s="6">
        <v>52320</v>
      </c>
      <c r="BF80" s="6">
        <v>7848</v>
      </c>
      <c r="BG80" s="6">
        <v>0</v>
      </c>
      <c r="BH80" s="6">
        <v>164569.51999999999</v>
      </c>
      <c r="BI80" s="6">
        <v>2670.21</v>
      </c>
      <c r="BJ80" s="6">
        <v>10225</v>
      </c>
      <c r="BK80" s="6">
        <v>0</v>
      </c>
      <c r="BL80" s="6"/>
      <c r="BM80" s="6">
        <v>0</v>
      </c>
      <c r="BN80" s="6">
        <v>0</v>
      </c>
      <c r="BO80" s="6">
        <v>0</v>
      </c>
      <c r="BP80" s="6">
        <v>0</v>
      </c>
      <c r="BQ80" s="26">
        <v>0</v>
      </c>
      <c r="BR80" s="26">
        <v>0</v>
      </c>
      <c r="BS80" s="26">
        <v>0</v>
      </c>
      <c r="BT80" s="26">
        <v>0</v>
      </c>
      <c r="BU80" s="26">
        <v>0</v>
      </c>
      <c r="BV80" s="26">
        <v>0</v>
      </c>
      <c r="BW80" s="26">
        <v>0</v>
      </c>
      <c r="BX80" s="26">
        <v>0</v>
      </c>
      <c r="BY80" s="2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48842.5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12440</v>
      </c>
      <c r="CL80" s="6">
        <v>0</v>
      </c>
      <c r="CM80" s="6">
        <v>0</v>
      </c>
      <c r="CN80" s="6">
        <v>0</v>
      </c>
      <c r="CO80" s="6">
        <v>0</v>
      </c>
      <c r="CP80" s="6">
        <v>21661.758928571428</v>
      </c>
      <c r="CQ80" s="6">
        <v>0</v>
      </c>
      <c r="CR80" s="6">
        <v>0</v>
      </c>
      <c r="CS80" s="6">
        <v>0</v>
      </c>
      <c r="CT80" s="6">
        <v>33930</v>
      </c>
      <c r="CU80" s="6">
        <v>68017.904999999999</v>
      </c>
      <c r="CV80" s="6">
        <v>0</v>
      </c>
      <c r="CW80" s="6">
        <v>0</v>
      </c>
      <c r="CX80" s="6"/>
      <c r="CY80" s="6">
        <f>VLOOKUP(A80, 'At-Risk updating '!A:E, 5, 0)</f>
        <v>168628</v>
      </c>
      <c r="CZ80" s="6">
        <v>0</v>
      </c>
      <c r="DA80" s="6">
        <v>0</v>
      </c>
      <c r="DB80" s="6">
        <v>0</v>
      </c>
      <c r="DC80" s="6">
        <v>0</v>
      </c>
      <c r="DD80" s="6">
        <v>0</v>
      </c>
      <c r="DE80" s="10">
        <v>0</v>
      </c>
      <c r="DF80" s="6">
        <v>0</v>
      </c>
      <c r="DG80" s="7">
        <v>0</v>
      </c>
      <c r="DH80" s="11">
        <f t="shared" si="0"/>
        <v>5173121.8939285716</v>
      </c>
    </row>
    <row r="81" spans="1:112" ht="15.75" x14ac:dyDescent="0.25">
      <c r="A81" s="4">
        <v>300</v>
      </c>
      <c r="B81" s="4" t="s">
        <v>159</v>
      </c>
      <c r="C81" s="5" t="s">
        <v>201</v>
      </c>
      <c r="D81" s="5">
        <v>4</v>
      </c>
      <c r="E81" s="5">
        <v>537</v>
      </c>
      <c r="F81" s="5">
        <v>266</v>
      </c>
      <c r="G81" s="6">
        <v>171051</v>
      </c>
      <c r="H81" s="6">
        <v>97685</v>
      </c>
      <c r="I81" s="6">
        <v>179583.30000000002</v>
      </c>
      <c r="J81" s="7">
        <v>0</v>
      </c>
      <c r="K81" s="7">
        <v>0</v>
      </c>
      <c r="L81" s="6">
        <v>75970</v>
      </c>
      <c r="M81" s="6">
        <v>55700</v>
      </c>
      <c r="N81" s="6">
        <v>52612.3</v>
      </c>
      <c r="O81" s="6">
        <v>0</v>
      </c>
      <c r="P81" s="6">
        <v>0</v>
      </c>
      <c r="Q81" s="6">
        <v>67656</v>
      </c>
      <c r="R81" s="6">
        <v>102372</v>
      </c>
      <c r="S81" s="8">
        <v>1</v>
      </c>
      <c r="T81" s="6">
        <v>41134</v>
      </c>
      <c r="U81" s="6">
        <v>97685</v>
      </c>
      <c r="V81" s="6">
        <v>97685</v>
      </c>
      <c r="W81" s="6">
        <v>97685</v>
      </c>
      <c r="X81" s="6">
        <v>97685</v>
      </c>
      <c r="Y81" s="6">
        <v>146527.5</v>
      </c>
      <c r="Z81" s="6">
        <v>0</v>
      </c>
      <c r="AA81" s="6">
        <v>0</v>
      </c>
      <c r="AB81" s="6">
        <v>586110</v>
      </c>
      <c r="AC81" s="6">
        <v>173490</v>
      </c>
      <c r="AD81" s="6">
        <v>0</v>
      </c>
      <c r="AE81" s="6">
        <v>0</v>
      </c>
      <c r="AF81" s="6">
        <v>293055</v>
      </c>
      <c r="AG81" s="6">
        <v>86745</v>
      </c>
      <c r="AH81" s="6">
        <v>390740</v>
      </c>
      <c r="AI81" s="6">
        <v>293055</v>
      </c>
      <c r="AJ81" s="6">
        <v>390740</v>
      </c>
      <c r="AK81" s="6">
        <v>293055</v>
      </c>
      <c r="AL81" s="6">
        <v>293055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48842.5</v>
      </c>
      <c r="AW81" s="6">
        <v>97685</v>
      </c>
      <c r="AX81" s="6">
        <v>488425</v>
      </c>
      <c r="AY81" s="6">
        <v>0</v>
      </c>
      <c r="AZ81" s="6">
        <v>0</v>
      </c>
      <c r="BA81" s="6">
        <v>1074535</v>
      </c>
      <c r="BB81" s="6">
        <v>0</v>
      </c>
      <c r="BC81" s="6">
        <v>195370</v>
      </c>
      <c r="BD81" s="6">
        <v>94880</v>
      </c>
      <c r="BE81" s="6">
        <v>104640</v>
      </c>
      <c r="BF81" s="6">
        <v>7848</v>
      </c>
      <c r="BG81" s="6">
        <v>0</v>
      </c>
      <c r="BH81" s="6">
        <v>205813.99</v>
      </c>
      <c r="BI81" s="6">
        <v>3339.42</v>
      </c>
      <c r="BJ81" s="6">
        <v>12800</v>
      </c>
      <c r="BK81" s="6">
        <v>0</v>
      </c>
      <c r="BL81" s="6"/>
      <c r="BM81" s="6">
        <v>0</v>
      </c>
      <c r="BN81" s="6">
        <v>0</v>
      </c>
      <c r="BO81" s="6">
        <v>0</v>
      </c>
      <c r="BP81" s="6">
        <v>0</v>
      </c>
      <c r="BQ81" s="26">
        <v>0</v>
      </c>
      <c r="BR81" s="26">
        <v>0</v>
      </c>
      <c r="BS81" s="26">
        <v>0</v>
      </c>
      <c r="BT81" s="26">
        <v>0</v>
      </c>
      <c r="BU81" s="26">
        <v>0</v>
      </c>
      <c r="BV81" s="26">
        <v>0</v>
      </c>
      <c r="BW81" s="26">
        <v>0</v>
      </c>
      <c r="BX81" s="26">
        <v>0</v>
      </c>
      <c r="BY81" s="2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97685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5320</v>
      </c>
      <c r="CL81" s="6">
        <v>131040</v>
      </c>
      <c r="CM81" s="6">
        <v>0</v>
      </c>
      <c r="CN81" s="6">
        <v>0</v>
      </c>
      <c r="CO81" s="6">
        <v>0</v>
      </c>
      <c r="CP81" s="6">
        <v>28990.68</v>
      </c>
      <c r="CQ81" s="6">
        <v>0</v>
      </c>
      <c r="CR81" s="6">
        <v>0</v>
      </c>
      <c r="CS81" s="6">
        <v>0</v>
      </c>
      <c r="CT81" s="6">
        <v>46632</v>
      </c>
      <c r="CU81" s="6">
        <v>93254.603999999992</v>
      </c>
      <c r="CV81" s="6">
        <v>0</v>
      </c>
      <c r="CW81" s="6">
        <v>0</v>
      </c>
      <c r="CX81" s="6"/>
      <c r="CY81" s="6">
        <f>VLOOKUP(A81, 'At-Risk updating '!A:E, 5, 0)</f>
        <v>7714</v>
      </c>
      <c r="CZ81" s="6">
        <v>0</v>
      </c>
      <c r="DA81" s="6">
        <v>0</v>
      </c>
      <c r="DB81" s="6">
        <v>0</v>
      </c>
      <c r="DC81" s="6">
        <v>0</v>
      </c>
      <c r="DD81" s="6">
        <v>0</v>
      </c>
      <c r="DE81" s="10">
        <v>0</v>
      </c>
      <c r="DF81" s="6">
        <v>0</v>
      </c>
      <c r="DG81" s="7">
        <v>0</v>
      </c>
      <c r="DH81" s="11">
        <f t="shared" si="0"/>
        <v>6925892.2939999998</v>
      </c>
    </row>
    <row r="82" spans="1:112" ht="15.75" x14ac:dyDescent="0.25">
      <c r="A82" s="4">
        <v>316</v>
      </c>
      <c r="B82" s="4" t="s">
        <v>160</v>
      </c>
      <c r="C82" s="5" t="s">
        <v>201</v>
      </c>
      <c r="D82" s="5">
        <v>7</v>
      </c>
      <c r="E82" s="5">
        <v>345</v>
      </c>
      <c r="F82" s="5">
        <v>214</v>
      </c>
      <c r="G82" s="6">
        <v>171051</v>
      </c>
      <c r="H82" s="6">
        <v>97685</v>
      </c>
      <c r="I82" s="6">
        <v>124326.90000000001</v>
      </c>
      <c r="J82" s="7">
        <v>0</v>
      </c>
      <c r="K82" s="7">
        <v>0</v>
      </c>
      <c r="L82" s="6">
        <v>75970</v>
      </c>
      <c r="M82" s="6">
        <v>55700</v>
      </c>
      <c r="N82" s="6">
        <v>0</v>
      </c>
      <c r="O82" s="6">
        <v>0</v>
      </c>
      <c r="P82" s="6">
        <v>0</v>
      </c>
      <c r="Q82" s="6">
        <v>67656</v>
      </c>
      <c r="R82" s="6">
        <v>102372</v>
      </c>
      <c r="S82" s="8">
        <v>1</v>
      </c>
      <c r="T82" s="6">
        <v>41134</v>
      </c>
      <c r="U82" s="6">
        <v>97685</v>
      </c>
      <c r="V82" s="6">
        <v>97685</v>
      </c>
      <c r="W82" s="6">
        <v>97685</v>
      </c>
      <c r="X82" s="6">
        <v>97685</v>
      </c>
      <c r="Y82" s="6">
        <v>0</v>
      </c>
      <c r="Z82" s="6">
        <v>195370</v>
      </c>
      <c r="AA82" s="6">
        <v>57830</v>
      </c>
      <c r="AB82" s="6">
        <v>97685</v>
      </c>
      <c r="AC82" s="6">
        <v>28915</v>
      </c>
      <c r="AD82" s="6">
        <v>195370</v>
      </c>
      <c r="AE82" s="6">
        <v>57830</v>
      </c>
      <c r="AF82" s="6">
        <v>293055</v>
      </c>
      <c r="AG82" s="6">
        <v>86745</v>
      </c>
      <c r="AH82" s="6">
        <v>195370</v>
      </c>
      <c r="AI82" s="6">
        <v>195370</v>
      </c>
      <c r="AJ82" s="6">
        <v>195370</v>
      </c>
      <c r="AK82" s="6">
        <v>195370</v>
      </c>
      <c r="AL82" s="6">
        <v>195370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48842.5</v>
      </c>
      <c r="AW82" s="6">
        <v>48842.5</v>
      </c>
      <c r="AX82" s="6">
        <v>390740</v>
      </c>
      <c r="AY82" s="6">
        <v>0</v>
      </c>
      <c r="AZ82" s="6">
        <v>0</v>
      </c>
      <c r="BA82" s="6">
        <v>4440.227272727273</v>
      </c>
      <c r="BB82" s="6">
        <v>0</v>
      </c>
      <c r="BC82" s="6">
        <v>0</v>
      </c>
      <c r="BD82" s="6">
        <v>29650</v>
      </c>
      <c r="BE82" s="6">
        <v>32700</v>
      </c>
      <c r="BF82" s="6">
        <v>7848</v>
      </c>
      <c r="BG82" s="6">
        <v>0</v>
      </c>
      <c r="BH82" s="6">
        <v>137209.32999999999</v>
      </c>
      <c r="BI82" s="6">
        <v>2226.2800000000002</v>
      </c>
      <c r="BJ82" s="6">
        <v>8525</v>
      </c>
      <c r="BK82" s="6">
        <v>0</v>
      </c>
      <c r="BL82" s="6"/>
      <c r="BM82" s="6">
        <v>0</v>
      </c>
      <c r="BN82" s="6">
        <v>0</v>
      </c>
      <c r="BO82" s="6">
        <v>0</v>
      </c>
      <c r="BP82" s="6">
        <v>0</v>
      </c>
      <c r="BQ82" s="26">
        <v>0</v>
      </c>
      <c r="BR82" s="26">
        <v>0</v>
      </c>
      <c r="BS82" s="26">
        <v>0</v>
      </c>
      <c r="BT82" s="26">
        <v>0</v>
      </c>
      <c r="BU82" s="26">
        <v>0</v>
      </c>
      <c r="BV82" s="26">
        <v>0</v>
      </c>
      <c r="BW82" s="26">
        <v>0</v>
      </c>
      <c r="BX82" s="26">
        <v>0</v>
      </c>
      <c r="BY82" s="2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4280</v>
      </c>
      <c r="CL82" s="6">
        <v>0</v>
      </c>
      <c r="CM82" s="6">
        <v>378848.90909090918</v>
      </c>
      <c r="CN82" s="6">
        <v>6779.5983618181854</v>
      </c>
      <c r="CO82" s="6">
        <v>3430</v>
      </c>
      <c r="CP82" s="6">
        <v>19567.888888888891</v>
      </c>
      <c r="CQ82" s="6">
        <v>0</v>
      </c>
      <c r="CR82" s="6">
        <v>0</v>
      </c>
      <c r="CS82" s="6">
        <v>0</v>
      </c>
      <c r="CT82" s="6">
        <v>29841</v>
      </c>
      <c r="CU82" s="6">
        <v>59819.98554545454</v>
      </c>
      <c r="CV82" s="6">
        <v>0</v>
      </c>
      <c r="CW82" s="6">
        <v>0</v>
      </c>
      <c r="CX82" s="6"/>
      <c r="CY82" s="6">
        <f>VLOOKUP(A82, 'At-Risk updating '!A:E, 5, 0)</f>
        <v>6206</v>
      </c>
      <c r="CZ82" s="6">
        <v>0</v>
      </c>
      <c r="DA82" s="6">
        <v>0</v>
      </c>
      <c r="DB82" s="6">
        <v>0</v>
      </c>
      <c r="DC82" s="6">
        <v>0</v>
      </c>
      <c r="DD82" s="6">
        <v>0</v>
      </c>
      <c r="DE82" s="10">
        <v>0</v>
      </c>
      <c r="DF82" s="6">
        <v>0</v>
      </c>
      <c r="DG82" s="7">
        <v>0</v>
      </c>
      <c r="DH82" s="11">
        <f t="shared" si="0"/>
        <v>4336083.1191597981</v>
      </c>
    </row>
    <row r="83" spans="1:112" ht="15.75" x14ac:dyDescent="0.25">
      <c r="A83" s="4">
        <v>302</v>
      </c>
      <c r="B83" s="4" t="s">
        <v>161</v>
      </c>
      <c r="C83" s="5" t="s">
        <v>203</v>
      </c>
      <c r="D83" s="5">
        <v>4</v>
      </c>
      <c r="E83" s="5">
        <v>630</v>
      </c>
      <c r="F83" s="5">
        <v>375</v>
      </c>
      <c r="G83" s="6">
        <v>171051</v>
      </c>
      <c r="H83" s="6">
        <v>97685</v>
      </c>
      <c r="I83" s="6">
        <v>234839.69999999998</v>
      </c>
      <c r="J83" s="7">
        <v>97685</v>
      </c>
      <c r="K83" s="7">
        <v>0</v>
      </c>
      <c r="L83" s="6">
        <v>75970</v>
      </c>
      <c r="M83" s="6">
        <v>55700</v>
      </c>
      <c r="N83" s="6">
        <v>64753.600000000006</v>
      </c>
      <c r="O83" s="6">
        <v>0</v>
      </c>
      <c r="P83" s="6">
        <v>0</v>
      </c>
      <c r="Q83" s="6">
        <v>67656</v>
      </c>
      <c r="R83" s="6">
        <v>51186</v>
      </c>
      <c r="S83" s="8">
        <v>3</v>
      </c>
      <c r="T83" s="6">
        <v>123402</v>
      </c>
      <c r="U83" s="6">
        <v>97685</v>
      </c>
      <c r="V83" s="6">
        <v>97685</v>
      </c>
      <c r="W83" s="6">
        <v>97685</v>
      </c>
      <c r="X83" s="6">
        <v>97685</v>
      </c>
      <c r="Y83" s="6">
        <v>195370</v>
      </c>
      <c r="Z83" s="6">
        <v>293055</v>
      </c>
      <c r="AA83" s="6">
        <v>86745</v>
      </c>
      <c r="AB83" s="6">
        <v>0</v>
      </c>
      <c r="AC83" s="6">
        <v>0</v>
      </c>
      <c r="AD83" s="6">
        <v>293055</v>
      </c>
      <c r="AE83" s="6">
        <v>86745</v>
      </c>
      <c r="AF83" s="6">
        <v>293055</v>
      </c>
      <c r="AG83" s="6">
        <v>86745</v>
      </c>
      <c r="AH83" s="6">
        <v>293055</v>
      </c>
      <c r="AI83" s="6">
        <v>293055</v>
      </c>
      <c r="AJ83" s="6">
        <v>293055</v>
      </c>
      <c r="AK83" s="6">
        <v>293055</v>
      </c>
      <c r="AL83" s="6">
        <v>293055</v>
      </c>
      <c r="AM83" s="6">
        <v>273518</v>
      </c>
      <c r="AN83" s="6">
        <v>234444</v>
      </c>
      <c r="AO83" s="6">
        <v>244212.5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97685</v>
      </c>
      <c r="AW83" s="6">
        <v>97685</v>
      </c>
      <c r="AX83" s="6">
        <v>586110</v>
      </c>
      <c r="AY83" s="6">
        <v>0</v>
      </c>
      <c r="AZ83" s="6">
        <v>0</v>
      </c>
      <c r="BA83" s="6">
        <v>1172220</v>
      </c>
      <c r="BB83" s="6">
        <v>28915</v>
      </c>
      <c r="BC83" s="6">
        <v>195370</v>
      </c>
      <c r="BD83" s="6">
        <v>35580</v>
      </c>
      <c r="BE83" s="6">
        <v>39240</v>
      </c>
      <c r="BF83" s="6">
        <v>7848</v>
      </c>
      <c r="BG83" s="6">
        <v>0</v>
      </c>
      <c r="BH83" s="6">
        <v>229907.3</v>
      </c>
      <c r="BI83" s="6">
        <v>3730.34</v>
      </c>
      <c r="BJ83" s="6">
        <v>14300</v>
      </c>
      <c r="BK83" s="6">
        <v>0</v>
      </c>
      <c r="BL83" s="6"/>
      <c r="BM83" s="6">
        <v>0</v>
      </c>
      <c r="BN83" s="6">
        <v>0</v>
      </c>
      <c r="BO83" s="6">
        <v>0</v>
      </c>
      <c r="BP83" s="6">
        <v>0</v>
      </c>
      <c r="BQ83" s="26">
        <v>0</v>
      </c>
      <c r="BR83" s="26">
        <v>0</v>
      </c>
      <c r="BS83" s="26">
        <v>0</v>
      </c>
      <c r="BT83" s="26">
        <v>0</v>
      </c>
      <c r="BU83" s="26">
        <v>0</v>
      </c>
      <c r="BV83" s="26">
        <v>0</v>
      </c>
      <c r="BW83" s="26">
        <v>0</v>
      </c>
      <c r="BX83" s="26">
        <v>0</v>
      </c>
      <c r="BY83" s="2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195370</v>
      </c>
      <c r="CF83" s="6">
        <v>23000</v>
      </c>
      <c r="CG83" s="6">
        <v>5000</v>
      </c>
      <c r="CH83" s="6">
        <v>100000</v>
      </c>
      <c r="CI83" s="6">
        <v>0</v>
      </c>
      <c r="CJ83" s="6">
        <v>0</v>
      </c>
      <c r="CK83" s="6">
        <v>7500</v>
      </c>
      <c r="CL83" s="6">
        <v>0</v>
      </c>
      <c r="CM83" s="6">
        <v>776606</v>
      </c>
      <c r="CN83" s="6">
        <v>13995.842960000009</v>
      </c>
      <c r="CO83" s="6">
        <v>6290</v>
      </c>
      <c r="CP83" s="6">
        <v>35587.272357723574</v>
      </c>
      <c r="CQ83" s="6">
        <v>0</v>
      </c>
      <c r="CR83" s="6">
        <v>0</v>
      </c>
      <c r="CS83" s="6">
        <v>0</v>
      </c>
      <c r="CT83" s="6">
        <v>54723</v>
      </c>
      <c r="CU83" s="6">
        <v>123492.73199999999</v>
      </c>
      <c r="CV83" s="6">
        <v>0</v>
      </c>
      <c r="CW83" s="6">
        <v>0</v>
      </c>
      <c r="CX83" s="6"/>
      <c r="CY83" s="6">
        <f>VLOOKUP(A83, 'At-Risk updating '!A:E, 5, 0)</f>
        <v>10875</v>
      </c>
      <c r="CZ83" s="6">
        <v>0</v>
      </c>
      <c r="DA83" s="6">
        <v>0</v>
      </c>
      <c r="DB83" s="6">
        <v>0</v>
      </c>
      <c r="DC83" s="6">
        <v>0</v>
      </c>
      <c r="DD83" s="6">
        <v>0</v>
      </c>
      <c r="DE83" s="10">
        <v>0</v>
      </c>
      <c r="DF83" s="6">
        <v>0</v>
      </c>
      <c r="DG83" s="7">
        <v>0</v>
      </c>
      <c r="DH83" s="11">
        <f t="shared" si="0"/>
        <v>8843921.287317723</v>
      </c>
    </row>
    <row r="84" spans="1:112" ht="15.75" x14ac:dyDescent="0.25">
      <c r="A84" s="4">
        <v>304</v>
      </c>
      <c r="B84" s="4" t="s">
        <v>162</v>
      </c>
      <c r="C84" s="5" t="s">
        <v>207</v>
      </c>
      <c r="D84" s="5">
        <v>7</v>
      </c>
      <c r="E84" s="5">
        <v>0</v>
      </c>
      <c r="F84" s="5">
        <v>70</v>
      </c>
      <c r="G84" s="6">
        <v>171051</v>
      </c>
      <c r="H84" s="6">
        <v>97685</v>
      </c>
      <c r="I84" s="6">
        <v>0</v>
      </c>
      <c r="J84" s="7">
        <v>0</v>
      </c>
      <c r="K84" s="7">
        <v>0</v>
      </c>
      <c r="L84" s="6">
        <v>37985</v>
      </c>
      <c r="M84" s="6">
        <v>55700</v>
      </c>
      <c r="N84" s="6">
        <v>0</v>
      </c>
      <c r="O84" s="6">
        <v>0</v>
      </c>
      <c r="P84" s="6">
        <v>0</v>
      </c>
      <c r="Q84" s="6">
        <v>67656</v>
      </c>
      <c r="R84" s="6">
        <v>51186</v>
      </c>
      <c r="S84" s="8">
        <v>2</v>
      </c>
      <c r="T84" s="6">
        <v>82268</v>
      </c>
      <c r="U84" s="6">
        <v>48842.5</v>
      </c>
      <c r="V84" s="6">
        <v>97685</v>
      </c>
      <c r="W84" s="6">
        <v>97685</v>
      </c>
      <c r="X84" s="6">
        <v>97685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586110</v>
      </c>
      <c r="AU84" s="6">
        <v>0</v>
      </c>
      <c r="AV84" s="6">
        <v>97685</v>
      </c>
      <c r="AW84" s="6">
        <v>97685</v>
      </c>
      <c r="AX84" s="6">
        <v>2051385</v>
      </c>
      <c r="AY84" s="6">
        <v>636130</v>
      </c>
      <c r="AZ84" s="6">
        <v>45222</v>
      </c>
      <c r="BA84" s="6">
        <v>26641.363636363636</v>
      </c>
      <c r="BB84" s="6">
        <v>0</v>
      </c>
      <c r="BC84" s="6">
        <v>0</v>
      </c>
      <c r="BD84" s="6">
        <v>11860</v>
      </c>
      <c r="BE84" s="6">
        <v>13080</v>
      </c>
      <c r="BF84" s="6">
        <v>7848</v>
      </c>
      <c r="BG84" s="6">
        <v>0</v>
      </c>
      <c r="BH84" s="6">
        <v>50228.42</v>
      </c>
      <c r="BI84" s="6">
        <v>814.98</v>
      </c>
      <c r="BJ84" s="6">
        <v>3125</v>
      </c>
      <c r="BK84" s="6">
        <v>0</v>
      </c>
      <c r="BL84" s="6"/>
      <c r="BM84" s="6">
        <v>0</v>
      </c>
      <c r="BN84" s="6">
        <v>0</v>
      </c>
      <c r="BO84" s="6">
        <v>0</v>
      </c>
      <c r="BP84" s="6">
        <v>0</v>
      </c>
      <c r="BQ84" s="26">
        <v>0</v>
      </c>
      <c r="BR84" s="26">
        <v>0</v>
      </c>
      <c r="BS84" s="26">
        <v>0</v>
      </c>
      <c r="BT84" s="26">
        <v>0</v>
      </c>
      <c r="BU84" s="26">
        <v>0</v>
      </c>
      <c r="BV84" s="26">
        <v>0</v>
      </c>
      <c r="BW84" s="26">
        <v>0</v>
      </c>
      <c r="BX84" s="26">
        <v>0</v>
      </c>
      <c r="BY84" s="2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195370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1400</v>
      </c>
      <c r="CL84" s="6">
        <v>0</v>
      </c>
      <c r="CM84" s="6">
        <v>0</v>
      </c>
      <c r="CN84" s="6" t="b">
        <v>0</v>
      </c>
      <c r="CO84" s="6" t="b">
        <v>0</v>
      </c>
      <c r="CP84" s="6">
        <v>24874.85</v>
      </c>
      <c r="CQ84" s="6">
        <v>0</v>
      </c>
      <c r="CR84" s="6">
        <v>0</v>
      </c>
      <c r="CS84" s="6">
        <v>0</v>
      </c>
      <c r="CT84" s="6">
        <v>12441</v>
      </c>
      <c r="CU84" s="6">
        <v>69624.852954545451</v>
      </c>
      <c r="CV84" s="6">
        <v>0</v>
      </c>
      <c r="CW84" s="6">
        <v>0</v>
      </c>
      <c r="CX84" s="6"/>
      <c r="CY84" s="6">
        <f>VLOOKUP(A84, 'At-Risk updating '!A:E, 5, 0)</f>
        <v>79585.149999999994</v>
      </c>
      <c r="CZ84" s="6">
        <v>0</v>
      </c>
      <c r="DA84" s="6">
        <v>0</v>
      </c>
      <c r="DB84" s="6">
        <v>0</v>
      </c>
      <c r="DC84" s="6">
        <v>0</v>
      </c>
      <c r="DD84" s="6">
        <v>0</v>
      </c>
      <c r="DE84" s="10">
        <v>0</v>
      </c>
      <c r="DF84" s="6">
        <v>0</v>
      </c>
      <c r="DG84" s="7">
        <v>0</v>
      </c>
      <c r="DH84" s="11">
        <f t="shared" si="0"/>
        <v>4916541.1165909087</v>
      </c>
    </row>
    <row r="85" spans="1:112" ht="37.5" customHeight="1" x14ac:dyDescent="0.25">
      <c r="A85" s="4">
        <v>436</v>
      </c>
      <c r="B85" s="4" t="s">
        <v>163</v>
      </c>
      <c r="C85" s="5" t="s">
        <v>191</v>
      </c>
      <c r="D85" s="5">
        <v>7</v>
      </c>
      <c r="E85" s="5">
        <v>220</v>
      </c>
      <c r="F85" s="5">
        <v>199</v>
      </c>
      <c r="G85" s="6">
        <v>171051</v>
      </c>
      <c r="H85" s="6">
        <v>97685</v>
      </c>
      <c r="I85" s="27">
        <v>0</v>
      </c>
      <c r="J85" s="7">
        <v>0</v>
      </c>
      <c r="K85" s="7">
        <v>111571</v>
      </c>
      <c r="L85" s="27">
        <v>75970</v>
      </c>
      <c r="M85" s="6">
        <v>55700</v>
      </c>
      <c r="N85" s="27">
        <v>0</v>
      </c>
      <c r="O85" s="6">
        <v>47542</v>
      </c>
      <c r="P85" s="6">
        <v>58487</v>
      </c>
      <c r="Q85" s="6">
        <v>67656</v>
      </c>
      <c r="R85" s="6">
        <v>51186</v>
      </c>
      <c r="S85" s="8">
        <v>2</v>
      </c>
      <c r="T85" s="6">
        <v>82268</v>
      </c>
      <c r="U85" s="6">
        <v>48842.5</v>
      </c>
      <c r="V85" s="27">
        <v>97685</v>
      </c>
      <c r="W85" s="27">
        <v>97685</v>
      </c>
      <c r="X85" s="27">
        <v>97685</v>
      </c>
      <c r="Y85" s="27">
        <v>97685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468888</v>
      </c>
      <c r="AQ85" s="6">
        <v>429814.00000000006</v>
      </c>
      <c r="AR85" s="6">
        <v>0</v>
      </c>
      <c r="AS85" s="6">
        <v>0</v>
      </c>
      <c r="AT85" s="6">
        <v>0</v>
      </c>
      <c r="AU85" s="6">
        <v>0</v>
      </c>
      <c r="AV85" s="6">
        <v>97685</v>
      </c>
      <c r="AW85" s="6">
        <v>97685</v>
      </c>
      <c r="AX85" s="6">
        <v>390740</v>
      </c>
      <c r="AY85" s="6">
        <v>0</v>
      </c>
      <c r="AZ85" s="6">
        <v>0</v>
      </c>
      <c r="BA85" s="6">
        <v>4440.227272727273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24276</v>
      </c>
      <c r="BH85" s="6">
        <v>48186.61</v>
      </c>
      <c r="BI85" s="6">
        <v>781.85</v>
      </c>
      <c r="BJ85" s="6">
        <v>3000</v>
      </c>
      <c r="BK85" s="6">
        <v>0</v>
      </c>
      <c r="BL85" s="6"/>
      <c r="BM85" s="6">
        <v>0</v>
      </c>
      <c r="BN85" s="6">
        <v>0</v>
      </c>
      <c r="BO85" s="6">
        <v>97685</v>
      </c>
      <c r="BP85" s="6">
        <v>0</v>
      </c>
      <c r="BQ85" s="26">
        <v>138141</v>
      </c>
      <c r="BR85" s="26">
        <v>30000</v>
      </c>
      <c r="BS85" s="26">
        <v>10000</v>
      </c>
      <c r="BT85" s="26">
        <v>9000</v>
      </c>
      <c r="BU85" s="26">
        <v>0</v>
      </c>
      <c r="BV85" s="26">
        <v>0</v>
      </c>
      <c r="BW85" s="26">
        <v>0</v>
      </c>
      <c r="BX85" s="26">
        <v>0</v>
      </c>
      <c r="BY85" s="2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27">
        <v>101560.06446048801</v>
      </c>
      <c r="CJ85" s="6">
        <v>12240</v>
      </c>
      <c r="CK85" s="6">
        <v>7960</v>
      </c>
      <c r="CL85" s="6">
        <v>0</v>
      </c>
      <c r="CM85" s="6">
        <v>0</v>
      </c>
      <c r="CN85" s="6">
        <v>0</v>
      </c>
      <c r="CO85" s="6">
        <v>0</v>
      </c>
      <c r="CP85" s="6">
        <v>42921.919999999998</v>
      </c>
      <c r="CQ85" s="6">
        <v>0</v>
      </c>
      <c r="CR85" s="6">
        <v>0</v>
      </c>
      <c r="CS85" s="6">
        <v>0</v>
      </c>
      <c r="CT85" s="6">
        <v>19140</v>
      </c>
      <c r="CU85" s="6">
        <v>44207.936875998224</v>
      </c>
      <c r="CV85" s="6">
        <v>0</v>
      </c>
      <c r="CW85" s="6">
        <v>172500</v>
      </c>
      <c r="CX85" s="29" t="s">
        <v>164</v>
      </c>
      <c r="CY85" s="6">
        <f>VLOOKUP(A85, 'At-Risk updating '!A:E, 5, 0)</f>
        <v>5771</v>
      </c>
      <c r="CZ85" s="6">
        <v>0</v>
      </c>
      <c r="DA85" s="6">
        <v>0</v>
      </c>
      <c r="DB85" s="6">
        <v>0</v>
      </c>
      <c r="DC85" s="6">
        <v>0</v>
      </c>
      <c r="DD85" s="6">
        <v>0</v>
      </c>
      <c r="DE85" s="10">
        <v>0</v>
      </c>
      <c r="DF85" s="6">
        <v>0</v>
      </c>
      <c r="DG85" s="7">
        <v>0</v>
      </c>
      <c r="DH85" s="11">
        <f t="shared" si="0"/>
        <v>3515324.108609213</v>
      </c>
    </row>
    <row r="86" spans="1:112" ht="31.5" x14ac:dyDescent="0.25">
      <c r="A86" s="4">
        <v>459</v>
      </c>
      <c r="B86" s="4" t="s">
        <v>165</v>
      </c>
      <c r="C86" s="5" t="s">
        <v>191</v>
      </c>
      <c r="D86" s="5">
        <v>4</v>
      </c>
      <c r="E86" s="5">
        <v>682</v>
      </c>
      <c r="F86" s="5">
        <v>585</v>
      </c>
      <c r="G86" s="6">
        <v>171051</v>
      </c>
      <c r="H86" s="6">
        <v>97685</v>
      </c>
      <c r="I86" s="6">
        <v>317724.3</v>
      </c>
      <c r="J86" s="7">
        <v>0</v>
      </c>
      <c r="K86" s="7">
        <v>301241.7</v>
      </c>
      <c r="L86" s="6">
        <v>75970</v>
      </c>
      <c r="M86" s="6">
        <v>55700</v>
      </c>
      <c r="N86" s="6">
        <v>68800.7</v>
      </c>
      <c r="O86" s="6">
        <v>47542</v>
      </c>
      <c r="P86" s="6">
        <v>58487</v>
      </c>
      <c r="Q86" s="6">
        <v>67656</v>
      </c>
      <c r="R86" s="6">
        <v>51186</v>
      </c>
      <c r="S86" s="8">
        <v>2</v>
      </c>
      <c r="T86" s="6">
        <v>82268</v>
      </c>
      <c r="U86" s="6">
        <v>97685</v>
      </c>
      <c r="V86" s="6">
        <v>0</v>
      </c>
      <c r="W86" s="6">
        <v>0</v>
      </c>
      <c r="X86" s="6">
        <v>97685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3565502.5</v>
      </c>
      <c r="AV86" s="6">
        <v>97685</v>
      </c>
      <c r="AW86" s="6">
        <v>390740</v>
      </c>
      <c r="AX86" s="6">
        <v>1367590</v>
      </c>
      <c r="AY86" s="6">
        <v>231320</v>
      </c>
      <c r="AZ86" s="6">
        <v>90444</v>
      </c>
      <c r="BA86" s="6">
        <v>1074535</v>
      </c>
      <c r="BB86" s="6">
        <v>57830</v>
      </c>
      <c r="BC86" s="27">
        <v>223142</v>
      </c>
      <c r="BD86" s="6">
        <v>0</v>
      </c>
      <c r="BE86" s="6">
        <v>0</v>
      </c>
      <c r="BF86" s="6">
        <v>0</v>
      </c>
      <c r="BG86" s="6">
        <v>64736</v>
      </c>
      <c r="BH86" s="6">
        <v>200096.94</v>
      </c>
      <c r="BI86" s="6">
        <v>3246.66</v>
      </c>
      <c r="BJ86" s="6">
        <v>12425</v>
      </c>
      <c r="BK86" s="6">
        <v>0</v>
      </c>
      <c r="BL86" s="6">
        <v>101560</v>
      </c>
      <c r="BM86" s="6">
        <v>0</v>
      </c>
      <c r="BN86" s="6">
        <v>0</v>
      </c>
      <c r="BO86" s="6">
        <v>0</v>
      </c>
      <c r="BP86" s="6">
        <v>0</v>
      </c>
      <c r="BQ86" s="26">
        <v>138141</v>
      </c>
      <c r="BR86" s="26">
        <v>30000</v>
      </c>
      <c r="BS86" s="26">
        <v>10000</v>
      </c>
      <c r="BT86" s="26">
        <v>9000</v>
      </c>
      <c r="BU86" s="26">
        <v>0</v>
      </c>
      <c r="BV86" s="26">
        <v>0</v>
      </c>
      <c r="BW86" s="26">
        <v>0</v>
      </c>
      <c r="BX86" s="26">
        <v>0</v>
      </c>
      <c r="BY86" s="26">
        <v>0</v>
      </c>
      <c r="BZ86" s="6">
        <v>97685</v>
      </c>
      <c r="CA86" s="6">
        <v>87556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101560.06446048801</v>
      </c>
      <c r="CJ86" s="6">
        <v>12240</v>
      </c>
      <c r="CK86" s="6">
        <v>23400</v>
      </c>
      <c r="CL86" s="6">
        <v>0</v>
      </c>
      <c r="CM86" s="6">
        <v>0</v>
      </c>
      <c r="CN86" s="6">
        <v>0</v>
      </c>
      <c r="CO86" s="6">
        <v>0</v>
      </c>
      <c r="CP86" s="6">
        <v>89999.380601941753</v>
      </c>
      <c r="CQ86" s="6">
        <v>101560.06446048801</v>
      </c>
      <c r="CR86" s="6">
        <v>0</v>
      </c>
      <c r="CS86" s="6">
        <v>128716</v>
      </c>
      <c r="CT86" s="6">
        <v>59334</v>
      </c>
      <c r="CU86" s="6">
        <v>133388.85493381461</v>
      </c>
      <c r="CV86" s="6">
        <v>0</v>
      </c>
      <c r="CW86" s="6">
        <v>150000</v>
      </c>
      <c r="CX86" s="29" t="s">
        <v>166</v>
      </c>
      <c r="CY86" s="6">
        <f>VLOOKUP(A86, 'At-Risk updating '!A:E, 5, 0)</f>
        <v>16965</v>
      </c>
      <c r="CZ86" s="6">
        <v>0</v>
      </c>
      <c r="DA86" s="6">
        <v>0</v>
      </c>
      <c r="DB86" s="6">
        <v>0</v>
      </c>
      <c r="DC86" s="6">
        <v>0</v>
      </c>
      <c r="DD86" s="6">
        <v>0</v>
      </c>
      <c r="DE86" s="10">
        <v>0</v>
      </c>
      <c r="DF86" s="6">
        <v>0</v>
      </c>
      <c r="DG86" s="7">
        <v>0</v>
      </c>
      <c r="DH86" s="11">
        <f t="shared" si="0"/>
        <v>10261082.164456733</v>
      </c>
    </row>
    <row r="87" spans="1:112" ht="15.75" x14ac:dyDescent="0.25">
      <c r="A87" s="4">
        <v>456</v>
      </c>
      <c r="B87" s="4" t="s">
        <v>167</v>
      </c>
      <c r="C87" s="5" t="s">
        <v>202</v>
      </c>
      <c r="D87" s="5">
        <v>4</v>
      </c>
      <c r="E87" s="5">
        <v>612</v>
      </c>
      <c r="F87" s="5">
        <v>0</v>
      </c>
      <c r="G87" s="6">
        <v>171051</v>
      </c>
      <c r="H87" s="6">
        <v>97685</v>
      </c>
      <c r="I87" s="6">
        <v>138141</v>
      </c>
      <c r="J87" s="7">
        <v>0</v>
      </c>
      <c r="K87" s="7">
        <v>210590.26249999998</v>
      </c>
      <c r="L87" s="6">
        <v>0</v>
      </c>
      <c r="M87" s="6">
        <v>55700</v>
      </c>
      <c r="N87" s="6">
        <v>52612.3</v>
      </c>
      <c r="O87" s="6">
        <v>47542</v>
      </c>
      <c r="P87" s="6">
        <v>58487</v>
      </c>
      <c r="Q87" s="6">
        <v>67656</v>
      </c>
      <c r="R87" s="6">
        <v>51186</v>
      </c>
      <c r="S87" s="8">
        <v>2</v>
      </c>
      <c r="T87" s="6">
        <v>82268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1626455.75</v>
      </c>
      <c r="AV87" s="6">
        <v>48842.5</v>
      </c>
      <c r="AW87" s="6">
        <v>97685</v>
      </c>
      <c r="AX87" s="6">
        <v>390740</v>
      </c>
      <c r="AY87" s="6">
        <v>0</v>
      </c>
      <c r="AZ87" s="6">
        <v>0</v>
      </c>
      <c r="BA87" s="6">
        <v>293055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16250</v>
      </c>
      <c r="BK87" s="6">
        <v>0</v>
      </c>
      <c r="BL87" s="6"/>
      <c r="BM87" s="6">
        <v>0</v>
      </c>
      <c r="BN87" s="6">
        <v>0</v>
      </c>
      <c r="BO87" s="6">
        <v>0</v>
      </c>
      <c r="BP87" s="6">
        <v>0</v>
      </c>
      <c r="BQ87" s="26">
        <v>0</v>
      </c>
      <c r="BR87" s="26">
        <v>0</v>
      </c>
      <c r="BS87" s="26">
        <v>0</v>
      </c>
      <c r="BT87" s="26">
        <v>0</v>
      </c>
      <c r="BU87" s="26">
        <v>0</v>
      </c>
      <c r="BV87" s="26">
        <v>0</v>
      </c>
      <c r="BW87" s="26">
        <v>0</v>
      </c>
      <c r="BX87" s="26">
        <v>0</v>
      </c>
      <c r="BY87" s="2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12240</v>
      </c>
      <c r="CK87" s="6">
        <v>0</v>
      </c>
      <c r="CL87" s="6">
        <v>0</v>
      </c>
      <c r="CM87" s="6">
        <v>0</v>
      </c>
      <c r="CN87" s="6" t="b">
        <v>0</v>
      </c>
      <c r="CO87" s="6" t="b">
        <v>0</v>
      </c>
      <c r="CP87" s="6">
        <v>67135.912142857138</v>
      </c>
      <c r="CQ87" s="6">
        <v>101560.06446048801</v>
      </c>
      <c r="CR87" s="28">
        <v>150000</v>
      </c>
      <c r="CS87" s="6">
        <v>0</v>
      </c>
      <c r="CT87" s="6">
        <v>44370</v>
      </c>
      <c r="CU87" s="6">
        <v>48154.273154407318</v>
      </c>
      <c r="CV87" s="6">
        <v>0</v>
      </c>
      <c r="CW87" s="6">
        <v>0</v>
      </c>
      <c r="CX87" s="6"/>
      <c r="CY87" s="6">
        <f>VLOOKUP(A87, 'At-Risk updating '!A:E, 5, 0)</f>
        <v>0</v>
      </c>
      <c r="CZ87" s="6">
        <v>0</v>
      </c>
      <c r="DA87" s="6">
        <v>0</v>
      </c>
      <c r="DB87" s="6">
        <v>0</v>
      </c>
      <c r="DC87" s="6">
        <v>0</v>
      </c>
      <c r="DD87" s="6">
        <v>0</v>
      </c>
      <c r="DE87" s="10">
        <v>0</v>
      </c>
      <c r="DF87" s="6">
        <v>0</v>
      </c>
      <c r="DG87" s="7">
        <v>72026.698742247652</v>
      </c>
      <c r="DH87" s="11">
        <f t="shared" si="0"/>
        <v>4001435.7609999999</v>
      </c>
    </row>
    <row r="88" spans="1:112" ht="15.75" x14ac:dyDescent="0.25">
      <c r="A88" s="4">
        <v>305</v>
      </c>
      <c r="B88" s="4" t="s">
        <v>168</v>
      </c>
      <c r="C88" s="5" t="s">
        <v>201</v>
      </c>
      <c r="D88" s="5">
        <v>2</v>
      </c>
      <c r="E88" s="5">
        <v>173</v>
      </c>
      <c r="F88" s="5">
        <v>7</v>
      </c>
      <c r="G88" s="6">
        <v>171051</v>
      </c>
      <c r="H88" s="6">
        <v>97685</v>
      </c>
      <c r="I88" s="6">
        <v>0</v>
      </c>
      <c r="J88" s="7">
        <v>0</v>
      </c>
      <c r="K88" s="7">
        <v>0</v>
      </c>
      <c r="L88" s="6">
        <v>37985</v>
      </c>
      <c r="M88" s="6">
        <v>55700</v>
      </c>
      <c r="N88" s="6">
        <v>0</v>
      </c>
      <c r="O88" s="6">
        <v>0</v>
      </c>
      <c r="P88" s="6">
        <v>0</v>
      </c>
      <c r="Q88" s="6">
        <v>67656</v>
      </c>
      <c r="R88" s="6">
        <v>51186</v>
      </c>
      <c r="S88" s="8">
        <v>0</v>
      </c>
      <c r="T88" s="6">
        <v>0</v>
      </c>
      <c r="U88" s="6">
        <v>48842.5</v>
      </c>
      <c r="V88" s="6">
        <v>97685</v>
      </c>
      <c r="W88" s="6">
        <v>97685</v>
      </c>
      <c r="X88" s="6">
        <v>97685</v>
      </c>
      <c r="Y88" s="6">
        <v>97685</v>
      </c>
      <c r="Z88" s="6">
        <v>97685</v>
      </c>
      <c r="AA88" s="6">
        <v>28915</v>
      </c>
      <c r="AB88" s="6">
        <v>0</v>
      </c>
      <c r="AC88" s="6">
        <v>0</v>
      </c>
      <c r="AD88" s="6">
        <v>97685</v>
      </c>
      <c r="AE88" s="6">
        <v>28915</v>
      </c>
      <c r="AF88" s="6">
        <v>195370</v>
      </c>
      <c r="AG88" s="6">
        <v>57830</v>
      </c>
      <c r="AH88" s="6">
        <v>97685</v>
      </c>
      <c r="AI88" s="6">
        <v>97685</v>
      </c>
      <c r="AJ88" s="6">
        <v>97685</v>
      </c>
      <c r="AK88" s="6">
        <v>97685</v>
      </c>
      <c r="AL88" s="6">
        <v>97685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48842.5</v>
      </c>
      <c r="AW88" s="6">
        <v>0</v>
      </c>
      <c r="AX88" s="6">
        <v>97685</v>
      </c>
      <c r="AY88" s="6">
        <v>0</v>
      </c>
      <c r="AZ88" s="6">
        <v>0</v>
      </c>
      <c r="BA88" s="6">
        <v>97685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4275</v>
      </c>
      <c r="BK88" s="6">
        <v>0</v>
      </c>
      <c r="BL88" s="6"/>
      <c r="BM88" s="6">
        <v>0</v>
      </c>
      <c r="BN88" s="6">
        <v>0</v>
      </c>
      <c r="BO88" s="6">
        <v>0</v>
      </c>
      <c r="BP88" s="6">
        <v>0</v>
      </c>
      <c r="BQ88" s="26">
        <v>0</v>
      </c>
      <c r="BR88" s="26">
        <v>0</v>
      </c>
      <c r="BS88" s="26">
        <v>0</v>
      </c>
      <c r="BT88" s="26">
        <v>0</v>
      </c>
      <c r="BU88" s="26">
        <v>0</v>
      </c>
      <c r="BV88" s="26">
        <v>0</v>
      </c>
      <c r="BW88" s="26">
        <v>0</v>
      </c>
      <c r="BX88" s="26">
        <v>0</v>
      </c>
      <c r="BY88" s="2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0</v>
      </c>
      <c r="CL88" s="6">
        <v>0</v>
      </c>
      <c r="CM88" s="6">
        <v>0</v>
      </c>
      <c r="CN88" s="6">
        <v>0</v>
      </c>
      <c r="CO88" s="6">
        <v>0</v>
      </c>
      <c r="CP88" s="6">
        <v>10736.409090909092</v>
      </c>
      <c r="CQ88" s="6">
        <v>0</v>
      </c>
      <c r="CR88" s="6">
        <v>0</v>
      </c>
      <c r="CS88" s="6">
        <v>0</v>
      </c>
      <c r="CT88" s="6">
        <v>15051</v>
      </c>
      <c r="CU88" s="6">
        <v>32398.244999999999</v>
      </c>
      <c r="CV88" s="6">
        <v>0</v>
      </c>
      <c r="CW88" s="6">
        <v>0</v>
      </c>
      <c r="CX88" s="6"/>
      <c r="CY88" s="6">
        <f>VLOOKUP(A88, 'At-Risk updating '!A:E, 5, 0)</f>
        <v>6379.5</v>
      </c>
      <c r="CZ88" s="6">
        <v>0</v>
      </c>
      <c r="DA88" s="6">
        <v>0</v>
      </c>
      <c r="DB88" s="6">
        <v>0</v>
      </c>
      <c r="DC88" s="6">
        <v>0</v>
      </c>
      <c r="DD88" s="6">
        <v>0</v>
      </c>
      <c r="DE88" s="10">
        <v>0</v>
      </c>
      <c r="DF88" s="6">
        <v>0</v>
      </c>
      <c r="DG88" s="12">
        <v>0</v>
      </c>
      <c r="DH88" s="11">
        <f t="shared" si="0"/>
        <v>2228723.1540909093</v>
      </c>
    </row>
    <row r="89" spans="1:112" ht="15.75" x14ac:dyDescent="0.25">
      <c r="A89" s="4">
        <v>307</v>
      </c>
      <c r="B89" s="4" t="s">
        <v>169</v>
      </c>
      <c r="C89" s="5" t="s">
        <v>201</v>
      </c>
      <c r="D89" s="5">
        <v>8</v>
      </c>
      <c r="E89" s="5">
        <v>334</v>
      </c>
      <c r="F89" s="5">
        <v>264</v>
      </c>
      <c r="G89" s="6">
        <v>171051</v>
      </c>
      <c r="H89" s="6">
        <v>97685</v>
      </c>
      <c r="I89" s="6">
        <v>110512.8</v>
      </c>
      <c r="J89" s="7">
        <v>0</v>
      </c>
      <c r="K89" s="7">
        <v>0</v>
      </c>
      <c r="L89" s="6">
        <v>75970</v>
      </c>
      <c r="M89" s="6">
        <v>55700</v>
      </c>
      <c r="N89" s="6">
        <v>0</v>
      </c>
      <c r="O89" s="6">
        <v>0</v>
      </c>
      <c r="P89" s="6">
        <v>0</v>
      </c>
      <c r="Q89" s="6">
        <v>67656</v>
      </c>
      <c r="R89" s="6">
        <v>51186</v>
      </c>
      <c r="S89" s="8">
        <v>1</v>
      </c>
      <c r="T89" s="6">
        <v>41134</v>
      </c>
      <c r="U89" s="6">
        <v>97685</v>
      </c>
      <c r="V89" s="6">
        <v>97685</v>
      </c>
      <c r="W89" s="6">
        <v>97685</v>
      </c>
      <c r="X89" s="6">
        <v>97685</v>
      </c>
      <c r="Y89" s="6">
        <v>0</v>
      </c>
      <c r="Z89" s="6">
        <v>195370</v>
      </c>
      <c r="AA89" s="6">
        <v>57830</v>
      </c>
      <c r="AB89" s="6">
        <v>0</v>
      </c>
      <c r="AC89" s="6">
        <v>0</v>
      </c>
      <c r="AD89" s="6">
        <v>195370</v>
      </c>
      <c r="AE89" s="6">
        <v>57830</v>
      </c>
      <c r="AF89" s="6">
        <v>195370</v>
      </c>
      <c r="AG89" s="6">
        <v>57830</v>
      </c>
      <c r="AH89" s="6">
        <v>195370</v>
      </c>
      <c r="AI89" s="6">
        <v>195370</v>
      </c>
      <c r="AJ89" s="6">
        <v>195370</v>
      </c>
      <c r="AK89" s="6">
        <v>293055</v>
      </c>
      <c r="AL89" s="6">
        <v>195370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97685</v>
      </c>
      <c r="AW89" s="6">
        <v>195370</v>
      </c>
      <c r="AX89" s="6">
        <v>293055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17790</v>
      </c>
      <c r="BE89" s="6">
        <v>19620</v>
      </c>
      <c r="BF89" s="6">
        <v>7848</v>
      </c>
      <c r="BG89" s="6">
        <v>0</v>
      </c>
      <c r="BH89" s="6">
        <v>141701.29999999999</v>
      </c>
      <c r="BI89" s="6">
        <v>2299.16</v>
      </c>
      <c r="BJ89" s="6">
        <v>8800</v>
      </c>
      <c r="BK89" s="6">
        <v>0</v>
      </c>
      <c r="BL89" s="6"/>
      <c r="BM89" s="6">
        <v>0</v>
      </c>
      <c r="BN89" s="6">
        <v>0</v>
      </c>
      <c r="BO89" s="6">
        <v>0</v>
      </c>
      <c r="BP89" s="6">
        <v>0</v>
      </c>
      <c r="BQ89" s="26">
        <v>0</v>
      </c>
      <c r="BR89" s="26">
        <v>0</v>
      </c>
      <c r="BS89" s="26">
        <v>0</v>
      </c>
      <c r="BT89" s="26">
        <v>0</v>
      </c>
      <c r="BU89" s="26">
        <v>0</v>
      </c>
      <c r="BV89" s="26">
        <v>0</v>
      </c>
      <c r="BW89" s="26">
        <v>0</v>
      </c>
      <c r="BX89" s="26">
        <v>0</v>
      </c>
      <c r="BY89" s="2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73263.75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10560</v>
      </c>
      <c r="CL89" s="6">
        <v>102240</v>
      </c>
      <c r="CM89" s="6">
        <v>0</v>
      </c>
      <c r="CN89" s="6">
        <v>0</v>
      </c>
      <c r="CO89" s="6">
        <v>0</v>
      </c>
      <c r="CP89" s="6">
        <v>18196.197674418603</v>
      </c>
      <c r="CQ89" s="6">
        <v>0</v>
      </c>
      <c r="CR89" s="6">
        <v>0</v>
      </c>
      <c r="CS89" s="6">
        <v>0</v>
      </c>
      <c r="CT89" s="6">
        <v>27927</v>
      </c>
      <c r="CU89" s="6">
        <v>53761.796999999999</v>
      </c>
      <c r="CV89" s="6">
        <v>0</v>
      </c>
      <c r="CW89" s="6">
        <v>0</v>
      </c>
      <c r="CX89" s="6"/>
      <c r="CY89" s="6">
        <f>VLOOKUP(A89, 'At-Risk updating '!A:E, 5, 0)</f>
        <v>63278.5</v>
      </c>
      <c r="CZ89" s="6">
        <v>0</v>
      </c>
      <c r="DA89" s="6">
        <v>0</v>
      </c>
      <c r="DB89" s="6">
        <v>0</v>
      </c>
      <c r="DC89" s="6">
        <v>0</v>
      </c>
      <c r="DD89" s="6">
        <v>0</v>
      </c>
      <c r="DE89" s="10">
        <v>0</v>
      </c>
      <c r="DF89" s="6">
        <v>0</v>
      </c>
      <c r="DG89" s="7">
        <v>162895.31282558199</v>
      </c>
      <c r="DH89" s="11">
        <f t="shared" si="0"/>
        <v>4192061.8175000004</v>
      </c>
    </row>
    <row r="90" spans="1:112" ht="15.75" x14ac:dyDescent="0.25">
      <c r="A90" s="4">
        <v>409</v>
      </c>
      <c r="B90" s="4" t="s">
        <v>170</v>
      </c>
      <c r="C90" s="5" t="s">
        <v>203</v>
      </c>
      <c r="D90" s="5">
        <v>2</v>
      </c>
      <c r="E90" s="5">
        <v>486</v>
      </c>
      <c r="F90" s="5">
        <v>122</v>
      </c>
      <c r="G90" s="6">
        <v>85525.5</v>
      </c>
      <c r="H90" s="6">
        <v>97685</v>
      </c>
      <c r="I90" s="6">
        <v>317724.3</v>
      </c>
      <c r="J90" s="7">
        <v>97685</v>
      </c>
      <c r="K90" s="7">
        <v>0</v>
      </c>
      <c r="L90" s="6">
        <v>75970</v>
      </c>
      <c r="M90" s="6">
        <v>55700</v>
      </c>
      <c r="N90" s="6">
        <v>48565.2</v>
      </c>
      <c r="O90" s="6">
        <v>0</v>
      </c>
      <c r="P90" s="6">
        <v>0</v>
      </c>
      <c r="Q90" s="6">
        <v>67656</v>
      </c>
      <c r="R90" s="6">
        <v>204744</v>
      </c>
      <c r="S90" s="8">
        <v>0</v>
      </c>
      <c r="T90" s="6">
        <v>0</v>
      </c>
      <c r="U90" s="6">
        <v>97685</v>
      </c>
      <c r="V90" s="6">
        <v>97685</v>
      </c>
      <c r="W90" s="6">
        <v>97685</v>
      </c>
      <c r="X90" s="6">
        <v>97685</v>
      </c>
      <c r="Y90" s="6">
        <v>0</v>
      </c>
      <c r="Z90" s="6">
        <v>195370</v>
      </c>
      <c r="AA90" s="6">
        <v>57830</v>
      </c>
      <c r="AB90" s="6">
        <v>97685</v>
      </c>
      <c r="AC90" s="6">
        <v>28915</v>
      </c>
      <c r="AD90" s="6">
        <v>195370</v>
      </c>
      <c r="AE90" s="6">
        <v>57830</v>
      </c>
      <c r="AF90" s="6">
        <v>195370</v>
      </c>
      <c r="AG90" s="6">
        <v>57830</v>
      </c>
      <c r="AH90" s="6">
        <v>195370</v>
      </c>
      <c r="AI90" s="6">
        <v>195370</v>
      </c>
      <c r="AJ90" s="6">
        <v>195370</v>
      </c>
      <c r="AK90" s="6">
        <v>195370</v>
      </c>
      <c r="AL90" s="6">
        <v>195370</v>
      </c>
      <c r="AM90" s="6">
        <v>185601.5</v>
      </c>
      <c r="AN90" s="6">
        <v>214907.00000000003</v>
      </c>
      <c r="AO90" s="6">
        <v>224675.49999999997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48842.5</v>
      </c>
      <c r="AW90" s="6">
        <v>97685</v>
      </c>
      <c r="AX90" s="6">
        <v>683795</v>
      </c>
      <c r="AY90" s="6">
        <v>144575</v>
      </c>
      <c r="AZ90" s="6">
        <v>0</v>
      </c>
      <c r="BA90" s="6">
        <v>195370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11800</v>
      </c>
      <c r="BK90" s="6">
        <v>0</v>
      </c>
      <c r="BL90" s="6"/>
      <c r="BM90" s="6">
        <v>0</v>
      </c>
      <c r="BN90" s="6">
        <v>0</v>
      </c>
      <c r="BO90" s="6">
        <v>0</v>
      </c>
      <c r="BP90" s="6">
        <v>0</v>
      </c>
      <c r="BQ90" s="26">
        <v>0</v>
      </c>
      <c r="BR90" s="26">
        <v>0</v>
      </c>
      <c r="BS90" s="26">
        <v>0</v>
      </c>
      <c r="BT90" s="26">
        <v>0</v>
      </c>
      <c r="BU90" s="26">
        <v>0</v>
      </c>
      <c r="BV90" s="26">
        <v>0</v>
      </c>
      <c r="BW90" s="26">
        <v>0</v>
      </c>
      <c r="BX90" s="26">
        <v>0</v>
      </c>
      <c r="BY90" s="2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195370</v>
      </c>
      <c r="CF90" s="6">
        <v>23000</v>
      </c>
      <c r="CG90" s="6">
        <v>5000</v>
      </c>
      <c r="CH90" s="6">
        <v>100000</v>
      </c>
      <c r="CI90" s="6">
        <v>0</v>
      </c>
      <c r="CJ90" s="6">
        <v>0</v>
      </c>
      <c r="CK90" s="6">
        <v>2440</v>
      </c>
      <c r="CL90" s="6">
        <v>0</v>
      </c>
      <c r="CM90" s="6">
        <v>0</v>
      </c>
      <c r="CN90" s="6">
        <v>0</v>
      </c>
      <c r="CO90" s="6">
        <v>0</v>
      </c>
      <c r="CP90" s="6">
        <v>30515.607322654461</v>
      </c>
      <c r="CQ90" s="6">
        <v>0</v>
      </c>
      <c r="CR90" s="6">
        <v>0</v>
      </c>
      <c r="CS90" s="6">
        <v>0</v>
      </c>
      <c r="CT90" s="6">
        <v>42108</v>
      </c>
      <c r="CU90" s="6">
        <v>80937.997499999998</v>
      </c>
      <c r="CV90" s="6">
        <v>0</v>
      </c>
      <c r="CW90" s="6">
        <v>0</v>
      </c>
      <c r="CX90" s="6"/>
      <c r="CY90" s="6">
        <f>VLOOKUP(A90, 'At-Risk updating '!A:E, 5, 0)</f>
        <v>3538</v>
      </c>
      <c r="CZ90" s="6">
        <v>0</v>
      </c>
      <c r="DA90" s="6">
        <v>0</v>
      </c>
      <c r="DB90" s="6">
        <v>0</v>
      </c>
      <c r="DC90" s="6">
        <v>0</v>
      </c>
      <c r="DD90" s="6">
        <v>0</v>
      </c>
      <c r="DE90" s="10">
        <v>0</v>
      </c>
      <c r="DF90" s="6">
        <v>0</v>
      </c>
      <c r="DG90" s="7">
        <v>0</v>
      </c>
      <c r="DH90" s="11">
        <f t="shared" si="0"/>
        <v>5595206.1048226543</v>
      </c>
    </row>
    <row r="91" spans="1:112" ht="15.75" x14ac:dyDescent="0.25">
      <c r="A91" s="4">
        <v>466</v>
      </c>
      <c r="B91" s="4" t="s">
        <v>171</v>
      </c>
      <c r="C91" s="5" t="s">
        <v>191</v>
      </c>
      <c r="D91" s="5">
        <v>2</v>
      </c>
      <c r="E91" s="5">
        <v>565</v>
      </c>
      <c r="F91" s="5">
        <v>100</v>
      </c>
      <c r="G91" s="6">
        <v>85525.5</v>
      </c>
      <c r="H91" s="6">
        <v>97685</v>
      </c>
      <c r="I91" s="6">
        <v>276282</v>
      </c>
      <c r="J91" s="7">
        <v>0</v>
      </c>
      <c r="K91" s="7">
        <v>256613.3</v>
      </c>
      <c r="L91" s="6">
        <v>75970</v>
      </c>
      <c r="M91" s="6">
        <v>55700</v>
      </c>
      <c r="N91" s="6">
        <v>60706.5</v>
      </c>
      <c r="O91" s="6">
        <v>47542</v>
      </c>
      <c r="P91" s="6">
        <v>58487</v>
      </c>
      <c r="Q91" s="6">
        <v>135312</v>
      </c>
      <c r="R91" s="6">
        <v>102372</v>
      </c>
      <c r="S91" s="8">
        <v>1</v>
      </c>
      <c r="T91" s="6">
        <v>41134</v>
      </c>
      <c r="U91" s="6">
        <v>97685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566573</v>
      </c>
      <c r="AQ91" s="6">
        <v>576341.5</v>
      </c>
      <c r="AR91" s="6">
        <v>566573</v>
      </c>
      <c r="AS91" s="6">
        <v>664258</v>
      </c>
      <c r="AT91" s="6">
        <v>0</v>
      </c>
      <c r="AU91" s="6">
        <v>0</v>
      </c>
      <c r="AV91" s="6">
        <v>48842.5</v>
      </c>
      <c r="AW91" s="6">
        <v>146527.5</v>
      </c>
      <c r="AX91" s="6">
        <v>48842.5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15025</v>
      </c>
      <c r="BK91" s="6">
        <v>0</v>
      </c>
      <c r="BL91" s="6"/>
      <c r="BM91" s="6">
        <v>0</v>
      </c>
      <c r="BN91" s="6">
        <v>0</v>
      </c>
      <c r="BO91" s="6">
        <v>0</v>
      </c>
      <c r="BP91" s="6">
        <v>0</v>
      </c>
      <c r="BQ91" s="26">
        <v>0</v>
      </c>
      <c r="BR91" s="26">
        <v>0</v>
      </c>
      <c r="BS91" s="26">
        <v>0</v>
      </c>
      <c r="BT91" s="26">
        <v>0</v>
      </c>
      <c r="BU91" s="26">
        <v>0</v>
      </c>
      <c r="BV91" s="26">
        <v>0</v>
      </c>
      <c r="BW91" s="26">
        <v>0</v>
      </c>
      <c r="BX91" s="26">
        <v>0</v>
      </c>
      <c r="BY91" s="2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101560.06446048801</v>
      </c>
      <c r="CJ91" s="6">
        <v>12240</v>
      </c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72269.75</v>
      </c>
      <c r="CQ91" s="6">
        <v>0</v>
      </c>
      <c r="CR91" s="6">
        <v>0</v>
      </c>
      <c r="CS91" s="6">
        <v>0</v>
      </c>
      <c r="CT91" s="6">
        <v>50895</v>
      </c>
      <c r="CU91" s="6">
        <v>61657.985466907317</v>
      </c>
      <c r="CV91" s="6">
        <v>446943.90007260442</v>
      </c>
      <c r="CW91" s="6">
        <v>495436</v>
      </c>
      <c r="CX91" s="6"/>
      <c r="CY91" s="6">
        <f>VLOOKUP(A91, 'At-Risk updating '!A:E, 5, 0)</f>
        <v>2900</v>
      </c>
      <c r="CZ91" s="6">
        <v>0</v>
      </c>
      <c r="DA91" s="6">
        <v>0</v>
      </c>
      <c r="DB91" s="6">
        <v>0</v>
      </c>
      <c r="DC91" s="6">
        <v>0</v>
      </c>
      <c r="DD91" s="6">
        <v>0</v>
      </c>
      <c r="DE91" s="10">
        <v>0</v>
      </c>
      <c r="DF91" s="6">
        <v>0</v>
      </c>
      <c r="DG91" s="7">
        <v>0</v>
      </c>
      <c r="DH91" s="11">
        <f t="shared" si="0"/>
        <v>5267901</v>
      </c>
    </row>
    <row r="92" spans="1:112" ht="15.75" x14ac:dyDescent="0.25">
      <c r="A92" s="4">
        <v>175</v>
      </c>
      <c r="B92" s="4" t="s">
        <v>172</v>
      </c>
      <c r="C92" s="5" t="s">
        <v>201</v>
      </c>
      <c r="D92" s="5">
        <v>6</v>
      </c>
      <c r="E92" s="5">
        <v>298</v>
      </c>
      <c r="F92" s="5">
        <v>23</v>
      </c>
      <c r="G92" s="6">
        <v>171051</v>
      </c>
      <c r="H92" s="6">
        <v>97685</v>
      </c>
      <c r="I92" s="6">
        <v>110512.8</v>
      </c>
      <c r="J92" s="7">
        <v>0</v>
      </c>
      <c r="K92" s="7">
        <v>0</v>
      </c>
      <c r="L92" s="6">
        <v>75970</v>
      </c>
      <c r="M92" s="6">
        <v>55700</v>
      </c>
      <c r="N92" s="6">
        <v>0</v>
      </c>
      <c r="O92" s="6">
        <v>0</v>
      </c>
      <c r="P92" s="6">
        <v>0</v>
      </c>
      <c r="Q92" s="6">
        <v>67656</v>
      </c>
      <c r="R92" s="6">
        <v>51186</v>
      </c>
      <c r="S92" s="8">
        <v>1</v>
      </c>
      <c r="T92" s="6">
        <v>41134</v>
      </c>
      <c r="U92" s="6">
        <v>97685</v>
      </c>
      <c r="V92" s="6">
        <v>97685</v>
      </c>
      <c r="W92" s="6">
        <v>97685</v>
      </c>
      <c r="X92" s="6">
        <v>97685</v>
      </c>
      <c r="Y92" s="6">
        <v>0</v>
      </c>
      <c r="Z92" s="6">
        <v>195370</v>
      </c>
      <c r="AA92" s="6">
        <v>57830</v>
      </c>
      <c r="AB92" s="6">
        <v>0</v>
      </c>
      <c r="AC92" s="6">
        <v>0</v>
      </c>
      <c r="AD92" s="6">
        <v>195370</v>
      </c>
      <c r="AE92" s="6">
        <v>57830</v>
      </c>
      <c r="AF92" s="6">
        <v>195370</v>
      </c>
      <c r="AG92" s="6">
        <v>57830</v>
      </c>
      <c r="AH92" s="6">
        <v>195370</v>
      </c>
      <c r="AI92" s="6">
        <v>195370</v>
      </c>
      <c r="AJ92" s="6">
        <v>195370</v>
      </c>
      <c r="AK92" s="6">
        <v>195370</v>
      </c>
      <c r="AL92" s="6">
        <v>97685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48842.5</v>
      </c>
      <c r="AW92" s="6">
        <v>146527.5</v>
      </c>
      <c r="AX92" s="6">
        <v>781480</v>
      </c>
      <c r="AY92" s="6">
        <v>173490</v>
      </c>
      <c r="AZ92" s="6">
        <v>0</v>
      </c>
      <c r="BA92" s="6">
        <v>4440.227272727273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7650</v>
      </c>
      <c r="BK92" s="6">
        <v>0</v>
      </c>
      <c r="BL92" s="6"/>
      <c r="BM92" s="6">
        <v>0</v>
      </c>
      <c r="BN92" s="6">
        <v>0</v>
      </c>
      <c r="BO92" s="6">
        <v>0</v>
      </c>
      <c r="BP92" s="6">
        <v>0</v>
      </c>
      <c r="BQ92" s="26">
        <v>0</v>
      </c>
      <c r="BR92" s="26">
        <v>0</v>
      </c>
      <c r="BS92" s="26">
        <v>0</v>
      </c>
      <c r="BT92" s="26">
        <v>0</v>
      </c>
      <c r="BU92" s="26">
        <v>0</v>
      </c>
      <c r="BV92" s="26">
        <v>0</v>
      </c>
      <c r="BW92" s="26">
        <v>0</v>
      </c>
      <c r="BX92" s="26">
        <v>0</v>
      </c>
      <c r="BY92" s="2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0</v>
      </c>
      <c r="CL92" s="6">
        <v>0</v>
      </c>
      <c r="CM92" s="6">
        <v>0</v>
      </c>
      <c r="CN92" s="6">
        <v>0</v>
      </c>
      <c r="CO92" s="6">
        <v>0</v>
      </c>
      <c r="CP92" s="6">
        <v>17360.111111111109</v>
      </c>
      <c r="CQ92" s="6">
        <v>0</v>
      </c>
      <c r="CR92" s="6">
        <v>0</v>
      </c>
      <c r="CS92" s="6">
        <v>0</v>
      </c>
      <c r="CT92" s="6">
        <v>26970</v>
      </c>
      <c r="CU92" s="6">
        <v>57827.700409090903</v>
      </c>
      <c r="CV92" s="6">
        <v>0</v>
      </c>
      <c r="CW92" s="6">
        <v>0</v>
      </c>
      <c r="CX92" s="6"/>
      <c r="CY92" s="6">
        <f>VLOOKUP(A92, 'At-Risk updating '!A:E, 5, 0)</f>
        <v>31686</v>
      </c>
      <c r="CZ92" s="6">
        <v>0</v>
      </c>
      <c r="DA92" s="6">
        <v>0</v>
      </c>
      <c r="DB92" s="6">
        <v>0</v>
      </c>
      <c r="DC92" s="6">
        <v>0</v>
      </c>
      <c r="DD92" s="6">
        <v>0</v>
      </c>
      <c r="DE92" s="10">
        <v>0</v>
      </c>
      <c r="DF92" s="6">
        <v>0</v>
      </c>
      <c r="DG92" s="7">
        <v>0</v>
      </c>
      <c r="DH92" s="11">
        <f t="shared" si="0"/>
        <v>3996674.838792929</v>
      </c>
    </row>
    <row r="93" spans="1:112" ht="15.75" x14ac:dyDescent="0.25">
      <c r="A93" s="4">
        <v>309</v>
      </c>
      <c r="B93" s="4" t="s">
        <v>173</v>
      </c>
      <c r="C93" s="5" t="s">
        <v>201</v>
      </c>
      <c r="D93" s="5">
        <v>6</v>
      </c>
      <c r="E93" s="5">
        <v>372</v>
      </c>
      <c r="F93" s="5">
        <v>189</v>
      </c>
      <c r="G93" s="6">
        <v>171051</v>
      </c>
      <c r="H93" s="6">
        <v>97685</v>
      </c>
      <c r="I93" s="6">
        <v>124326.90000000001</v>
      </c>
      <c r="J93" s="7">
        <v>0</v>
      </c>
      <c r="K93" s="7">
        <v>0</v>
      </c>
      <c r="L93" s="6">
        <v>75970</v>
      </c>
      <c r="M93" s="6">
        <v>55700</v>
      </c>
      <c r="N93" s="6">
        <v>0</v>
      </c>
      <c r="O93" s="6">
        <v>0</v>
      </c>
      <c r="P93" s="6">
        <v>0</v>
      </c>
      <c r="Q93" s="6">
        <v>67656</v>
      </c>
      <c r="R93" s="6">
        <v>102372</v>
      </c>
      <c r="S93" s="8">
        <v>0</v>
      </c>
      <c r="T93" s="6">
        <v>0</v>
      </c>
      <c r="U93" s="6">
        <v>97685</v>
      </c>
      <c r="V93" s="6">
        <v>97685</v>
      </c>
      <c r="W93" s="6">
        <v>97685</v>
      </c>
      <c r="X93" s="6">
        <v>97685</v>
      </c>
      <c r="Y93" s="6">
        <v>97685</v>
      </c>
      <c r="Z93" s="6">
        <v>293055</v>
      </c>
      <c r="AA93" s="6">
        <v>86745</v>
      </c>
      <c r="AB93" s="6">
        <v>0</v>
      </c>
      <c r="AC93" s="6">
        <v>0</v>
      </c>
      <c r="AD93" s="6">
        <v>293055</v>
      </c>
      <c r="AE93" s="6">
        <v>86745</v>
      </c>
      <c r="AF93" s="6">
        <v>293055</v>
      </c>
      <c r="AG93" s="6">
        <v>86745</v>
      </c>
      <c r="AH93" s="6">
        <v>195370</v>
      </c>
      <c r="AI93" s="6">
        <v>195370</v>
      </c>
      <c r="AJ93" s="6">
        <v>195370</v>
      </c>
      <c r="AK93" s="6">
        <v>293055</v>
      </c>
      <c r="AL93" s="6">
        <v>97685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48842.5</v>
      </c>
      <c r="AW93" s="6">
        <v>48842.5</v>
      </c>
      <c r="AX93" s="6">
        <v>683795</v>
      </c>
      <c r="AY93" s="6">
        <v>202405</v>
      </c>
      <c r="AZ93" s="6">
        <v>0</v>
      </c>
      <c r="BA93" s="6">
        <v>488425</v>
      </c>
      <c r="BB93" s="6">
        <v>0</v>
      </c>
      <c r="BC93" s="6">
        <v>97685</v>
      </c>
      <c r="BD93" s="6">
        <v>35580</v>
      </c>
      <c r="BE93" s="6">
        <v>39240</v>
      </c>
      <c r="BF93" s="6">
        <v>7848</v>
      </c>
      <c r="BG93" s="6">
        <v>0</v>
      </c>
      <c r="BH93" s="6">
        <v>124958.5</v>
      </c>
      <c r="BI93" s="6">
        <v>2027.5</v>
      </c>
      <c r="BJ93" s="6">
        <v>7775</v>
      </c>
      <c r="BK93" s="6">
        <v>0</v>
      </c>
      <c r="BL93" s="6"/>
      <c r="BM93" s="6">
        <v>0</v>
      </c>
      <c r="BN93" s="6">
        <v>0</v>
      </c>
      <c r="BO93" s="6">
        <v>0</v>
      </c>
      <c r="BP93" s="6">
        <v>0</v>
      </c>
      <c r="BQ93" s="26">
        <v>0</v>
      </c>
      <c r="BR93" s="26">
        <v>0</v>
      </c>
      <c r="BS93" s="26">
        <v>0</v>
      </c>
      <c r="BT93" s="26">
        <v>0</v>
      </c>
      <c r="BU93" s="26">
        <v>0</v>
      </c>
      <c r="BV93" s="26">
        <v>0</v>
      </c>
      <c r="BW93" s="26">
        <v>0</v>
      </c>
      <c r="BX93" s="26">
        <v>0</v>
      </c>
      <c r="BY93" s="2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3780</v>
      </c>
      <c r="CL93" s="6">
        <v>0</v>
      </c>
      <c r="CM93" s="6">
        <v>0</v>
      </c>
      <c r="CN93" s="6">
        <v>0</v>
      </c>
      <c r="CO93" s="6">
        <v>0</v>
      </c>
      <c r="CP93" s="6">
        <v>21511</v>
      </c>
      <c r="CQ93" s="6">
        <v>0</v>
      </c>
      <c r="CR93" s="6">
        <v>0</v>
      </c>
      <c r="CS93" s="6">
        <v>0</v>
      </c>
      <c r="CT93" s="6">
        <v>32190</v>
      </c>
      <c r="CU93" s="6">
        <v>73041.463499999998</v>
      </c>
      <c r="CV93" s="6">
        <v>0</v>
      </c>
      <c r="CW93" s="6">
        <v>0</v>
      </c>
      <c r="CX93" s="6"/>
      <c r="CY93" s="6">
        <f>VLOOKUP(A93, 'At-Risk updating '!A:E, 5, 0)</f>
        <v>190499</v>
      </c>
      <c r="CZ93" s="6">
        <v>0</v>
      </c>
      <c r="DA93" s="6">
        <v>0</v>
      </c>
      <c r="DB93" s="6">
        <v>0</v>
      </c>
      <c r="DC93" s="6">
        <v>0</v>
      </c>
      <c r="DD93" s="6">
        <v>0</v>
      </c>
      <c r="DE93" s="10">
        <v>0</v>
      </c>
      <c r="DF93" s="6">
        <v>0</v>
      </c>
      <c r="DG93" s="7">
        <v>0</v>
      </c>
      <c r="DH93" s="11">
        <f t="shared" si="0"/>
        <v>5407881.3635</v>
      </c>
    </row>
    <row r="94" spans="1:112" ht="15.75" x14ac:dyDescent="0.25">
      <c r="A94" s="4">
        <v>313</v>
      </c>
      <c r="B94" s="4" t="s">
        <v>174</v>
      </c>
      <c r="C94" s="5" t="s">
        <v>201</v>
      </c>
      <c r="D94" s="5">
        <v>4</v>
      </c>
      <c r="E94" s="5">
        <v>373</v>
      </c>
      <c r="F94" s="5">
        <v>62</v>
      </c>
      <c r="G94" s="6">
        <v>171051</v>
      </c>
      <c r="H94" s="6">
        <v>97685</v>
      </c>
      <c r="I94" s="6">
        <v>124326.90000000001</v>
      </c>
      <c r="J94" s="7">
        <v>0</v>
      </c>
      <c r="K94" s="7">
        <v>0</v>
      </c>
      <c r="L94" s="6">
        <v>75970</v>
      </c>
      <c r="M94" s="6">
        <v>55700</v>
      </c>
      <c r="N94" s="6">
        <v>0</v>
      </c>
      <c r="O94" s="6">
        <v>0</v>
      </c>
      <c r="P94" s="6">
        <v>0</v>
      </c>
      <c r="Q94" s="6">
        <v>67656</v>
      </c>
      <c r="R94" s="6">
        <v>51186</v>
      </c>
      <c r="S94" s="8">
        <v>2</v>
      </c>
      <c r="T94" s="6">
        <v>82268</v>
      </c>
      <c r="U94" s="6">
        <v>97685</v>
      </c>
      <c r="V94" s="6">
        <v>97685</v>
      </c>
      <c r="W94" s="6">
        <v>97685</v>
      </c>
      <c r="X94" s="6">
        <v>97685</v>
      </c>
      <c r="Y94" s="6">
        <v>97685</v>
      </c>
      <c r="Z94" s="6">
        <v>195370</v>
      </c>
      <c r="AA94" s="6">
        <v>57830</v>
      </c>
      <c r="AB94" s="6">
        <v>0</v>
      </c>
      <c r="AC94" s="6">
        <v>0</v>
      </c>
      <c r="AD94" s="6">
        <v>195370</v>
      </c>
      <c r="AE94" s="6">
        <v>57830</v>
      </c>
      <c r="AF94" s="6">
        <v>293055</v>
      </c>
      <c r="AG94" s="6">
        <v>86745</v>
      </c>
      <c r="AH94" s="6">
        <v>293055</v>
      </c>
      <c r="AI94" s="6">
        <v>293055</v>
      </c>
      <c r="AJ94" s="6">
        <v>195370</v>
      </c>
      <c r="AK94" s="6">
        <v>195370</v>
      </c>
      <c r="AL94" s="6">
        <v>195370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97685</v>
      </c>
      <c r="AW94" s="6">
        <v>97685</v>
      </c>
      <c r="AX94" s="6">
        <v>195370</v>
      </c>
      <c r="AY94" s="6">
        <v>0</v>
      </c>
      <c r="AZ94" s="6">
        <v>0</v>
      </c>
      <c r="BA94" s="6">
        <v>97685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9025</v>
      </c>
      <c r="BK94" s="6">
        <v>101560.06446048801</v>
      </c>
      <c r="BL94" s="6"/>
      <c r="BM94" s="6">
        <v>0</v>
      </c>
      <c r="BN94" s="6">
        <v>0</v>
      </c>
      <c r="BO94" s="6">
        <v>0</v>
      </c>
      <c r="BP94" s="6">
        <v>0</v>
      </c>
      <c r="BQ94" s="26">
        <v>0</v>
      </c>
      <c r="BR94" s="26">
        <v>0</v>
      </c>
      <c r="BS94" s="26">
        <v>0</v>
      </c>
      <c r="BT94" s="26">
        <v>0</v>
      </c>
      <c r="BU94" s="26">
        <v>0</v>
      </c>
      <c r="BV94" s="26">
        <v>0</v>
      </c>
      <c r="BW94" s="26">
        <v>0</v>
      </c>
      <c r="BX94" s="26">
        <v>0</v>
      </c>
      <c r="BY94" s="2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0</v>
      </c>
      <c r="CL94" s="6">
        <v>0</v>
      </c>
      <c r="CM94" s="6">
        <v>0</v>
      </c>
      <c r="CN94" s="6">
        <v>0</v>
      </c>
      <c r="CO94" s="6">
        <v>0</v>
      </c>
      <c r="CP94" s="6">
        <v>21548.587500000001</v>
      </c>
      <c r="CQ94" s="6">
        <v>0</v>
      </c>
      <c r="CR94" s="6">
        <v>0</v>
      </c>
      <c r="CS94" s="6">
        <v>0</v>
      </c>
      <c r="CT94" s="6">
        <v>32277</v>
      </c>
      <c r="CU94" s="6">
        <v>57940.094466907314</v>
      </c>
      <c r="CV94" s="6">
        <v>0</v>
      </c>
      <c r="CW94" s="6">
        <v>0</v>
      </c>
      <c r="CX94" s="6"/>
      <c r="CY94" s="6">
        <f>VLOOKUP(A94, 'At-Risk updating '!A:E, 5, 0)</f>
        <v>7012.5</v>
      </c>
      <c r="CZ94" s="6">
        <v>0</v>
      </c>
      <c r="DA94" s="6">
        <v>0</v>
      </c>
      <c r="DB94" s="6">
        <v>0</v>
      </c>
      <c r="DC94" s="6">
        <v>0</v>
      </c>
      <c r="DD94" s="6">
        <v>0</v>
      </c>
      <c r="DE94" s="10">
        <v>0</v>
      </c>
      <c r="DF94" s="6">
        <v>0</v>
      </c>
      <c r="DG94" s="7">
        <v>0</v>
      </c>
      <c r="DH94" s="11">
        <f t="shared" si="0"/>
        <v>3990478.1464273953</v>
      </c>
    </row>
    <row r="95" spans="1:112" ht="15.75" x14ac:dyDescent="0.25">
      <c r="A95" s="4">
        <v>315</v>
      </c>
      <c r="B95" s="4" t="s">
        <v>175</v>
      </c>
      <c r="C95" s="5" t="s">
        <v>201</v>
      </c>
      <c r="D95" s="5">
        <v>8</v>
      </c>
      <c r="E95" s="5">
        <v>267</v>
      </c>
      <c r="F95" s="5">
        <v>204</v>
      </c>
      <c r="G95" s="6">
        <v>171051</v>
      </c>
      <c r="H95" s="6">
        <v>97685</v>
      </c>
      <c r="I95" s="6">
        <v>0</v>
      </c>
      <c r="J95" s="7">
        <v>0</v>
      </c>
      <c r="K95" s="7">
        <v>0</v>
      </c>
      <c r="L95" s="6">
        <v>37985</v>
      </c>
      <c r="M95" s="6">
        <v>55700</v>
      </c>
      <c r="N95" s="6">
        <v>0</v>
      </c>
      <c r="O95" s="6">
        <v>0</v>
      </c>
      <c r="P95" s="6">
        <v>0</v>
      </c>
      <c r="Q95" s="6">
        <v>67656</v>
      </c>
      <c r="R95" s="6">
        <v>51186</v>
      </c>
      <c r="S95" s="8">
        <v>1</v>
      </c>
      <c r="T95" s="6">
        <v>41134</v>
      </c>
      <c r="U95" s="6">
        <v>48842.5</v>
      </c>
      <c r="V95" s="6">
        <v>97685</v>
      </c>
      <c r="W95" s="6">
        <v>97685</v>
      </c>
      <c r="X95" s="6">
        <v>97685</v>
      </c>
      <c r="Y95" s="6">
        <v>0</v>
      </c>
      <c r="Z95" s="6">
        <v>97685</v>
      </c>
      <c r="AA95" s="6">
        <v>28915</v>
      </c>
      <c r="AB95" s="6">
        <v>97685</v>
      </c>
      <c r="AC95" s="6">
        <v>28915</v>
      </c>
      <c r="AD95" s="6">
        <v>97685</v>
      </c>
      <c r="AE95" s="6">
        <v>28915</v>
      </c>
      <c r="AF95" s="6">
        <v>195370</v>
      </c>
      <c r="AG95" s="6">
        <v>57830</v>
      </c>
      <c r="AH95" s="6">
        <v>195370</v>
      </c>
      <c r="AI95" s="6">
        <v>195370</v>
      </c>
      <c r="AJ95" s="6">
        <v>195370</v>
      </c>
      <c r="AK95" s="6">
        <v>195370</v>
      </c>
      <c r="AL95" s="6">
        <v>195370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48842.5</v>
      </c>
      <c r="AW95" s="6">
        <v>97685</v>
      </c>
      <c r="AX95" s="6">
        <v>390740</v>
      </c>
      <c r="AY95" s="6">
        <v>57830</v>
      </c>
      <c r="AZ95" s="6">
        <v>0</v>
      </c>
      <c r="BA95" s="6">
        <v>13320.681818181818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122099.97</v>
      </c>
      <c r="BI95" s="6">
        <v>1981.12</v>
      </c>
      <c r="BJ95" s="6">
        <v>7600</v>
      </c>
      <c r="BK95" s="6">
        <v>0</v>
      </c>
      <c r="BL95" s="6"/>
      <c r="BM95" s="6">
        <v>0</v>
      </c>
      <c r="BN95" s="6">
        <v>0</v>
      </c>
      <c r="BO95" s="6">
        <v>0</v>
      </c>
      <c r="BP95" s="6">
        <v>0</v>
      </c>
      <c r="BQ95" s="26">
        <v>0</v>
      </c>
      <c r="BR95" s="26">
        <v>0</v>
      </c>
      <c r="BS95" s="26">
        <v>0</v>
      </c>
      <c r="BT95" s="26">
        <v>0</v>
      </c>
      <c r="BU95" s="26">
        <v>0</v>
      </c>
      <c r="BV95" s="26">
        <v>0</v>
      </c>
      <c r="BW95" s="26">
        <v>0</v>
      </c>
      <c r="BX95" s="26">
        <v>0</v>
      </c>
      <c r="BY95" s="2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8160</v>
      </c>
      <c r="CL95" s="6">
        <v>163080</v>
      </c>
      <c r="CM95" s="6">
        <v>0</v>
      </c>
      <c r="CN95" s="6">
        <v>0</v>
      </c>
      <c r="CO95" s="6">
        <v>0</v>
      </c>
      <c r="CP95" s="6">
        <v>16152.423076923076</v>
      </c>
      <c r="CQ95" s="6">
        <v>0</v>
      </c>
      <c r="CR95" s="6">
        <v>0</v>
      </c>
      <c r="CS95" s="6">
        <v>0</v>
      </c>
      <c r="CT95" s="6">
        <v>23055</v>
      </c>
      <c r="CU95" s="6">
        <v>48684.640227272721</v>
      </c>
      <c r="CV95" s="6">
        <v>0</v>
      </c>
      <c r="CW95" s="6">
        <v>0</v>
      </c>
      <c r="CX95" s="6"/>
      <c r="CY95" s="6">
        <f>VLOOKUP(A95, 'At-Risk updating '!A:E, 5, 0)</f>
        <v>115225.5</v>
      </c>
      <c r="CZ95" s="6">
        <v>0</v>
      </c>
      <c r="DA95" s="6">
        <v>0</v>
      </c>
      <c r="DB95" s="6">
        <v>0</v>
      </c>
      <c r="DC95" s="6">
        <v>0</v>
      </c>
      <c r="DD95" s="6">
        <v>0</v>
      </c>
      <c r="DE95" s="10">
        <v>0</v>
      </c>
      <c r="DF95" s="6">
        <v>0</v>
      </c>
      <c r="DG95" s="7">
        <v>0</v>
      </c>
      <c r="DH95" s="11">
        <f t="shared" si="0"/>
        <v>3588602.3351223776</v>
      </c>
    </row>
    <row r="96" spans="1:112" ht="15.75" x14ac:dyDescent="0.25">
      <c r="A96" s="4">
        <v>322</v>
      </c>
      <c r="B96" s="4" t="s">
        <v>176</v>
      </c>
      <c r="C96" s="5" t="s">
        <v>201</v>
      </c>
      <c r="D96" s="5">
        <v>7</v>
      </c>
      <c r="E96" s="5">
        <v>261</v>
      </c>
      <c r="F96" s="5">
        <v>203</v>
      </c>
      <c r="G96" s="6">
        <v>171051</v>
      </c>
      <c r="H96" s="6">
        <v>97685</v>
      </c>
      <c r="I96" s="6">
        <v>0</v>
      </c>
      <c r="J96" s="7">
        <v>0</v>
      </c>
      <c r="K96" s="7">
        <v>0</v>
      </c>
      <c r="L96" s="6">
        <v>37985</v>
      </c>
      <c r="M96" s="6">
        <v>55700</v>
      </c>
      <c r="N96" s="6">
        <v>0</v>
      </c>
      <c r="O96" s="6">
        <v>0</v>
      </c>
      <c r="P96" s="6">
        <v>0</v>
      </c>
      <c r="Q96" s="6">
        <v>67656</v>
      </c>
      <c r="R96" s="6">
        <v>102372</v>
      </c>
      <c r="S96" s="8">
        <v>0</v>
      </c>
      <c r="T96" s="6">
        <v>0</v>
      </c>
      <c r="U96" s="6">
        <v>48842.5</v>
      </c>
      <c r="V96" s="6">
        <v>97685</v>
      </c>
      <c r="W96" s="6">
        <v>97685</v>
      </c>
      <c r="X96" s="6">
        <v>97685</v>
      </c>
      <c r="Y96" s="6">
        <v>0</v>
      </c>
      <c r="Z96" s="6">
        <v>195370</v>
      </c>
      <c r="AA96" s="6">
        <v>57830</v>
      </c>
      <c r="AB96" s="6">
        <v>0</v>
      </c>
      <c r="AC96" s="6">
        <v>0</v>
      </c>
      <c r="AD96" s="6">
        <v>195370</v>
      </c>
      <c r="AE96" s="6">
        <v>57830</v>
      </c>
      <c r="AF96" s="6">
        <v>195370</v>
      </c>
      <c r="AG96" s="6">
        <v>57830</v>
      </c>
      <c r="AH96" s="6">
        <v>195370</v>
      </c>
      <c r="AI96" s="6">
        <v>97685</v>
      </c>
      <c r="AJ96" s="6">
        <v>97685</v>
      </c>
      <c r="AK96" s="6">
        <v>195370</v>
      </c>
      <c r="AL96" s="6">
        <v>97685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97685</v>
      </c>
      <c r="AW96" s="6">
        <v>97685</v>
      </c>
      <c r="AX96" s="6">
        <v>488425</v>
      </c>
      <c r="AY96" s="6">
        <v>57830</v>
      </c>
      <c r="AZ96" s="6">
        <v>0</v>
      </c>
      <c r="BA96" s="6">
        <v>97685</v>
      </c>
      <c r="BB96" s="6">
        <v>0</v>
      </c>
      <c r="BC96" s="6">
        <v>0</v>
      </c>
      <c r="BD96" s="6">
        <v>29650</v>
      </c>
      <c r="BE96" s="6">
        <v>32700</v>
      </c>
      <c r="BF96" s="6">
        <v>7848</v>
      </c>
      <c r="BG96" s="6">
        <v>0</v>
      </c>
      <c r="BH96" s="6">
        <v>114341.11</v>
      </c>
      <c r="BI96" s="6">
        <v>1855.23</v>
      </c>
      <c r="BJ96" s="6">
        <v>7100</v>
      </c>
      <c r="BK96" s="6">
        <v>0</v>
      </c>
      <c r="BL96" s="6"/>
      <c r="BM96" s="6">
        <v>0</v>
      </c>
      <c r="BN96" s="6">
        <v>0</v>
      </c>
      <c r="BO96" s="6">
        <v>0</v>
      </c>
      <c r="BP96" s="6">
        <v>0</v>
      </c>
      <c r="BQ96" s="26">
        <v>0</v>
      </c>
      <c r="BR96" s="26">
        <v>0</v>
      </c>
      <c r="BS96" s="26">
        <v>0</v>
      </c>
      <c r="BT96" s="26">
        <v>0</v>
      </c>
      <c r="BU96" s="26">
        <v>0</v>
      </c>
      <c r="BV96" s="26">
        <v>0</v>
      </c>
      <c r="BW96" s="26">
        <v>97685</v>
      </c>
      <c r="BX96" s="26">
        <v>0</v>
      </c>
      <c r="BY96" s="2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8120</v>
      </c>
      <c r="CL96" s="6">
        <v>132120</v>
      </c>
      <c r="CM96" s="6">
        <v>0</v>
      </c>
      <c r="CN96" s="6">
        <v>0</v>
      </c>
      <c r="CO96" s="6">
        <v>0</v>
      </c>
      <c r="CP96" s="6">
        <v>14823.25</v>
      </c>
      <c r="CQ96" s="6">
        <v>0</v>
      </c>
      <c r="CR96" s="6">
        <v>0</v>
      </c>
      <c r="CS96" s="6">
        <v>0</v>
      </c>
      <c r="CT96" s="6">
        <v>22533</v>
      </c>
      <c r="CU96" s="6">
        <v>49337.572499999995</v>
      </c>
      <c r="CV96" s="6">
        <v>0</v>
      </c>
      <c r="CW96" s="6">
        <v>0</v>
      </c>
      <c r="CX96" s="6"/>
      <c r="CY96" s="6">
        <f>VLOOKUP(A96, 'At-Risk updating '!A:E, 5, 0)</f>
        <v>116328.5</v>
      </c>
      <c r="CZ96" s="6">
        <v>0</v>
      </c>
      <c r="DA96" s="6">
        <v>0</v>
      </c>
      <c r="DB96" s="6">
        <v>0</v>
      </c>
      <c r="DC96" s="6">
        <v>0</v>
      </c>
      <c r="DD96" s="6">
        <v>0</v>
      </c>
      <c r="DE96" s="10">
        <v>0</v>
      </c>
      <c r="DF96" s="6">
        <v>0</v>
      </c>
      <c r="DG96" s="7">
        <v>0</v>
      </c>
      <c r="DH96" s="11">
        <f t="shared" si="0"/>
        <v>3791493.1624999996</v>
      </c>
    </row>
    <row r="97" spans="1:112" ht="15.75" x14ac:dyDescent="0.25">
      <c r="A97" s="4">
        <v>427</v>
      </c>
      <c r="B97" s="4" t="s">
        <v>177</v>
      </c>
      <c r="C97" s="5" t="s">
        <v>204</v>
      </c>
      <c r="D97" s="5">
        <v>7</v>
      </c>
      <c r="E97" s="5">
        <v>261</v>
      </c>
      <c r="F97" s="5">
        <v>189</v>
      </c>
      <c r="G97" s="6">
        <v>171051</v>
      </c>
      <c r="H97" s="6">
        <v>97685</v>
      </c>
      <c r="I97" s="6">
        <v>124326.90000000001</v>
      </c>
      <c r="J97" s="7">
        <v>97685</v>
      </c>
      <c r="K97" s="7">
        <v>0</v>
      </c>
      <c r="L97" s="6">
        <v>37985</v>
      </c>
      <c r="M97" s="6">
        <v>55700</v>
      </c>
      <c r="N97" s="6">
        <v>0</v>
      </c>
      <c r="O97" s="6">
        <v>0</v>
      </c>
      <c r="P97" s="6">
        <v>0</v>
      </c>
      <c r="Q97" s="6">
        <v>67656</v>
      </c>
      <c r="R97" s="6">
        <v>51186</v>
      </c>
      <c r="S97" s="8">
        <v>2</v>
      </c>
      <c r="T97" s="6">
        <v>82268</v>
      </c>
      <c r="U97" s="6">
        <v>48842.5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390740</v>
      </c>
      <c r="AN97" s="6">
        <v>400508.49999999994</v>
      </c>
      <c r="AO97" s="6">
        <v>361434.5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97685</v>
      </c>
      <c r="AW97" s="6">
        <v>195370</v>
      </c>
      <c r="AX97" s="6">
        <v>586110</v>
      </c>
      <c r="AY97" s="6">
        <v>86745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102907</v>
      </c>
      <c r="BI97" s="6">
        <v>1669.71</v>
      </c>
      <c r="BJ97" s="6">
        <v>6400</v>
      </c>
      <c r="BK97" s="6">
        <v>0</v>
      </c>
      <c r="BL97" s="6"/>
      <c r="BM97" s="6">
        <v>97685</v>
      </c>
      <c r="BN97" s="6">
        <v>138141</v>
      </c>
      <c r="BO97" s="6">
        <v>0</v>
      </c>
      <c r="BP97" s="6">
        <v>0</v>
      </c>
      <c r="BQ97" s="26">
        <v>0</v>
      </c>
      <c r="BR97" s="26">
        <v>0</v>
      </c>
      <c r="BS97" s="26">
        <v>0</v>
      </c>
      <c r="BT97" s="26">
        <v>0</v>
      </c>
      <c r="BU97" s="26">
        <v>0</v>
      </c>
      <c r="BV97" s="26">
        <v>0</v>
      </c>
      <c r="BW97" s="26">
        <v>0</v>
      </c>
      <c r="BX97" s="26">
        <v>0</v>
      </c>
      <c r="BY97" s="2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195370</v>
      </c>
      <c r="CF97" s="6">
        <v>23000</v>
      </c>
      <c r="CG97" s="6">
        <v>5000</v>
      </c>
      <c r="CH97" s="6">
        <v>100000</v>
      </c>
      <c r="CI97" s="6">
        <v>0</v>
      </c>
      <c r="CJ97" s="6">
        <v>0</v>
      </c>
      <c r="CK97" s="6">
        <v>3780</v>
      </c>
      <c r="CL97" s="6">
        <v>0</v>
      </c>
      <c r="CM97" s="6">
        <v>0</v>
      </c>
      <c r="CN97" s="6">
        <v>0</v>
      </c>
      <c r="CO97" s="6">
        <v>0</v>
      </c>
      <c r="CP97" s="6">
        <v>21508.440251572327</v>
      </c>
      <c r="CQ97" s="6">
        <v>0</v>
      </c>
      <c r="CR97" s="6">
        <v>0</v>
      </c>
      <c r="CS97" s="6">
        <v>0</v>
      </c>
      <c r="CT97" s="6">
        <v>22620</v>
      </c>
      <c r="CU97" s="6">
        <v>52262.615999999995</v>
      </c>
      <c r="CV97" s="6">
        <v>0</v>
      </c>
      <c r="CW97" s="6">
        <v>0</v>
      </c>
      <c r="CX97" s="6"/>
      <c r="CY97" s="6">
        <f>VLOOKUP(A97, 'At-Risk updating '!A:E, 5, 0)</f>
        <v>8020</v>
      </c>
      <c r="CZ97" s="6">
        <v>0</v>
      </c>
      <c r="DA97" s="6">
        <v>0</v>
      </c>
      <c r="DB97" s="6">
        <v>0</v>
      </c>
      <c r="DC97" s="6">
        <v>0</v>
      </c>
      <c r="DD97" s="6">
        <v>0</v>
      </c>
      <c r="DE97" s="10">
        <v>0</v>
      </c>
      <c r="DF97" s="6">
        <v>0</v>
      </c>
      <c r="DG97" s="7">
        <v>0</v>
      </c>
      <c r="DH97" s="11">
        <f t="shared" si="0"/>
        <v>3731344.1662515723</v>
      </c>
    </row>
    <row r="98" spans="1:112" ht="15.75" x14ac:dyDescent="0.25">
      <c r="A98" s="4">
        <v>319</v>
      </c>
      <c r="B98" s="4" t="s">
        <v>178</v>
      </c>
      <c r="C98" s="5" t="s">
        <v>201</v>
      </c>
      <c r="D98" s="5">
        <v>8</v>
      </c>
      <c r="E98" s="5">
        <v>513</v>
      </c>
      <c r="F98" s="5">
        <v>451</v>
      </c>
      <c r="G98" s="6">
        <v>171051</v>
      </c>
      <c r="H98" s="6">
        <v>97685</v>
      </c>
      <c r="I98" s="6">
        <v>179583.30000000002</v>
      </c>
      <c r="J98" s="7">
        <v>0</v>
      </c>
      <c r="K98" s="7">
        <v>0</v>
      </c>
      <c r="L98" s="6">
        <v>75970</v>
      </c>
      <c r="M98" s="6">
        <v>55700</v>
      </c>
      <c r="N98" s="6">
        <v>52612.3</v>
      </c>
      <c r="O98" s="6">
        <v>0</v>
      </c>
      <c r="P98" s="6">
        <v>0</v>
      </c>
      <c r="Q98" s="6">
        <v>67656</v>
      </c>
      <c r="R98" s="6">
        <v>153558</v>
      </c>
      <c r="S98" s="8">
        <v>2</v>
      </c>
      <c r="T98" s="6">
        <v>82268</v>
      </c>
      <c r="U98" s="6">
        <v>97685</v>
      </c>
      <c r="V98" s="6">
        <v>97685</v>
      </c>
      <c r="W98" s="6">
        <v>97685</v>
      </c>
      <c r="X98" s="6">
        <v>97685</v>
      </c>
      <c r="Y98" s="6">
        <v>146527.5</v>
      </c>
      <c r="Z98" s="6">
        <v>195370</v>
      </c>
      <c r="AA98" s="6">
        <v>57830</v>
      </c>
      <c r="AB98" s="6">
        <v>0</v>
      </c>
      <c r="AC98" s="6">
        <v>0</v>
      </c>
      <c r="AD98" s="6">
        <v>293055</v>
      </c>
      <c r="AE98" s="6">
        <v>86745</v>
      </c>
      <c r="AF98" s="6">
        <v>293055</v>
      </c>
      <c r="AG98" s="6">
        <v>86745</v>
      </c>
      <c r="AH98" s="6">
        <v>293055</v>
      </c>
      <c r="AI98" s="6">
        <v>293055</v>
      </c>
      <c r="AJ98" s="6">
        <v>390740</v>
      </c>
      <c r="AK98" s="6">
        <v>390740</v>
      </c>
      <c r="AL98" s="6">
        <v>390740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97685</v>
      </c>
      <c r="AW98" s="6">
        <v>97685</v>
      </c>
      <c r="AX98" s="6">
        <v>488425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41510</v>
      </c>
      <c r="BE98" s="6">
        <v>45780</v>
      </c>
      <c r="BF98" s="6">
        <v>7848</v>
      </c>
      <c r="BG98" s="6">
        <v>0</v>
      </c>
      <c r="BH98" s="6">
        <v>212347.77</v>
      </c>
      <c r="BI98" s="6">
        <v>3445.43</v>
      </c>
      <c r="BJ98" s="6">
        <v>13200</v>
      </c>
      <c r="BK98" s="6">
        <v>0</v>
      </c>
      <c r="BL98" s="6"/>
      <c r="BM98" s="6">
        <v>0</v>
      </c>
      <c r="BN98" s="6">
        <v>0</v>
      </c>
      <c r="BO98" s="6">
        <v>0</v>
      </c>
      <c r="BP98" s="6">
        <v>0</v>
      </c>
      <c r="BQ98" s="26">
        <v>0</v>
      </c>
      <c r="BR98" s="26">
        <v>0</v>
      </c>
      <c r="BS98" s="26">
        <v>0</v>
      </c>
      <c r="BT98" s="26">
        <v>0</v>
      </c>
      <c r="BU98" s="26">
        <v>0</v>
      </c>
      <c r="BV98" s="26">
        <v>0</v>
      </c>
      <c r="BW98" s="26">
        <v>0</v>
      </c>
      <c r="BX98" s="26">
        <v>0</v>
      </c>
      <c r="BY98" s="2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48842.5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18040</v>
      </c>
      <c r="CL98" s="6">
        <v>0</v>
      </c>
      <c r="CM98" s="6">
        <v>0</v>
      </c>
      <c r="CN98" s="6">
        <v>0</v>
      </c>
      <c r="CO98" s="6">
        <v>0</v>
      </c>
      <c r="CP98" s="6">
        <v>27316.237201365188</v>
      </c>
      <c r="CQ98" s="6">
        <v>0</v>
      </c>
      <c r="CR98" s="6">
        <v>0</v>
      </c>
      <c r="CS98" s="6">
        <v>0</v>
      </c>
      <c r="CT98" s="6">
        <v>44457</v>
      </c>
      <c r="CU98" s="6">
        <v>73924.141499999998</v>
      </c>
      <c r="CV98" s="6">
        <v>0</v>
      </c>
      <c r="CW98" s="6">
        <v>0</v>
      </c>
      <c r="CX98" s="6"/>
      <c r="CY98" s="6">
        <f>VLOOKUP(A98, 'At-Risk updating '!A:E, 5, 0)</f>
        <v>199388</v>
      </c>
      <c r="CZ98" s="6">
        <v>0</v>
      </c>
      <c r="DA98" s="6">
        <v>0</v>
      </c>
      <c r="DB98" s="6">
        <v>0</v>
      </c>
      <c r="DC98" s="6">
        <v>0</v>
      </c>
      <c r="DD98" s="6">
        <v>0</v>
      </c>
      <c r="DE98" s="10">
        <v>0</v>
      </c>
      <c r="DF98" s="6">
        <v>0</v>
      </c>
      <c r="DG98" s="7">
        <v>0</v>
      </c>
      <c r="DH98" s="11">
        <f t="shared" si="0"/>
        <v>5664377.1787013644</v>
      </c>
    </row>
    <row r="99" spans="1:112" ht="15.75" x14ac:dyDescent="0.25">
      <c r="A99" s="4">
        <v>321</v>
      </c>
      <c r="B99" s="4" t="s">
        <v>179</v>
      </c>
      <c r="C99" s="5" t="s">
        <v>201</v>
      </c>
      <c r="D99" s="5">
        <v>3</v>
      </c>
      <c r="E99" s="5">
        <v>424</v>
      </c>
      <c r="F99" s="5">
        <v>32</v>
      </c>
      <c r="G99" s="6">
        <v>171051</v>
      </c>
      <c r="H99" s="6">
        <v>97685</v>
      </c>
      <c r="I99" s="6">
        <v>151955.1</v>
      </c>
      <c r="J99" s="7">
        <v>0</v>
      </c>
      <c r="K99" s="7">
        <v>0</v>
      </c>
      <c r="L99" s="6">
        <v>75970</v>
      </c>
      <c r="M99" s="6">
        <v>55700</v>
      </c>
      <c r="N99" s="6">
        <v>44518.100000000006</v>
      </c>
      <c r="O99" s="6">
        <v>0</v>
      </c>
      <c r="P99" s="6">
        <v>0</v>
      </c>
      <c r="Q99" s="6">
        <v>67656</v>
      </c>
      <c r="R99" s="6">
        <v>102372</v>
      </c>
      <c r="S99" s="8">
        <v>1</v>
      </c>
      <c r="T99" s="6">
        <v>41134</v>
      </c>
      <c r="U99" s="6">
        <v>97685</v>
      </c>
      <c r="V99" s="6">
        <v>97685</v>
      </c>
      <c r="W99" s="6">
        <v>97685</v>
      </c>
      <c r="X99" s="6">
        <v>97685</v>
      </c>
      <c r="Y99" s="6">
        <v>146527.5</v>
      </c>
      <c r="Z99" s="6">
        <v>0</v>
      </c>
      <c r="AA99" s="6">
        <v>0</v>
      </c>
      <c r="AB99" s="6">
        <v>0</v>
      </c>
      <c r="AC99" s="6">
        <v>0</v>
      </c>
      <c r="AD99" s="6">
        <v>97685</v>
      </c>
      <c r="AE99" s="6">
        <v>28915</v>
      </c>
      <c r="AF99" s="6">
        <v>293055</v>
      </c>
      <c r="AG99" s="6">
        <v>86745</v>
      </c>
      <c r="AH99" s="6">
        <v>390740</v>
      </c>
      <c r="AI99" s="6">
        <v>390740</v>
      </c>
      <c r="AJ99" s="6">
        <v>390740</v>
      </c>
      <c r="AK99" s="6">
        <v>293055</v>
      </c>
      <c r="AL99" s="6">
        <v>293055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48842.5</v>
      </c>
      <c r="AW99" s="6">
        <v>97685</v>
      </c>
      <c r="AX99" s="6">
        <v>195370</v>
      </c>
      <c r="AY99" s="6">
        <v>0</v>
      </c>
      <c r="AZ99" s="6">
        <v>0</v>
      </c>
      <c r="BA99" s="6">
        <v>293055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10875</v>
      </c>
      <c r="BK99" s="6">
        <v>0</v>
      </c>
      <c r="BL99" s="6"/>
      <c r="BM99" s="6">
        <v>0</v>
      </c>
      <c r="BN99" s="6">
        <v>0</v>
      </c>
      <c r="BO99" s="6">
        <v>0</v>
      </c>
      <c r="BP99" s="6">
        <v>0</v>
      </c>
      <c r="BQ99" s="26">
        <v>0</v>
      </c>
      <c r="BR99" s="26">
        <v>0</v>
      </c>
      <c r="BS99" s="26">
        <v>0</v>
      </c>
      <c r="BT99" s="26">
        <v>0</v>
      </c>
      <c r="BU99" s="26">
        <v>0</v>
      </c>
      <c r="BV99" s="26">
        <v>0</v>
      </c>
      <c r="BW99" s="26">
        <v>0</v>
      </c>
      <c r="BX99" s="26">
        <v>0</v>
      </c>
      <c r="BY99" s="2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23825.0917721519</v>
      </c>
      <c r="CQ99" s="6">
        <v>0</v>
      </c>
      <c r="CR99" s="6">
        <v>0</v>
      </c>
      <c r="CS99" s="6">
        <v>0</v>
      </c>
      <c r="CT99" s="6">
        <v>36714</v>
      </c>
      <c r="CU99" s="6">
        <v>63674.868000000002</v>
      </c>
      <c r="CV99" s="6">
        <v>0</v>
      </c>
      <c r="CW99" s="6">
        <v>0</v>
      </c>
      <c r="CX99" s="6"/>
      <c r="CY99" s="6">
        <f>VLOOKUP(A99, 'At-Risk updating '!A:E, 5, 0)</f>
        <v>928</v>
      </c>
      <c r="CZ99" s="6">
        <v>0</v>
      </c>
      <c r="DA99" s="6">
        <v>0</v>
      </c>
      <c r="DB99" s="6">
        <v>0</v>
      </c>
      <c r="DC99" s="6">
        <v>0</v>
      </c>
      <c r="DD99" s="6">
        <v>0</v>
      </c>
      <c r="DE99" s="10">
        <v>0</v>
      </c>
      <c r="DF99" s="6">
        <v>0</v>
      </c>
      <c r="DG99" s="7">
        <v>0</v>
      </c>
      <c r="DH99" s="11">
        <f t="shared" si="0"/>
        <v>4381009.1597721521</v>
      </c>
    </row>
    <row r="100" spans="1:112" ht="15.75" x14ac:dyDescent="0.25">
      <c r="A100" s="4">
        <v>428</v>
      </c>
      <c r="B100" s="4" t="s">
        <v>180</v>
      </c>
      <c r="C100" s="5" t="s">
        <v>204</v>
      </c>
      <c r="D100" s="5">
        <v>6</v>
      </c>
      <c r="E100" s="5">
        <v>435</v>
      </c>
      <c r="F100" s="5">
        <v>146</v>
      </c>
      <c r="G100" s="6">
        <v>171051</v>
      </c>
      <c r="H100" s="6">
        <v>97685</v>
      </c>
      <c r="I100" s="6">
        <v>193397.4</v>
      </c>
      <c r="J100" s="7">
        <v>107453.50000000001</v>
      </c>
      <c r="K100" s="7">
        <v>0</v>
      </c>
      <c r="L100" s="6">
        <v>75970</v>
      </c>
      <c r="M100" s="6">
        <v>55700</v>
      </c>
      <c r="N100" s="6">
        <v>44518.100000000006</v>
      </c>
      <c r="O100" s="6">
        <v>0</v>
      </c>
      <c r="P100" s="6">
        <v>0</v>
      </c>
      <c r="Q100" s="6">
        <v>67656</v>
      </c>
      <c r="R100" s="6">
        <v>102372</v>
      </c>
      <c r="S100" s="8">
        <v>1</v>
      </c>
      <c r="T100" s="6">
        <v>41134</v>
      </c>
      <c r="U100" s="6">
        <v>97685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683795</v>
      </c>
      <c r="AN100" s="6">
        <v>634952.5</v>
      </c>
      <c r="AO100" s="6">
        <v>615415.5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48842.5</v>
      </c>
      <c r="AW100" s="6">
        <v>97685</v>
      </c>
      <c r="AX100" s="6">
        <v>586110</v>
      </c>
      <c r="AY100" s="6">
        <v>28915</v>
      </c>
      <c r="AZ100" s="6">
        <v>0</v>
      </c>
      <c r="BA100" s="6">
        <v>13320.681818181818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71054.83</v>
      </c>
      <c r="BI100" s="6">
        <v>1152.8900000000001</v>
      </c>
      <c r="BJ100" s="6">
        <v>10850</v>
      </c>
      <c r="BK100" s="6">
        <v>0</v>
      </c>
      <c r="BL100" s="6"/>
      <c r="BM100" s="6">
        <v>97685</v>
      </c>
      <c r="BN100" s="6">
        <v>138141</v>
      </c>
      <c r="BO100" s="6">
        <v>0</v>
      </c>
      <c r="BP100" s="6">
        <v>0</v>
      </c>
      <c r="BQ100" s="26">
        <v>0</v>
      </c>
      <c r="BR100" s="26">
        <v>0</v>
      </c>
      <c r="BS100" s="26">
        <v>0</v>
      </c>
      <c r="BT100" s="26">
        <v>0</v>
      </c>
      <c r="BU100" s="26">
        <v>0</v>
      </c>
      <c r="BV100" s="26">
        <v>0</v>
      </c>
      <c r="BW100" s="26">
        <v>0</v>
      </c>
      <c r="BX100" s="26">
        <v>0</v>
      </c>
      <c r="BY100" s="2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293055</v>
      </c>
      <c r="CF100" s="6">
        <v>23000</v>
      </c>
      <c r="CG100" s="6">
        <v>5000</v>
      </c>
      <c r="CH100" s="6">
        <v>100000</v>
      </c>
      <c r="CI100" s="6">
        <v>0</v>
      </c>
      <c r="CJ100" s="6">
        <v>0</v>
      </c>
      <c r="CK100" s="6">
        <v>2920</v>
      </c>
      <c r="CL100" s="6">
        <v>0</v>
      </c>
      <c r="CM100" s="6">
        <v>0</v>
      </c>
      <c r="CN100" s="6">
        <v>0</v>
      </c>
      <c r="CO100" s="6">
        <v>0</v>
      </c>
      <c r="CP100" s="6">
        <v>33906.533333333333</v>
      </c>
      <c r="CQ100" s="6">
        <v>0</v>
      </c>
      <c r="CR100" s="6">
        <v>0</v>
      </c>
      <c r="CS100" s="6">
        <v>0</v>
      </c>
      <c r="CT100" s="6">
        <v>37758</v>
      </c>
      <c r="CU100" s="6">
        <v>65888.087727272723</v>
      </c>
      <c r="CV100" s="6">
        <v>0</v>
      </c>
      <c r="CW100" s="6">
        <v>0</v>
      </c>
      <c r="CX100" s="6"/>
      <c r="CY100" s="6">
        <f>VLOOKUP(A100, 'At-Risk updating '!A:E, 5, 0)</f>
        <v>4234.2000000000116</v>
      </c>
      <c r="CZ100" s="6">
        <v>0</v>
      </c>
      <c r="DA100" s="6">
        <v>0</v>
      </c>
      <c r="DB100" s="6">
        <v>0</v>
      </c>
      <c r="DC100" s="6">
        <v>0</v>
      </c>
      <c r="DD100" s="6">
        <v>0</v>
      </c>
      <c r="DE100" s="10">
        <v>0</v>
      </c>
      <c r="DF100" s="6">
        <v>0</v>
      </c>
      <c r="DG100" s="7">
        <v>0</v>
      </c>
      <c r="DH100" s="11">
        <f t="shared" si="0"/>
        <v>4648304.7228787886</v>
      </c>
    </row>
    <row r="101" spans="1:112" ht="15.75" x14ac:dyDescent="0.25">
      <c r="A101" s="4">
        <v>324</v>
      </c>
      <c r="B101" s="4" t="s">
        <v>181</v>
      </c>
      <c r="C101" s="5" t="s">
        <v>203</v>
      </c>
      <c r="D101" s="5">
        <v>4</v>
      </c>
      <c r="E101" s="5">
        <v>470</v>
      </c>
      <c r="F101" s="5">
        <v>228</v>
      </c>
      <c r="G101" s="6">
        <v>171051</v>
      </c>
      <c r="H101" s="6">
        <v>97685</v>
      </c>
      <c r="I101" s="6">
        <v>179583.30000000002</v>
      </c>
      <c r="J101" s="7">
        <v>97685</v>
      </c>
      <c r="K101" s="7">
        <v>0</v>
      </c>
      <c r="L101" s="6">
        <v>75970</v>
      </c>
      <c r="M101" s="6">
        <v>55700</v>
      </c>
      <c r="N101" s="6">
        <v>48565.2</v>
      </c>
      <c r="O101" s="6">
        <v>0</v>
      </c>
      <c r="P101" s="6">
        <v>0</v>
      </c>
      <c r="Q101" s="6">
        <v>67656</v>
      </c>
      <c r="R101" s="6">
        <v>51186</v>
      </c>
      <c r="S101" s="8">
        <v>2</v>
      </c>
      <c r="T101" s="6">
        <v>82268</v>
      </c>
      <c r="U101" s="6">
        <v>97685</v>
      </c>
      <c r="V101" s="6">
        <v>97685</v>
      </c>
      <c r="W101" s="6">
        <v>97685</v>
      </c>
      <c r="X101" s="6">
        <v>97685</v>
      </c>
      <c r="Y101" s="6">
        <v>0</v>
      </c>
      <c r="Z101" s="6">
        <v>195370</v>
      </c>
      <c r="AA101" s="6">
        <v>57830</v>
      </c>
      <c r="AB101" s="6">
        <v>0</v>
      </c>
      <c r="AC101" s="6">
        <v>0</v>
      </c>
      <c r="AD101" s="6">
        <v>195370</v>
      </c>
      <c r="AE101" s="6">
        <v>57830</v>
      </c>
      <c r="AF101" s="6">
        <v>195370</v>
      </c>
      <c r="AG101" s="6">
        <v>57830</v>
      </c>
      <c r="AH101" s="6">
        <v>195370</v>
      </c>
      <c r="AI101" s="6">
        <v>293055</v>
      </c>
      <c r="AJ101" s="6">
        <v>195370</v>
      </c>
      <c r="AK101" s="6">
        <v>195370</v>
      </c>
      <c r="AL101" s="6">
        <v>195370</v>
      </c>
      <c r="AM101" s="6">
        <v>166064.5</v>
      </c>
      <c r="AN101" s="6">
        <v>195370</v>
      </c>
      <c r="AO101" s="6">
        <v>146527.5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97685</v>
      </c>
      <c r="AW101" s="6">
        <v>195370</v>
      </c>
      <c r="AX101" s="6">
        <v>781480</v>
      </c>
      <c r="AY101" s="6">
        <v>231320</v>
      </c>
      <c r="AZ101" s="6">
        <v>0</v>
      </c>
      <c r="BA101" s="6">
        <v>488425</v>
      </c>
      <c r="BB101" s="6">
        <v>0</v>
      </c>
      <c r="BC101" s="6">
        <v>97685</v>
      </c>
      <c r="BD101" s="6">
        <v>53370</v>
      </c>
      <c r="BE101" s="6">
        <v>58860</v>
      </c>
      <c r="BF101" s="6">
        <v>7848</v>
      </c>
      <c r="BG101" s="6">
        <v>0</v>
      </c>
      <c r="BH101" s="6">
        <v>189479.55</v>
      </c>
      <c r="BI101" s="6">
        <v>3074.39</v>
      </c>
      <c r="BJ101" s="6">
        <v>11775</v>
      </c>
      <c r="BK101" s="6">
        <v>0</v>
      </c>
      <c r="BL101" s="6"/>
      <c r="BM101" s="6">
        <v>0</v>
      </c>
      <c r="BN101" s="6">
        <v>0</v>
      </c>
      <c r="BO101" s="6">
        <v>0</v>
      </c>
      <c r="BP101" s="6">
        <v>0</v>
      </c>
      <c r="BQ101" s="26">
        <v>0</v>
      </c>
      <c r="BR101" s="26">
        <v>0</v>
      </c>
      <c r="BS101" s="26">
        <v>0</v>
      </c>
      <c r="BT101" s="26">
        <v>0</v>
      </c>
      <c r="BU101" s="26">
        <v>0</v>
      </c>
      <c r="BV101" s="26">
        <v>0</v>
      </c>
      <c r="BW101" s="26">
        <v>0</v>
      </c>
      <c r="BX101" s="26">
        <v>0</v>
      </c>
      <c r="BY101" s="2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97685</v>
      </c>
      <c r="CE101" s="6">
        <v>195370</v>
      </c>
      <c r="CF101" s="6">
        <v>23000</v>
      </c>
      <c r="CG101" s="6">
        <v>5000</v>
      </c>
      <c r="CH101" s="6">
        <v>100000</v>
      </c>
      <c r="CI101" s="6">
        <v>0</v>
      </c>
      <c r="CJ101" s="6">
        <v>0</v>
      </c>
      <c r="CK101" s="6">
        <v>4560</v>
      </c>
      <c r="CL101" s="6">
        <v>0</v>
      </c>
      <c r="CM101" s="6">
        <v>0</v>
      </c>
      <c r="CN101" s="6">
        <v>0</v>
      </c>
      <c r="CO101" s="6">
        <v>0</v>
      </c>
      <c r="CP101" s="6">
        <v>30161.677777777775</v>
      </c>
      <c r="CQ101" s="6">
        <v>0</v>
      </c>
      <c r="CR101" s="6">
        <v>0</v>
      </c>
      <c r="CS101" s="6">
        <v>0</v>
      </c>
      <c r="CT101" s="6">
        <v>40629</v>
      </c>
      <c r="CU101" s="6">
        <v>87712.822499999995</v>
      </c>
      <c r="CV101" s="6">
        <v>0</v>
      </c>
      <c r="CW101" s="6">
        <v>0</v>
      </c>
      <c r="CX101" s="6"/>
      <c r="CY101" s="6">
        <f>VLOOKUP(A101, 'At-Risk updating '!A:E, 5, 0)</f>
        <v>17939.099999999977</v>
      </c>
      <c r="CZ101" s="6">
        <v>0</v>
      </c>
      <c r="DA101" s="6">
        <v>0</v>
      </c>
      <c r="DB101" s="6">
        <v>0</v>
      </c>
      <c r="DC101" s="6">
        <v>0</v>
      </c>
      <c r="DD101" s="6">
        <v>0</v>
      </c>
      <c r="DE101" s="10">
        <v>0</v>
      </c>
      <c r="DF101" s="6">
        <v>0</v>
      </c>
      <c r="DG101" s="7">
        <v>0</v>
      </c>
      <c r="DH101" s="11">
        <f t="shared" si="0"/>
        <v>6478618.0402777763</v>
      </c>
    </row>
    <row r="102" spans="1:112" ht="15.75" x14ac:dyDescent="0.25">
      <c r="A102" s="4">
        <v>325</v>
      </c>
      <c r="B102" s="4" t="s">
        <v>182</v>
      </c>
      <c r="C102" s="5" t="s">
        <v>201</v>
      </c>
      <c r="D102" s="5">
        <v>7</v>
      </c>
      <c r="E102" s="5">
        <v>430</v>
      </c>
      <c r="F102" s="5">
        <v>315</v>
      </c>
      <c r="G102" s="6">
        <v>171051</v>
      </c>
      <c r="H102" s="6">
        <v>97685</v>
      </c>
      <c r="I102" s="6">
        <v>151955.1</v>
      </c>
      <c r="J102" s="7">
        <v>0</v>
      </c>
      <c r="K102" s="7">
        <v>0</v>
      </c>
      <c r="L102" s="6">
        <v>75970</v>
      </c>
      <c r="M102" s="6">
        <v>55700</v>
      </c>
      <c r="N102" s="6">
        <v>44518.100000000006</v>
      </c>
      <c r="O102" s="6">
        <v>0</v>
      </c>
      <c r="P102" s="6">
        <v>0</v>
      </c>
      <c r="Q102" s="6">
        <v>67656</v>
      </c>
      <c r="R102" s="6">
        <v>51186</v>
      </c>
      <c r="S102" s="8">
        <v>1</v>
      </c>
      <c r="T102" s="6">
        <v>41134</v>
      </c>
      <c r="U102" s="6">
        <v>97685</v>
      </c>
      <c r="V102" s="6">
        <v>97685</v>
      </c>
      <c r="W102" s="6">
        <v>97685</v>
      </c>
      <c r="X102" s="6">
        <v>97685</v>
      </c>
      <c r="Y102" s="6">
        <v>146527.5</v>
      </c>
      <c r="Z102" s="6">
        <v>195370</v>
      </c>
      <c r="AA102" s="6">
        <v>57830</v>
      </c>
      <c r="AB102" s="6">
        <v>97685</v>
      </c>
      <c r="AC102" s="6">
        <v>28915</v>
      </c>
      <c r="AD102" s="6">
        <v>195370</v>
      </c>
      <c r="AE102" s="6">
        <v>57830</v>
      </c>
      <c r="AF102" s="6">
        <v>293055</v>
      </c>
      <c r="AG102" s="6">
        <v>86745</v>
      </c>
      <c r="AH102" s="6">
        <v>293055</v>
      </c>
      <c r="AI102" s="6">
        <v>293055</v>
      </c>
      <c r="AJ102" s="6">
        <v>293055</v>
      </c>
      <c r="AK102" s="6">
        <v>293055</v>
      </c>
      <c r="AL102" s="6">
        <v>195370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97685</v>
      </c>
      <c r="AW102" s="6">
        <v>97685</v>
      </c>
      <c r="AX102" s="6">
        <v>781480</v>
      </c>
      <c r="AY102" s="6">
        <v>115660</v>
      </c>
      <c r="AZ102" s="6">
        <v>0</v>
      </c>
      <c r="BA102" s="6">
        <v>22201.136363636364</v>
      </c>
      <c r="BB102" s="6">
        <v>0</v>
      </c>
      <c r="BC102" s="6">
        <v>0</v>
      </c>
      <c r="BD102" s="6">
        <v>47440</v>
      </c>
      <c r="BE102" s="6">
        <v>52320</v>
      </c>
      <c r="BF102" s="6">
        <v>7848</v>
      </c>
      <c r="BG102" s="6">
        <v>0</v>
      </c>
      <c r="BH102" s="6">
        <v>166611.32999999999</v>
      </c>
      <c r="BI102" s="6">
        <v>2703.34</v>
      </c>
      <c r="BJ102" s="6">
        <v>10350</v>
      </c>
      <c r="BK102" s="6">
        <v>0</v>
      </c>
      <c r="BL102" s="6"/>
      <c r="BM102" s="6">
        <v>0</v>
      </c>
      <c r="BN102" s="6">
        <v>0</v>
      </c>
      <c r="BO102" s="6">
        <v>0</v>
      </c>
      <c r="BP102" s="6">
        <v>0</v>
      </c>
      <c r="BQ102" s="26">
        <v>0</v>
      </c>
      <c r="BR102" s="26">
        <v>0</v>
      </c>
      <c r="BS102" s="26">
        <v>0</v>
      </c>
      <c r="BT102" s="26">
        <v>0</v>
      </c>
      <c r="BU102" s="26">
        <v>0</v>
      </c>
      <c r="BV102" s="26">
        <v>0</v>
      </c>
      <c r="BW102" s="26">
        <v>0</v>
      </c>
      <c r="BX102" s="26">
        <v>0</v>
      </c>
      <c r="BY102" s="2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6300</v>
      </c>
      <c r="CL102" s="6">
        <v>0</v>
      </c>
      <c r="CM102" s="6">
        <v>532926.54545454541</v>
      </c>
      <c r="CN102" s="6">
        <v>9047.6556490909134</v>
      </c>
      <c r="CO102" s="6">
        <v>4280</v>
      </c>
      <c r="CP102" s="6">
        <v>24172.936708860761</v>
      </c>
      <c r="CQ102" s="6">
        <v>0</v>
      </c>
      <c r="CR102" s="6">
        <v>0</v>
      </c>
      <c r="CS102" s="6">
        <v>0</v>
      </c>
      <c r="CT102" s="6">
        <v>37236</v>
      </c>
      <c r="CU102" s="6">
        <v>79832.255727272743</v>
      </c>
      <c r="CV102" s="6">
        <v>0</v>
      </c>
      <c r="CW102" s="6">
        <v>0</v>
      </c>
      <c r="CX102" s="6"/>
      <c r="CY102" s="6">
        <f>VLOOKUP(A102, 'At-Risk updating '!A:E, 5, 0)</f>
        <v>9135</v>
      </c>
      <c r="CZ102" s="6">
        <v>0</v>
      </c>
      <c r="DA102" s="6">
        <v>0</v>
      </c>
      <c r="DB102" s="6">
        <v>0</v>
      </c>
      <c r="DC102" s="6">
        <v>0</v>
      </c>
      <c r="DD102" s="6">
        <v>0</v>
      </c>
      <c r="DE102" s="10">
        <v>0</v>
      </c>
      <c r="DF102" s="6">
        <v>0</v>
      </c>
      <c r="DG102" s="7">
        <v>0</v>
      </c>
      <c r="DH102" s="11">
        <f t="shared" si="0"/>
        <v>5779427.8999034073</v>
      </c>
    </row>
    <row r="103" spans="1:112" ht="15.75" x14ac:dyDescent="0.25">
      <c r="A103" s="4">
        <v>326</v>
      </c>
      <c r="B103" s="4" t="s">
        <v>183</v>
      </c>
      <c r="C103" s="5" t="s">
        <v>201</v>
      </c>
      <c r="D103" s="5">
        <v>2</v>
      </c>
      <c r="E103" s="5">
        <v>307</v>
      </c>
      <c r="F103" s="5">
        <v>132</v>
      </c>
      <c r="G103" s="6">
        <v>171051</v>
      </c>
      <c r="H103" s="6">
        <v>97685</v>
      </c>
      <c r="I103" s="6">
        <v>110512.8</v>
      </c>
      <c r="J103" s="7">
        <v>0</v>
      </c>
      <c r="K103" s="7">
        <v>0</v>
      </c>
      <c r="L103" s="6">
        <v>75970</v>
      </c>
      <c r="M103" s="6">
        <v>55700</v>
      </c>
      <c r="N103" s="6">
        <v>0</v>
      </c>
      <c r="O103" s="6">
        <v>0</v>
      </c>
      <c r="P103" s="6">
        <v>0</v>
      </c>
      <c r="Q103" s="6">
        <v>67656</v>
      </c>
      <c r="R103" s="6">
        <v>51186</v>
      </c>
      <c r="S103" s="8">
        <v>1</v>
      </c>
      <c r="T103" s="6">
        <v>41134</v>
      </c>
      <c r="U103" s="6">
        <v>97685</v>
      </c>
      <c r="V103" s="6">
        <v>97685</v>
      </c>
      <c r="W103" s="6">
        <v>97685</v>
      </c>
      <c r="X103" s="6">
        <v>97685</v>
      </c>
      <c r="Y103" s="6">
        <v>0</v>
      </c>
      <c r="Z103" s="6">
        <v>0</v>
      </c>
      <c r="AA103" s="6">
        <v>0</v>
      </c>
      <c r="AB103" s="6">
        <v>390740</v>
      </c>
      <c r="AC103" s="6">
        <v>115660</v>
      </c>
      <c r="AD103" s="6">
        <v>0</v>
      </c>
      <c r="AE103" s="6">
        <v>0</v>
      </c>
      <c r="AF103" s="6">
        <v>195370</v>
      </c>
      <c r="AG103" s="6">
        <v>57830</v>
      </c>
      <c r="AH103" s="6">
        <v>195370</v>
      </c>
      <c r="AI103" s="6">
        <v>195370</v>
      </c>
      <c r="AJ103" s="6">
        <v>195370</v>
      </c>
      <c r="AK103" s="6">
        <v>195370</v>
      </c>
      <c r="AL103" s="6">
        <v>195370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48842.5</v>
      </c>
      <c r="AW103" s="6">
        <v>48842.5</v>
      </c>
      <c r="AX103" s="6">
        <v>293055</v>
      </c>
      <c r="AY103" s="6">
        <v>0</v>
      </c>
      <c r="AZ103" s="6">
        <v>0</v>
      </c>
      <c r="BA103" s="6">
        <v>586110</v>
      </c>
      <c r="BB103" s="6">
        <v>0</v>
      </c>
      <c r="BC103" s="6">
        <v>97685</v>
      </c>
      <c r="BD103" s="6">
        <v>53370</v>
      </c>
      <c r="BE103" s="6">
        <v>58860</v>
      </c>
      <c r="BF103" s="6">
        <v>7848</v>
      </c>
      <c r="BG103" s="6">
        <v>0</v>
      </c>
      <c r="BH103" s="6">
        <v>115566.19</v>
      </c>
      <c r="BI103" s="6">
        <v>1875.11</v>
      </c>
      <c r="BJ103" s="6">
        <v>7175</v>
      </c>
      <c r="BK103" s="6">
        <v>101560.06446048801</v>
      </c>
      <c r="BL103" s="6"/>
      <c r="BM103" s="6">
        <v>0</v>
      </c>
      <c r="BN103" s="6">
        <v>0</v>
      </c>
      <c r="BO103" s="6">
        <v>0</v>
      </c>
      <c r="BP103" s="6">
        <v>0</v>
      </c>
      <c r="BQ103" s="26">
        <v>0</v>
      </c>
      <c r="BR103" s="26">
        <v>0</v>
      </c>
      <c r="BS103" s="26">
        <v>0</v>
      </c>
      <c r="BT103" s="26">
        <v>0</v>
      </c>
      <c r="BU103" s="26">
        <v>0</v>
      </c>
      <c r="BV103" s="26">
        <v>0</v>
      </c>
      <c r="BW103" s="26">
        <v>0</v>
      </c>
      <c r="BX103" s="26">
        <v>0</v>
      </c>
      <c r="BY103" s="2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2640</v>
      </c>
      <c r="CL103" s="6">
        <v>48960</v>
      </c>
      <c r="CM103" s="6">
        <v>0</v>
      </c>
      <c r="CN103" s="6">
        <v>0</v>
      </c>
      <c r="CO103" s="6">
        <v>0</v>
      </c>
      <c r="CP103" s="6">
        <v>18254.5</v>
      </c>
      <c r="CQ103" s="6">
        <v>0</v>
      </c>
      <c r="CR103" s="6">
        <v>0</v>
      </c>
      <c r="CS103" s="6">
        <v>0</v>
      </c>
      <c r="CT103" s="6">
        <v>26448</v>
      </c>
      <c r="CU103" s="6">
        <v>60347.097966907313</v>
      </c>
      <c r="CV103" s="6">
        <v>0</v>
      </c>
      <c r="CW103" s="6">
        <v>0</v>
      </c>
      <c r="CX103" s="6"/>
      <c r="CY103" s="6">
        <f>VLOOKUP(A103, 'At-Risk updating '!A:E, 5, 0)</f>
        <v>3828</v>
      </c>
      <c r="CZ103" s="6">
        <v>0</v>
      </c>
      <c r="DA103" s="6">
        <v>0</v>
      </c>
      <c r="DB103" s="6">
        <v>0</v>
      </c>
      <c r="DC103" s="6">
        <v>0</v>
      </c>
      <c r="DD103" s="6">
        <v>0</v>
      </c>
      <c r="DE103" s="10">
        <v>0</v>
      </c>
      <c r="DF103" s="6">
        <v>0</v>
      </c>
      <c r="DG103" s="7">
        <v>0</v>
      </c>
      <c r="DH103" s="11">
        <f t="shared" si="0"/>
        <v>4379352.7624273952</v>
      </c>
    </row>
    <row r="104" spans="1:112" ht="15.75" x14ac:dyDescent="0.25">
      <c r="A104" s="4">
        <v>327</v>
      </c>
      <c r="B104" s="4" t="s">
        <v>184</v>
      </c>
      <c r="C104" s="5" t="s">
        <v>203</v>
      </c>
      <c r="D104" s="5">
        <v>4</v>
      </c>
      <c r="E104" s="5">
        <v>727</v>
      </c>
      <c r="F104" s="5">
        <v>466</v>
      </c>
      <c r="G104" s="6">
        <v>171051</v>
      </c>
      <c r="H104" s="6">
        <v>97685</v>
      </c>
      <c r="I104" s="6">
        <v>276282</v>
      </c>
      <c r="J104" s="7">
        <v>97685</v>
      </c>
      <c r="K104" s="7">
        <v>0</v>
      </c>
      <c r="L104" s="6">
        <v>75970</v>
      </c>
      <c r="M104" s="6">
        <v>55700</v>
      </c>
      <c r="N104" s="6">
        <v>72847.8</v>
      </c>
      <c r="O104" s="6">
        <v>0</v>
      </c>
      <c r="P104" s="6">
        <v>0</v>
      </c>
      <c r="Q104" s="6">
        <v>67656</v>
      </c>
      <c r="R104" s="6">
        <v>102372</v>
      </c>
      <c r="S104" s="8">
        <v>1</v>
      </c>
      <c r="T104" s="6">
        <v>41134</v>
      </c>
      <c r="U104" s="6">
        <v>97685</v>
      </c>
      <c r="V104" s="6">
        <v>97685</v>
      </c>
      <c r="W104" s="6">
        <v>97685</v>
      </c>
      <c r="X104" s="6">
        <v>97685</v>
      </c>
      <c r="Y104" s="6">
        <v>146527.5</v>
      </c>
      <c r="Z104" s="6">
        <v>293055</v>
      </c>
      <c r="AA104" s="6">
        <v>86745</v>
      </c>
      <c r="AB104" s="6">
        <v>0</v>
      </c>
      <c r="AC104" s="6">
        <v>0</v>
      </c>
      <c r="AD104" s="6">
        <v>293055</v>
      </c>
      <c r="AE104" s="6">
        <v>86745</v>
      </c>
      <c r="AF104" s="6">
        <v>293055</v>
      </c>
      <c r="AG104" s="6">
        <v>86745</v>
      </c>
      <c r="AH104" s="6">
        <v>293055</v>
      </c>
      <c r="AI104" s="6">
        <v>293055</v>
      </c>
      <c r="AJ104" s="6">
        <v>293055</v>
      </c>
      <c r="AK104" s="6">
        <v>293055</v>
      </c>
      <c r="AL104" s="6">
        <v>293055</v>
      </c>
      <c r="AM104" s="6">
        <v>380971.5</v>
      </c>
      <c r="AN104" s="6">
        <v>234444</v>
      </c>
      <c r="AO104" s="6">
        <v>234444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97685</v>
      </c>
      <c r="AW104" s="6">
        <v>195370</v>
      </c>
      <c r="AX104" s="6">
        <v>683795</v>
      </c>
      <c r="AY104" s="6">
        <v>0</v>
      </c>
      <c r="AZ104" s="6">
        <v>0</v>
      </c>
      <c r="BA104" s="6">
        <v>1269905</v>
      </c>
      <c r="BB104" s="6">
        <v>28915</v>
      </c>
      <c r="BC104" s="6">
        <v>195370</v>
      </c>
      <c r="BD104" s="6">
        <v>47440</v>
      </c>
      <c r="BE104" s="6">
        <v>52320</v>
      </c>
      <c r="BF104" s="6">
        <v>7848</v>
      </c>
      <c r="BG104" s="6">
        <v>0</v>
      </c>
      <c r="BH104" s="6">
        <v>236849.44</v>
      </c>
      <c r="BI104" s="6">
        <v>3842.98</v>
      </c>
      <c r="BJ104" s="6">
        <v>14725</v>
      </c>
      <c r="BK104" s="6">
        <v>0</v>
      </c>
      <c r="BL104" s="6"/>
      <c r="BM104" s="6">
        <v>0</v>
      </c>
      <c r="BN104" s="6">
        <v>0</v>
      </c>
      <c r="BO104" s="6">
        <v>0</v>
      </c>
      <c r="BP104" s="6">
        <v>0</v>
      </c>
      <c r="BQ104" s="26">
        <v>0</v>
      </c>
      <c r="BR104" s="26">
        <v>0</v>
      </c>
      <c r="BS104" s="26">
        <v>0</v>
      </c>
      <c r="BT104" s="26">
        <v>0</v>
      </c>
      <c r="BU104" s="26">
        <v>0</v>
      </c>
      <c r="BV104" s="26">
        <v>0</v>
      </c>
      <c r="BW104" s="26">
        <v>0</v>
      </c>
      <c r="BX104" s="26">
        <v>0</v>
      </c>
      <c r="BY104" s="2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97685</v>
      </c>
      <c r="CE104" s="6">
        <v>195370</v>
      </c>
      <c r="CF104" s="6">
        <v>23000</v>
      </c>
      <c r="CG104" s="6">
        <v>5000</v>
      </c>
      <c r="CH104" s="6">
        <v>100000</v>
      </c>
      <c r="CI104" s="6">
        <v>0</v>
      </c>
      <c r="CJ104" s="6">
        <v>0</v>
      </c>
      <c r="CK104" s="6">
        <v>9320</v>
      </c>
      <c r="CL104" s="6">
        <v>240120</v>
      </c>
      <c r="CM104" s="6">
        <v>0</v>
      </c>
      <c r="CN104" s="6">
        <v>0</v>
      </c>
      <c r="CO104" s="6">
        <v>0</v>
      </c>
      <c r="CP104" s="6">
        <v>40769.840221402214</v>
      </c>
      <c r="CQ104" s="6">
        <v>0</v>
      </c>
      <c r="CR104" s="6">
        <v>0</v>
      </c>
      <c r="CS104" s="6">
        <v>0</v>
      </c>
      <c r="CT104" s="6">
        <v>62901</v>
      </c>
      <c r="CU104" s="6">
        <v>120850.72199999999</v>
      </c>
      <c r="CV104" s="6">
        <v>0</v>
      </c>
      <c r="CW104" s="6">
        <v>0</v>
      </c>
      <c r="CX104" s="6"/>
      <c r="CY104" s="6">
        <f>VLOOKUP(A104, 'At-Risk updating '!A:E, 5, 0)</f>
        <v>13514</v>
      </c>
      <c r="CZ104" s="6">
        <v>0</v>
      </c>
      <c r="DA104" s="6">
        <v>0</v>
      </c>
      <c r="DB104" s="6">
        <v>0</v>
      </c>
      <c r="DC104" s="6">
        <v>0</v>
      </c>
      <c r="DD104" s="6">
        <v>0</v>
      </c>
      <c r="DE104" s="10">
        <v>0</v>
      </c>
      <c r="DF104" s="6">
        <v>0</v>
      </c>
      <c r="DG104" s="7">
        <v>0</v>
      </c>
      <c r="DH104" s="11">
        <f t="shared" si="0"/>
        <v>8792781.7822214011</v>
      </c>
    </row>
    <row r="105" spans="1:112" ht="15.75" x14ac:dyDescent="0.25">
      <c r="A105" s="4">
        <v>328</v>
      </c>
      <c r="B105" s="4" t="s">
        <v>185</v>
      </c>
      <c r="C105" s="5" t="s">
        <v>201</v>
      </c>
      <c r="D105" s="5">
        <v>1</v>
      </c>
      <c r="E105" s="5">
        <v>523</v>
      </c>
      <c r="F105" s="5">
        <v>327</v>
      </c>
      <c r="G105" s="6">
        <v>171051</v>
      </c>
      <c r="H105" s="6">
        <v>97685</v>
      </c>
      <c r="I105" s="6">
        <v>179583.30000000002</v>
      </c>
      <c r="J105" s="7">
        <v>0</v>
      </c>
      <c r="K105" s="7">
        <v>0</v>
      </c>
      <c r="L105" s="6">
        <v>75970</v>
      </c>
      <c r="M105" s="6">
        <v>55700</v>
      </c>
      <c r="N105" s="6">
        <v>52612.3</v>
      </c>
      <c r="O105" s="6">
        <v>0</v>
      </c>
      <c r="P105" s="6">
        <v>0</v>
      </c>
      <c r="Q105" s="6">
        <v>67656</v>
      </c>
      <c r="R105" s="6">
        <v>51186</v>
      </c>
      <c r="S105" s="8">
        <v>3</v>
      </c>
      <c r="T105" s="6">
        <v>123402</v>
      </c>
      <c r="U105" s="6">
        <v>97685</v>
      </c>
      <c r="V105" s="6">
        <v>97685</v>
      </c>
      <c r="W105" s="6">
        <v>97685</v>
      </c>
      <c r="X105" s="6">
        <v>97685</v>
      </c>
      <c r="Y105" s="6">
        <v>146527.5</v>
      </c>
      <c r="Z105" s="6">
        <v>0</v>
      </c>
      <c r="AA105" s="6">
        <v>0</v>
      </c>
      <c r="AB105" s="6">
        <v>390740</v>
      </c>
      <c r="AC105" s="6">
        <v>115660</v>
      </c>
      <c r="AD105" s="6">
        <v>0</v>
      </c>
      <c r="AE105" s="6">
        <v>0</v>
      </c>
      <c r="AF105" s="6">
        <v>293055</v>
      </c>
      <c r="AG105" s="6">
        <v>86745</v>
      </c>
      <c r="AH105" s="6">
        <v>390740</v>
      </c>
      <c r="AI105" s="6">
        <v>390740</v>
      </c>
      <c r="AJ105" s="6">
        <v>293055</v>
      </c>
      <c r="AK105" s="6">
        <v>390740</v>
      </c>
      <c r="AL105" s="6">
        <v>390740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97685</v>
      </c>
      <c r="AW105" s="6">
        <v>195370</v>
      </c>
      <c r="AX105" s="6">
        <v>781480</v>
      </c>
      <c r="AY105" s="6">
        <v>86745</v>
      </c>
      <c r="AZ105" s="6">
        <v>0</v>
      </c>
      <c r="BA105" s="6">
        <v>1074535</v>
      </c>
      <c r="BB105" s="6">
        <v>0</v>
      </c>
      <c r="BC105" s="6">
        <v>195370</v>
      </c>
      <c r="BD105" s="6">
        <v>29650</v>
      </c>
      <c r="BE105" s="6">
        <v>32700</v>
      </c>
      <c r="BF105" s="6">
        <v>7848</v>
      </c>
      <c r="BG105" s="6">
        <v>0</v>
      </c>
      <c r="BH105" s="6">
        <v>220106.63</v>
      </c>
      <c r="BI105" s="6">
        <v>3571.32</v>
      </c>
      <c r="BJ105" s="6">
        <v>13675</v>
      </c>
      <c r="BK105" s="6">
        <v>0</v>
      </c>
      <c r="BL105" s="6"/>
      <c r="BM105" s="6">
        <v>0</v>
      </c>
      <c r="BN105" s="6">
        <v>0</v>
      </c>
      <c r="BO105" s="6">
        <v>0</v>
      </c>
      <c r="BP105" s="6">
        <v>0</v>
      </c>
      <c r="BQ105" s="26">
        <v>0</v>
      </c>
      <c r="BR105" s="26">
        <v>0</v>
      </c>
      <c r="BS105" s="26">
        <v>0</v>
      </c>
      <c r="BT105" s="26">
        <v>0</v>
      </c>
      <c r="BU105" s="26">
        <v>0</v>
      </c>
      <c r="BV105" s="26">
        <v>0</v>
      </c>
      <c r="BW105" s="26">
        <v>0</v>
      </c>
      <c r="BX105" s="26">
        <v>0</v>
      </c>
      <c r="BY105" s="2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122106.25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6540</v>
      </c>
      <c r="CL105" s="6">
        <v>0</v>
      </c>
      <c r="CM105" s="6">
        <v>0</v>
      </c>
      <c r="CN105" s="6">
        <v>0</v>
      </c>
      <c r="CO105" s="6">
        <v>0</v>
      </c>
      <c r="CP105" s="6">
        <v>27499.200000000001</v>
      </c>
      <c r="CQ105" s="6">
        <v>0</v>
      </c>
      <c r="CR105" s="6">
        <v>0</v>
      </c>
      <c r="CS105" s="6">
        <v>0</v>
      </c>
      <c r="CT105" s="6">
        <v>45240</v>
      </c>
      <c r="CU105" s="6">
        <v>98782.696499999991</v>
      </c>
      <c r="CV105" s="6">
        <v>0</v>
      </c>
      <c r="CW105" s="6">
        <v>0</v>
      </c>
      <c r="CX105" s="6"/>
      <c r="CY105" s="6">
        <f>VLOOKUP(A105, 'At-Risk updating '!A:E, 5, 0)</f>
        <v>9483.25</v>
      </c>
      <c r="CZ105" s="6">
        <v>0</v>
      </c>
      <c r="DA105" s="6">
        <v>0</v>
      </c>
      <c r="DB105" s="6">
        <v>0</v>
      </c>
      <c r="DC105" s="6">
        <v>0</v>
      </c>
      <c r="DD105" s="6">
        <v>0</v>
      </c>
      <c r="DE105" s="10">
        <v>0</v>
      </c>
      <c r="DF105" s="6">
        <v>0</v>
      </c>
      <c r="DG105" s="7">
        <v>0</v>
      </c>
      <c r="DH105" s="11">
        <f t="shared" si="0"/>
        <v>7202718.4464999996</v>
      </c>
    </row>
    <row r="106" spans="1:112" ht="15.75" x14ac:dyDescent="0.25">
      <c r="A106" s="4">
        <v>329</v>
      </c>
      <c r="B106" s="4" t="s">
        <v>186</v>
      </c>
      <c r="C106" s="5" t="s">
        <v>201</v>
      </c>
      <c r="D106" s="5">
        <v>8</v>
      </c>
      <c r="E106" s="5">
        <v>517</v>
      </c>
      <c r="F106" s="5">
        <v>447</v>
      </c>
      <c r="G106" s="6">
        <v>171051</v>
      </c>
      <c r="H106" s="6">
        <v>97685</v>
      </c>
      <c r="I106" s="6">
        <v>179583.30000000002</v>
      </c>
      <c r="J106" s="7">
        <v>0</v>
      </c>
      <c r="K106" s="7">
        <v>0</v>
      </c>
      <c r="L106" s="6">
        <v>75970</v>
      </c>
      <c r="M106" s="6">
        <v>55700</v>
      </c>
      <c r="N106" s="6">
        <v>52612.3</v>
      </c>
      <c r="O106" s="6">
        <v>0</v>
      </c>
      <c r="P106" s="6">
        <v>0</v>
      </c>
      <c r="Q106" s="6">
        <v>67656</v>
      </c>
      <c r="R106" s="6">
        <v>51186</v>
      </c>
      <c r="S106" s="8">
        <v>2</v>
      </c>
      <c r="T106" s="6">
        <v>82268</v>
      </c>
      <c r="U106" s="6">
        <v>97685</v>
      </c>
      <c r="V106" s="6">
        <v>97685</v>
      </c>
      <c r="W106" s="6">
        <v>97685</v>
      </c>
      <c r="X106" s="6">
        <v>97685</v>
      </c>
      <c r="Y106" s="6">
        <v>195370</v>
      </c>
      <c r="Z106" s="6">
        <v>195370</v>
      </c>
      <c r="AA106" s="6">
        <v>57830</v>
      </c>
      <c r="AB106" s="6">
        <v>97685</v>
      </c>
      <c r="AC106" s="6">
        <v>28915</v>
      </c>
      <c r="AD106" s="6">
        <v>195370</v>
      </c>
      <c r="AE106" s="6">
        <v>57830</v>
      </c>
      <c r="AF106" s="6">
        <v>390740</v>
      </c>
      <c r="AG106" s="6">
        <v>115660</v>
      </c>
      <c r="AH106" s="6">
        <v>390740</v>
      </c>
      <c r="AI106" s="6">
        <v>293055</v>
      </c>
      <c r="AJ106" s="6">
        <v>293055</v>
      </c>
      <c r="AK106" s="6">
        <v>293055</v>
      </c>
      <c r="AL106" s="6">
        <v>293055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97685</v>
      </c>
      <c r="AW106" s="6">
        <v>146527.5</v>
      </c>
      <c r="AX106" s="6">
        <v>586110</v>
      </c>
      <c r="AY106" s="6">
        <v>57830</v>
      </c>
      <c r="AZ106" s="6">
        <v>0</v>
      </c>
      <c r="BA106" s="6">
        <v>13320.681818181818</v>
      </c>
      <c r="BB106" s="6">
        <v>0</v>
      </c>
      <c r="BC106" s="6">
        <v>0</v>
      </c>
      <c r="BD106" s="6">
        <v>35580</v>
      </c>
      <c r="BE106" s="6">
        <v>39240</v>
      </c>
      <c r="BF106" s="6">
        <v>7848</v>
      </c>
      <c r="BG106" s="6">
        <v>0</v>
      </c>
      <c r="BH106" s="6">
        <v>187846.11</v>
      </c>
      <c r="BI106" s="6">
        <v>3047.88</v>
      </c>
      <c r="BJ106" s="6">
        <v>11675</v>
      </c>
      <c r="BK106" s="6">
        <v>101560.06446048801</v>
      </c>
      <c r="BL106" s="6"/>
      <c r="BM106" s="6">
        <v>0</v>
      </c>
      <c r="BN106" s="6">
        <v>0</v>
      </c>
      <c r="BO106" s="6">
        <v>0</v>
      </c>
      <c r="BP106" s="6">
        <v>0</v>
      </c>
      <c r="BQ106" s="26">
        <v>0</v>
      </c>
      <c r="BR106" s="26">
        <v>0</v>
      </c>
      <c r="BS106" s="26">
        <v>0</v>
      </c>
      <c r="BT106" s="26">
        <v>0</v>
      </c>
      <c r="BU106" s="26">
        <v>0</v>
      </c>
      <c r="BV106" s="26">
        <v>0</v>
      </c>
      <c r="BW106" s="26">
        <v>0</v>
      </c>
      <c r="BX106" s="26">
        <v>0</v>
      </c>
      <c r="BY106" s="2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73263.75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17880</v>
      </c>
      <c r="CL106" s="6">
        <v>0</v>
      </c>
      <c r="CM106" s="6">
        <v>553438.72727272753</v>
      </c>
      <c r="CN106" s="6">
        <v>9653.7110750373686</v>
      </c>
      <c r="CO106" s="6">
        <v>5140</v>
      </c>
      <c r="CP106" s="6">
        <v>27545.018867924529</v>
      </c>
      <c r="CQ106" s="6">
        <v>0</v>
      </c>
      <c r="CR106" s="6">
        <v>0</v>
      </c>
      <c r="CS106" s="6">
        <v>0</v>
      </c>
      <c r="CT106" s="6">
        <v>44718</v>
      </c>
      <c r="CU106" s="6">
        <v>85179.80360327095</v>
      </c>
      <c r="CV106" s="6">
        <v>0</v>
      </c>
      <c r="CW106" s="6">
        <v>0</v>
      </c>
      <c r="CX106" s="6"/>
      <c r="CY106" s="6">
        <f>VLOOKUP(A106, 'At-Risk updating '!A:E, 5, 0)</f>
        <v>46341.561652235105</v>
      </c>
      <c r="CZ106" s="6">
        <v>0</v>
      </c>
      <c r="DA106" s="6">
        <v>0</v>
      </c>
      <c r="DB106" s="6">
        <v>0</v>
      </c>
      <c r="DC106" s="6">
        <v>0</v>
      </c>
      <c r="DD106" s="6">
        <v>0</v>
      </c>
      <c r="DE106" s="10">
        <v>0</v>
      </c>
      <c r="DF106" s="6">
        <v>0</v>
      </c>
      <c r="DG106" s="7">
        <v>0</v>
      </c>
      <c r="DH106" s="11">
        <f t="shared" si="0"/>
        <v>6273614.4087498654</v>
      </c>
    </row>
    <row r="107" spans="1:112" ht="15.75" x14ac:dyDescent="0.25">
      <c r="A107" s="4">
        <v>330</v>
      </c>
      <c r="B107" s="4" t="s">
        <v>187</v>
      </c>
      <c r="C107" s="5" t="s">
        <v>201</v>
      </c>
      <c r="D107" s="5">
        <v>6</v>
      </c>
      <c r="E107" s="5">
        <v>525</v>
      </c>
      <c r="F107" s="5">
        <v>205</v>
      </c>
      <c r="G107" s="6">
        <v>171051</v>
      </c>
      <c r="H107" s="6">
        <v>97685</v>
      </c>
      <c r="I107" s="6">
        <v>179583.30000000002</v>
      </c>
      <c r="J107" s="7">
        <v>0</v>
      </c>
      <c r="K107" s="7">
        <v>0</v>
      </c>
      <c r="L107" s="6">
        <v>75970</v>
      </c>
      <c r="M107" s="6">
        <v>55700</v>
      </c>
      <c r="N107" s="6">
        <v>52612.3</v>
      </c>
      <c r="O107" s="6">
        <v>0</v>
      </c>
      <c r="P107" s="6">
        <v>0</v>
      </c>
      <c r="Q107" s="6">
        <v>67656</v>
      </c>
      <c r="R107" s="6">
        <v>153558</v>
      </c>
      <c r="S107" s="8">
        <v>0</v>
      </c>
      <c r="T107" s="6">
        <v>0</v>
      </c>
      <c r="U107" s="6">
        <v>97685</v>
      </c>
      <c r="V107" s="6">
        <v>97685</v>
      </c>
      <c r="W107" s="6">
        <v>97685</v>
      </c>
      <c r="X107" s="6">
        <v>97685</v>
      </c>
      <c r="Y107" s="6">
        <v>146527.5</v>
      </c>
      <c r="Z107" s="6">
        <v>390740</v>
      </c>
      <c r="AA107" s="6">
        <v>115660</v>
      </c>
      <c r="AB107" s="6">
        <v>0</v>
      </c>
      <c r="AC107" s="6">
        <v>0</v>
      </c>
      <c r="AD107" s="6">
        <v>390740</v>
      </c>
      <c r="AE107" s="6">
        <v>115660</v>
      </c>
      <c r="AF107" s="6">
        <v>390740</v>
      </c>
      <c r="AG107" s="6">
        <v>115660</v>
      </c>
      <c r="AH107" s="6">
        <v>390740</v>
      </c>
      <c r="AI107" s="6">
        <v>293055</v>
      </c>
      <c r="AJ107" s="6">
        <v>293055</v>
      </c>
      <c r="AK107" s="6">
        <v>293055</v>
      </c>
      <c r="AL107" s="6">
        <v>293055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97685</v>
      </c>
      <c r="AW107" s="6">
        <v>97685</v>
      </c>
      <c r="AX107" s="6">
        <v>879165</v>
      </c>
      <c r="AY107" s="6">
        <v>260235</v>
      </c>
      <c r="AZ107" s="6">
        <v>0</v>
      </c>
      <c r="BA107" s="6">
        <v>48842.5</v>
      </c>
      <c r="BB107" s="6">
        <v>0</v>
      </c>
      <c r="BC107" s="6">
        <v>0</v>
      </c>
      <c r="BD107" s="6">
        <v>29650</v>
      </c>
      <c r="BE107" s="6">
        <v>32700</v>
      </c>
      <c r="BF107" s="6">
        <v>7848</v>
      </c>
      <c r="BG107" s="6">
        <v>0</v>
      </c>
      <c r="BH107" s="6">
        <v>209489.24</v>
      </c>
      <c r="BI107" s="6">
        <v>3399.05</v>
      </c>
      <c r="BJ107" s="6">
        <v>13025</v>
      </c>
      <c r="BK107" s="6">
        <v>0</v>
      </c>
      <c r="BL107" s="6"/>
      <c r="BM107" s="6">
        <v>0</v>
      </c>
      <c r="BN107" s="6">
        <v>0</v>
      </c>
      <c r="BO107" s="6">
        <v>0</v>
      </c>
      <c r="BP107" s="6">
        <v>0</v>
      </c>
      <c r="BQ107" s="26">
        <v>0</v>
      </c>
      <c r="BR107" s="26">
        <v>0</v>
      </c>
      <c r="BS107" s="26">
        <v>0</v>
      </c>
      <c r="BT107" s="26">
        <v>0</v>
      </c>
      <c r="BU107" s="26">
        <v>0</v>
      </c>
      <c r="BV107" s="26">
        <v>0</v>
      </c>
      <c r="BW107" s="26">
        <v>0</v>
      </c>
      <c r="BX107" s="26">
        <v>0</v>
      </c>
      <c r="BY107" s="2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4100</v>
      </c>
      <c r="CL107" s="6">
        <v>0</v>
      </c>
      <c r="CM107" s="6">
        <v>0</v>
      </c>
      <c r="CN107" s="6">
        <v>0</v>
      </c>
      <c r="CO107" s="6">
        <v>0</v>
      </c>
      <c r="CP107" s="6">
        <v>27339.851063829788</v>
      </c>
      <c r="CQ107" s="6">
        <v>0</v>
      </c>
      <c r="CR107" s="6">
        <v>0</v>
      </c>
      <c r="CS107" s="6">
        <v>0</v>
      </c>
      <c r="CT107" s="6">
        <v>45414</v>
      </c>
      <c r="CU107" s="6">
        <v>87852.833999999988</v>
      </c>
      <c r="CV107" s="6">
        <v>0</v>
      </c>
      <c r="CW107" s="6">
        <v>0</v>
      </c>
      <c r="CX107" s="6"/>
      <c r="CY107" s="6">
        <f>VLOOKUP(A107, 'At-Risk updating '!A:E, 5, 0)</f>
        <v>26188</v>
      </c>
      <c r="CZ107" s="6">
        <v>0</v>
      </c>
      <c r="DA107" s="6">
        <v>0</v>
      </c>
      <c r="DB107" s="6">
        <v>0</v>
      </c>
      <c r="DC107" s="6">
        <v>0</v>
      </c>
      <c r="DD107" s="6">
        <v>0</v>
      </c>
      <c r="DE107" s="10">
        <v>0</v>
      </c>
      <c r="DF107" s="6">
        <v>0</v>
      </c>
      <c r="DG107" s="7">
        <v>0</v>
      </c>
      <c r="DH107" s="11">
        <f t="shared" si="0"/>
        <v>6343861.5750638293</v>
      </c>
    </row>
    <row r="108" spans="1:112" ht="15.75" x14ac:dyDescent="0.25">
      <c r="A108" s="4">
        <v>331</v>
      </c>
      <c r="B108" s="4" t="s">
        <v>188</v>
      </c>
      <c r="C108" s="5" t="s">
        <v>201</v>
      </c>
      <c r="D108" s="5">
        <v>6</v>
      </c>
      <c r="E108" s="5">
        <v>220</v>
      </c>
      <c r="F108" s="5">
        <v>49</v>
      </c>
      <c r="G108" s="6">
        <v>171051</v>
      </c>
      <c r="H108" s="6">
        <v>97685</v>
      </c>
      <c r="I108" s="6">
        <v>0</v>
      </c>
      <c r="J108" s="7">
        <v>0</v>
      </c>
      <c r="K108" s="7">
        <v>0</v>
      </c>
      <c r="L108" s="6">
        <v>37985</v>
      </c>
      <c r="M108" s="6">
        <v>55700</v>
      </c>
      <c r="N108" s="6">
        <v>0</v>
      </c>
      <c r="O108" s="6">
        <v>0</v>
      </c>
      <c r="P108" s="6">
        <v>0</v>
      </c>
      <c r="Q108" s="6">
        <v>67656</v>
      </c>
      <c r="R108" s="6">
        <v>51186</v>
      </c>
      <c r="S108" s="8">
        <v>1</v>
      </c>
      <c r="T108" s="6">
        <v>41134</v>
      </c>
      <c r="U108" s="6">
        <v>48842.5</v>
      </c>
      <c r="V108" s="6">
        <v>97685</v>
      </c>
      <c r="W108" s="6">
        <v>97685</v>
      </c>
      <c r="X108" s="6">
        <v>97685</v>
      </c>
      <c r="Y108" s="6">
        <v>0</v>
      </c>
      <c r="Z108" s="6">
        <v>195370</v>
      </c>
      <c r="AA108" s="6">
        <v>57830</v>
      </c>
      <c r="AB108" s="6">
        <v>97685</v>
      </c>
      <c r="AC108" s="6">
        <v>28915</v>
      </c>
      <c r="AD108" s="6">
        <v>195370</v>
      </c>
      <c r="AE108" s="6">
        <v>57830</v>
      </c>
      <c r="AF108" s="6">
        <v>195370</v>
      </c>
      <c r="AG108" s="6">
        <v>57830</v>
      </c>
      <c r="AH108" s="6">
        <v>195370</v>
      </c>
      <c r="AI108" s="6">
        <v>195370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97685</v>
      </c>
      <c r="AW108" s="6">
        <v>97685</v>
      </c>
      <c r="AX108" s="6">
        <v>195370</v>
      </c>
      <c r="AY108" s="6">
        <v>0</v>
      </c>
      <c r="AZ108" s="6">
        <v>45222</v>
      </c>
      <c r="BA108" s="6">
        <v>4440.227272727273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4275</v>
      </c>
      <c r="BK108" s="6">
        <v>0</v>
      </c>
      <c r="BL108" s="6"/>
      <c r="BM108" s="6">
        <v>0</v>
      </c>
      <c r="BN108" s="6">
        <v>0</v>
      </c>
      <c r="BO108" s="6">
        <v>0</v>
      </c>
      <c r="BP108" s="6">
        <v>0</v>
      </c>
      <c r="BQ108" s="26">
        <v>0</v>
      </c>
      <c r="BR108" s="26">
        <v>0</v>
      </c>
      <c r="BS108" s="26">
        <v>0</v>
      </c>
      <c r="BT108" s="26">
        <v>0</v>
      </c>
      <c r="BU108" s="26">
        <v>0</v>
      </c>
      <c r="BV108" s="26">
        <v>0</v>
      </c>
      <c r="BW108" s="26">
        <v>0</v>
      </c>
      <c r="BX108" s="26">
        <v>0</v>
      </c>
      <c r="BY108" s="2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13792.864</v>
      </c>
      <c r="CQ108" s="6">
        <v>0</v>
      </c>
      <c r="CR108" s="6">
        <v>0</v>
      </c>
      <c r="CS108" s="6">
        <v>0</v>
      </c>
      <c r="CT108" s="6">
        <v>19140</v>
      </c>
      <c r="CU108" s="6">
        <v>38724.550909090904</v>
      </c>
      <c r="CV108" s="6">
        <v>0</v>
      </c>
      <c r="CW108" s="6">
        <v>0</v>
      </c>
      <c r="CX108" s="6"/>
      <c r="CY108" s="6">
        <f>VLOOKUP(A108, 'At-Risk updating '!A:E, 5, 0)</f>
        <v>36940.5</v>
      </c>
      <c r="CZ108" s="6">
        <v>0</v>
      </c>
      <c r="DA108" s="6">
        <v>0</v>
      </c>
      <c r="DB108" s="6">
        <v>0</v>
      </c>
      <c r="DC108" s="6">
        <v>0</v>
      </c>
      <c r="DD108" s="6">
        <v>0</v>
      </c>
      <c r="DE108" s="10">
        <v>0</v>
      </c>
      <c r="DF108" s="6">
        <v>0</v>
      </c>
      <c r="DG108" s="7">
        <v>0</v>
      </c>
      <c r="DH108" s="11">
        <f t="shared" si="0"/>
        <v>2694510.6421818179</v>
      </c>
    </row>
    <row r="109" spans="1:112" ht="15.75" x14ac:dyDescent="0.25">
      <c r="A109" s="4">
        <v>332</v>
      </c>
      <c r="B109" s="4" t="s">
        <v>189</v>
      </c>
      <c r="C109" s="5" t="s">
        <v>203</v>
      </c>
      <c r="D109" s="5">
        <v>6</v>
      </c>
      <c r="E109" s="5">
        <v>480</v>
      </c>
      <c r="F109" s="5">
        <v>385</v>
      </c>
      <c r="G109" s="6">
        <v>171051</v>
      </c>
      <c r="H109" s="6">
        <v>97685</v>
      </c>
      <c r="I109" s="6">
        <v>179583.30000000002</v>
      </c>
      <c r="J109" s="7">
        <v>97685</v>
      </c>
      <c r="K109" s="7">
        <v>0</v>
      </c>
      <c r="L109" s="6">
        <v>75970</v>
      </c>
      <c r="M109" s="6">
        <v>55700</v>
      </c>
      <c r="N109" s="6">
        <v>48565.2</v>
      </c>
      <c r="O109" s="6">
        <v>0</v>
      </c>
      <c r="P109" s="6">
        <v>0</v>
      </c>
      <c r="Q109" s="6">
        <v>67656</v>
      </c>
      <c r="R109" s="6">
        <v>51186</v>
      </c>
      <c r="S109" s="8">
        <v>2</v>
      </c>
      <c r="T109" s="6">
        <v>82268</v>
      </c>
      <c r="U109" s="6">
        <v>97685</v>
      </c>
      <c r="V109" s="6">
        <v>97685</v>
      </c>
      <c r="W109" s="6">
        <v>97685</v>
      </c>
      <c r="X109" s="6">
        <v>97685</v>
      </c>
      <c r="Y109" s="6">
        <v>0</v>
      </c>
      <c r="Z109" s="6">
        <v>195370</v>
      </c>
      <c r="AA109" s="6">
        <v>57830</v>
      </c>
      <c r="AB109" s="6">
        <v>97685</v>
      </c>
      <c r="AC109" s="6">
        <v>28915</v>
      </c>
      <c r="AD109" s="6">
        <v>195370</v>
      </c>
      <c r="AE109" s="6">
        <v>57830</v>
      </c>
      <c r="AF109" s="6">
        <v>293055</v>
      </c>
      <c r="AG109" s="6">
        <v>86745</v>
      </c>
      <c r="AH109" s="6">
        <v>293055</v>
      </c>
      <c r="AI109" s="6">
        <v>195370</v>
      </c>
      <c r="AJ109" s="6">
        <v>195370</v>
      </c>
      <c r="AK109" s="6">
        <v>195370</v>
      </c>
      <c r="AL109" s="6">
        <v>195370</v>
      </c>
      <c r="AM109" s="6">
        <v>146527.5</v>
      </c>
      <c r="AN109" s="6">
        <v>117222</v>
      </c>
      <c r="AO109" s="6">
        <v>146527.5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97685</v>
      </c>
      <c r="AW109" s="6">
        <v>195370</v>
      </c>
      <c r="AX109" s="6">
        <v>1074535</v>
      </c>
      <c r="AY109" s="6">
        <v>173490</v>
      </c>
      <c r="AZ109" s="6">
        <v>0</v>
      </c>
      <c r="BA109" s="6">
        <v>39962.045454545456</v>
      </c>
      <c r="BB109" s="6">
        <v>0</v>
      </c>
      <c r="BC109" s="6">
        <v>0</v>
      </c>
      <c r="BD109" s="6">
        <v>41510</v>
      </c>
      <c r="BE109" s="6">
        <v>45780</v>
      </c>
      <c r="BF109" s="6">
        <v>7848</v>
      </c>
      <c r="BG109" s="6">
        <v>0</v>
      </c>
      <c r="BH109" s="6">
        <v>183354.13</v>
      </c>
      <c r="BI109" s="6">
        <v>2975</v>
      </c>
      <c r="BJ109" s="6">
        <v>11400</v>
      </c>
      <c r="BK109" s="6">
        <v>0</v>
      </c>
      <c r="BL109" s="6"/>
      <c r="BM109" s="6">
        <v>0</v>
      </c>
      <c r="BN109" s="6">
        <v>0</v>
      </c>
      <c r="BO109" s="6">
        <v>0</v>
      </c>
      <c r="BP109" s="6">
        <v>0</v>
      </c>
      <c r="BQ109" s="26">
        <v>0</v>
      </c>
      <c r="BR109" s="26">
        <v>0</v>
      </c>
      <c r="BS109" s="26">
        <v>0</v>
      </c>
      <c r="BT109" s="26">
        <v>0</v>
      </c>
      <c r="BU109" s="26">
        <v>0</v>
      </c>
      <c r="BV109" s="26">
        <v>0</v>
      </c>
      <c r="BW109" s="26">
        <v>0</v>
      </c>
      <c r="BX109" s="26">
        <v>0</v>
      </c>
      <c r="BY109" s="2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195370</v>
      </c>
      <c r="CF109" s="6">
        <v>23000</v>
      </c>
      <c r="CG109" s="6">
        <v>5000</v>
      </c>
      <c r="CH109" s="6">
        <v>100000</v>
      </c>
      <c r="CI109" s="6">
        <v>0</v>
      </c>
      <c r="CJ109" s="6">
        <v>0</v>
      </c>
      <c r="CK109" s="6">
        <v>15400</v>
      </c>
      <c r="CL109" s="6">
        <v>0</v>
      </c>
      <c r="CM109" s="6">
        <v>0</v>
      </c>
      <c r="CN109" s="6">
        <v>0</v>
      </c>
      <c r="CO109" s="6">
        <v>0</v>
      </c>
      <c r="CP109" s="6">
        <v>27492.885714285716</v>
      </c>
      <c r="CQ109" s="6">
        <v>0</v>
      </c>
      <c r="CR109" s="6">
        <v>0</v>
      </c>
      <c r="CS109" s="6">
        <v>0</v>
      </c>
      <c r="CT109" s="6">
        <v>41586</v>
      </c>
      <c r="CU109" s="6">
        <v>85381.703181818186</v>
      </c>
      <c r="CV109" s="6">
        <v>0</v>
      </c>
      <c r="CW109" s="6">
        <v>0</v>
      </c>
      <c r="CX109" s="6"/>
      <c r="CY109" s="6">
        <f>VLOOKUP(A109, 'At-Risk updating '!A:E, 5, 0)</f>
        <v>57007.400000000023</v>
      </c>
      <c r="CZ109" s="6">
        <v>0</v>
      </c>
      <c r="DA109" s="6">
        <v>0</v>
      </c>
      <c r="DB109" s="6">
        <v>0</v>
      </c>
      <c r="DC109" s="6">
        <v>0</v>
      </c>
      <c r="DD109" s="6">
        <v>0</v>
      </c>
      <c r="DE109" s="10">
        <v>0</v>
      </c>
      <c r="DF109" s="6">
        <v>0</v>
      </c>
      <c r="DG109" s="7">
        <v>0</v>
      </c>
      <c r="DH109" s="11">
        <f t="shared" si="0"/>
        <v>6239850.6643506503</v>
      </c>
    </row>
    <row r="110" spans="1:112" ht="15.75" x14ac:dyDescent="0.25">
      <c r="A110" s="4">
        <v>474</v>
      </c>
      <c r="B110" s="4" t="s">
        <v>190</v>
      </c>
      <c r="C110" s="5" t="s">
        <v>191</v>
      </c>
      <c r="D110" s="5">
        <v>1</v>
      </c>
      <c r="E110" s="5">
        <v>270</v>
      </c>
      <c r="F110" s="5">
        <v>0</v>
      </c>
      <c r="G110" s="6">
        <v>85525.5</v>
      </c>
      <c r="H110" s="6">
        <v>97685</v>
      </c>
      <c r="I110" s="6">
        <v>138141</v>
      </c>
      <c r="J110" s="7">
        <v>0</v>
      </c>
      <c r="K110" s="7">
        <v>122728.1</v>
      </c>
      <c r="L110" s="6">
        <v>37985</v>
      </c>
      <c r="M110" s="6">
        <v>55700</v>
      </c>
      <c r="N110" s="6">
        <v>0</v>
      </c>
      <c r="O110" s="6">
        <v>47542</v>
      </c>
      <c r="P110" s="7">
        <v>175461</v>
      </c>
      <c r="Q110" s="6">
        <v>33828</v>
      </c>
      <c r="R110" s="6">
        <v>51186</v>
      </c>
      <c r="S110" s="8">
        <v>2</v>
      </c>
      <c r="T110" s="6">
        <v>82268</v>
      </c>
      <c r="U110" s="6">
        <v>48842.5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244212.5</v>
      </c>
      <c r="AP110" s="6">
        <v>205138.5</v>
      </c>
      <c r="AQ110" s="6">
        <v>117222</v>
      </c>
      <c r="AR110" s="6">
        <v>166064.5</v>
      </c>
      <c r="AS110" s="6">
        <v>97685</v>
      </c>
      <c r="AT110" s="6">
        <v>0</v>
      </c>
      <c r="AU110" s="6">
        <v>0</v>
      </c>
      <c r="AV110" s="6">
        <v>48842.5</v>
      </c>
      <c r="AW110" s="6">
        <v>195370</v>
      </c>
      <c r="AX110" s="6">
        <v>586110</v>
      </c>
      <c r="AY110" s="6">
        <v>57830</v>
      </c>
      <c r="AZ110" s="6">
        <v>45222</v>
      </c>
      <c r="BA110" s="6">
        <v>4440.227272727273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48552</v>
      </c>
      <c r="BH110" s="6">
        <v>61254.16</v>
      </c>
      <c r="BI110" s="6">
        <v>993.87</v>
      </c>
      <c r="BJ110" s="6">
        <v>3800</v>
      </c>
      <c r="BK110" s="6">
        <v>0</v>
      </c>
      <c r="BL110" s="6"/>
      <c r="BM110" s="6">
        <v>0</v>
      </c>
      <c r="BN110" s="6">
        <v>0</v>
      </c>
      <c r="BO110" s="6">
        <v>0</v>
      </c>
      <c r="BP110" s="6">
        <v>97685</v>
      </c>
      <c r="BQ110" s="26">
        <v>0</v>
      </c>
      <c r="BR110" s="26">
        <v>0</v>
      </c>
      <c r="BS110" s="26">
        <v>0</v>
      </c>
      <c r="BT110" s="26">
        <v>0</v>
      </c>
      <c r="BU110" s="26">
        <v>0</v>
      </c>
      <c r="BV110" s="26">
        <v>0</v>
      </c>
      <c r="BW110" s="26">
        <v>0</v>
      </c>
      <c r="BX110" s="26">
        <v>0</v>
      </c>
      <c r="BY110" s="2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12240</v>
      </c>
      <c r="CK110" s="6">
        <v>0</v>
      </c>
      <c r="CL110" s="6">
        <v>0</v>
      </c>
      <c r="CM110" s="6">
        <v>0</v>
      </c>
      <c r="CN110" s="6" t="b">
        <v>0</v>
      </c>
      <c r="CO110" s="6" t="b">
        <v>0</v>
      </c>
      <c r="CP110" s="6">
        <v>24195.75</v>
      </c>
      <c r="CQ110" s="28">
        <v>99451</v>
      </c>
      <c r="CR110" s="28">
        <v>150000</v>
      </c>
      <c r="CS110" s="6">
        <v>0</v>
      </c>
      <c r="CT110" s="6">
        <v>17400</v>
      </c>
      <c r="CU110" s="6">
        <v>42667.204909090906</v>
      </c>
      <c r="CV110" s="6">
        <v>0</v>
      </c>
      <c r="CW110" s="6">
        <v>0</v>
      </c>
      <c r="CX110" s="6"/>
      <c r="CY110" s="6">
        <f>VLOOKUP(A110, 'At-Risk updating '!A:E, 5, 0)</f>
        <v>0</v>
      </c>
      <c r="CZ110" s="6">
        <v>0</v>
      </c>
      <c r="DA110" s="6">
        <v>0</v>
      </c>
      <c r="DB110" s="6">
        <v>0</v>
      </c>
      <c r="DC110" s="6">
        <v>0</v>
      </c>
      <c r="DD110" s="6">
        <v>0</v>
      </c>
      <c r="DE110" s="10">
        <v>0</v>
      </c>
      <c r="DF110" s="6">
        <v>0</v>
      </c>
      <c r="DG110" s="7">
        <v>115831.46781818196</v>
      </c>
      <c r="DH110" s="11">
        <f t="shared" si="0"/>
        <v>3419101.7800000003</v>
      </c>
    </row>
    <row r="111" spans="1:112" ht="15.75" x14ac:dyDescent="0.25">
      <c r="A111" s="4">
        <v>333</v>
      </c>
      <c r="B111" s="4" t="s">
        <v>192</v>
      </c>
      <c r="C111" s="5" t="s">
        <v>201</v>
      </c>
      <c r="D111" s="5">
        <v>6</v>
      </c>
      <c r="E111" s="5">
        <v>426</v>
      </c>
      <c r="F111" s="5">
        <v>118</v>
      </c>
      <c r="G111" s="6">
        <v>171051</v>
      </c>
      <c r="H111" s="6">
        <v>97685</v>
      </c>
      <c r="I111" s="6">
        <v>151955.1</v>
      </c>
      <c r="J111" s="7">
        <v>0</v>
      </c>
      <c r="K111" s="7">
        <v>0</v>
      </c>
      <c r="L111" s="6">
        <v>75970</v>
      </c>
      <c r="M111" s="6">
        <v>55700</v>
      </c>
      <c r="N111" s="6">
        <v>44518.100000000006</v>
      </c>
      <c r="O111" s="6">
        <v>0</v>
      </c>
      <c r="P111" s="6">
        <v>0</v>
      </c>
      <c r="Q111" s="6">
        <v>67656</v>
      </c>
      <c r="R111" s="6">
        <v>153558</v>
      </c>
      <c r="S111" s="8">
        <v>0</v>
      </c>
      <c r="T111" s="6">
        <v>0</v>
      </c>
      <c r="U111" s="6">
        <v>97685</v>
      </c>
      <c r="V111" s="6">
        <v>97685</v>
      </c>
      <c r="W111" s="6">
        <v>97685</v>
      </c>
      <c r="X111" s="6">
        <v>97685</v>
      </c>
      <c r="Y111" s="6">
        <v>146527.5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390740</v>
      </c>
      <c r="AI111" s="6">
        <v>390740</v>
      </c>
      <c r="AJ111" s="6">
        <v>390740</v>
      </c>
      <c r="AK111" s="6">
        <v>390740</v>
      </c>
      <c r="AL111" s="6">
        <v>390740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48842.5</v>
      </c>
      <c r="AW111" s="6">
        <v>195370</v>
      </c>
      <c r="AX111" s="6">
        <v>293055</v>
      </c>
      <c r="AY111" s="6">
        <v>0</v>
      </c>
      <c r="AZ111" s="6">
        <v>0</v>
      </c>
      <c r="BA111" s="6">
        <v>31081.590909090908</v>
      </c>
      <c r="BB111" s="6">
        <v>0</v>
      </c>
      <c r="BC111" s="6">
        <v>0</v>
      </c>
      <c r="BD111" s="6">
        <v>47440</v>
      </c>
      <c r="BE111" s="6">
        <v>52320</v>
      </c>
      <c r="BF111" s="6">
        <v>7848</v>
      </c>
      <c r="BG111" s="6">
        <v>0</v>
      </c>
      <c r="BH111" s="6">
        <v>0</v>
      </c>
      <c r="BI111" s="6">
        <v>0</v>
      </c>
      <c r="BJ111" s="6">
        <v>10875</v>
      </c>
      <c r="BK111" s="6">
        <v>0</v>
      </c>
      <c r="BL111" s="6"/>
      <c r="BM111" s="6">
        <v>0</v>
      </c>
      <c r="BN111" s="6">
        <v>0</v>
      </c>
      <c r="BO111" s="6">
        <v>0</v>
      </c>
      <c r="BP111" s="6">
        <v>0</v>
      </c>
      <c r="BQ111" s="26">
        <v>0</v>
      </c>
      <c r="BR111" s="26">
        <v>0</v>
      </c>
      <c r="BS111" s="26">
        <v>0</v>
      </c>
      <c r="BT111" s="26">
        <v>0</v>
      </c>
      <c r="BU111" s="26">
        <v>0</v>
      </c>
      <c r="BV111" s="26">
        <v>0</v>
      </c>
      <c r="BW111" s="26">
        <v>0</v>
      </c>
      <c r="BX111" s="26">
        <v>0</v>
      </c>
      <c r="BY111" s="2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2360</v>
      </c>
      <c r="CL111" s="6">
        <v>0</v>
      </c>
      <c r="CM111" s="6">
        <v>0</v>
      </c>
      <c r="CN111" s="6">
        <v>0</v>
      </c>
      <c r="CO111" s="6">
        <v>0</v>
      </c>
      <c r="CP111" s="6">
        <v>22554.827938671209</v>
      </c>
      <c r="CQ111" s="6">
        <v>0</v>
      </c>
      <c r="CR111" s="6">
        <v>0</v>
      </c>
      <c r="CS111" s="6">
        <v>0</v>
      </c>
      <c r="CT111" s="6">
        <v>36888</v>
      </c>
      <c r="CU111" s="6">
        <v>58161.146863636364</v>
      </c>
      <c r="CV111" s="6">
        <v>0</v>
      </c>
      <c r="CW111" s="6">
        <v>0</v>
      </c>
      <c r="CX111" s="6"/>
      <c r="CY111" s="6">
        <f>VLOOKUP(A111, 'At-Risk updating '!A:E, 5, 0)</f>
        <v>3422</v>
      </c>
      <c r="CZ111" s="6">
        <v>0</v>
      </c>
      <c r="DA111" s="6">
        <v>0</v>
      </c>
      <c r="DB111" s="6">
        <v>0</v>
      </c>
      <c r="DC111" s="6">
        <v>0</v>
      </c>
      <c r="DD111" s="6">
        <v>0</v>
      </c>
      <c r="DE111" s="10">
        <v>0</v>
      </c>
      <c r="DF111" s="6">
        <v>0</v>
      </c>
      <c r="DG111" s="7">
        <v>43566.243788600899</v>
      </c>
      <c r="DH111" s="11">
        <f t="shared" si="0"/>
        <v>4162845.0094999997</v>
      </c>
    </row>
    <row r="112" spans="1:112" ht="15.75" x14ac:dyDescent="0.25">
      <c r="A112" s="4">
        <v>336</v>
      </c>
      <c r="B112" s="4" t="s">
        <v>193</v>
      </c>
      <c r="C112" s="5" t="s">
        <v>203</v>
      </c>
      <c r="D112" s="5">
        <v>4</v>
      </c>
      <c r="E112" s="5">
        <v>347</v>
      </c>
      <c r="F112" s="5">
        <v>168</v>
      </c>
      <c r="G112" s="6">
        <v>171051</v>
      </c>
      <c r="H112" s="6">
        <v>97685</v>
      </c>
      <c r="I112" s="6">
        <v>27628.2</v>
      </c>
      <c r="J112" s="7">
        <v>97685</v>
      </c>
      <c r="K112" s="7">
        <v>0</v>
      </c>
      <c r="L112" s="6">
        <v>75970</v>
      </c>
      <c r="M112" s="6">
        <v>55700</v>
      </c>
      <c r="N112" s="6">
        <v>0</v>
      </c>
      <c r="O112" s="6">
        <v>0</v>
      </c>
      <c r="P112" s="6">
        <v>0</v>
      </c>
      <c r="Q112" s="6">
        <v>67656</v>
      </c>
      <c r="R112" s="6">
        <v>51186</v>
      </c>
      <c r="S112" s="8">
        <v>1</v>
      </c>
      <c r="T112" s="6">
        <v>41134</v>
      </c>
      <c r="U112" s="6">
        <v>97685</v>
      </c>
      <c r="V112" s="6">
        <v>97685</v>
      </c>
      <c r="W112" s="6">
        <v>97685</v>
      </c>
      <c r="X112" s="6">
        <v>97685</v>
      </c>
      <c r="Y112" s="6">
        <v>0</v>
      </c>
      <c r="Z112" s="6">
        <v>195370</v>
      </c>
      <c r="AA112" s="6">
        <v>57830</v>
      </c>
      <c r="AB112" s="6">
        <v>0</v>
      </c>
      <c r="AC112" s="6">
        <v>0</v>
      </c>
      <c r="AD112" s="6">
        <v>195370</v>
      </c>
      <c r="AE112" s="6">
        <v>57830</v>
      </c>
      <c r="AF112" s="6">
        <v>195370</v>
      </c>
      <c r="AG112" s="6">
        <v>57830</v>
      </c>
      <c r="AH112" s="6">
        <v>195370</v>
      </c>
      <c r="AI112" s="6">
        <v>195370</v>
      </c>
      <c r="AJ112" s="6">
        <v>195370</v>
      </c>
      <c r="AK112" s="6">
        <v>195370</v>
      </c>
      <c r="AL112" s="6">
        <v>195370</v>
      </c>
      <c r="AM112" s="6">
        <v>117222</v>
      </c>
      <c r="AN112" s="6">
        <v>48842.5</v>
      </c>
      <c r="AO112" s="6">
        <v>87916.5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48842.5</v>
      </c>
      <c r="AW112" s="6">
        <v>97685</v>
      </c>
      <c r="AX112" s="6">
        <v>390740</v>
      </c>
      <c r="AY112" s="6">
        <v>0</v>
      </c>
      <c r="AZ112" s="6">
        <v>0</v>
      </c>
      <c r="BA112" s="6">
        <v>293055</v>
      </c>
      <c r="BB112" s="6">
        <v>0</v>
      </c>
      <c r="BC112" s="6">
        <v>0</v>
      </c>
      <c r="BD112" s="6">
        <v>29650</v>
      </c>
      <c r="BE112" s="6">
        <v>32700</v>
      </c>
      <c r="BF112" s="6">
        <v>7848</v>
      </c>
      <c r="BG112" s="6">
        <v>0</v>
      </c>
      <c r="BH112" s="6">
        <v>121691.61</v>
      </c>
      <c r="BI112" s="6">
        <v>1974.5</v>
      </c>
      <c r="BJ112" s="6">
        <v>7575</v>
      </c>
      <c r="BK112" s="6">
        <v>0</v>
      </c>
      <c r="BL112" s="6"/>
      <c r="BM112" s="6">
        <v>97685</v>
      </c>
      <c r="BN112" s="6">
        <v>0</v>
      </c>
      <c r="BO112" s="6">
        <v>0</v>
      </c>
      <c r="BP112" s="6">
        <v>0</v>
      </c>
      <c r="BQ112" s="26">
        <v>0</v>
      </c>
      <c r="BR112" s="26">
        <v>0</v>
      </c>
      <c r="BS112" s="26">
        <v>0</v>
      </c>
      <c r="BT112" s="26">
        <v>0</v>
      </c>
      <c r="BU112" s="26">
        <v>0</v>
      </c>
      <c r="BV112" s="26">
        <v>0</v>
      </c>
      <c r="BW112" s="26">
        <v>0</v>
      </c>
      <c r="BX112" s="26">
        <v>0</v>
      </c>
      <c r="BY112" s="2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195370</v>
      </c>
      <c r="CF112" s="6">
        <v>23000</v>
      </c>
      <c r="CG112" s="6">
        <v>5000</v>
      </c>
      <c r="CH112" s="6">
        <v>100000</v>
      </c>
      <c r="CI112" s="6">
        <v>0</v>
      </c>
      <c r="CJ112" s="6">
        <v>0</v>
      </c>
      <c r="CK112" s="6">
        <v>3360</v>
      </c>
      <c r="CL112" s="6">
        <v>0</v>
      </c>
      <c r="CM112" s="6">
        <v>0</v>
      </c>
      <c r="CN112" s="6">
        <v>0</v>
      </c>
      <c r="CO112" s="6">
        <v>0</v>
      </c>
      <c r="CP112" s="6">
        <v>22170.987050359712</v>
      </c>
      <c r="CQ112" s="6">
        <v>0</v>
      </c>
      <c r="CR112" s="6">
        <v>0</v>
      </c>
      <c r="CS112" s="6">
        <v>0</v>
      </c>
      <c r="CT112" s="6">
        <v>29928</v>
      </c>
      <c r="CU112" s="6">
        <v>64353.655500000001</v>
      </c>
      <c r="CV112" s="6">
        <v>0</v>
      </c>
      <c r="CW112" s="6">
        <v>0</v>
      </c>
      <c r="CX112" s="6"/>
      <c r="CY112" s="6">
        <f>VLOOKUP(A112, 'At-Risk updating '!A:E, 5, 0)</f>
        <v>26713.200000000012</v>
      </c>
      <c r="CZ112" s="6">
        <v>0</v>
      </c>
      <c r="DA112" s="6">
        <v>0</v>
      </c>
      <c r="DB112" s="6">
        <v>0</v>
      </c>
      <c r="DC112" s="6">
        <v>0</v>
      </c>
      <c r="DD112" s="6">
        <v>0</v>
      </c>
      <c r="DE112" s="10">
        <v>0</v>
      </c>
      <c r="DF112" s="6">
        <v>0</v>
      </c>
      <c r="DG112" s="7">
        <v>0</v>
      </c>
      <c r="DH112" s="11">
        <f t="shared" si="0"/>
        <v>4666209.6525503611</v>
      </c>
    </row>
    <row r="113" spans="1:112" ht="15.75" x14ac:dyDescent="0.25">
      <c r="A113" s="4">
        <v>335</v>
      </c>
      <c r="B113" s="4" t="s">
        <v>194</v>
      </c>
      <c r="C113" s="5" t="s">
        <v>203</v>
      </c>
      <c r="D113" s="5">
        <v>5</v>
      </c>
      <c r="E113" s="5">
        <v>342</v>
      </c>
      <c r="F113" s="5">
        <v>263</v>
      </c>
      <c r="G113" s="6">
        <v>171051</v>
      </c>
      <c r="H113" s="6">
        <v>97685</v>
      </c>
      <c r="I113" s="6">
        <v>41442.299999999996</v>
      </c>
      <c r="J113" s="7">
        <v>97685</v>
      </c>
      <c r="K113" s="7">
        <v>0</v>
      </c>
      <c r="L113" s="6">
        <v>75970</v>
      </c>
      <c r="M113" s="6">
        <v>55700</v>
      </c>
      <c r="N113" s="6">
        <v>0</v>
      </c>
      <c r="O113" s="6">
        <v>0</v>
      </c>
      <c r="P113" s="6">
        <v>0</v>
      </c>
      <c r="Q113" s="6">
        <v>67656</v>
      </c>
      <c r="R113" s="6">
        <v>102372</v>
      </c>
      <c r="S113" s="8">
        <v>1</v>
      </c>
      <c r="T113" s="6">
        <v>41134</v>
      </c>
      <c r="U113" s="6">
        <v>97685</v>
      </c>
      <c r="V113" s="6">
        <v>97685</v>
      </c>
      <c r="W113" s="6">
        <v>97685</v>
      </c>
      <c r="X113" s="6">
        <v>97685</v>
      </c>
      <c r="Y113" s="6">
        <v>97685</v>
      </c>
      <c r="Z113" s="6">
        <v>97685</v>
      </c>
      <c r="AA113" s="6">
        <v>28915</v>
      </c>
      <c r="AB113" s="6">
        <v>195370</v>
      </c>
      <c r="AC113" s="6">
        <v>57830</v>
      </c>
      <c r="AD113" s="6">
        <v>97685</v>
      </c>
      <c r="AE113" s="6">
        <v>28915</v>
      </c>
      <c r="AF113" s="6">
        <v>195370</v>
      </c>
      <c r="AG113" s="6">
        <v>57830</v>
      </c>
      <c r="AH113" s="6">
        <v>97685</v>
      </c>
      <c r="AI113" s="6">
        <v>195370</v>
      </c>
      <c r="AJ113" s="6">
        <v>97685</v>
      </c>
      <c r="AK113" s="6">
        <v>195370</v>
      </c>
      <c r="AL113" s="6">
        <v>97685</v>
      </c>
      <c r="AM113" s="6">
        <v>146527.5</v>
      </c>
      <c r="AN113" s="6">
        <v>117222</v>
      </c>
      <c r="AO113" s="6">
        <v>126990.5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97685</v>
      </c>
      <c r="AW113" s="6">
        <v>195370</v>
      </c>
      <c r="AX113" s="6">
        <v>488425</v>
      </c>
      <c r="AY113" s="6">
        <v>0</v>
      </c>
      <c r="AZ113" s="6">
        <v>0</v>
      </c>
      <c r="BA113" s="6">
        <v>97685</v>
      </c>
      <c r="BB113" s="6">
        <v>0</v>
      </c>
      <c r="BC113" s="6">
        <v>0</v>
      </c>
      <c r="BD113" s="6">
        <v>23720</v>
      </c>
      <c r="BE113" s="6">
        <v>26160</v>
      </c>
      <c r="BF113" s="6">
        <v>7848</v>
      </c>
      <c r="BG113" s="6">
        <v>0</v>
      </c>
      <c r="BH113" s="6">
        <v>144968.19</v>
      </c>
      <c r="BI113" s="6">
        <v>2352.17</v>
      </c>
      <c r="BJ113" s="6">
        <v>9000</v>
      </c>
      <c r="BK113" s="6">
        <v>0</v>
      </c>
      <c r="BL113" s="6"/>
      <c r="BM113" s="6">
        <v>0</v>
      </c>
      <c r="BN113" s="6">
        <v>0</v>
      </c>
      <c r="BO113" s="6">
        <v>0</v>
      </c>
      <c r="BP113" s="6">
        <v>0</v>
      </c>
      <c r="BQ113" s="26">
        <v>0</v>
      </c>
      <c r="BR113" s="26">
        <v>0</v>
      </c>
      <c r="BS113" s="26">
        <v>0</v>
      </c>
      <c r="BT113" s="26">
        <v>0</v>
      </c>
      <c r="BU113" s="26">
        <v>0</v>
      </c>
      <c r="BV113" s="26">
        <v>0</v>
      </c>
      <c r="BW113" s="26">
        <v>0</v>
      </c>
      <c r="BX113" s="26">
        <v>0</v>
      </c>
      <c r="BY113" s="2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195370</v>
      </c>
      <c r="CF113" s="6">
        <v>23000</v>
      </c>
      <c r="CG113" s="6">
        <v>5000</v>
      </c>
      <c r="CH113" s="6">
        <v>100000</v>
      </c>
      <c r="CI113" s="6">
        <v>0</v>
      </c>
      <c r="CJ113" s="6">
        <v>0</v>
      </c>
      <c r="CK113" s="6">
        <v>10520</v>
      </c>
      <c r="CL113" s="6">
        <v>61200</v>
      </c>
      <c r="CM113" s="6">
        <v>0</v>
      </c>
      <c r="CN113" s="6">
        <v>0</v>
      </c>
      <c r="CO113" s="6">
        <v>0</v>
      </c>
      <c r="CP113" s="6">
        <v>20121.3</v>
      </c>
      <c r="CQ113" s="6">
        <v>0</v>
      </c>
      <c r="CR113" s="6">
        <v>0</v>
      </c>
      <c r="CS113" s="6">
        <v>0</v>
      </c>
      <c r="CT113" s="6">
        <v>28623</v>
      </c>
      <c r="CU113" s="6">
        <v>64634.854499999994</v>
      </c>
      <c r="CV113" s="6">
        <v>0</v>
      </c>
      <c r="CW113" s="6">
        <v>0</v>
      </c>
      <c r="CX113" s="6"/>
      <c r="CY113" s="6">
        <f>VLOOKUP(A113, 'At-Risk updating '!A:E, 5, 0)</f>
        <v>7627</v>
      </c>
      <c r="CZ113" s="6">
        <v>0</v>
      </c>
      <c r="DA113" s="6">
        <v>0</v>
      </c>
      <c r="DB113" s="6">
        <v>0</v>
      </c>
      <c r="DC113" s="6">
        <v>0</v>
      </c>
      <c r="DD113" s="6">
        <v>0</v>
      </c>
      <c r="DE113" s="10">
        <v>0</v>
      </c>
      <c r="DF113" s="6">
        <v>0</v>
      </c>
      <c r="DG113" s="7">
        <v>250006.3479999993</v>
      </c>
      <c r="DH113" s="11">
        <f t="shared" si="0"/>
        <v>4932572.1624999996</v>
      </c>
    </row>
    <row r="114" spans="1:112" ht="15.75" x14ac:dyDescent="0.25">
      <c r="A114" s="4">
        <v>338</v>
      </c>
      <c r="B114" s="4" t="s">
        <v>195</v>
      </c>
      <c r="C114" s="5" t="s">
        <v>203</v>
      </c>
      <c r="D114" s="5">
        <v>4</v>
      </c>
      <c r="E114" s="5">
        <v>335</v>
      </c>
      <c r="F114" s="5">
        <v>217</v>
      </c>
      <c r="G114" s="6">
        <v>171051</v>
      </c>
      <c r="H114" s="6">
        <v>97685</v>
      </c>
      <c r="I114" s="6">
        <v>27628.2</v>
      </c>
      <c r="J114" s="7">
        <v>97685</v>
      </c>
      <c r="K114" s="7">
        <v>0</v>
      </c>
      <c r="L114" s="6">
        <v>75970</v>
      </c>
      <c r="M114" s="6">
        <v>55700</v>
      </c>
      <c r="N114" s="6">
        <v>0</v>
      </c>
      <c r="O114" s="6">
        <v>0</v>
      </c>
      <c r="P114" s="6">
        <v>0</v>
      </c>
      <c r="Q114" s="6">
        <v>67656</v>
      </c>
      <c r="R114" s="6">
        <v>153558</v>
      </c>
      <c r="S114" s="8">
        <v>0</v>
      </c>
      <c r="T114" s="6">
        <v>0</v>
      </c>
      <c r="U114" s="6">
        <v>97685</v>
      </c>
      <c r="V114" s="6">
        <v>97685</v>
      </c>
      <c r="W114" s="6">
        <v>97685</v>
      </c>
      <c r="X114" s="6">
        <v>97685</v>
      </c>
      <c r="Y114" s="6">
        <v>0</v>
      </c>
      <c r="Z114" s="6">
        <v>97685</v>
      </c>
      <c r="AA114" s="6">
        <v>28915</v>
      </c>
      <c r="AB114" s="6">
        <v>97685</v>
      </c>
      <c r="AC114" s="6">
        <v>28915</v>
      </c>
      <c r="AD114" s="6">
        <v>97685</v>
      </c>
      <c r="AE114" s="6">
        <v>28915</v>
      </c>
      <c r="AF114" s="6">
        <v>195370</v>
      </c>
      <c r="AG114" s="6">
        <v>57830</v>
      </c>
      <c r="AH114" s="6">
        <v>195370</v>
      </c>
      <c r="AI114" s="6">
        <v>195370</v>
      </c>
      <c r="AJ114" s="6">
        <v>195370</v>
      </c>
      <c r="AK114" s="6">
        <v>195370</v>
      </c>
      <c r="AL114" s="6">
        <v>195370</v>
      </c>
      <c r="AM114" s="6">
        <v>117222</v>
      </c>
      <c r="AN114" s="6">
        <v>91164</v>
      </c>
      <c r="AO114" s="6">
        <v>75970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48842.5</v>
      </c>
      <c r="AW114" s="6">
        <v>97685</v>
      </c>
      <c r="AX114" s="6">
        <v>976850</v>
      </c>
      <c r="AY114" s="6">
        <v>260235</v>
      </c>
      <c r="AZ114" s="6">
        <v>0</v>
      </c>
      <c r="BA114" s="6">
        <v>195370</v>
      </c>
      <c r="BB114" s="6">
        <v>0</v>
      </c>
      <c r="BC114" s="6">
        <v>0</v>
      </c>
      <c r="BD114" s="6">
        <v>35580</v>
      </c>
      <c r="BE114" s="6">
        <v>39240</v>
      </c>
      <c r="BF114" s="6">
        <v>7848</v>
      </c>
      <c r="BG114" s="6">
        <v>0</v>
      </c>
      <c r="BH114" s="6">
        <v>147010</v>
      </c>
      <c r="BI114" s="6">
        <v>2385.3000000000002</v>
      </c>
      <c r="BJ114" s="6">
        <v>9125</v>
      </c>
      <c r="BK114" s="6">
        <v>0</v>
      </c>
      <c r="BL114" s="6"/>
      <c r="BM114" s="6">
        <v>0</v>
      </c>
      <c r="BN114" s="6">
        <v>0</v>
      </c>
      <c r="BO114" s="6">
        <v>0</v>
      </c>
      <c r="BP114" s="6">
        <v>0</v>
      </c>
      <c r="BQ114" s="26">
        <v>0</v>
      </c>
      <c r="BR114" s="26">
        <v>0</v>
      </c>
      <c r="BS114" s="26">
        <v>0</v>
      </c>
      <c r="BT114" s="26">
        <v>0</v>
      </c>
      <c r="BU114" s="26">
        <v>0</v>
      </c>
      <c r="BV114" s="26">
        <v>0</v>
      </c>
      <c r="BW114" s="26">
        <v>0</v>
      </c>
      <c r="BX114" s="26">
        <v>0</v>
      </c>
      <c r="BY114" s="2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195370</v>
      </c>
      <c r="CF114" s="6">
        <v>23000</v>
      </c>
      <c r="CG114" s="6">
        <v>5000</v>
      </c>
      <c r="CH114" s="6">
        <v>100000</v>
      </c>
      <c r="CI114" s="6">
        <v>0</v>
      </c>
      <c r="CJ114" s="6">
        <v>0</v>
      </c>
      <c r="CK114" s="6">
        <v>4340</v>
      </c>
      <c r="CL114" s="6">
        <v>148320</v>
      </c>
      <c r="CM114" s="6">
        <v>0</v>
      </c>
      <c r="CN114" s="6">
        <v>0</v>
      </c>
      <c r="CO114" s="6">
        <v>0</v>
      </c>
      <c r="CP114" s="6">
        <v>19828.780769230769</v>
      </c>
      <c r="CQ114" s="6">
        <v>0</v>
      </c>
      <c r="CR114" s="6">
        <v>0</v>
      </c>
      <c r="CS114" s="6">
        <v>0</v>
      </c>
      <c r="CT114" s="6">
        <v>28971</v>
      </c>
      <c r="CU114" s="6">
        <v>75818.275500000003</v>
      </c>
      <c r="CV114" s="6">
        <v>0</v>
      </c>
      <c r="CW114" s="6">
        <v>0</v>
      </c>
      <c r="CX114" s="6"/>
      <c r="CY114" s="6">
        <f>VLOOKUP(A114, 'At-Risk updating '!A:E, 5, 0)</f>
        <v>6293</v>
      </c>
      <c r="CZ114" s="6">
        <v>0</v>
      </c>
      <c r="DA114" s="6">
        <v>0</v>
      </c>
      <c r="DB114" s="6">
        <v>0</v>
      </c>
      <c r="DC114" s="6">
        <v>0</v>
      </c>
      <c r="DD114" s="6">
        <v>0</v>
      </c>
      <c r="DE114" s="10">
        <v>0</v>
      </c>
      <c r="DF114" s="6">
        <v>0</v>
      </c>
      <c r="DG114" s="7">
        <v>0</v>
      </c>
      <c r="DH114" s="11">
        <f t="shared" si="0"/>
        <v>5458991.0562692313</v>
      </c>
    </row>
    <row r="115" spans="1:112" ht="15.75" x14ac:dyDescent="0.25">
      <c r="A115" s="4">
        <v>463</v>
      </c>
      <c r="B115" s="4" t="s">
        <v>196</v>
      </c>
      <c r="C115" s="5" t="s">
        <v>191</v>
      </c>
      <c r="D115" s="5">
        <v>3</v>
      </c>
      <c r="E115" s="5">
        <v>1745</v>
      </c>
      <c r="F115" s="5">
        <v>600</v>
      </c>
      <c r="G115" s="6">
        <v>171051</v>
      </c>
      <c r="H115" s="6">
        <v>97685</v>
      </c>
      <c r="I115" s="6">
        <v>801217.79999999993</v>
      </c>
      <c r="J115" s="7">
        <v>0</v>
      </c>
      <c r="K115" s="7">
        <v>780997</v>
      </c>
      <c r="L115" s="6">
        <v>75970</v>
      </c>
      <c r="M115" s="6">
        <v>55700</v>
      </c>
      <c r="N115" s="6">
        <v>178072.40000000002</v>
      </c>
      <c r="O115" s="6">
        <v>47542</v>
      </c>
      <c r="P115" s="6">
        <v>58487</v>
      </c>
      <c r="Q115" s="6">
        <v>135312</v>
      </c>
      <c r="R115" s="6">
        <v>204744</v>
      </c>
      <c r="S115" s="8">
        <v>7</v>
      </c>
      <c r="T115" s="6">
        <v>287938</v>
      </c>
      <c r="U115" s="6">
        <v>97685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8107855</v>
      </c>
      <c r="AV115" s="6">
        <v>195370</v>
      </c>
      <c r="AW115" s="6">
        <v>488425</v>
      </c>
      <c r="AX115" s="6">
        <v>1660645</v>
      </c>
      <c r="AY115" s="6">
        <v>115660</v>
      </c>
      <c r="AZ115" s="6">
        <v>0</v>
      </c>
      <c r="BA115" s="6">
        <v>488425</v>
      </c>
      <c r="BB115" s="6">
        <v>0</v>
      </c>
      <c r="BC115" s="6">
        <v>97685</v>
      </c>
      <c r="BD115" s="6">
        <v>0</v>
      </c>
      <c r="BE115" s="6">
        <v>0</v>
      </c>
      <c r="BF115" s="6">
        <v>0</v>
      </c>
      <c r="BG115" s="6">
        <v>72828</v>
      </c>
      <c r="BH115" s="6">
        <v>0</v>
      </c>
      <c r="BI115" s="6">
        <v>0</v>
      </c>
      <c r="BJ115" s="6">
        <v>43875</v>
      </c>
      <c r="BK115" s="6">
        <v>0</v>
      </c>
      <c r="BL115" s="6"/>
      <c r="BM115" s="6">
        <v>0</v>
      </c>
      <c r="BN115" s="6">
        <v>0</v>
      </c>
      <c r="BO115" s="6">
        <v>0</v>
      </c>
      <c r="BP115" s="6">
        <v>0</v>
      </c>
      <c r="BQ115" s="26">
        <v>0</v>
      </c>
      <c r="BR115" s="26">
        <v>0</v>
      </c>
      <c r="BS115" s="26">
        <v>0</v>
      </c>
      <c r="BT115" s="26">
        <v>0</v>
      </c>
      <c r="BU115" s="26">
        <v>55000</v>
      </c>
      <c r="BV115" s="26">
        <v>0</v>
      </c>
      <c r="BW115" s="26">
        <v>0</v>
      </c>
      <c r="BX115" s="26">
        <v>0</v>
      </c>
      <c r="BY115" s="26">
        <v>0</v>
      </c>
      <c r="BZ115" s="6">
        <v>97685</v>
      </c>
      <c r="CA115" s="6">
        <v>87556</v>
      </c>
      <c r="CB115" s="6">
        <v>134027</v>
      </c>
      <c r="CC115" s="6">
        <v>99697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101560.06446048801</v>
      </c>
      <c r="CJ115" s="6">
        <v>12240</v>
      </c>
      <c r="CK115" s="6">
        <v>12000</v>
      </c>
      <c r="CL115" s="6">
        <v>0</v>
      </c>
      <c r="CM115" s="6">
        <v>0</v>
      </c>
      <c r="CN115" s="6">
        <v>0</v>
      </c>
      <c r="CO115" s="6">
        <v>0</v>
      </c>
      <c r="CP115" s="6">
        <v>219570.95294117648</v>
      </c>
      <c r="CQ115" s="6">
        <v>101560.06446048801</v>
      </c>
      <c r="CR115" s="6">
        <v>0</v>
      </c>
      <c r="CS115" s="6">
        <v>0</v>
      </c>
      <c r="CT115" s="6">
        <v>151815</v>
      </c>
      <c r="CU115" s="6">
        <v>215243.79493381461</v>
      </c>
      <c r="CV115" s="6">
        <v>153875.92320403457</v>
      </c>
      <c r="CW115" s="6">
        <v>0</v>
      </c>
      <c r="CX115" s="6"/>
      <c r="CY115" s="6">
        <f>VLOOKUP(A115, 'At-Risk updating '!A:E, 5, 0)</f>
        <v>17400</v>
      </c>
      <c r="CZ115" s="6">
        <v>0</v>
      </c>
      <c r="DA115" s="6">
        <v>0</v>
      </c>
      <c r="DB115" s="6">
        <v>0</v>
      </c>
      <c r="DC115" s="6">
        <v>0</v>
      </c>
      <c r="DD115" s="6">
        <v>0</v>
      </c>
      <c r="DE115" s="10">
        <v>0</v>
      </c>
      <c r="DF115" s="6">
        <v>0</v>
      </c>
      <c r="DG115" s="7">
        <v>0</v>
      </c>
      <c r="DH115" s="11">
        <f t="shared" si="0"/>
        <v>15722407.000000002</v>
      </c>
    </row>
    <row r="116" spans="1:112" ht="15.75" x14ac:dyDescent="0.25">
      <c r="A116" s="4">
        <v>464</v>
      </c>
      <c r="B116" s="4" t="s">
        <v>197</v>
      </c>
      <c r="C116" s="5" t="s">
        <v>191</v>
      </c>
      <c r="D116" s="5">
        <v>7</v>
      </c>
      <c r="E116" s="5">
        <v>607</v>
      </c>
      <c r="F116" s="5">
        <v>485</v>
      </c>
      <c r="G116" s="6">
        <v>171051</v>
      </c>
      <c r="H116" s="6">
        <v>97685</v>
      </c>
      <c r="I116" s="6">
        <v>276282</v>
      </c>
      <c r="J116" s="7">
        <v>0</v>
      </c>
      <c r="K116" s="7">
        <v>267770.39999999997</v>
      </c>
      <c r="L116" s="6">
        <v>75970</v>
      </c>
      <c r="M116" s="6">
        <v>55700</v>
      </c>
      <c r="N116" s="6">
        <v>60706.5</v>
      </c>
      <c r="O116" s="6">
        <v>47542</v>
      </c>
      <c r="P116" s="6">
        <v>58487</v>
      </c>
      <c r="Q116" s="6">
        <v>67656</v>
      </c>
      <c r="R116" s="6">
        <v>204744</v>
      </c>
      <c r="S116" s="8">
        <v>5</v>
      </c>
      <c r="T116" s="6">
        <v>205670</v>
      </c>
      <c r="U116" s="6">
        <v>97685</v>
      </c>
      <c r="V116" s="6">
        <v>0</v>
      </c>
      <c r="W116" s="6">
        <v>0</v>
      </c>
      <c r="X116" s="6">
        <v>97685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3152811.705264112</v>
      </c>
      <c r="AV116" s="6">
        <v>97685</v>
      </c>
      <c r="AW116" s="6">
        <v>390740</v>
      </c>
      <c r="AX116" s="6">
        <v>1562960</v>
      </c>
      <c r="AY116" s="6">
        <v>144575</v>
      </c>
      <c r="AZ116" s="6">
        <v>90444</v>
      </c>
      <c r="BA116" s="6">
        <v>13320.681818181818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80920</v>
      </c>
      <c r="BH116" s="6">
        <v>267476.52</v>
      </c>
      <c r="BI116" s="6">
        <v>4339.92</v>
      </c>
      <c r="BJ116" s="6">
        <v>16625</v>
      </c>
      <c r="BK116" s="6">
        <v>0</v>
      </c>
      <c r="BL116" s="6"/>
      <c r="BM116" s="6">
        <v>0</v>
      </c>
      <c r="BN116" s="6">
        <v>0</v>
      </c>
      <c r="BO116" s="6">
        <v>0</v>
      </c>
      <c r="BP116" s="6">
        <v>0</v>
      </c>
      <c r="BQ116" s="26">
        <v>138141</v>
      </c>
      <c r="BR116" s="26">
        <v>30000</v>
      </c>
      <c r="BS116" s="26">
        <v>10000</v>
      </c>
      <c r="BT116" s="26">
        <v>9000</v>
      </c>
      <c r="BU116" s="26">
        <v>110000</v>
      </c>
      <c r="BV116" s="26">
        <v>0</v>
      </c>
      <c r="BW116" s="26">
        <v>0</v>
      </c>
      <c r="BX116" s="26">
        <v>0</v>
      </c>
      <c r="BY116" s="26">
        <v>0</v>
      </c>
      <c r="BZ116" s="6">
        <v>97685</v>
      </c>
      <c r="CA116" s="6">
        <v>87556</v>
      </c>
      <c r="CB116" s="6">
        <v>268054</v>
      </c>
      <c r="CC116" s="6">
        <v>199394</v>
      </c>
      <c r="CD116" s="6">
        <v>48842.5</v>
      </c>
      <c r="CE116" s="6">
        <v>0</v>
      </c>
      <c r="CF116" s="6">
        <v>0</v>
      </c>
      <c r="CG116" s="6">
        <v>0</v>
      </c>
      <c r="CH116" s="6">
        <v>0</v>
      </c>
      <c r="CI116" s="6">
        <v>101560.06446048801</v>
      </c>
      <c r="CJ116" s="6">
        <v>12240</v>
      </c>
      <c r="CK116" s="6">
        <v>19400</v>
      </c>
      <c r="CL116" s="6">
        <v>0</v>
      </c>
      <c r="CM116" s="6">
        <v>0</v>
      </c>
      <c r="CN116" s="6">
        <v>0</v>
      </c>
      <c r="CO116" s="6">
        <v>0</v>
      </c>
      <c r="CP116" s="6">
        <v>80842.100000000006</v>
      </c>
      <c r="CQ116" s="6">
        <v>101560.06446048801</v>
      </c>
      <c r="CR116" s="6">
        <v>0</v>
      </c>
      <c r="CS116" s="6">
        <v>128716</v>
      </c>
      <c r="CT116" s="6">
        <v>52722</v>
      </c>
      <c r="CU116" s="6">
        <v>111604.35624004905</v>
      </c>
      <c r="CV116" s="6">
        <v>0</v>
      </c>
      <c r="CW116" s="6">
        <v>0</v>
      </c>
      <c r="CX116" s="6"/>
      <c r="CY116" s="6">
        <f>VLOOKUP(A116, 'At-Risk updating '!A:E, 5, 0)</f>
        <v>14065</v>
      </c>
      <c r="CZ116" s="6">
        <v>0</v>
      </c>
      <c r="DA116" s="6">
        <v>0</v>
      </c>
      <c r="DB116" s="6">
        <v>0</v>
      </c>
      <c r="DC116" s="6">
        <v>97685</v>
      </c>
      <c r="DD116" s="6">
        <v>74326</v>
      </c>
      <c r="DE116" s="10">
        <v>0.5</v>
      </c>
      <c r="DF116" s="6">
        <v>48842.5</v>
      </c>
      <c r="DG116" s="7">
        <v>0</v>
      </c>
      <c r="DH116" s="11">
        <f t="shared" si="0"/>
        <v>9448772.8122433182</v>
      </c>
    </row>
    <row r="117" spans="1:112" ht="15.75" x14ac:dyDescent="0.25">
      <c r="A117" s="4">
        <v>861</v>
      </c>
      <c r="B117" s="13" t="s">
        <v>198</v>
      </c>
      <c r="C117" s="5" t="s">
        <v>206</v>
      </c>
      <c r="D117" s="5">
        <v>5</v>
      </c>
      <c r="E117" s="5">
        <v>91</v>
      </c>
      <c r="F117" s="5">
        <v>0</v>
      </c>
      <c r="G117" s="27">
        <v>171051</v>
      </c>
      <c r="H117" s="27">
        <v>48842.5</v>
      </c>
      <c r="I117" s="6">
        <v>0</v>
      </c>
      <c r="J117" s="6">
        <v>0</v>
      </c>
      <c r="K117" s="6">
        <v>0</v>
      </c>
      <c r="L117" s="6">
        <v>0</v>
      </c>
      <c r="M117" s="6">
        <v>55700</v>
      </c>
      <c r="N117" s="27">
        <v>40471</v>
      </c>
      <c r="O117" s="27">
        <v>0</v>
      </c>
      <c r="P117" s="27">
        <v>0</v>
      </c>
      <c r="Q117" s="6">
        <v>0</v>
      </c>
      <c r="R117" s="6">
        <v>0</v>
      </c>
      <c r="S117" s="10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48842.5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27">
        <v>0</v>
      </c>
      <c r="AN117" s="27">
        <v>97685</v>
      </c>
      <c r="AO117" s="27">
        <v>97685</v>
      </c>
      <c r="AP117" s="27">
        <v>97685</v>
      </c>
      <c r="AQ117" s="27">
        <v>97685</v>
      </c>
      <c r="AR117" s="27">
        <v>97685</v>
      </c>
      <c r="AS117" s="27">
        <v>0</v>
      </c>
      <c r="AT117" s="27">
        <v>371203</v>
      </c>
      <c r="AU117" s="6">
        <v>0</v>
      </c>
      <c r="AV117" s="6">
        <v>48842.5</v>
      </c>
      <c r="AW117" s="6">
        <v>195370</v>
      </c>
      <c r="AX117" s="6">
        <v>390740</v>
      </c>
      <c r="AY117" s="6">
        <v>0</v>
      </c>
      <c r="AZ117" s="6">
        <v>0</v>
      </c>
      <c r="BA117" s="6">
        <v>8880.454545454546</v>
      </c>
      <c r="BB117" s="6">
        <v>0</v>
      </c>
      <c r="BC117" s="6">
        <v>0</v>
      </c>
      <c r="BD117" s="6">
        <v>0</v>
      </c>
      <c r="BE117" s="31">
        <v>0</v>
      </c>
      <c r="BF117" s="31">
        <v>0</v>
      </c>
      <c r="BG117" s="6">
        <v>0</v>
      </c>
      <c r="BH117" s="6">
        <v>0</v>
      </c>
      <c r="BI117" s="6">
        <v>0</v>
      </c>
      <c r="BJ117" s="6">
        <v>2400</v>
      </c>
      <c r="BK117" s="6">
        <v>0</v>
      </c>
      <c r="BL117" s="6"/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26">
        <v>0</v>
      </c>
      <c r="BX117" s="26">
        <v>0</v>
      </c>
      <c r="BY117" s="26">
        <v>0</v>
      </c>
      <c r="BZ117" s="6">
        <v>0</v>
      </c>
      <c r="CA117" s="6">
        <v>0</v>
      </c>
      <c r="CB117" s="14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7917</v>
      </c>
      <c r="CU117" s="6">
        <v>28025.519318181818</v>
      </c>
      <c r="CV117" s="6">
        <v>0</v>
      </c>
      <c r="CW117" s="6">
        <v>1030650</v>
      </c>
      <c r="CX117" s="29" t="s">
        <v>199</v>
      </c>
      <c r="CY117" s="6">
        <f>VLOOKUP(A117, 'At-Risk updating '!A:E, 5, 0)</f>
        <v>0</v>
      </c>
      <c r="CZ117" s="6">
        <v>0</v>
      </c>
      <c r="DA117" s="6">
        <v>0</v>
      </c>
      <c r="DB117" s="6">
        <v>0</v>
      </c>
      <c r="DC117" s="6">
        <v>0</v>
      </c>
      <c r="DD117" s="6">
        <v>0</v>
      </c>
      <c r="DE117" s="10">
        <v>0</v>
      </c>
      <c r="DF117" s="6">
        <v>0</v>
      </c>
      <c r="DG117" s="7">
        <v>0</v>
      </c>
      <c r="DH117" s="11">
        <f t="shared" si="0"/>
        <v>2937360.4738636361</v>
      </c>
    </row>
    <row r="119" spans="1:112" ht="15.75" x14ac:dyDescent="0.25">
      <c r="A119" s="25">
        <v>1</v>
      </c>
      <c r="B119" s="25">
        <v>2</v>
      </c>
      <c r="C119" s="25">
        <v>3</v>
      </c>
      <c r="D119" s="25">
        <v>4</v>
      </c>
      <c r="E119" s="25">
        <v>5</v>
      </c>
      <c r="F119" s="25">
        <v>6</v>
      </c>
      <c r="G119" s="25">
        <v>7</v>
      </c>
      <c r="H119" s="25">
        <v>8</v>
      </c>
      <c r="I119" s="25">
        <v>9</v>
      </c>
      <c r="J119" s="25">
        <v>10</v>
      </c>
      <c r="K119" s="25">
        <v>11</v>
      </c>
      <c r="L119" s="25">
        <v>12</v>
      </c>
      <c r="M119" s="25">
        <v>13</v>
      </c>
      <c r="N119" s="25">
        <v>14</v>
      </c>
      <c r="O119" s="25">
        <v>15</v>
      </c>
      <c r="P119" s="25">
        <v>16</v>
      </c>
      <c r="Q119" s="25">
        <v>17</v>
      </c>
      <c r="R119" s="25">
        <v>18</v>
      </c>
      <c r="S119" s="25">
        <v>19</v>
      </c>
      <c r="T119" s="25">
        <v>20</v>
      </c>
      <c r="U119" s="25">
        <v>21</v>
      </c>
      <c r="V119" s="25">
        <v>22</v>
      </c>
      <c r="W119" s="25">
        <v>23</v>
      </c>
      <c r="X119" s="25">
        <v>24</v>
      </c>
      <c r="Y119" s="25">
        <v>25</v>
      </c>
      <c r="Z119" s="25">
        <v>26</v>
      </c>
      <c r="AA119" s="25">
        <v>27</v>
      </c>
      <c r="AB119" s="25">
        <v>28</v>
      </c>
      <c r="AC119" s="25">
        <v>29</v>
      </c>
      <c r="AD119" s="25">
        <v>30</v>
      </c>
      <c r="AE119" s="25">
        <v>31</v>
      </c>
      <c r="AF119" s="25">
        <v>32</v>
      </c>
      <c r="AG119" s="25">
        <v>33</v>
      </c>
      <c r="AH119" s="25">
        <v>34</v>
      </c>
      <c r="AI119" s="25">
        <v>35</v>
      </c>
      <c r="AJ119" s="25">
        <v>36</v>
      </c>
      <c r="AK119" s="25">
        <v>37</v>
      </c>
      <c r="AL119" s="25">
        <v>38</v>
      </c>
      <c r="AM119" s="25">
        <v>39</v>
      </c>
      <c r="AN119" s="25">
        <v>40</v>
      </c>
      <c r="AO119" s="25">
        <v>41</v>
      </c>
      <c r="AP119" s="25">
        <v>42</v>
      </c>
      <c r="AQ119" s="25">
        <v>43</v>
      </c>
      <c r="AR119" s="25">
        <v>44</v>
      </c>
      <c r="AS119" s="25">
        <v>45</v>
      </c>
      <c r="AT119" s="25">
        <v>46</v>
      </c>
      <c r="AU119" s="25">
        <v>47</v>
      </c>
      <c r="AV119" s="25">
        <v>48</v>
      </c>
      <c r="AW119" s="25">
        <v>49</v>
      </c>
      <c r="AX119" s="25">
        <v>50</v>
      </c>
      <c r="AY119" s="25">
        <v>51</v>
      </c>
      <c r="AZ119" s="25">
        <v>52</v>
      </c>
      <c r="BA119" s="25">
        <v>53</v>
      </c>
      <c r="BB119" s="25">
        <v>54</v>
      </c>
      <c r="BC119" s="25">
        <v>55</v>
      </c>
      <c r="BD119" s="25">
        <v>56</v>
      </c>
      <c r="BE119" s="25">
        <v>57</v>
      </c>
      <c r="BF119" s="25">
        <v>58</v>
      </c>
      <c r="BG119" s="25">
        <v>59</v>
      </c>
      <c r="BH119" s="25">
        <v>60</v>
      </c>
      <c r="BI119" s="25">
        <v>61</v>
      </c>
      <c r="BJ119" s="25">
        <v>62</v>
      </c>
      <c r="BK119" s="25">
        <v>63</v>
      </c>
      <c r="BL119" s="25">
        <v>64</v>
      </c>
      <c r="BM119" s="25">
        <v>65</v>
      </c>
      <c r="BN119" s="25">
        <v>66</v>
      </c>
      <c r="BO119" s="25">
        <v>67</v>
      </c>
      <c r="BP119" s="25">
        <v>68</v>
      </c>
      <c r="BQ119" s="25">
        <v>69</v>
      </c>
      <c r="BR119" s="25">
        <v>70</v>
      </c>
      <c r="BS119" s="25">
        <v>71</v>
      </c>
      <c r="BT119" s="25">
        <v>72</v>
      </c>
      <c r="BU119" s="25">
        <v>73</v>
      </c>
      <c r="BV119" s="25">
        <v>74</v>
      </c>
      <c r="BW119" s="25">
        <v>75</v>
      </c>
      <c r="BX119" s="25">
        <v>76</v>
      </c>
      <c r="BY119" s="25">
        <v>77</v>
      </c>
      <c r="BZ119" s="25">
        <v>78</v>
      </c>
      <c r="CA119" s="25">
        <v>79</v>
      </c>
      <c r="CB119" s="25">
        <v>80</v>
      </c>
      <c r="CC119" s="25">
        <v>81</v>
      </c>
      <c r="CD119" s="25">
        <v>82</v>
      </c>
      <c r="CE119" s="25">
        <v>83</v>
      </c>
      <c r="CF119" s="25">
        <v>84</v>
      </c>
      <c r="CG119" s="25">
        <v>85</v>
      </c>
      <c r="CH119" s="25">
        <v>86</v>
      </c>
      <c r="CI119" s="25">
        <v>87</v>
      </c>
      <c r="CJ119" s="25">
        <v>88</v>
      </c>
      <c r="CK119" s="25">
        <v>89</v>
      </c>
      <c r="CL119" s="25">
        <v>90</v>
      </c>
      <c r="CM119" s="25">
        <v>91</v>
      </c>
      <c r="CN119" s="25">
        <v>92</v>
      </c>
      <c r="CO119" s="25">
        <v>93</v>
      </c>
      <c r="CP119" s="25">
        <v>94</v>
      </c>
      <c r="CQ119" s="25">
        <v>95</v>
      </c>
      <c r="CR119" s="25">
        <v>96</v>
      </c>
      <c r="CS119" s="25">
        <v>97</v>
      </c>
      <c r="CT119" s="25">
        <v>98</v>
      </c>
      <c r="CU119" s="25">
        <v>99</v>
      </c>
      <c r="CV119" s="25">
        <v>100</v>
      </c>
      <c r="CW119" s="25">
        <v>101</v>
      </c>
      <c r="CX119" s="25">
        <v>102</v>
      </c>
      <c r="CY119" s="25">
        <v>103</v>
      </c>
      <c r="CZ119" s="25">
        <v>105</v>
      </c>
      <c r="DA119" s="25">
        <v>106</v>
      </c>
      <c r="DB119" s="25">
        <v>107</v>
      </c>
      <c r="DC119" s="25">
        <v>108</v>
      </c>
      <c r="DD119" s="25">
        <v>109</v>
      </c>
      <c r="DE119" s="25">
        <v>110</v>
      </c>
      <c r="DF119" s="25">
        <v>111</v>
      </c>
      <c r="DG119" s="25">
        <v>112</v>
      </c>
      <c r="DH119" s="25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C31" sqref="C31"/>
    </sheetView>
  </sheetViews>
  <sheetFormatPr defaultRowHeight="15" x14ac:dyDescent="0.25"/>
  <cols>
    <col min="1" max="1" width="13.140625" bestFit="1" customWidth="1"/>
    <col min="2" max="2" width="42.42578125" bestFit="1" customWidth="1"/>
    <col min="3" max="3" width="21.85546875" bestFit="1" customWidth="1"/>
    <col min="4" max="4" width="18.28515625" bestFit="1" customWidth="1"/>
    <col min="5" max="5" width="26.85546875" customWidth="1"/>
  </cols>
  <sheetData>
    <row r="1" spans="1:5" ht="15.75" x14ac:dyDescent="0.25">
      <c r="A1" s="20" t="s">
        <v>76</v>
      </c>
      <c r="B1" s="20" t="s">
        <v>77</v>
      </c>
      <c r="C1" s="20" t="s">
        <v>304</v>
      </c>
      <c r="D1" s="33" t="s">
        <v>354</v>
      </c>
      <c r="E1" s="33" t="s">
        <v>355</v>
      </c>
    </row>
    <row r="2" spans="1:5" ht="15.75" x14ac:dyDescent="0.25">
      <c r="A2" s="4">
        <v>202</v>
      </c>
      <c r="B2" s="4" t="s">
        <v>79</v>
      </c>
      <c r="C2" s="24">
        <v>15874.5</v>
      </c>
      <c r="D2" s="24">
        <v>6815</v>
      </c>
      <c r="E2" s="32">
        <f>SUM(C2:D2)</f>
        <v>22689.5</v>
      </c>
    </row>
    <row r="3" spans="1:5" ht="15.75" x14ac:dyDescent="0.25">
      <c r="A3" s="4">
        <v>203</v>
      </c>
      <c r="B3" s="4" t="s">
        <v>80</v>
      </c>
      <c r="C3" s="24">
        <v>128979.5</v>
      </c>
      <c r="D3" s="24">
        <v>7337</v>
      </c>
      <c r="E3" s="32">
        <f t="shared" ref="E3:E66" si="0">SUM(C3:D3)</f>
        <v>136316.5</v>
      </c>
    </row>
    <row r="4" spans="1:5" ht="15.75" x14ac:dyDescent="0.25">
      <c r="A4" s="4">
        <v>450</v>
      </c>
      <c r="B4" s="4" t="s">
        <v>81</v>
      </c>
      <c r="C4" s="24">
        <v>0.18955885316245258</v>
      </c>
      <c r="D4" s="24">
        <v>11571</v>
      </c>
      <c r="E4" s="32">
        <f t="shared" si="0"/>
        <v>11571.189558853162</v>
      </c>
    </row>
    <row r="5" spans="1:5" ht="15.75" x14ac:dyDescent="0.25">
      <c r="A5" s="4">
        <v>452</v>
      </c>
      <c r="B5" s="4" t="s">
        <v>82</v>
      </c>
      <c r="C5" s="24">
        <v>97685.406708783004</v>
      </c>
      <c r="D5" s="24">
        <v>23722</v>
      </c>
      <c r="E5" s="32">
        <f t="shared" si="0"/>
        <v>121407.406708783</v>
      </c>
    </row>
    <row r="6" spans="1:5" ht="15.75" x14ac:dyDescent="0.25">
      <c r="A6" s="4">
        <v>462</v>
      </c>
      <c r="B6" s="4" t="s">
        <v>83</v>
      </c>
      <c r="C6" s="24">
        <v>0</v>
      </c>
      <c r="D6" s="24">
        <v>0</v>
      </c>
      <c r="E6" s="32">
        <f t="shared" si="0"/>
        <v>0</v>
      </c>
    </row>
    <row r="7" spans="1:5" ht="15.75" x14ac:dyDescent="0.25">
      <c r="A7" s="4">
        <v>204</v>
      </c>
      <c r="B7" s="4" t="s">
        <v>84</v>
      </c>
      <c r="C7" s="24">
        <v>26671</v>
      </c>
      <c r="D7" s="24">
        <v>5829</v>
      </c>
      <c r="E7" s="32">
        <f t="shared" si="0"/>
        <v>32500</v>
      </c>
    </row>
    <row r="8" spans="1:5" ht="15.75" x14ac:dyDescent="0.25">
      <c r="A8" s="4">
        <v>205</v>
      </c>
      <c r="B8" s="4" t="s">
        <v>85</v>
      </c>
      <c r="C8" s="24">
        <v>16330.5</v>
      </c>
      <c r="D8" s="24">
        <v>9628</v>
      </c>
      <c r="E8" s="32">
        <f t="shared" si="0"/>
        <v>25958.5</v>
      </c>
    </row>
    <row r="9" spans="1:5" ht="15.75" x14ac:dyDescent="0.25">
      <c r="A9" s="4">
        <v>206</v>
      </c>
      <c r="B9" s="4" t="s">
        <v>86</v>
      </c>
      <c r="C9" s="24">
        <v>181385.5</v>
      </c>
      <c r="D9" s="24">
        <v>7801</v>
      </c>
      <c r="E9" s="32">
        <f t="shared" si="0"/>
        <v>189186.5</v>
      </c>
    </row>
    <row r="10" spans="1:5" ht="15.75" x14ac:dyDescent="0.25">
      <c r="A10" s="4">
        <v>402</v>
      </c>
      <c r="B10" s="4" t="s">
        <v>87</v>
      </c>
      <c r="C10" s="24">
        <v>70709.935539511673</v>
      </c>
      <c r="D10" s="24">
        <v>3683</v>
      </c>
      <c r="E10" s="32">
        <f t="shared" si="0"/>
        <v>74392.935539511673</v>
      </c>
    </row>
    <row r="11" spans="1:5" ht="15.75" x14ac:dyDescent="0.25">
      <c r="A11" s="4">
        <v>212</v>
      </c>
      <c r="B11" s="4" t="s">
        <v>88</v>
      </c>
      <c r="C11" s="24">
        <v>2509.5</v>
      </c>
      <c r="D11" s="24">
        <v>1015</v>
      </c>
      <c r="E11" s="32">
        <f t="shared" si="0"/>
        <v>3524.5</v>
      </c>
    </row>
    <row r="12" spans="1:5" ht="15.75" x14ac:dyDescent="0.25">
      <c r="A12" s="4">
        <v>213</v>
      </c>
      <c r="B12" s="4" t="s">
        <v>89</v>
      </c>
      <c r="C12" s="24">
        <v>13433.300000000047</v>
      </c>
      <c r="D12" s="24">
        <v>12238</v>
      </c>
      <c r="E12" s="32">
        <f t="shared" si="0"/>
        <v>25671.300000000047</v>
      </c>
    </row>
    <row r="13" spans="1:5" ht="15.75" x14ac:dyDescent="0.25">
      <c r="A13" s="4">
        <v>347</v>
      </c>
      <c r="B13" s="4" t="s">
        <v>90</v>
      </c>
      <c r="C13" s="24">
        <v>0</v>
      </c>
      <c r="D13" s="24">
        <v>3944</v>
      </c>
      <c r="E13" s="32">
        <f t="shared" si="0"/>
        <v>3944</v>
      </c>
    </row>
    <row r="14" spans="1:5" ht="15.75" x14ac:dyDescent="0.25">
      <c r="A14" s="4">
        <v>404</v>
      </c>
      <c r="B14" s="4" t="s">
        <v>91</v>
      </c>
      <c r="C14" s="24">
        <v>0</v>
      </c>
      <c r="D14" s="24">
        <v>6989</v>
      </c>
      <c r="E14" s="32">
        <f t="shared" si="0"/>
        <v>6989</v>
      </c>
    </row>
    <row r="15" spans="1:5" ht="15.75" x14ac:dyDescent="0.25">
      <c r="A15" s="4">
        <v>296</v>
      </c>
      <c r="B15" s="4" t="s">
        <v>92</v>
      </c>
      <c r="C15" s="24">
        <v>0</v>
      </c>
      <c r="D15" s="24">
        <v>7395</v>
      </c>
      <c r="E15" s="32">
        <f t="shared" si="0"/>
        <v>7395</v>
      </c>
    </row>
    <row r="16" spans="1:5" ht="15.75" x14ac:dyDescent="0.25">
      <c r="A16" s="4">
        <v>219</v>
      </c>
      <c r="B16" s="4" t="s">
        <v>93</v>
      </c>
      <c r="C16" s="24">
        <v>57765.5</v>
      </c>
      <c r="D16" s="24">
        <v>3016</v>
      </c>
      <c r="E16" s="32">
        <f t="shared" si="0"/>
        <v>60781.5</v>
      </c>
    </row>
    <row r="17" spans="1:5" ht="15.75" x14ac:dyDescent="0.25">
      <c r="A17" s="4">
        <v>220</v>
      </c>
      <c r="B17" s="4" t="s">
        <v>94</v>
      </c>
      <c r="C17" s="24">
        <v>123661.5</v>
      </c>
      <c r="D17" s="24">
        <v>4582</v>
      </c>
      <c r="E17" s="32">
        <f t="shared" si="0"/>
        <v>128243.5</v>
      </c>
    </row>
    <row r="18" spans="1:5" ht="15.75" x14ac:dyDescent="0.25">
      <c r="A18" s="4">
        <v>221</v>
      </c>
      <c r="B18" s="4" t="s">
        <v>95</v>
      </c>
      <c r="C18" s="24">
        <v>143700</v>
      </c>
      <c r="D18" s="24">
        <v>7453</v>
      </c>
      <c r="E18" s="32">
        <f t="shared" si="0"/>
        <v>151153</v>
      </c>
    </row>
    <row r="19" spans="1:5" ht="15.75" x14ac:dyDescent="0.25">
      <c r="A19" s="4">
        <v>247</v>
      </c>
      <c r="B19" s="4" t="s">
        <v>96</v>
      </c>
      <c r="C19" s="24">
        <v>94869.5</v>
      </c>
      <c r="D19" s="24">
        <v>6206</v>
      </c>
      <c r="E19" s="32">
        <f t="shared" si="0"/>
        <v>101075.5</v>
      </c>
    </row>
    <row r="20" spans="1:5" ht="15.75" x14ac:dyDescent="0.25">
      <c r="A20" s="4">
        <v>360</v>
      </c>
      <c r="B20" s="4" t="s">
        <v>97</v>
      </c>
      <c r="C20" s="24">
        <v>0.10000000000582077</v>
      </c>
      <c r="D20" s="24">
        <v>1305</v>
      </c>
      <c r="E20" s="32">
        <f t="shared" si="0"/>
        <v>1305.1000000000058</v>
      </c>
    </row>
    <row r="21" spans="1:5" ht="15.75" x14ac:dyDescent="0.25">
      <c r="A21" s="4">
        <v>454</v>
      </c>
      <c r="B21" s="4" t="s">
        <v>98</v>
      </c>
      <c r="C21" s="24">
        <v>0.45789102348499</v>
      </c>
      <c r="D21" s="24">
        <v>21112</v>
      </c>
      <c r="E21" s="32">
        <f t="shared" si="0"/>
        <v>21112.457891023485</v>
      </c>
    </row>
    <row r="22" spans="1:5" ht="15.75" x14ac:dyDescent="0.25">
      <c r="A22" s="4">
        <v>947</v>
      </c>
      <c r="B22" s="4" t="s">
        <v>99</v>
      </c>
      <c r="C22" s="24">
        <v>0</v>
      </c>
      <c r="D22" s="24">
        <v>0</v>
      </c>
      <c r="E22" s="32">
        <f t="shared" si="0"/>
        <v>0</v>
      </c>
    </row>
    <row r="23" spans="1:5" ht="15.75" x14ac:dyDescent="0.25">
      <c r="A23" s="4">
        <v>224</v>
      </c>
      <c r="B23" s="4" t="s">
        <v>100</v>
      </c>
      <c r="C23" s="24">
        <v>0</v>
      </c>
      <c r="D23" s="24">
        <v>4756</v>
      </c>
      <c r="E23" s="32">
        <f t="shared" si="0"/>
        <v>4756</v>
      </c>
    </row>
    <row r="24" spans="1:5" ht="15.75" x14ac:dyDescent="0.25">
      <c r="A24" s="4">
        <v>442</v>
      </c>
      <c r="B24" s="4" t="s">
        <v>101</v>
      </c>
      <c r="C24" s="24">
        <v>0.42107902350835502</v>
      </c>
      <c r="D24" s="24">
        <v>26216</v>
      </c>
      <c r="E24" s="32">
        <f t="shared" si="0"/>
        <v>26216.421079023508</v>
      </c>
    </row>
    <row r="25" spans="1:5" ht="15.75" x14ac:dyDescent="0.25">
      <c r="A25" s="4">
        <v>455</v>
      </c>
      <c r="B25" s="4" t="s">
        <v>102</v>
      </c>
      <c r="C25" s="24">
        <v>0.42269620334263891</v>
      </c>
      <c r="D25" s="24">
        <v>8903</v>
      </c>
      <c r="E25" s="32">
        <f t="shared" si="0"/>
        <v>8903.4226962033426</v>
      </c>
    </row>
    <row r="26" spans="1:5" ht="15.75" x14ac:dyDescent="0.25">
      <c r="A26" s="4">
        <v>405</v>
      </c>
      <c r="B26" s="4" t="s">
        <v>103</v>
      </c>
      <c r="C26" s="24">
        <v>335.60000000000582</v>
      </c>
      <c r="D26" s="24">
        <v>3364</v>
      </c>
      <c r="E26" s="32">
        <f t="shared" si="0"/>
        <v>3699.6000000000058</v>
      </c>
    </row>
    <row r="27" spans="1:5" ht="15.75" x14ac:dyDescent="0.25">
      <c r="A27" s="4">
        <v>349</v>
      </c>
      <c r="B27" s="4" t="s">
        <v>104</v>
      </c>
      <c r="C27" s="24">
        <v>0</v>
      </c>
      <c r="D27" s="24">
        <v>7105</v>
      </c>
      <c r="E27" s="32">
        <f t="shared" si="0"/>
        <v>7105</v>
      </c>
    </row>
    <row r="28" spans="1:5" ht="15.75" x14ac:dyDescent="0.25">
      <c r="A28" s="4">
        <v>231</v>
      </c>
      <c r="B28" s="4" t="s">
        <v>105</v>
      </c>
      <c r="C28" s="24">
        <v>0</v>
      </c>
      <c r="D28" s="24">
        <v>6264</v>
      </c>
      <c r="E28" s="32">
        <f t="shared" si="0"/>
        <v>6264</v>
      </c>
    </row>
    <row r="29" spans="1:5" ht="15.75" x14ac:dyDescent="0.25">
      <c r="A29" s="4">
        <v>467</v>
      </c>
      <c r="B29" s="4" t="s">
        <v>106</v>
      </c>
      <c r="C29" s="24">
        <v>0.49267328321002424</v>
      </c>
      <c r="D29" s="24">
        <v>13630</v>
      </c>
      <c r="E29" s="32">
        <f t="shared" si="0"/>
        <v>13630.49267328321</v>
      </c>
    </row>
    <row r="30" spans="1:5" ht="15.75" x14ac:dyDescent="0.25">
      <c r="A30" s="4">
        <v>457</v>
      </c>
      <c r="B30" s="4" t="s">
        <v>107</v>
      </c>
      <c r="C30" s="24">
        <v>39014.871079023229</v>
      </c>
      <c r="D30" s="24">
        <v>17661</v>
      </c>
      <c r="E30" s="32">
        <f t="shared" si="0"/>
        <v>56675.871079023229</v>
      </c>
    </row>
    <row r="31" spans="1:5" ht="15.75" x14ac:dyDescent="0.25">
      <c r="A31" s="4">
        <v>232</v>
      </c>
      <c r="B31" s="4" t="s">
        <v>108</v>
      </c>
      <c r="C31" s="24">
        <v>0</v>
      </c>
      <c r="D31" s="24">
        <v>870</v>
      </c>
      <c r="E31" s="32">
        <f t="shared" si="0"/>
        <v>870</v>
      </c>
    </row>
    <row r="32" spans="1:5" ht="15.75" x14ac:dyDescent="0.25">
      <c r="A32" s="4">
        <v>407</v>
      </c>
      <c r="B32" s="4" t="s">
        <v>109</v>
      </c>
      <c r="C32" s="24">
        <v>0</v>
      </c>
      <c r="D32" s="24">
        <v>4379</v>
      </c>
      <c r="E32" s="32">
        <f t="shared" si="0"/>
        <v>4379</v>
      </c>
    </row>
    <row r="33" spans="1:5" ht="15.75" x14ac:dyDescent="0.25">
      <c r="A33" s="4">
        <v>471</v>
      </c>
      <c r="B33" s="4" t="s">
        <v>110</v>
      </c>
      <c r="C33" s="24">
        <v>0</v>
      </c>
      <c r="D33" s="24">
        <v>5017</v>
      </c>
      <c r="E33" s="32">
        <f t="shared" si="0"/>
        <v>5017</v>
      </c>
    </row>
    <row r="34" spans="1:5" ht="15.75" x14ac:dyDescent="0.25">
      <c r="A34" s="4">
        <v>238</v>
      </c>
      <c r="B34" s="4" t="s">
        <v>111</v>
      </c>
      <c r="C34" s="24">
        <v>0</v>
      </c>
      <c r="D34" s="24">
        <v>7308</v>
      </c>
      <c r="E34" s="32">
        <f t="shared" si="0"/>
        <v>7308</v>
      </c>
    </row>
    <row r="35" spans="1:5" ht="15.75" x14ac:dyDescent="0.25">
      <c r="A35" s="4">
        <v>239</v>
      </c>
      <c r="B35" s="4" t="s">
        <v>112</v>
      </c>
      <c r="C35" s="24">
        <v>0</v>
      </c>
      <c r="D35" s="24">
        <v>3509</v>
      </c>
      <c r="E35" s="32">
        <f t="shared" si="0"/>
        <v>3509</v>
      </c>
    </row>
    <row r="36" spans="1:5" ht="15.75" x14ac:dyDescent="0.25">
      <c r="A36" s="4">
        <v>227</v>
      </c>
      <c r="B36" s="4" t="s">
        <v>113</v>
      </c>
      <c r="C36" s="24">
        <v>0.31085999996867031</v>
      </c>
      <c r="D36" s="24">
        <v>7192</v>
      </c>
      <c r="E36" s="32">
        <f t="shared" si="0"/>
        <v>7192.3108599999687</v>
      </c>
    </row>
    <row r="37" spans="1:5" ht="15.75" x14ac:dyDescent="0.25">
      <c r="A37" s="4">
        <v>246</v>
      </c>
      <c r="B37" s="4" t="s">
        <v>114</v>
      </c>
      <c r="C37" s="24">
        <v>134.89999999999418</v>
      </c>
      <c r="D37" s="24">
        <v>2639</v>
      </c>
      <c r="E37" s="32">
        <f t="shared" si="0"/>
        <v>2773.8999999999942</v>
      </c>
    </row>
    <row r="38" spans="1:5" ht="15.75" x14ac:dyDescent="0.25">
      <c r="A38" s="4">
        <v>413</v>
      </c>
      <c r="B38" s="4" t="s">
        <v>115</v>
      </c>
      <c r="C38" s="24">
        <v>0.26793454575818032</v>
      </c>
      <c r="D38" s="24">
        <v>8497</v>
      </c>
      <c r="E38" s="32">
        <f t="shared" si="0"/>
        <v>8497.2679345457582</v>
      </c>
    </row>
    <row r="39" spans="1:5" ht="15.75" x14ac:dyDescent="0.25">
      <c r="A39" s="4">
        <v>258</v>
      </c>
      <c r="B39" s="4" t="s">
        <v>116</v>
      </c>
      <c r="C39" s="24">
        <v>0</v>
      </c>
      <c r="D39" s="24">
        <v>928</v>
      </c>
      <c r="E39" s="32">
        <f t="shared" si="0"/>
        <v>928</v>
      </c>
    </row>
    <row r="40" spans="1:5" ht="15.75" x14ac:dyDescent="0.25">
      <c r="A40" s="4">
        <v>249</v>
      </c>
      <c r="B40" s="4" t="s">
        <v>117</v>
      </c>
      <c r="C40" s="24">
        <v>1460.8982872726629</v>
      </c>
      <c r="D40" s="24">
        <v>11745</v>
      </c>
      <c r="E40" s="32">
        <f t="shared" si="0"/>
        <v>13205.898287272663</v>
      </c>
    </row>
    <row r="41" spans="1:5" ht="15.75" x14ac:dyDescent="0.25">
      <c r="A41" s="4">
        <v>251</v>
      </c>
      <c r="B41" s="4" t="s">
        <v>118</v>
      </c>
      <c r="C41" s="24">
        <v>49061.5</v>
      </c>
      <c r="D41" s="24">
        <v>6844</v>
      </c>
      <c r="E41" s="32">
        <f t="shared" si="0"/>
        <v>55905.5</v>
      </c>
    </row>
    <row r="42" spans="1:5" ht="15.75" x14ac:dyDescent="0.25">
      <c r="A42" s="4">
        <v>252</v>
      </c>
      <c r="B42" s="4" t="s">
        <v>119</v>
      </c>
      <c r="C42" s="24">
        <v>0</v>
      </c>
      <c r="D42" s="24">
        <v>580</v>
      </c>
      <c r="E42" s="32">
        <f t="shared" si="0"/>
        <v>580</v>
      </c>
    </row>
    <row r="43" spans="1:5" ht="15.75" x14ac:dyDescent="0.25">
      <c r="A43" s="4">
        <v>950</v>
      </c>
      <c r="B43" s="4" t="s">
        <v>121</v>
      </c>
      <c r="C43" s="24">
        <v>0</v>
      </c>
      <c r="D43" s="24">
        <v>0</v>
      </c>
      <c r="E43" s="32">
        <f t="shared" si="0"/>
        <v>0</v>
      </c>
    </row>
    <row r="44" spans="1:5" ht="15.75" x14ac:dyDescent="0.25">
      <c r="A44" s="4">
        <v>339</v>
      </c>
      <c r="B44" s="4" t="s">
        <v>123</v>
      </c>
      <c r="C44" s="24">
        <v>15230</v>
      </c>
      <c r="D44" s="24">
        <v>7192</v>
      </c>
      <c r="E44" s="32">
        <f t="shared" si="0"/>
        <v>22422</v>
      </c>
    </row>
    <row r="45" spans="1:5" ht="15.75" x14ac:dyDescent="0.25">
      <c r="A45" s="4">
        <v>254</v>
      </c>
      <c r="B45" s="4" t="s">
        <v>124</v>
      </c>
      <c r="C45" s="24">
        <v>2224</v>
      </c>
      <c r="D45" s="24">
        <v>493</v>
      </c>
      <c r="E45" s="32">
        <f t="shared" si="0"/>
        <v>2717</v>
      </c>
    </row>
    <row r="46" spans="1:5" ht="15.75" x14ac:dyDescent="0.25">
      <c r="A46" s="4">
        <v>433</v>
      </c>
      <c r="B46" s="4" t="s">
        <v>125</v>
      </c>
      <c r="C46" s="24">
        <v>0</v>
      </c>
      <c r="D46" s="24">
        <v>5655</v>
      </c>
      <c r="E46" s="32">
        <f t="shared" si="0"/>
        <v>5655</v>
      </c>
    </row>
    <row r="47" spans="1:5" ht="15.75" x14ac:dyDescent="0.25">
      <c r="A47" s="4">
        <v>416</v>
      </c>
      <c r="B47" s="4" t="s">
        <v>126</v>
      </c>
      <c r="C47" s="24">
        <v>0</v>
      </c>
      <c r="D47" s="24">
        <v>6322</v>
      </c>
      <c r="E47" s="32">
        <f t="shared" si="0"/>
        <v>6322</v>
      </c>
    </row>
    <row r="48" spans="1:5" ht="15.75" x14ac:dyDescent="0.25">
      <c r="A48" s="4">
        <v>421</v>
      </c>
      <c r="B48" s="4" t="s">
        <v>127</v>
      </c>
      <c r="C48" s="24">
        <v>0.34659090940840542</v>
      </c>
      <c r="D48" s="24">
        <v>8903</v>
      </c>
      <c r="E48" s="32">
        <f t="shared" si="0"/>
        <v>8903.3465909094084</v>
      </c>
    </row>
    <row r="49" spans="1:5" ht="15.75" x14ac:dyDescent="0.25">
      <c r="A49" s="4">
        <v>257</v>
      </c>
      <c r="B49" s="4" t="s">
        <v>128</v>
      </c>
      <c r="C49" s="24">
        <v>41330</v>
      </c>
      <c r="D49" s="24">
        <v>7772</v>
      </c>
      <c r="E49" s="32">
        <f t="shared" si="0"/>
        <v>49102</v>
      </c>
    </row>
    <row r="50" spans="1:5" ht="15.75" x14ac:dyDescent="0.25">
      <c r="A50" s="4">
        <v>272</v>
      </c>
      <c r="B50" s="4" t="s">
        <v>129</v>
      </c>
      <c r="C50" s="24">
        <v>8038</v>
      </c>
      <c r="D50" s="24">
        <v>377</v>
      </c>
      <c r="E50" s="32">
        <f t="shared" si="0"/>
        <v>8415</v>
      </c>
    </row>
    <row r="51" spans="1:5" ht="15.75" x14ac:dyDescent="0.25">
      <c r="A51" s="4">
        <v>259</v>
      </c>
      <c r="B51" s="4" t="s">
        <v>130</v>
      </c>
      <c r="C51" s="24">
        <v>33135</v>
      </c>
      <c r="D51" s="24">
        <v>9164</v>
      </c>
      <c r="E51" s="32">
        <f t="shared" si="0"/>
        <v>42299</v>
      </c>
    </row>
    <row r="52" spans="1:5" ht="15.75" x14ac:dyDescent="0.25">
      <c r="A52" s="4">
        <v>344</v>
      </c>
      <c r="B52" s="4" t="s">
        <v>131</v>
      </c>
      <c r="C52" s="24">
        <v>27001.858931818395</v>
      </c>
      <c r="D52" s="24">
        <v>10092</v>
      </c>
      <c r="E52" s="32">
        <f t="shared" si="0"/>
        <v>37093.858931818395</v>
      </c>
    </row>
    <row r="53" spans="1:5" ht="15.75" x14ac:dyDescent="0.25">
      <c r="A53" s="4">
        <v>417</v>
      </c>
      <c r="B53" s="4" t="s">
        <v>132</v>
      </c>
      <c r="C53" s="24">
        <v>0</v>
      </c>
      <c r="D53" s="24">
        <v>5423</v>
      </c>
      <c r="E53" s="32">
        <f t="shared" si="0"/>
        <v>5423</v>
      </c>
    </row>
    <row r="54" spans="1:5" ht="15.75" x14ac:dyDescent="0.25">
      <c r="A54" s="4">
        <v>261</v>
      </c>
      <c r="B54" s="4" t="s">
        <v>133</v>
      </c>
      <c r="C54" s="24">
        <v>8942</v>
      </c>
      <c r="D54" s="24">
        <v>638</v>
      </c>
      <c r="E54" s="32">
        <f t="shared" si="0"/>
        <v>9580</v>
      </c>
    </row>
    <row r="55" spans="1:5" ht="15.75" x14ac:dyDescent="0.25">
      <c r="A55" s="4">
        <v>262</v>
      </c>
      <c r="B55" s="4" t="s">
        <v>134</v>
      </c>
      <c r="C55" s="24">
        <v>5167.5</v>
      </c>
      <c r="D55" s="24">
        <v>5684</v>
      </c>
      <c r="E55" s="32">
        <f t="shared" si="0"/>
        <v>10851.5</v>
      </c>
    </row>
    <row r="56" spans="1:5" ht="15.75" x14ac:dyDescent="0.25">
      <c r="A56" s="4">
        <v>370</v>
      </c>
      <c r="B56" s="4" t="s">
        <v>135</v>
      </c>
      <c r="C56" s="24">
        <v>89645</v>
      </c>
      <c r="D56" s="24">
        <v>5046</v>
      </c>
      <c r="E56" s="32">
        <f t="shared" si="0"/>
        <v>94691</v>
      </c>
    </row>
    <row r="57" spans="1:5" ht="15.75" x14ac:dyDescent="0.25">
      <c r="A57" s="4">
        <v>264</v>
      </c>
      <c r="B57" s="4" t="s">
        <v>136</v>
      </c>
      <c r="C57" s="24">
        <v>23937.799999999988</v>
      </c>
      <c r="D57" s="24">
        <v>6206</v>
      </c>
      <c r="E57" s="32">
        <f t="shared" si="0"/>
        <v>30143.799999999988</v>
      </c>
    </row>
    <row r="58" spans="1:5" ht="15.75" x14ac:dyDescent="0.25">
      <c r="A58" s="4">
        <v>266</v>
      </c>
      <c r="B58" s="4" t="s">
        <v>137</v>
      </c>
      <c r="C58" s="24">
        <v>0.29999999998835847</v>
      </c>
      <c r="D58" s="24">
        <v>7250</v>
      </c>
      <c r="E58" s="32">
        <f t="shared" si="0"/>
        <v>7250.2999999999884</v>
      </c>
    </row>
    <row r="59" spans="1:5" ht="15.75" x14ac:dyDescent="0.25">
      <c r="A59" s="4">
        <v>271</v>
      </c>
      <c r="B59" s="4" t="s">
        <v>138</v>
      </c>
      <c r="C59" s="24">
        <v>0</v>
      </c>
      <c r="D59" s="24">
        <v>3364</v>
      </c>
      <c r="E59" s="32">
        <f t="shared" si="0"/>
        <v>3364</v>
      </c>
    </row>
    <row r="60" spans="1:5" ht="15.75" x14ac:dyDescent="0.25">
      <c r="A60" s="4">
        <v>884</v>
      </c>
      <c r="B60" s="4" t="s">
        <v>139</v>
      </c>
      <c r="C60" s="24">
        <v>0</v>
      </c>
      <c r="D60" s="24">
        <v>0</v>
      </c>
      <c r="E60" s="32">
        <f t="shared" si="0"/>
        <v>0</v>
      </c>
    </row>
    <row r="61" spans="1:5" ht="15.75" x14ac:dyDescent="0.25">
      <c r="A61" s="4">
        <v>420</v>
      </c>
      <c r="B61" s="4" t="s">
        <v>140</v>
      </c>
      <c r="C61" s="24">
        <v>0.10000000000582077</v>
      </c>
      <c r="D61" s="24">
        <v>2842</v>
      </c>
      <c r="E61" s="32">
        <f t="shared" si="0"/>
        <v>2842.1000000000058</v>
      </c>
    </row>
    <row r="62" spans="1:5" ht="15.75" x14ac:dyDescent="0.25">
      <c r="A62" s="4">
        <v>308</v>
      </c>
      <c r="B62" s="4" t="s">
        <v>141</v>
      </c>
      <c r="C62" s="24">
        <v>80821.5</v>
      </c>
      <c r="D62" s="24">
        <v>6699</v>
      </c>
      <c r="E62" s="32">
        <f t="shared" si="0"/>
        <v>87520.5</v>
      </c>
    </row>
    <row r="63" spans="1:5" ht="15.75" x14ac:dyDescent="0.25">
      <c r="A63" s="4">
        <v>273</v>
      </c>
      <c r="B63" s="4" t="s">
        <v>142</v>
      </c>
      <c r="C63" s="24">
        <v>447.5</v>
      </c>
      <c r="D63" s="24">
        <v>261</v>
      </c>
      <c r="E63" s="32">
        <f t="shared" si="0"/>
        <v>708.5</v>
      </c>
    </row>
    <row r="64" spans="1:5" ht="15.75" x14ac:dyDescent="0.25">
      <c r="A64" s="4">
        <v>284</v>
      </c>
      <c r="B64" s="4" t="s">
        <v>143</v>
      </c>
      <c r="C64" s="24">
        <v>11432.5</v>
      </c>
      <c r="D64" s="24">
        <v>4118</v>
      </c>
      <c r="E64" s="32">
        <f t="shared" si="0"/>
        <v>15550.5</v>
      </c>
    </row>
    <row r="65" spans="1:5" ht="15.75" x14ac:dyDescent="0.25">
      <c r="A65" s="4">
        <v>274</v>
      </c>
      <c r="B65" s="4" t="s">
        <v>144</v>
      </c>
      <c r="C65" s="24">
        <v>0</v>
      </c>
      <c r="D65" s="24">
        <v>1682</v>
      </c>
      <c r="E65" s="32">
        <f t="shared" si="0"/>
        <v>1682</v>
      </c>
    </row>
    <row r="66" spans="1:5" ht="15.75" x14ac:dyDescent="0.25">
      <c r="A66" s="4">
        <v>435</v>
      </c>
      <c r="B66" s="4" t="s">
        <v>145</v>
      </c>
      <c r="C66" s="24">
        <v>0.29999999998835847</v>
      </c>
      <c r="D66" s="24">
        <v>3915</v>
      </c>
      <c r="E66" s="32">
        <f t="shared" si="0"/>
        <v>3915.2999999999884</v>
      </c>
    </row>
    <row r="67" spans="1:5" ht="15.75" x14ac:dyDescent="0.25">
      <c r="A67" s="4">
        <v>458</v>
      </c>
      <c r="B67" s="4" t="s">
        <v>146</v>
      </c>
      <c r="C67" s="24">
        <v>25306.25</v>
      </c>
      <c r="D67" s="24">
        <v>7337</v>
      </c>
      <c r="E67" s="32">
        <f t="shared" ref="E67:E116" si="1">SUM(C67:D67)</f>
        <v>32643.25</v>
      </c>
    </row>
    <row r="68" spans="1:5" ht="15.75" x14ac:dyDescent="0.25">
      <c r="A68" s="4">
        <v>280</v>
      </c>
      <c r="B68" s="4" t="s">
        <v>147</v>
      </c>
      <c r="C68" s="24">
        <v>89808.5</v>
      </c>
      <c r="D68" s="24">
        <v>7859</v>
      </c>
      <c r="E68" s="32">
        <f t="shared" si="1"/>
        <v>97667.5</v>
      </c>
    </row>
    <row r="69" spans="1:5" ht="15.75" x14ac:dyDescent="0.25">
      <c r="A69" s="4">
        <v>285</v>
      </c>
      <c r="B69" s="4" t="s">
        <v>148</v>
      </c>
      <c r="C69" s="24">
        <v>110204.5</v>
      </c>
      <c r="D69" s="24">
        <v>10759</v>
      </c>
      <c r="E69" s="32">
        <f t="shared" si="1"/>
        <v>120963.5</v>
      </c>
    </row>
    <row r="70" spans="1:5" ht="15.75" x14ac:dyDescent="0.25">
      <c r="A70" s="4">
        <v>287</v>
      </c>
      <c r="B70" s="4" t="s">
        <v>149</v>
      </c>
      <c r="C70" s="24">
        <v>1562.6666666666715</v>
      </c>
      <c r="D70" s="24">
        <v>783</v>
      </c>
      <c r="E70" s="32">
        <f t="shared" si="1"/>
        <v>2345.6666666666715</v>
      </c>
    </row>
    <row r="71" spans="1:5" ht="15.75" x14ac:dyDescent="0.25">
      <c r="A71" s="4">
        <v>288</v>
      </c>
      <c r="B71" s="4" t="s">
        <v>150</v>
      </c>
      <c r="C71" s="24">
        <v>24047.5</v>
      </c>
      <c r="D71" s="24">
        <v>9193</v>
      </c>
      <c r="E71" s="32">
        <f t="shared" si="1"/>
        <v>33240.5</v>
      </c>
    </row>
    <row r="72" spans="1:5" ht="15.75" x14ac:dyDescent="0.25">
      <c r="A72" s="4">
        <v>290</v>
      </c>
      <c r="B72" s="4" t="s">
        <v>151</v>
      </c>
      <c r="C72" s="24">
        <v>74215</v>
      </c>
      <c r="D72" s="24">
        <v>3857</v>
      </c>
      <c r="E72" s="32">
        <f t="shared" si="1"/>
        <v>78072</v>
      </c>
    </row>
    <row r="73" spans="1:5" ht="15.75" x14ac:dyDescent="0.25">
      <c r="A73" s="4">
        <v>291</v>
      </c>
      <c r="B73" s="4" t="s">
        <v>152</v>
      </c>
      <c r="C73" s="24">
        <v>114207</v>
      </c>
      <c r="D73" s="24">
        <v>9628</v>
      </c>
      <c r="E73" s="32">
        <f t="shared" si="1"/>
        <v>123835</v>
      </c>
    </row>
    <row r="74" spans="1:5" ht="15.75" x14ac:dyDescent="0.25">
      <c r="A74" s="4">
        <v>292</v>
      </c>
      <c r="B74" s="4" t="s">
        <v>153</v>
      </c>
      <c r="C74" s="24">
        <v>0</v>
      </c>
      <c r="D74" s="24">
        <v>2233</v>
      </c>
      <c r="E74" s="32">
        <f t="shared" si="1"/>
        <v>2233</v>
      </c>
    </row>
    <row r="75" spans="1:5" ht="15.75" x14ac:dyDescent="0.25">
      <c r="A75" s="4">
        <v>294</v>
      </c>
      <c r="B75" s="4" t="s">
        <v>154</v>
      </c>
      <c r="C75" s="24">
        <v>46066.5</v>
      </c>
      <c r="D75" s="24">
        <v>9686</v>
      </c>
      <c r="E75" s="32">
        <f t="shared" si="1"/>
        <v>55752.5</v>
      </c>
    </row>
    <row r="76" spans="1:5" ht="15.75" x14ac:dyDescent="0.25">
      <c r="A76" s="4">
        <v>295</v>
      </c>
      <c r="B76" s="4" t="s">
        <v>155</v>
      </c>
      <c r="C76" s="24">
        <v>179770.5</v>
      </c>
      <c r="D76" s="24">
        <v>5336</v>
      </c>
      <c r="E76" s="32">
        <f t="shared" si="1"/>
        <v>185106.5</v>
      </c>
    </row>
    <row r="77" spans="1:5" ht="15.75" x14ac:dyDescent="0.25">
      <c r="A77" s="4">
        <v>301</v>
      </c>
      <c r="B77" s="4" t="s">
        <v>156</v>
      </c>
      <c r="C77" s="24">
        <v>42178.5</v>
      </c>
      <c r="D77" s="24">
        <v>783</v>
      </c>
      <c r="E77" s="32">
        <f t="shared" si="1"/>
        <v>42961.5</v>
      </c>
    </row>
    <row r="78" spans="1:5" ht="15.75" x14ac:dyDescent="0.25">
      <c r="A78" s="4">
        <v>478</v>
      </c>
      <c r="B78" s="4" t="s">
        <v>157</v>
      </c>
      <c r="C78" s="24">
        <v>0</v>
      </c>
      <c r="D78" s="24">
        <v>6119</v>
      </c>
      <c r="E78" s="32">
        <f t="shared" si="1"/>
        <v>6119</v>
      </c>
    </row>
    <row r="79" spans="1:5" ht="15.75" x14ac:dyDescent="0.25">
      <c r="A79" s="4">
        <v>299</v>
      </c>
      <c r="B79" s="4" t="s">
        <v>158</v>
      </c>
      <c r="C79" s="24">
        <v>159609</v>
      </c>
      <c r="D79" s="24">
        <v>9019</v>
      </c>
      <c r="E79" s="32">
        <f t="shared" si="1"/>
        <v>168628</v>
      </c>
    </row>
    <row r="80" spans="1:5" ht="15.75" x14ac:dyDescent="0.25">
      <c r="A80" s="4">
        <v>300</v>
      </c>
      <c r="B80" s="4" t="s">
        <v>159</v>
      </c>
      <c r="C80" s="24">
        <v>0</v>
      </c>
      <c r="D80" s="24">
        <v>7714</v>
      </c>
      <c r="E80" s="32">
        <f t="shared" si="1"/>
        <v>7714</v>
      </c>
    </row>
    <row r="81" spans="1:5" ht="15.75" x14ac:dyDescent="0.25">
      <c r="A81" s="4">
        <v>316</v>
      </c>
      <c r="B81" s="4" t="s">
        <v>160</v>
      </c>
      <c r="C81" s="24">
        <v>0</v>
      </c>
      <c r="D81" s="24">
        <v>6206</v>
      </c>
      <c r="E81" s="32">
        <f t="shared" si="1"/>
        <v>6206</v>
      </c>
    </row>
    <row r="82" spans="1:5" ht="15.75" x14ac:dyDescent="0.25">
      <c r="A82" s="4">
        <v>302</v>
      </c>
      <c r="B82" s="4" t="s">
        <v>161</v>
      </c>
      <c r="C82" s="24">
        <v>0</v>
      </c>
      <c r="D82" s="24">
        <v>10875</v>
      </c>
      <c r="E82" s="32">
        <f t="shared" si="1"/>
        <v>10875</v>
      </c>
    </row>
    <row r="83" spans="1:5" ht="15.75" x14ac:dyDescent="0.25">
      <c r="A83" s="4">
        <v>304</v>
      </c>
      <c r="B83" s="4" t="s">
        <v>162</v>
      </c>
      <c r="C83" s="24">
        <v>77555.149999999994</v>
      </c>
      <c r="D83" s="24">
        <v>2030</v>
      </c>
      <c r="E83" s="32">
        <f t="shared" si="1"/>
        <v>79585.149999999994</v>
      </c>
    </row>
    <row r="84" spans="1:5" ht="15.75" x14ac:dyDescent="0.25">
      <c r="A84" s="4">
        <v>436</v>
      </c>
      <c r="B84" s="4" t="s">
        <v>163</v>
      </c>
      <c r="C84" s="24">
        <v>0</v>
      </c>
      <c r="D84" s="24">
        <v>5771</v>
      </c>
      <c r="E84" s="32">
        <f t="shared" si="1"/>
        <v>5771</v>
      </c>
    </row>
    <row r="85" spans="1:5" ht="15.75" x14ac:dyDescent="0.25">
      <c r="A85" s="4">
        <v>459</v>
      </c>
      <c r="B85" s="4" t="s">
        <v>165</v>
      </c>
      <c r="C85" s="24">
        <v>0</v>
      </c>
      <c r="D85" s="24">
        <v>16965</v>
      </c>
      <c r="E85" s="32">
        <f t="shared" si="1"/>
        <v>16965</v>
      </c>
    </row>
    <row r="86" spans="1:5" ht="15.75" x14ac:dyDescent="0.25">
      <c r="A86" s="4">
        <v>456</v>
      </c>
      <c r="B86" s="4" t="s">
        <v>167</v>
      </c>
      <c r="C86" s="24">
        <v>0</v>
      </c>
      <c r="D86" s="24">
        <v>0</v>
      </c>
      <c r="E86" s="32">
        <f t="shared" si="1"/>
        <v>0</v>
      </c>
    </row>
    <row r="87" spans="1:5" ht="15.75" x14ac:dyDescent="0.25">
      <c r="A87" s="4">
        <v>305</v>
      </c>
      <c r="B87" s="4" t="s">
        <v>168</v>
      </c>
      <c r="C87" s="24">
        <v>6176.5</v>
      </c>
      <c r="D87" s="24">
        <v>203</v>
      </c>
      <c r="E87" s="32">
        <f t="shared" si="1"/>
        <v>6379.5</v>
      </c>
    </row>
    <row r="88" spans="1:5" ht="15.75" x14ac:dyDescent="0.25">
      <c r="A88" s="4">
        <v>307</v>
      </c>
      <c r="B88" s="4" t="s">
        <v>169</v>
      </c>
      <c r="C88" s="24">
        <v>55622.5</v>
      </c>
      <c r="D88" s="24">
        <v>7656</v>
      </c>
      <c r="E88" s="32">
        <f t="shared" si="1"/>
        <v>63278.5</v>
      </c>
    </row>
    <row r="89" spans="1:5" ht="15.75" x14ac:dyDescent="0.25">
      <c r="A89" s="4">
        <v>409</v>
      </c>
      <c r="B89" s="4" t="s">
        <v>170</v>
      </c>
      <c r="C89" s="24">
        <v>0</v>
      </c>
      <c r="D89" s="24">
        <v>3538</v>
      </c>
      <c r="E89" s="32">
        <f t="shared" si="1"/>
        <v>3538</v>
      </c>
    </row>
    <row r="90" spans="1:5" ht="15.75" x14ac:dyDescent="0.25">
      <c r="A90" s="4">
        <v>466</v>
      </c>
      <c r="B90" s="4" t="s">
        <v>171</v>
      </c>
      <c r="C90" s="24">
        <v>0</v>
      </c>
      <c r="D90" s="24">
        <v>2900</v>
      </c>
      <c r="E90" s="32">
        <f t="shared" si="1"/>
        <v>2900</v>
      </c>
    </row>
    <row r="91" spans="1:5" ht="15.75" x14ac:dyDescent="0.25">
      <c r="A91" s="4">
        <v>175</v>
      </c>
      <c r="B91" s="4" t="s">
        <v>172</v>
      </c>
      <c r="C91" s="24">
        <v>31019</v>
      </c>
      <c r="D91" s="24">
        <v>667</v>
      </c>
      <c r="E91" s="32">
        <f t="shared" si="1"/>
        <v>31686</v>
      </c>
    </row>
    <row r="92" spans="1:5" ht="15.75" x14ac:dyDescent="0.25">
      <c r="A92" s="4">
        <v>309</v>
      </c>
      <c r="B92" s="4" t="s">
        <v>173</v>
      </c>
      <c r="C92" s="24">
        <v>185018</v>
      </c>
      <c r="D92" s="24">
        <v>5481</v>
      </c>
      <c r="E92" s="32">
        <f t="shared" si="1"/>
        <v>190499</v>
      </c>
    </row>
    <row r="93" spans="1:5" ht="15.75" x14ac:dyDescent="0.25">
      <c r="A93" s="4">
        <v>313</v>
      </c>
      <c r="B93" s="4" t="s">
        <v>174</v>
      </c>
      <c r="C93" s="24">
        <v>5214.5</v>
      </c>
      <c r="D93" s="24">
        <v>1798</v>
      </c>
      <c r="E93" s="32">
        <f t="shared" si="1"/>
        <v>7012.5</v>
      </c>
    </row>
    <row r="94" spans="1:5" ht="15.75" x14ac:dyDescent="0.25">
      <c r="A94" s="4">
        <v>315</v>
      </c>
      <c r="B94" s="4" t="s">
        <v>175</v>
      </c>
      <c r="C94" s="24">
        <v>109309.5</v>
      </c>
      <c r="D94" s="24">
        <v>5916</v>
      </c>
      <c r="E94" s="32">
        <f t="shared" si="1"/>
        <v>115225.5</v>
      </c>
    </row>
    <row r="95" spans="1:5" ht="15.75" x14ac:dyDescent="0.25">
      <c r="A95" s="4">
        <v>322</v>
      </c>
      <c r="B95" s="4" t="s">
        <v>176</v>
      </c>
      <c r="C95" s="24">
        <v>110441.5</v>
      </c>
      <c r="D95" s="24">
        <v>5887</v>
      </c>
      <c r="E95" s="32">
        <f t="shared" si="1"/>
        <v>116328.5</v>
      </c>
    </row>
    <row r="96" spans="1:5" ht="15.75" x14ac:dyDescent="0.25">
      <c r="A96" s="4">
        <v>427</v>
      </c>
      <c r="B96" s="4" t="s">
        <v>177</v>
      </c>
      <c r="C96" s="24">
        <v>2539</v>
      </c>
      <c r="D96" s="24">
        <v>5481</v>
      </c>
      <c r="E96" s="32">
        <f t="shared" si="1"/>
        <v>8020</v>
      </c>
    </row>
    <row r="97" spans="1:5" ht="15.75" x14ac:dyDescent="0.25">
      <c r="A97" s="4">
        <v>319</v>
      </c>
      <c r="B97" s="4" t="s">
        <v>178</v>
      </c>
      <c r="C97" s="24">
        <v>186309</v>
      </c>
      <c r="D97" s="24">
        <v>13079</v>
      </c>
      <c r="E97" s="32">
        <f t="shared" si="1"/>
        <v>199388</v>
      </c>
    </row>
    <row r="98" spans="1:5" ht="15.75" x14ac:dyDescent="0.25">
      <c r="A98" s="4">
        <v>321</v>
      </c>
      <c r="B98" s="4" t="s">
        <v>179</v>
      </c>
      <c r="C98" s="24">
        <v>0</v>
      </c>
      <c r="D98" s="24">
        <v>928</v>
      </c>
      <c r="E98" s="32">
        <f t="shared" si="1"/>
        <v>928</v>
      </c>
    </row>
    <row r="99" spans="1:5" ht="15.75" x14ac:dyDescent="0.25">
      <c r="A99" s="4">
        <v>428</v>
      </c>
      <c r="B99" s="4" t="s">
        <v>180</v>
      </c>
      <c r="C99" s="24">
        <v>0.20000000001164153</v>
      </c>
      <c r="D99" s="24">
        <v>4234</v>
      </c>
      <c r="E99" s="32">
        <f t="shared" si="1"/>
        <v>4234.2000000000116</v>
      </c>
    </row>
    <row r="100" spans="1:5" ht="15.75" x14ac:dyDescent="0.25">
      <c r="A100" s="4">
        <v>324</v>
      </c>
      <c r="B100" s="4" t="s">
        <v>181</v>
      </c>
      <c r="C100" s="24">
        <v>11327.099999999977</v>
      </c>
      <c r="D100" s="24">
        <v>6612</v>
      </c>
      <c r="E100" s="32">
        <f t="shared" si="1"/>
        <v>17939.099999999977</v>
      </c>
    </row>
    <row r="101" spans="1:5" ht="15.75" x14ac:dyDescent="0.25">
      <c r="A101" s="4">
        <v>325</v>
      </c>
      <c r="B101" s="4" t="s">
        <v>182</v>
      </c>
      <c r="C101" s="24">
        <v>0</v>
      </c>
      <c r="D101" s="24">
        <v>9135</v>
      </c>
      <c r="E101" s="32">
        <f t="shared" si="1"/>
        <v>9135</v>
      </c>
    </row>
    <row r="102" spans="1:5" ht="15.75" x14ac:dyDescent="0.25">
      <c r="A102" s="4">
        <v>326</v>
      </c>
      <c r="B102" s="4" t="s">
        <v>183</v>
      </c>
      <c r="C102" s="24">
        <v>0</v>
      </c>
      <c r="D102" s="24">
        <v>3828</v>
      </c>
      <c r="E102" s="32">
        <f t="shared" si="1"/>
        <v>3828</v>
      </c>
    </row>
    <row r="103" spans="1:5" ht="15.75" x14ac:dyDescent="0.25">
      <c r="A103" s="4">
        <v>327</v>
      </c>
      <c r="B103" s="4" t="s">
        <v>184</v>
      </c>
      <c r="C103" s="24">
        <v>0</v>
      </c>
      <c r="D103" s="24">
        <v>13514</v>
      </c>
      <c r="E103" s="32">
        <f t="shared" si="1"/>
        <v>13514</v>
      </c>
    </row>
    <row r="104" spans="1:5" ht="15.75" x14ac:dyDescent="0.25">
      <c r="A104" s="4">
        <v>328</v>
      </c>
      <c r="B104" s="4" t="s">
        <v>185</v>
      </c>
      <c r="C104" s="24">
        <v>0.25</v>
      </c>
      <c r="D104" s="24">
        <v>9483</v>
      </c>
      <c r="E104" s="32">
        <f t="shared" si="1"/>
        <v>9483.25</v>
      </c>
    </row>
    <row r="105" spans="1:5" ht="15.75" x14ac:dyDescent="0.25">
      <c r="A105" s="4">
        <v>329</v>
      </c>
      <c r="B105" s="4" t="s">
        <v>186</v>
      </c>
      <c r="C105" s="24">
        <v>33378.561652235105</v>
      </c>
      <c r="D105" s="24">
        <v>12963</v>
      </c>
      <c r="E105" s="32">
        <f t="shared" si="1"/>
        <v>46341.561652235105</v>
      </c>
    </row>
    <row r="106" spans="1:5" ht="15.75" x14ac:dyDescent="0.25">
      <c r="A106" s="4">
        <v>330</v>
      </c>
      <c r="B106" s="4" t="s">
        <v>187</v>
      </c>
      <c r="C106" s="24">
        <v>20243</v>
      </c>
      <c r="D106" s="24">
        <v>5945</v>
      </c>
      <c r="E106" s="32">
        <f t="shared" si="1"/>
        <v>26188</v>
      </c>
    </row>
    <row r="107" spans="1:5" ht="15.75" x14ac:dyDescent="0.25">
      <c r="A107" s="4">
        <v>331</v>
      </c>
      <c r="B107" s="4" t="s">
        <v>188</v>
      </c>
      <c r="C107" s="24">
        <v>35519.5</v>
      </c>
      <c r="D107" s="24">
        <v>1421</v>
      </c>
      <c r="E107" s="32">
        <f t="shared" si="1"/>
        <v>36940.5</v>
      </c>
    </row>
    <row r="108" spans="1:5" ht="15.75" x14ac:dyDescent="0.25">
      <c r="A108" s="4">
        <v>332</v>
      </c>
      <c r="B108" s="4" t="s">
        <v>189</v>
      </c>
      <c r="C108" s="24">
        <v>45842.400000000023</v>
      </c>
      <c r="D108" s="24">
        <v>11165</v>
      </c>
      <c r="E108" s="32">
        <f t="shared" si="1"/>
        <v>57007.400000000023</v>
      </c>
    </row>
    <row r="109" spans="1:5" ht="15.75" x14ac:dyDescent="0.25">
      <c r="A109" s="4">
        <v>474</v>
      </c>
      <c r="B109" s="4" t="s">
        <v>190</v>
      </c>
      <c r="C109" s="24">
        <v>0</v>
      </c>
      <c r="D109" s="24">
        <v>0</v>
      </c>
      <c r="E109" s="32">
        <f t="shared" si="1"/>
        <v>0</v>
      </c>
    </row>
    <row r="110" spans="1:5" ht="15.75" x14ac:dyDescent="0.25">
      <c r="A110" s="4">
        <v>333</v>
      </c>
      <c r="B110" s="4" t="s">
        <v>192</v>
      </c>
      <c r="C110" s="24">
        <v>0</v>
      </c>
      <c r="D110" s="24">
        <v>3422</v>
      </c>
      <c r="E110" s="32">
        <f t="shared" si="1"/>
        <v>3422</v>
      </c>
    </row>
    <row r="111" spans="1:5" ht="15.75" x14ac:dyDescent="0.25">
      <c r="A111" s="4">
        <v>336</v>
      </c>
      <c r="B111" s="4" t="s">
        <v>193</v>
      </c>
      <c r="C111" s="24">
        <v>21841.200000000012</v>
      </c>
      <c r="D111" s="24">
        <v>4872</v>
      </c>
      <c r="E111" s="32">
        <f t="shared" si="1"/>
        <v>26713.200000000012</v>
      </c>
    </row>
    <row r="112" spans="1:5" ht="15.75" x14ac:dyDescent="0.25">
      <c r="A112" s="4">
        <v>335</v>
      </c>
      <c r="B112" s="4" t="s">
        <v>194</v>
      </c>
      <c r="C112" s="24">
        <v>0</v>
      </c>
      <c r="D112" s="24">
        <v>7627</v>
      </c>
      <c r="E112" s="32">
        <f t="shared" si="1"/>
        <v>7627</v>
      </c>
    </row>
    <row r="113" spans="1:5" ht="15.75" x14ac:dyDescent="0.25">
      <c r="A113" s="4">
        <v>338</v>
      </c>
      <c r="B113" s="4" t="s">
        <v>195</v>
      </c>
      <c r="C113" s="24">
        <v>0</v>
      </c>
      <c r="D113" s="24">
        <v>6293</v>
      </c>
      <c r="E113" s="32">
        <f t="shared" si="1"/>
        <v>6293</v>
      </c>
    </row>
    <row r="114" spans="1:5" ht="15.75" x14ac:dyDescent="0.25">
      <c r="A114" s="4">
        <v>463</v>
      </c>
      <c r="B114" s="4" t="s">
        <v>196</v>
      </c>
      <c r="C114" s="24">
        <v>0</v>
      </c>
      <c r="D114" s="24">
        <v>17400</v>
      </c>
      <c r="E114" s="32">
        <f t="shared" si="1"/>
        <v>17400</v>
      </c>
    </row>
    <row r="115" spans="1:5" ht="15.75" x14ac:dyDescent="0.25">
      <c r="A115" s="4">
        <v>464</v>
      </c>
      <c r="B115" s="4" t="s">
        <v>197</v>
      </c>
      <c r="C115" s="24">
        <v>0</v>
      </c>
      <c r="D115" s="24">
        <v>14065</v>
      </c>
      <c r="E115" s="32">
        <f t="shared" si="1"/>
        <v>14065</v>
      </c>
    </row>
    <row r="116" spans="1:5" ht="15.75" x14ac:dyDescent="0.25">
      <c r="A116" s="4">
        <v>861</v>
      </c>
      <c r="B116" s="13" t="s">
        <v>198</v>
      </c>
      <c r="C116" s="24">
        <v>0</v>
      </c>
      <c r="D116" s="24">
        <v>0</v>
      </c>
      <c r="E116" s="3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 Budget Allocations</vt:lpstr>
      <vt:lpstr>Enrollment Sum</vt:lpstr>
      <vt:lpstr>Special ED</vt:lpstr>
      <vt:lpstr>ELL sum</vt:lpstr>
      <vt:lpstr>Title</vt:lpstr>
      <vt:lpstr>ASP-ECR</vt:lpstr>
      <vt:lpstr>SIg</vt:lpstr>
      <vt:lpstr>Initial allocations</vt:lpstr>
      <vt:lpstr>At-Risk updating </vt:lpstr>
      <vt:lpstr>Initial At-Risk Allocation</vt:lpstr>
    </vt:vector>
  </TitlesOfParts>
  <Company>DC Government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Meyer, Annie (DCPS)</dc:creator>
  <cp:lastModifiedBy>Meyer, Annie (DCPS)</cp:lastModifiedBy>
  <dcterms:created xsi:type="dcterms:W3CDTF">2017-04-18T19:42:18Z</dcterms:created>
  <dcterms:modified xsi:type="dcterms:W3CDTF">2017-04-19T20:37:58Z</dcterms:modified>
</cp:coreProperties>
</file>