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ag\Documents\Python\project01\data\raw_data\ComparisonEstimates\"/>
    </mc:Choice>
  </mc:AlternateContent>
  <xr:revisionPtr revIDLastSave="0" documentId="13_ncr:1_{A7ED7DAF-DB53-4008-B112-3AE1E9DFD4A1}" xr6:coauthVersionLast="47" xr6:coauthVersionMax="47" xr10:uidLastSave="{00000000-0000-0000-0000-000000000000}"/>
  <bookViews>
    <workbookView xWindow="-120" yWindow="-120" windowWidth="29040" windowHeight="15720" activeTab="8" xr2:uid="{00000000-000D-0000-FFFF-FFFF00000000}"/>
  </bookViews>
  <sheets>
    <sheet name="GMSL" sheetId="1" r:id="rId1"/>
    <sheet name="Steric" sheetId="2" r:id="rId2"/>
    <sheet name="GIC" sheetId="3" r:id="rId3"/>
    <sheet name="GrIS" sheetId="5" r:id="rId4"/>
    <sheet name="AIS" sheetId="4" r:id="rId5"/>
    <sheet name="WAIS" sheetId="6" r:id="rId6"/>
    <sheet name="EAIS" sheetId="7" r:id="rId7"/>
    <sheet name="PEN" sheetId="9" r:id="rId8"/>
    <sheet name="All but GIC" sheetId="13" r:id="rId9"/>
    <sheet name="Expert" sheetId="8" r:id="rId10"/>
    <sheet name="transposed ar6" sheetId="11" r:id="rId11"/>
    <sheet name="Frederikse" sheetId="12" r:id="rId12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3" l="1"/>
  <c r="F17" i="13"/>
  <c r="G16" i="13"/>
  <c r="F16" i="13"/>
  <c r="G15" i="13"/>
  <c r="F15" i="13"/>
  <c r="G14" i="13"/>
  <c r="F14" i="13"/>
  <c r="S5" i="13"/>
  <c r="G5" i="13" s="1"/>
  <c r="R5" i="13"/>
  <c r="R12" i="11"/>
  <c r="Q12" i="11"/>
  <c r="R11" i="11"/>
  <c r="Q11" i="11"/>
  <c r="R10" i="11"/>
  <c r="Q10" i="11"/>
  <c r="R9" i="11"/>
  <c r="Q9" i="11"/>
  <c r="P12" i="11"/>
  <c r="O12" i="11"/>
  <c r="P11" i="11"/>
  <c r="O11" i="11"/>
  <c r="P10" i="11"/>
  <c r="O10" i="11"/>
  <c r="P9" i="11"/>
  <c r="O9" i="11"/>
  <c r="N12" i="11"/>
  <c r="M12" i="11"/>
  <c r="N11" i="11"/>
  <c r="M11" i="11"/>
  <c r="N10" i="11"/>
  <c r="M10" i="11"/>
  <c r="N9" i="11"/>
  <c r="M9" i="11"/>
  <c r="L12" i="11"/>
  <c r="K12" i="11"/>
  <c r="L11" i="11"/>
  <c r="K11" i="11"/>
  <c r="L10" i="11"/>
  <c r="K10" i="11"/>
  <c r="L9" i="11"/>
  <c r="K9" i="11"/>
  <c r="J12" i="11"/>
  <c r="I12" i="11"/>
  <c r="J11" i="11"/>
  <c r="I11" i="11"/>
  <c r="J10" i="11"/>
  <c r="I10" i="11"/>
  <c r="J9" i="11"/>
  <c r="I9" i="11"/>
  <c r="H12" i="11"/>
  <c r="G12" i="11"/>
  <c r="H11" i="11"/>
  <c r="G11" i="11"/>
  <c r="H10" i="11"/>
  <c r="G10" i="11"/>
  <c r="H9" i="11"/>
  <c r="G9" i="11"/>
  <c r="F12" i="11"/>
  <c r="E12" i="11"/>
  <c r="F11" i="11"/>
  <c r="E11" i="11"/>
  <c r="F10" i="11"/>
  <c r="E10" i="11"/>
  <c r="F9" i="11"/>
  <c r="E9" i="11"/>
  <c r="G13" i="13"/>
  <c r="F13" i="13"/>
  <c r="G12" i="13"/>
  <c r="F12" i="13"/>
  <c r="G11" i="13"/>
  <c r="F11" i="13"/>
  <c r="F5" i="13"/>
  <c r="F5" i="1"/>
  <c r="G5" i="1"/>
  <c r="G10" i="13"/>
  <c r="G9" i="13"/>
  <c r="G8" i="13"/>
  <c r="G7" i="13"/>
  <c r="G6" i="13"/>
  <c r="F10" i="13"/>
  <c r="F9" i="13"/>
  <c r="F8" i="13"/>
  <c r="F7" i="13"/>
  <c r="F6" i="13"/>
  <c r="F5" i="9"/>
  <c r="E5" i="9"/>
  <c r="F5" i="7"/>
  <c r="E5" i="7"/>
  <c r="F5" i="6"/>
  <c r="E5" i="6"/>
  <c r="K2" i="5"/>
  <c r="L2" i="5"/>
  <c r="R7" i="11"/>
  <c r="P7" i="11"/>
  <c r="N7" i="11"/>
  <c r="L7" i="11"/>
  <c r="J7" i="11"/>
  <c r="H7" i="11"/>
  <c r="R6" i="11"/>
  <c r="P6" i="11"/>
  <c r="N6" i="11"/>
  <c r="L6" i="11"/>
  <c r="J6" i="11"/>
  <c r="H6" i="11"/>
  <c r="R5" i="11"/>
  <c r="P5" i="11"/>
  <c r="N5" i="11"/>
  <c r="L5" i="11"/>
  <c r="J5" i="11"/>
  <c r="H5" i="11"/>
  <c r="R4" i="11"/>
  <c r="P4" i="11"/>
  <c r="N4" i="11"/>
  <c r="L4" i="11"/>
  <c r="J4" i="11"/>
  <c r="H4" i="11"/>
  <c r="R3" i="11"/>
  <c r="P3" i="11"/>
  <c r="N3" i="11"/>
  <c r="L3" i="11"/>
  <c r="J3" i="11"/>
  <c r="H3" i="11"/>
  <c r="F7" i="11"/>
  <c r="F6" i="11"/>
  <c r="F5" i="11"/>
  <c r="F4" i="11"/>
  <c r="F3" i="11"/>
  <c r="D10" i="8"/>
  <c r="D9" i="8"/>
  <c r="D8" i="8"/>
  <c r="D7" i="8"/>
  <c r="D6" i="8"/>
  <c r="D5" i="8"/>
</calcChain>
</file>

<file path=xl/sharedStrings.xml><?xml version="1.0" encoding="utf-8"?>
<sst xmlns="http://schemas.openxmlformats.org/spreadsheetml/2006/main" count="707" uniqueCount="109">
  <si>
    <t>#</t>
  </si>
  <si>
    <t>std2likely</t>
  </si>
  <si>
    <t>std290</t>
  </si>
  <si>
    <t>Name</t>
  </si>
  <si>
    <t>Period start</t>
  </si>
  <si>
    <t>Period end</t>
  </si>
  <si>
    <t>Rate</t>
  </si>
  <si>
    <t>RateSigma</t>
  </si>
  <si>
    <t>Source</t>
  </si>
  <si>
    <t>Note</t>
  </si>
  <si>
    <t>https://www.earth-syst-sci-data.net/11/1189/2019/s</t>
  </si>
  <si>
    <t>Table needs careful readthrough</t>
  </si>
  <si>
    <t>Notes</t>
  </si>
  <si>
    <t>IMBIE2</t>
  </si>
  <si>
    <t>imbie2</t>
  </si>
  <si>
    <t>https://www.nature.com/articles/nature16183</t>
  </si>
  <si>
    <t>https://www.pnas.org/content/114/23/5946</t>
  </si>
  <si>
    <t>Kopp, R. E., Kemp, A. C., Bittermann, K., Horton, B. P., Donnelly, J. P., Gehrels, W. R., Hay, C. C., Mitrovica, J. X., Morrow, E. D., and Rahmstorf, S.: Temperature-driven global sea-level variability in the Common Era, P. Natl. Acad. Sci. USA, 113, E1434–E1441, 2016</t>
  </si>
  <si>
    <t xml:space="preserve">1850-1900 Estimate based on this paper provided by Kopp by email </t>
  </si>
  <si>
    <t>Expert estimates from Bamber PNAS 2019</t>
  </si>
  <si>
    <t>GMSL</t>
  </si>
  <si>
    <t>T2100</t>
  </si>
  <si>
    <t>avgT during 21stC</t>
  </si>
  <si>
    <t>SLR 5</t>
  </si>
  <si>
    <t>SLR 17</t>
  </si>
  <si>
    <t>SLR 50</t>
  </si>
  <si>
    <t>SLR 83</t>
  </si>
  <si>
    <t>SLR 95</t>
  </si>
  <si>
    <t>AIS</t>
  </si>
  <si>
    <t>GrIS</t>
  </si>
  <si>
    <t xml:space="preserve">Table2 https://www.pnas.org/content/116/23/11195 </t>
  </si>
  <si>
    <t>IMBIE 2, https://www.nature.com/articles/s41586-018-0179-y</t>
  </si>
  <si>
    <t>IMBIE 2, https://www.nature.com/articles/s41586-018-0179-y/tables/1</t>
  </si>
  <si>
    <t>Temperatures given relative to the preindustrial (1850-1900)</t>
  </si>
  <si>
    <t>https://www.nature.com/articles/s41586-019-1071-0?TB_iframe=true&amp;width=921.6&amp;height=921.6</t>
  </si>
  <si>
    <t>ar6 table 9.5</t>
  </si>
  <si>
    <t>Thermal expansion</t>
  </si>
  <si>
    <t>range</t>
  </si>
  <si>
    <t>mm/yr</t>
  </si>
  <si>
    <t>1901-1990</t>
  </si>
  <si>
    <t>{9.6.1.1}</t>
  </si>
  <si>
    <t>1971-2018</t>
  </si>
  <si>
    <t>{CCBox 9.1}</t>
  </si>
  <si>
    <t>1993-2018</t>
  </si>
  <si>
    <t>{9.6.1.2}</t>
  </si>
  <si>
    <t>2006-2018</t>
  </si>
  <si>
    <t>1901-2018</t>
  </si>
  <si>
    <t>Observed contribution</t>
  </si>
  <si>
    <t>to GMSL change</t>
  </si>
  <si>
    <t>Glaciers (ex. peripheral)</t>
  </si>
  <si>
    <t>Greenland incl. periphery</t>
  </si>
  <si>
    <t>Antarctic ice sheet (Incl. peripheral)</t>
  </si>
  <si>
    <t>Land water storage</t>
  </si>
  <si>
    <t>Sum</t>
  </si>
  <si>
    <t>observed GMSL</t>
  </si>
  <si>
    <t>https://www.ipcc.ch/report/ar6/wg1/downloads/report/IPCC_AR6_WGI_Chapter_09.pdf</t>
  </si>
  <si>
    <t>TODO: use non-overlapping periods from Zanna et al instead of ar6</t>
  </si>
  <si>
    <t>this has been updated-reflect the revisions in table 9.1</t>
  </si>
  <si>
    <t>AR6</t>
  </si>
  <si>
    <t>AR6 ch9</t>
  </si>
  <si>
    <t>ar6</t>
  </si>
  <si>
    <t>Does this include the periphery</t>
  </si>
  <si>
    <t>Frederikse</t>
  </si>
  <si>
    <t>FrederikseRate</t>
  </si>
  <si>
    <t>#1901-2018</t>
  </si>
  <si>
    <t>Component</t>
  </si>
  <si>
    <t xml:space="preserve"> </t>
  </si>
  <si>
    <t>obs</t>
  </si>
  <si>
    <t>steric</t>
  </si>
  <si>
    <t>grd_glac</t>
  </si>
  <si>
    <t>grd_GrIS</t>
  </si>
  <si>
    <t>grd_AIS</t>
  </si>
  <si>
    <t>grd_tws</t>
  </si>
  <si>
    <t>grd_total</t>
  </si>
  <si>
    <t>grd_tws_natural</t>
  </si>
  <si>
    <t>nan</t>
  </si>
  <si>
    <t>grd_tws_gwd</t>
  </si>
  <si>
    <t>grd_tws_dam</t>
  </si>
  <si>
    <t>grd_ice</t>
  </si>
  <si>
    <t>altimetry</t>
  </si>
  <si>
    <t>budget</t>
  </si>
  <si>
    <t>diff</t>
  </si>
  <si>
    <t>obs_steric</t>
  </si>
  <si>
    <t>Directly from frederikse data file … 90% comnverted to sigma</t>
  </si>
  <si>
    <t>glac</t>
  </si>
  <si>
    <t>glacsigma</t>
  </si>
  <si>
    <t>gmslrate</t>
  </si>
  <si>
    <t>gmslsigma</t>
  </si>
  <si>
    <t>#glac numbers from https://link.springer.com/article/10.1007/s10712-011-9121-7</t>
  </si>
  <si>
    <t>1850-1900</t>
  </si>
  <si>
    <t>1900-1956</t>
  </si>
  <si>
    <t>1957-1993</t>
  </si>
  <si>
    <t>Frederikse (altimetry)</t>
  </si>
  <si>
    <t>Frederikse (obs)</t>
  </si>
  <si>
    <t>is this sönke</t>
  </si>
  <si>
    <t>Frederikse obs_steric</t>
  </si>
  <si>
    <t>#glac numbers from leclercq update (published in marzeion 2015)</t>
  </si>
  <si>
    <t>Frederikse grd_glac</t>
  </si>
  <si>
    <t>Frederikse grd_gris</t>
  </si>
  <si>
    <t>Frederikse grd_ais</t>
  </si>
  <si>
    <t>frederikse trend</t>
  </si>
  <si>
    <t>Ftrendsigma</t>
  </si>
  <si>
    <t xml:space="preserve"> Polyfit trend</t>
  </si>
  <si>
    <t>Home cooked sigma</t>
  </si>
  <si>
    <t>1993-2005</t>
  </si>
  <si>
    <t>1971-1992</t>
  </si>
  <si>
    <t>1901-1970</t>
  </si>
  <si>
    <t>Derived non-overlapping values (errors become too conservative using this approach)</t>
  </si>
  <si>
    <t xml:space="preserve">non-overlapping derived from AR6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</si>
</sst>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name val="Consolas"/>
      <family val="3"/>
    </font>
    <font>
      <b/>
      <sz val="10"/>
      <color rgb="FF000000"/>
      <name val="Consolas"/>
      <family val="3"/>
    </font>
    <font>
      <sz val="10"/>
      <color rgb="FF000000"/>
      <name val="Consolas"/>
      <family val="3"/>
    </font>
    <font>
      <sz val="11"/>
      <color rgb="FF9C5700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3C4043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</cellStyleXfs>
  <cellXfs count="36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Alignment="1"/>
    <xf numFmtId="0" fontId="5" fillId="0" borderId="0" xfId="0" applyFont="1" applyAlignment="1"/>
    <xf numFmtId="0" fontId="6" fillId="0" borderId="0" xfId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2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2" fillId="0" borderId="0" xfId="0" applyNumberFormat="1" applyFont="1" applyAlignment="1">
      <alignment horizontal="right"/>
    </xf>
    <xf numFmtId="0" fontId="10" fillId="0" borderId="0" xfId="0" applyFont="1" applyAlignment="1">
      <alignment horizontal="right" vertical="center"/>
    </xf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0" fontId="13" fillId="3" borderId="0" xfId="2" applyAlignment="1"/>
    <xf numFmtId="0" fontId="0" fillId="0" borderId="0" xfId="0" applyFont="1" applyAlignment="1">
      <alignment horizontal="right"/>
    </xf>
    <xf numFmtId="0" fontId="16" fillId="0" borderId="0" xfId="0" applyFont="1" applyAlignment="1"/>
    <xf numFmtId="0" fontId="17" fillId="0" borderId="0" xfId="0" applyFont="1" applyAlignment="1"/>
    <xf numFmtId="0" fontId="17" fillId="0" borderId="0" xfId="0" applyFont="1" applyAlignment="1">
      <alignment vertical="center" wrapText="1"/>
    </xf>
    <xf numFmtId="0" fontId="15" fillId="5" borderId="0" xfId="4" applyAlignment="1"/>
    <xf numFmtId="0" fontId="14" fillId="4" borderId="0" xfId="3" applyAlignment="1"/>
    <xf numFmtId="0" fontId="0" fillId="0" borderId="0" xfId="0" applyFont="1" applyAlignment="1">
      <alignment horizontal="left"/>
    </xf>
    <xf numFmtId="2" fontId="0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5">
    <cellStyle name="Bad" xfId="4" builtinId="27"/>
    <cellStyle name="Good" xfId="3" builtinId="26"/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nas.org/content/114/23/5946" TargetMode="External"/><Relationship Id="rId1" Type="http://schemas.openxmlformats.org/officeDocument/2006/relationships/hyperlink" Target="https://www.earth-syst-sci-data.net/11/1189/2019/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arth-syst-sci-data.net/11/1189/2019/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ature.com/articles/nature1618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pnas.org/content/114/23/5946" TargetMode="External"/><Relationship Id="rId1" Type="http://schemas.openxmlformats.org/officeDocument/2006/relationships/hyperlink" Target="https://www.earth-syst-sci-data.net/11/1189/2019/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22"/>
  <sheetViews>
    <sheetView workbookViewId="0">
      <selection activeCell="F5" sqref="F5:G17"/>
    </sheetView>
  </sheetViews>
  <sheetFormatPr defaultColWidth="14.42578125" defaultRowHeight="15.75" customHeight="1" x14ac:dyDescent="0.2"/>
  <cols>
    <col min="1" max="1" width="6.42578125" style="34" customWidth="1"/>
    <col min="3" max="5" width="11.140625" customWidth="1"/>
  </cols>
  <sheetData>
    <row r="1" spans="1:19" ht="12.75" x14ac:dyDescent="0.2">
      <c r="A1" s="34" t="s">
        <v>0</v>
      </c>
      <c r="B1" s="1"/>
      <c r="E1" t="s">
        <v>62</v>
      </c>
      <c r="H1" s="1" t="s">
        <v>1</v>
      </c>
      <c r="I1" s="2">
        <v>0.95416999999999996</v>
      </c>
      <c r="J1" s="4" t="s">
        <v>10</v>
      </c>
    </row>
    <row r="2" spans="1:19" ht="12.75" x14ac:dyDescent="0.2">
      <c r="A2" s="34" t="s">
        <v>0</v>
      </c>
      <c r="B2" s="1"/>
      <c r="H2" s="1" t="s">
        <v>2</v>
      </c>
      <c r="I2" s="2">
        <v>3.2896999999999998</v>
      </c>
      <c r="J2" s="7" t="s">
        <v>16</v>
      </c>
    </row>
    <row r="3" spans="1:19" ht="12.75" x14ac:dyDescent="0.2">
      <c r="A3" s="34" t="s">
        <v>0</v>
      </c>
      <c r="B3" s="1"/>
      <c r="M3" s="20"/>
      <c r="N3" s="20"/>
      <c r="O3" s="20"/>
      <c r="P3" s="20"/>
      <c r="Q3" s="20"/>
      <c r="R3" s="20"/>
      <c r="S3" s="20"/>
    </row>
    <row r="4" spans="1:19" ht="12.75" x14ac:dyDescent="0.2">
      <c r="B4" s="3" t="s">
        <v>3</v>
      </c>
      <c r="C4" s="3" t="s">
        <v>4</v>
      </c>
      <c r="D4" s="3" t="s">
        <v>5</v>
      </c>
      <c r="E4" s="3" t="s">
        <v>63</v>
      </c>
      <c r="F4" s="3" t="s">
        <v>6</v>
      </c>
      <c r="G4" s="3" t="s">
        <v>7</v>
      </c>
      <c r="H4" s="3" t="s">
        <v>8</v>
      </c>
      <c r="I4" s="3" t="s">
        <v>9</v>
      </c>
      <c r="M4" s="20"/>
      <c r="N4" s="20"/>
      <c r="O4" s="20"/>
      <c r="P4" s="20"/>
      <c r="Q4" s="20"/>
      <c r="R4" s="20"/>
      <c r="S4" s="20"/>
    </row>
    <row r="5" spans="1:19" ht="12.75" x14ac:dyDescent="0.2">
      <c r="B5" s="1" t="s">
        <v>89</v>
      </c>
      <c r="C5" s="1">
        <v>1850</v>
      </c>
      <c r="D5" s="1">
        <v>1900</v>
      </c>
      <c r="E5" s="5"/>
      <c r="F5" s="5">
        <f>0.014*1000/50</f>
        <v>0.28000000000000003</v>
      </c>
      <c r="G5" s="5">
        <f>0.014*1000/50</f>
        <v>0.28000000000000003</v>
      </c>
      <c r="H5" s="1" t="s">
        <v>17</v>
      </c>
      <c r="I5" s="8" t="s">
        <v>18</v>
      </c>
      <c r="M5" s="20"/>
      <c r="N5" s="20"/>
      <c r="O5" s="20"/>
      <c r="P5" s="20"/>
      <c r="Q5" s="20"/>
      <c r="R5" s="20"/>
      <c r="S5" s="20"/>
    </row>
    <row r="6" spans="1:19" ht="12.75" x14ac:dyDescent="0.2">
      <c r="A6" s="34" t="s">
        <v>0</v>
      </c>
      <c r="B6" s="11" t="s">
        <v>39</v>
      </c>
      <c r="C6" s="1">
        <v>1901</v>
      </c>
      <c r="D6" s="1">
        <v>1990</v>
      </c>
      <c r="E6" s="5">
        <v>1.35</v>
      </c>
      <c r="F6" s="20">
        <v>1.35</v>
      </c>
      <c r="G6" s="20">
        <v>0.34653615831230811</v>
      </c>
      <c r="H6" s="11" t="s">
        <v>59</v>
      </c>
      <c r="M6" s="20"/>
      <c r="N6" s="20"/>
      <c r="O6" s="20"/>
      <c r="P6" s="20"/>
      <c r="Q6" s="20"/>
      <c r="R6" s="20"/>
      <c r="S6" s="20"/>
    </row>
    <row r="7" spans="1:19" ht="12.75" x14ac:dyDescent="0.2">
      <c r="A7" s="34" t="s">
        <v>0</v>
      </c>
      <c r="B7" s="11" t="s">
        <v>41</v>
      </c>
      <c r="C7" s="1">
        <v>1971</v>
      </c>
      <c r="D7" s="1">
        <v>2018</v>
      </c>
      <c r="E7" s="5">
        <v>2.31</v>
      </c>
      <c r="F7" s="20">
        <v>2.33</v>
      </c>
      <c r="G7" s="20">
        <v>0.47724716539502088</v>
      </c>
      <c r="H7" s="11" t="s">
        <v>59</v>
      </c>
      <c r="M7" s="20"/>
      <c r="N7" s="20"/>
      <c r="O7" s="20"/>
      <c r="P7" s="20"/>
      <c r="Q7" s="20"/>
      <c r="R7" s="20"/>
      <c r="S7" s="20"/>
    </row>
    <row r="8" spans="1:19" ht="12.75" x14ac:dyDescent="0.2">
      <c r="A8" s="34" t="s">
        <v>0</v>
      </c>
      <c r="B8" s="11" t="s">
        <v>43</v>
      </c>
      <c r="C8" s="5">
        <v>1993</v>
      </c>
      <c r="D8" s="5">
        <v>2018</v>
      </c>
      <c r="E8" s="5">
        <v>3.78</v>
      </c>
      <c r="F8" s="15">
        <v>3.25</v>
      </c>
      <c r="G8" s="15">
        <v>0.22190473295437274</v>
      </c>
      <c r="H8" s="11" t="s">
        <v>59</v>
      </c>
      <c r="M8" s="20"/>
      <c r="N8" s="20"/>
      <c r="O8" s="20"/>
      <c r="P8" s="20"/>
      <c r="Q8" s="20"/>
      <c r="R8" s="20"/>
      <c r="S8" s="20"/>
    </row>
    <row r="9" spans="1:19" ht="12.75" x14ac:dyDescent="0.2">
      <c r="A9" s="34" t="s">
        <v>0</v>
      </c>
      <c r="B9" s="11" t="s">
        <v>45</v>
      </c>
      <c r="C9" s="5">
        <v>2006</v>
      </c>
      <c r="D9" s="5">
        <v>2018</v>
      </c>
      <c r="E9" s="5">
        <v>3.89</v>
      </c>
      <c r="F9">
        <v>3.69</v>
      </c>
      <c r="G9">
        <v>0.29181992278931213</v>
      </c>
      <c r="H9" s="11" t="s">
        <v>59</v>
      </c>
      <c r="M9" s="20"/>
      <c r="N9" s="20"/>
      <c r="O9" s="20"/>
      <c r="P9" s="20"/>
      <c r="Q9" s="20"/>
      <c r="R9" s="20"/>
      <c r="S9" s="20"/>
    </row>
    <row r="10" spans="1:19" ht="12.75" x14ac:dyDescent="0.2">
      <c r="A10" s="34" t="s">
        <v>0</v>
      </c>
      <c r="B10" s="11" t="s">
        <v>64</v>
      </c>
      <c r="C10" s="5">
        <v>1901</v>
      </c>
      <c r="D10" s="5">
        <v>2018</v>
      </c>
      <c r="E10" s="5">
        <v>1.77</v>
      </c>
      <c r="F10">
        <v>1.73</v>
      </c>
      <c r="G10">
        <v>0.27054138675259143</v>
      </c>
      <c r="H10" s="11" t="s">
        <v>59</v>
      </c>
      <c r="M10" s="20"/>
      <c r="N10" s="20"/>
      <c r="O10" s="20"/>
      <c r="P10" s="20"/>
      <c r="Q10" s="20"/>
      <c r="R10" s="20"/>
      <c r="S10" s="20"/>
    </row>
    <row r="11" spans="1:19" ht="15.75" customHeight="1" x14ac:dyDescent="0.2">
      <c r="A11" s="34" t="s">
        <v>0</v>
      </c>
      <c r="B11" s="11" t="s">
        <v>90</v>
      </c>
      <c r="C11" s="27">
        <v>1900</v>
      </c>
      <c r="D11" s="5">
        <v>1956</v>
      </c>
      <c r="F11">
        <v>1.552</v>
      </c>
      <c r="G11">
        <v>0.28499999999999998</v>
      </c>
      <c r="H11" s="11" t="s">
        <v>93</v>
      </c>
      <c r="J11" s="11" t="s">
        <v>94</v>
      </c>
      <c r="M11" s="20"/>
      <c r="N11" s="20"/>
      <c r="O11" s="20"/>
      <c r="P11" s="20"/>
      <c r="Q11" s="20"/>
      <c r="R11" s="20"/>
      <c r="S11" s="20"/>
    </row>
    <row r="12" spans="1:19" ht="15.75" customHeight="1" x14ac:dyDescent="0.2">
      <c r="A12" s="34" t="s">
        <v>0</v>
      </c>
      <c r="B12" s="11" t="s">
        <v>91</v>
      </c>
      <c r="C12" s="28">
        <v>1957</v>
      </c>
      <c r="D12" s="5">
        <v>1993</v>
      </c>
      <c r="F12">
        <v>0.872</v>
      </c>
      <c r="G12">
        <v>0.23</v>
      </c>
      <c r="H12" s="11" t="s">
        <v>93</v>
      </c>
      <c r="M12" s="20"/>
      <c r="N12" s="20"/>
      <c r="O12" s="20"/>
      <c r="P12" s="20"/>
      <c r="Q12" s="20"/>
      <c r="R12" s="20"/>
      <c r="S12" s="20"/>
    </row>
    <row r="13" spans="1:19" ht="15.75" customHeight="1" x14ac:dyDescent="0.2">
      <c r="A13" s="34" t="s">
        <v>0</v>
      </c>
      <c r="B13" s="11" t="s">
        <v>43</v>
      </c>
      <c r="C13" s="28">
        <v>1993</v>
      </c>
      <c r="D13" s="5">
        <v>2018</v>
      </c>
      <c r="F13">
        <v>3.3149999999999999</v>
      </c>
      <c r="G13">
        <v>0.27600000000000002</v>
      </c>
      <c r="H13" s="11" t="s">
        <v>92</v>
      </c>
      <c r="M13" s="20"/>
      <c r="N13" s="20"/>
      <c r="O13" s="20"/>
      <c r="P13" s="20"/>
      <c r="Q13" s="20"/>
      <c r="R13" s="20"/>
      <c r="S13" s="20"/>
    </row>
    <row r="14" spans="1:19" ht="15.75" customHeight="1" x14ac:dyDescent="0.2">
      <c r="B14" s="13" t="s">
        <v>106</v>
      </c>
      <c r="C14" s="13">
        <v>1901</v>
      </c>
      <c r="D14" s="13">
        <v>1970</v>
      </c>
      <c r="E14" s="5"/>
      <c r="F14" s="13">
        <v>1.3463768115942027</v>
      </c>
      <c r="G14" s="13">
        <v>0.56224910751723212</v>
      </c>
      <c r="H14" s="11" t="s">
        <v>108</v>
      </c>
      <c r="M14" s="20"/>
      <c r="N14" s="20"/>
      <c r="O14" s="20"/>
      <c r="P14" s="20"/>
      <c r="Q14" s="20"/>
      <c r="R14" s="20"/>
      <c r="S14" s="20"/>
    </row>
    <row r="15" spans="1:19" ht="15.75" customHeight="1" x14ac:dyDescent="0.2">
      <c r="B15" s="13" t="s">
        <v>105</v>
      </c>
      <c r="C15" s="13">
        <v>1971</v>
      </c>
      <c r="D15" s="13">
        <v>1992</v>
      </c>
      <c r="F15" s="13">
        <v>1.3457142857142859</v>
      </c>
      <c r="G15" s="13">
        <v>1.1003077676127404</v>
      </c>
      <c r="H15" s="11" t="s">
        <v>108</v>
      </c>
      <c r="M15" s="20"/>
      <c r="N15" s="20"/>
      <c r="O15" s="20"/>
      <c r="P15" s="20"/>
      <c r="Q15" s="20"/>
      <c r="R15" s="20"/>
      <c r="S15" s="20"/>
    </row>
    <row r="16" spans="1:19" ht="15.75" customHeight="1" x14ac:dyDescent="0.2">
      <c r="B16" s="13" t="s">
        <v>104</v>
      </c>
      <c r="C16" s="13">
        <v>1993</v>
      </c>
      <c r="D16" s="13">
        <v>2005</v>
      </c>
      <c r="F16" s="13">
        <v>3.0808333333333331</v>
      </c>
      <c r="G16" s="13">
        <v>0.54670062117437934</v>
      </c>
      <c r="H16" s="11" t="s">
        <v>108</v>
      </c>
      <c r="M16" s="20"/>
      <c r="N16" s="20"/>
      <c r="O16" s="20"/>
      <c r="P16" s="20"/>
      <c r="Q16" s="20"/>
      <c r="R16" s="20"/>
      <c r="S16" s="20"/>
    </row>
    <row r="17" spans="2:19" ht="15.75" customHeight="1" x14ac:dyDescent="0.2">
      <c r="B17" s="13" t="s">
        <v>45</v>
      </c>
      <c r="C17" s="13">
        <v>2006</v>
      </c>
      <c r="D17" s="13">
        <v>2018</v>
      </c>
      <c r="F17" s="13">
        <v>3.69</v>
      </c>
      <c r="G17" s="13">
        <v>0.29181992278931213</v>
      </c>
      <c r="H17" s="11" t="s">
        <v>108</v>
      </c>
      <c r="M17" s="20"/>
      <c r="N17" s="20"/>
      <c r="O17" s="20"/>
      <c r="P17" s="20"/>
      <c r="Q17" s="20"/>
      <c r="R17" s="20"/>
      <c r="S17" s="20"/>
    </row>
    <row r="18" spans="2:19" ht="15.75" customHeight="1" x14ac:dyDescent="0.2">
      <c r="C18" s="26"/>
      <c r="S18" s="20"/>
    </row>
    <row r="19" spans="2:19" ht="15.75" customHeight="1" x14ac:dyDescent="0.2">
      <c r="S19" s="20"/>
    </row>
    <row r="20" spans="2:19" ht="15.75" customHeight="1" x14ac:dyDescent="0.2">
      <c r="S20" s="20"/>
    </row>
    <row r="21" spans="2:19" ht="15.75" customHeight="1" x14ac:dyDescent="0.2">
      <c r="S21" s="20"/>
    </row>
    <row r="22" spans="2:19" ht="15.75" customHeight="1" x14ac:dyDescent="0.2">
      <c r="S22" s="15"/>
    </row>
  </sheetData>
  <hyperlinks>
    <hyperlink ref="J1" r:id="rId1" xr:uid="{00000000-0004-0000-0000-000000000000}"/>
    <hyperlink ref="J2" r:id="rId2" xr:uid="{F467BD4C-9F4B-4DD2-817D-8AC186017B59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5C6A7-BA3D-4777-877F-5B2D19C566E2}">
  <dimension ref="B1:J10"/>
  <sheetViews>
    <sheetView workbookViewId="0">
      <selection sqref="A1:A1048576"/>
    </sheetView>
  </sheetViews>
  <sheetFormatPr defaultRowHeight="12.75" x14ac:dyDescent="0.2"/>
  <cols>
    <col min="3" max="3" width="11" customWidth="1"/>
    <col min="4" max="4" width="15.85546875" bestFit="1" customWidth="1"/>
    <col min="5" max="10" width="11" customWidth="1"/>
  </cols>
  <sheetData>
    <row r="1" spans="2:10" x14ac:dyDescent="0.2">
      <c r="B1" s="8" t="s">
        <v>0</v>
      </c>
      <c r="C1" s="8" t="s">
        <v>19</v>
      </c>
      <c r="D1" s="8"/>
      <c r="F1" t="s">
        <v>30</v>
      </c>
    </row>
    <row r="2" spans="2:10" x14ac:dyDescent="0.2">
      <c r="B2" s="8" t="s">
        <v>0</v>
      </c>
      <c r="C2" s="8" t="s">
        <v>33</v>
      </c>
      <c r="D2" s="8"/>
    </row>
    <row r="3" spans="2:10" x14ac:dyDescent="0.2">
      <c r="B3" s="8" t="s">
        <v>0</v>
      </c>
      <c r="D3" s="8"/>
    </row>
    <row r="4" spans="2:10" x14ac:dyDescent="0.2">
      <c r="B4" s="11" t="s">
        <v>65</v>
      </c>
      <c r="C4" s="8" t="s">
        <v>21</v>
      </c>
      <c r="D4" s="8" t="s">
        <v>22</v>
      </c>
      <c r="E4" s="8" t="s">
        <v>23</v>
      </c>
      <c r="F4" s="8" t="s">
        <v>24</v>
      </c>
      <c r="G4" s="8" t="s">
        <v>25</v>
      </c>
      <c r="H4" s="8" t="s">
        <v>26</v>
      </c>
      <c r="I4" s="8" t="s">
        <v>27</v>
      </c>
    </row>
    <row r="5" spans="2:10" x14ac:dyDescent="0.2">
      <c r="B5" s="8" t="s">
        <v>20</v>
      </c>
      <c r="C5" s="8">
        <v>2</v>
      </c>
      <c r="D5" s="8">
        <f>(0.7+1.5+1.5+2)/4</f>
        <v>1.425</v>
      </c>
      <c r="E5" s="8">
        <v>0.36</v>
      </c>
      <c r="F5">
        <v>0.49</v>
      </c>
      <c r="G5">
        <v>0.69</v>
      </c>
      <c r="H5">
        <v>0.98</v>
      </c>
      <c r="I5">
        <v>1.26</v>
      </c>
    </row>
    <row r="6" spans="2:10" x14ac:dyDescent="0.2">
      <c r="B6" s="8" t="s">
        <v>20</v>
      </c>
      <c r="C6">
        <v>5</v>
      </c>
      <c r="D6">
        <f>(0.7+2+2+5)/4</f>
        <v>2.4249999999999998</v>
      </c>
      <c r="E6">
        <v>0.62</v>
      </c>
      <c r="F6">
        <v>0.79</v>
      </c>
      <c r="G6">
        <v>1.1100000000000001</v>
      </c>
      <c r="H6">
        <v>1.74</v>
      </c>
      <c r="I6">
        <v>2.38</v>
      </c>
    </row>
    <row r="7" spans="2:10" x14ac:dyDescent="0.2">
      <c r="B7" s="8" t="s">
        <v>28</v>
      </c>
      <c r="C7" s="8">
        <v>2</v>
      </c>
      <c r="D7" s="8">
        <f>(0.7+1.5+1.5+2)/4</f>
        <v>1.425</v>
      </c>
      <c r="E7">
        <v>-0.08</v>
      </c>
      <c r="F7">
        <v>-0.01</v>
      </c>
      <c r="G7">
        <v>0.09</v>
      </c>
      <c r="H7">
        <v>0.26</v>
      </c>
      <c r="I7">
        <v>0.53</v>
      </c>
    </row>
    <row r="8" spans="2:10" x14ac:dyDescent="0.2">
      <c r="B8" s="8" t="s">
        <v>28</v>
      </c>
      <c r="C8">
        <v>5</v>
      </c>
      <c r="D8">
        <f>(0.7+2+2+5)/4</f>
        <v>2.4249999999999998</v>
      </c>
      <c r="E8">
        <v>-0.11</v>
      </c>
      <c r="F8">
        <v>0.02</v>
      </c>
      <c r="G8">
        <v>0.21</v>
      </c>
      <c r="H8">
        <v>0.56999999999999995</v>
      </c>
      <c r="I8">
        <v>1.32</v>
      </c>
      <c r="J8" t="s">
        <v>66</v>
      </c>
    </row>
    <row r="9" spans="2:10" x14ac:dyDescent="0.2">
      <c r="B9" s="8" t="s">
        <v>29</v>
      </c>
      <c r="C9" s="8">
        <v>2</v>
      </c>
      <c r="D9" s="8">
        <f>(0.7+1.5+1.5+2)/4</f>
        <v>1.425</v>
      </c>
      <c r="E9">
        <v>0.02</v>
      </c>
      <c r="F9">
        <v>7.0000000000000007E-2</v>
      </c>
      <c r="G9">
        <v>0.13</v>
      </c>
      <c r="H9">
        <v>0.31</v>
      </c>
      <c r="I9">
        <v>0.56999999999999995</v>
      </c>
    </row>
    <row r="10" spans="2:10" x14ac:dyDescent="0.2">
      <c r="B10" s="8" t="s">
        <v>29</v>
      </c>
      <c r="C10">
        <v>5</v>
      </c>
      <c r="D10">
        <f>(0.7+2+2+5)/4</f>
        <v>2.4249999999999998</v>
      </c>
      <c r="E10">
        <v>0.02</v>
      </c>
      <c r="F10">
        <v>0.1</v>
      </c>
      <c r="G10">
        <v>0.23</v>
      </c>
      <c r="H10">
        <v>0.6</v>
      </c>
      <c r="I10">
        <v>0.99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DC691-DD2C-453E-9956-962ECE938F19}">
  <dimension ref="A1:R28"/>
  <sheetViews>
    <sheetView workbookViewId="0">
      <selection activeCell="K25" sqref="K25:L28"/>
    </sheetView>
  </sheetViews>
  <sheetFormatPr defaultRowHeight="12.75" x14ac:dyDescent="0.2"/>
  <cols>
    <col min="1" max="1" width="13.28515625" style="13" customWidth="1"/>
    <col min="2" max="4" width="7.85546875" style="13" customWidth="1"/>
    <col min="5" max="9" width="7.85546875" style="15" customWidth="1"/>
    <col min="10" max="19" width="7.85546875" style="13" customWidth="1"/>
    <col min="20" max="16384" width="9.140625" style="13"/>
  </cols>
  <sheetData>
    <row r="1" spans="1:18" s="23" customFormat="1" x14ac:dyDescent="0.2">
      <c r="A1" s="22" t="s">
        <v>47</v>
      </c>
      <c r="B1" s="22"/>
      <c r="C1" s="22"/>
      <c r="D1" s="22" t="s">
        <v>48</v>
      </c>
      <c r="E1" s="22" t="s">
        <v>36</v>
      </c>
      <c r="F1" s="22" t="s">
        <v>36</v>
      </c>
      <c r="G1" s="22" t="s">
        <v>49</v>
      </c>
      <c r="H1" s="22" t="s">
        <v>49</v>
      </c>
      <c r="I1" s="22" t="s">
        <v>50</v>
      </c>
      <c r="J1" s="22" t="s">
        <v>50</v>
      </c>
      <c r="K1" s="22" t="s">
        <v>51</v>
      </c>
      <c r="L1" s="22" t="s">
        <v>51</v>
      </c>
      <c r="M1" s="22" t="s">
        <v>52</v>
      </c>
      <c r="N1" s="22" t="s">
        <v>52</v>
      </c>
      <c r="O1" s="22" t="s">
        <v>53</v>
      </c>
      <c r="P1" s="22"/>
      <c r="Q1" s="22" t="s">
        <v>54</v>
      </c>
      <c r="R1" s="22"/>
    </row>
    <row r="2" spans="1:18" x14ac:dyDescent="0.2">
      <c r="A2" s="20"/>
      <c r="B2" s="3" t="s">
        <v>4</v>
      </c>
      <c r="C2" s="3" t="s">
        <v>5</v>
      </c>
      <c r="D2" s="20"/>
      <c r="E2" s="20" t="s">
        <v>38</v>
      </c>
      <c r="F2" s="20" t="s">
        <v>37</v>
      </c>
      <c r="G2" s="20" t="s">
        <v>38</v>
      </c>
      <c r="H2" s="20" t="s">
        <v>37</v>
      </c>
      <c r="I2" s="20" t="s">
        <v>38</v>
      </c>
      <c r="J2" s="20" t="s">
        <v>37</v>
      </c>
      <c r="K2" s="20" t="s">
        <v>38</v>
      </c>
      <c r="L2" s="20" t="s">
        <v>37</v>
      </c>
      <c r="M2" s="20" t="s">
        <v>38</v>
      </c>
      <c r="N2" s="20" t="s">
        <v>37</v>
      </c>
      <c r="O2" s="20" t="s">
        <v>38</v>
      </c>
      <c r="P2" s="20" t="s">
        <v>37</v>
      </c>
      <c r="Q2" s="20" t="s">
        <v>38</v>
      </c>
      <c r="R2" s="20" t="s">
        <v>37</v>
      </c>
    </row>
    <row r="3" spans="1:18" x14ac:dyDescent="0.2">
      <c r="A3" s="20" t="s">
        <v>39</v>
      </c>
      <c r="B3" s="5">
        <v>1901</v>
      </c>
      <c r="C3" s="5">
        <v>1990</v>
      </c>
      <c r="D3" s="20" t="s">
        <v>40</v>
      </c>
      <c r="E3" s="20">
        <v>0.36</v>
      </c>
      <c r="F3" s="20">
        <f>ABS(0.17-0.54)/$B$19</f>
        <v>0.11247226190838071</v>
      </c>
      <c r="G3" s="20">
        <v>0.57999999999999996</v>
      </c>
      <c r="H3" s="20">
        <f>ABS(0.34-0.82)/$B$19</f>
        <v>0.14590996139465603</v>
      </c>
      <c r="I3" s="20">
        <v>0.33</v>
      </c>
      <c r="J3" s="20">
        <f>ABS(0.18-0.47)/$B$19</f>
        <v>8.8153935009271364E-2</v>
      </c>
      <c r="K3" s="20">
        <v>0</v>
      </c>
      <c r="L3" s="20">
        <f>ABS(-0.1-0.11)/$B$19</f>
        <v>6.3835608110162034E-2</v>
      </c>
      <c r="M3" s="20">
        <v>-0.15</v>
      </c>
      <c r="N3" s="20">
        <f>ABS(-0.35-0.04)/$B$19</f>
        <v>0.11855184363315803</v>
      </c>
      <c r="O3" s="20">
        <v>1.1100000000000001</v>
      </c>
      <c r="P3" s="20">
        <f>ABS(0.71-1.52)/$B$19</f>
        <v>0.24622305985348211</v>
      </c>
      <c r="Q3" s="20">
        <v>1.35</v>
      </c>
      <c r="R3" s="20">
        <f>ABS(0.78-1.92)/$B$19</f>
        <v>0.34653615831230811</v>
      </c>
    </row>
    <row r="4" spans="1:18" x14ac:dyDescent="0.2">
      <c r="A4" s="20" t="s">
        <v>41</v>
      </c>
      <c r="B4" s="5">
        <v>1971</v>
      </c>
      <c r="C4" s="5">
        <v>2018</v>
      </c>
      <c r="D4" s="20" t="s">
        <v>42</v>
      </c>
      <c r="E4" s="20">
        <v>1.01</v>
      </c>
      <c r="F4" s="21">
        <f>ABS(0.73-1.29)/$B$19</f>
        <v>0.17022828829376541</v>
      </c>
      <c r="G4" s="20">
        <v>0.44</v>
      </c>
      <c r="H4" s="20">
        <f>ABS(0.21-0.67)/$B$19</f>
        <v>0.13983037966987874</v>
      </c>
      <c r="I4" s="20">
        <v>0.25</v>
      </c>
      <c r="J4" s="20">
        <f>ABS(0.16-0.34)/$B$19</f>
        <v>5.4716235522996023E-2</v>
      </c>
      <c r="K4" s="20">
        <v>0.14000000000000001</v>
      </c>
      <c r="L4" s="20">
        <f>ABS(-0.09-0.37)/$B$19</f>
        <v>0.13983037966987871</v>
      </c>
      <c r="M4" s="20">
        <v>0.15</v>
      </c>
      <c r="N4" s="20">
        <f>ABS(-0.05-0.36)/$B$19</f>
        <v>0.12463142535793537</v>
      </c>
      <c r="O4" s="20">
        <v>2</v>
      </c>
      <c r="P4" s="20">
        <f>ABS(1.52-2.49)/$B$19</f>
        <v>0.29485971365170083</v>
      </c>
      <c r="Q4" s="20">
        <v>2.33</v>
      </c>
      <c r="R4" s="20">
        <f>ABS(1.55-3.12)/$B$19</f>
        <v>0.47724716539502088</v>
      </c>
    </row>
    <row r="5" spans="1:18" x14ac:dyDescent="0.2">
      <c r="A5" s="20" t="s">
        <v>43</v>
      </c>
      <c r="B5" s="5">
        <v>1993</v>
      </c>
      <c r="C5" s="5">
        <v>2018</v>
      </c>
      <c r="D5" s="20" t="s">
        <v>44</v>
      </c>
      <c r="E5" s="20">
        <v>1.31</v>
      </c>
      <c r="F5" s="21">
        <f>ABS(0.95-1.66)/$B$19</f>
        <v>0.21582515122959539</v>
      </c>
      <c r="G5" s="20">
        <v>0.55000000000000004</v>
      </c>
      <c r="H5" s="20">
        <f>ABS(0.4-0.7)/$B$19</f>
        <v>9.1193725871660011E-2</v>
      </c>
      <c r="I5" s="20">
        <v>0.43</v>
      </c>
      <c r="J5" s="20">
        <f>ABS(0.36-0.51)/$B$19</f>
        <v>4.5596862935830026E-2</v>
      </c>
      <c r="K5" s="20">
        <v>0.25</v>
      </c>
      <c r="L5" s="20">
        <f>ABS(0.16-0.33)/$B$19</f>
        <v>5.1676444660607355E-2</v>
      </c>
      <c r="M5" s="20">
        <v>0.31</v>
      </c>
      <c r="N5" s="20">
        <f>ABS(0.13-0.49)/$B$19</f>
        <v>0.10943247104599203</v>
      </c>
      <c r="O5" s="20">
        <v>2.85</v>
      </c>
      <c r="P5" s="20">
        <f>ABS(2.41-3.29)/$B$19</f>
        <v>0.26750159589020273</v>
      </c>
      <c r="Q5" s="20">
        <v>3.25</v>
      </c>
      <c r="R5" s="20">
        <f>ABS(2.88-3.61)/$B$19</f>
        <v>0.22190473295437274</v>
      </c>
    </row>
    <row r="6" spans="1:18" x14ac:dyDescent="0.2">
      <c r="A6" s="20" t="s">
        <v>45</v>
      </c>
      <c r="B6" s="5">
        <v>2006</v>
      </c>
      <c r="C6" s="5">
        <v>2018</v>
      </c>
      <c r="D6" s="20" t="s">
        <v>44</v>
      </c>
      <c r="E6" s="20">
        <v>1.39</v>
      </c>
      <c r="F6" s="20">
        <f>ABS(0.74-2.05)/$B$19</f>
        <v>0.39821260297291544</v>
      </c>
      <c r="G6" s="20">
        <v>0.62</v>
      </c>
      <c r="H6" s="20">
        <f>ABS(0.57-0.68)/$B$19</f>
        <v>3.3437699486275375E-2</v>
      </c>
      <c r="I6" s="20">
        <v>0.63</v>
      </c>
      <c r="J6" s="20">
        <f>ABS(0.51-0.74)/$B$19</f>
        <v>6.9915189834939356E-2</v>
      </c>
      <c r="K6" s="20">
        <v>0.37</v>
      </c>
      <c r="L6" s="20">
        <f>ABS(0.24-0.5)/$B$19</f>
        <v>7.9034562422105367E-2</v>
      </c>
      <c r="M6" s="20">
        <v>0.6</v>
      </c>
      <c r="N6" s="20">
        <f>ABS(0.32-0.88)/$B$19</f>
        <v>0.17022828829376541</v>
      </c>
      <c r="O6" s="20">
        <v>3.61</v>
      </c>
      <c r="P6" s="20">
        <f>ABS(2.88-4.35)/$B$19</f>
        <v>0.44684925677113407</v>
      </c>
      <c r="Q6" s="20">
        <v>3.69</v>
      </c>
      <c r="R6" s="20">
        <f>ABS(3.21-4.17)/$B$19</f>
        <v>0.29181992278931213</v>
      </c>
    </row>
    <row r="7" spans="1:18" x14ac:dyDescent="0.2">
      <c r="A7" s="20" t="s">
        <v>46</v>
      </c>
      <c r="B7" s="5">
        <v>1901</v>
      </c>
      <c r="C7" s="5">
        <v>2018</v>
      </c>
      <c r="D7" s="20" t="s">
        <v>40</v>
      </c>
      <c r="E7" s="20">
        <v>0.54</v>
      </c>
      <c r="F7" s="20">
        <f>ABS(0.4 -0.68)/$B$19</f>
        <v>8.5114144146882703E-2</v>
      </c>
      <c r="G7" s="20">
        <v>0.56999999999999995</v>
      </c>
      <c r="H7" s="20">
        <f>ABS(0.36-0.79)/$B$19</f>
        <v>0.13071100708271274</v>
      </c>
      <c r="I7" s="20">
        <v>0.35</v>
      </c>
      <c r="J7" s="20">
        <f>ABS(0.23-0.46)/$B$19</f>
        <v>6.9915189834939356E-2</v>
      </c>
      <c r="K7" s="20">
        <v>0.06</v>
      </c>
      <c r="L7" s="20">
        <f>ABS(-0.03-0.15)/$B$19</f>
        <v>5.4716235522996017E-2</v>
      </c>
      <c r="M7" s="20">
        <v>-0.11</v>
      </c>
      <c r="N7" s="20">
        <f>ABS(-0.39-0.17)/$B$19</f>
        <v>0.17022828829376541</v>
      </c>
      <c r="O7" s="20">
        <v>1.41</v>
      </c>
      <c r="P7" s="20">
        <f>ABS(1-1.82)/$B$19</f>
        <v>0.24926285071587079</v>
      </c>
      <c r="Q7" s="20">
        <v>1.73</v>
      </c>
      <c r="R7" s="20">
        <f>ABS(1.28-2.17)/$B$19</f>
        <v>0.27054138675259143</v>
      </c>
    </row>
    <row r="8" spans="1:18" x14ac:dyDescent="0.2">
      <c r="A8" s="31" t="s">
        <v>107</v>
      </c>
      <c r="B8" s="5"/>
      <c r="C8" s="5"/>
      <c r="D8"/>
      <c r="E8"/>
      <c r="F8"/>
      <c r="G8"/>
      <c r="H8"/>
      <c r="I8"/>
      <c r="J8"/>
      <c r="K8"/>
      <c r="L8"/>
      <c r="M8" s="20"/>
      <c r="N8" s="20"/>
      <c r="O8" s="20"/>
      <c r="P8" s="20"/>
      <c r="Q8" s="20"/>
      <c r="R8" s="20"/>
    </row>
    <row r="9" spans="1:18" x14ac:dyDescent="0.2">
      <c r="A9" s="25" t="s">
        <v>106</v>
      </c>
      <c r="B9" s="5">
        <v>1901</v>
      </c>
      <c r="C9" s="5">
        <v>1970</v>
      </c>
      <c r="D9"/>
      <c r="E9" s="32">
        <f>(E7*($C7-$B7)-E4*($C4-$B4))/($C9-$B9)</f>
        <v>0.22768115942028996</v>
      </c>
      <c r="F9" s="32">
        <f>SQRT((F7*($C7-$B7))^2+(F4*($C4-$B4))^2)/($C9-$B9)</f>
        <v>0.18513351446720258</v>
      </c>
      <c r="G9" s="32">
        <f>(G7*($C7-$B7)-G4*($C4-$B4))/($C9-$B9)</f>
        <v>0.66681159420289848</v>
      </c>
      <c r="H9" s="32">
        <f>SQRT((H7*($C7-$B7))^2+(H4*($C4-$B4))^2)/($C9-$B9)</f>
        <v>0.24123933665393343</v>
      </c>
      <c r="I9" s="32">
        <f>(I7*($C7-$B7)-I4*($C4-$B4))/($C9-$B9)</f>
        <v>0.42318840579710137</v>
      </c>
      <c r="J9" s="32">
        <f>SQRT((J7*($C7-$B7))^2+(J4*($C4-$B4))^2)/($C9-$B9)</f>
        <v>0.12427239538120734</v>
      </c>
      <c r="K9" s="32">
        <f>(K7*($C7-$B7)-K4*($C4-$B4))/($C9-$B9)</f>
        <v>6.3768115942028783E-3</v>
      </c>
      <c r="L9" s="32">
        <f>SQRT((L7*($C7-$B7))^2+(L4*($C4-$B4))^2)/($C9-$B9)</f>
        <v>0.13296624605146506</v>
      </c>
      <c r="M9" s="32">
        <f>(M7*($C7-$B7)-M4*($C4-$B4))/($C9-$B9)</f>
        <v>-0.28869565217391302</v>
      </c>
      <c r="N9" s="32">
        <f>SQRT((N7*($C7-$B7))^2+(N4*($C4-$B4))^2)/($C9-$B9)</f>
        <v>0.30087309282242997</v>
      </c>
      <c r="O9" s="32">
        <f>(O7*($C7-$B7)-O4*($C4-$B4))/($C9-$B9)</f>
        <v>1.028550724637681</v>
      </c>
      <c r="P9" s="32">
        <f>SQRT((P7*($C7-$B7))^2+(P4*($C4-$B4))^2)/($C9-$B9)</f>
        <v>0.4679566184766033</v>
      </c>
      <c r="Q9" s="32">
        <f>(Q7*($C7-$B7)-Q4*($C4-$B4))/($C9-$B9)</f>
        <v>1.3463768115942027</v>
      </c>
      <c r="R9" s="32">
        <f>SQRT((R7*($C7-$B7))^2+(R4*($C4-$B4))^2)/($C9-$B9)</f>
        <v>0.56224910751723212</v>
      </c>
    </row>
    <row r="10" spans="1:18" x14ac:dyDescent="0.2">
      <c r="A10" s="25" t="s">
        <v>105</v>
      </c>
      <c r="B10" s="5">
        <v>1971</v>
      </c>
      <c r="C10" s="5">
        <v>1992</v>
      </c>
      <c r="D10"/>
      <c r="E10" s="32">
        <f>(E4*($C4-$B4)-E5*($C5-$B5))/($C10-$B10)</f>
        <v>0.70095238095238088</v>
      </c>
      <c r="F10" s="32">
        <f>SQRT((F4*($C4-$B4))^2+(F5*($C5-$B5))^2)/($C10-$B10)</f>
        <v>0.45952870283282399</v>
      </c>
      <c r="G10" s="32">
        <f>(G4*($C4-$B4)-G5*($C5-$B5))/($C10-$B10)</f>
        <v>0.3299999999999999</v>
      </c>
      <c r="H10" s="32">
        <f>SQRT((H4*($C4-$B4))^2+(H5*($C5-$B5))^2)/($C10-$B10)</f>
        <v>0.33124938630037404</v>
      </c>
      <c r="I10" s="32">
        <f>(I4*($C4-$B4)-I5*($C5-$B5))/($C10-$B10)</f>
        <v>4.7619047619047616E-2</v>
      </c>
      <c r="J10" s="32">
        <f>SQRT((J4*($C4-$B4))^2+(J5*($C5-$B5))^2)/($C10-$B10)</f>
        <v>0.13395156109087422</v>
      </c>
      <c r="K10" s="32">
        <f>(K4*($C4-$B4)-K5*($C5-$B5))/($C10-$B10)</f>
        <v>1.571428571428576E-2</v>
      </c>
      <c r="L10" s="32">
        <f>SQRT((L4*($C4-$B4))^2+(L5*($C5-$B5))^2)/($C10-$B10)</f>
        <v>0.31894306858980254</v>
      </c>
      <c r="M10" s="32">
        <f>(M4*($C4-$B4)-M5*($C5-$B5))/($C10-$B10)</f>
        <v>-3.333333333333334E-2</v>
      </c>
      <c r="N10" s="32">
        <f>SQRT((N4*($C4-$B4))^2+(N5*($C5-$B5))^2)/($C10-$B10)</f>
        <v>0.3078601657681368</v>
      </c>
      <c r="O10" s="32">
        <f>(O4*($C4-$B4)-O5*($C5-$B5))/($C10-$B10)</f>
        <v>1.0833333333333333</v>
      </c>
      <c r="P10" s="32">
        <f>SQRT((P4*($C4-$B4))^2+(P5*($C5-$B5))^2)/($C10-$B10)</f>
        <v>0.73274345748758574</v>
      </c>
      <c r="Q10" s="32">
        <f>(Q4*($C4-$B4)-Q5*($C5-$B5))/($C10-$B10)</f>
        <v>1.3457142857142859</v>
      </c>
      <c r="R10" s="32">
        <f>SQRT((R4*($C4-$B4))^2+(R5*($C5-$B5))^2)/($C10-$B10)</f>
        <v>1.1003077676127404</v>
      </c>
    </row>
    <row r="11" spans="1:18" x14ac:dyDescent="0.2">
      <c r="A11" s="25" t="s">
        <v>104</v>
      </c>
      <c r="B11" s="5">
        <v>1993</v>
      </c>
      <c r="C11" s="5">
        <v>2005</v>
      </c>
      <c r="D11"/>
      <c r="E11" s="32">
        <f>(E5*($C5-$B5)-E6*($C6-$B6))/($C11-$B11)</f>
        <v>1.3391666666666666</v>
      </c>
      <c r="F11" s="32">
        <f>SQRT((F5*($C5-$B5))^2+(F6*($C6-$B6))^2)/($C11-$B11)</f>
        <v>0.60062098565845157</v>
      </c>
      <c r="G11" s="32">
        <f>(G5*($C5-$B5)-G6*($C6-$B6))/($C11-$B11)</f>
        <v>0.52583333333333349</v>
      </c>
      <c r="H11" s="32">
        <f>SQRT((H5*($C5-$B5))^2+(H6*($C6-$B6))^2)/($C11-$B11)</f>
        <v>0.19290700583317077</v>
      </c>
      <c r="I11" s="32">
        <f>(I5*($C5-$B5)-I6*($C6-$B6))/($C11-$B11)</f>
        <v>0.26583333333333331</v>
      </c>
      <c r="J11" s="32">
        <f>SQRT((J5*($C5-$B5))^2+(J6*($C6-$B6))^2)/($C11-$B11)</f>
        <v>0.11794868400199192</v>
      </c>
      <c r="K11" s="32">
        <f>(K5*($C5-$B5)-K6*($C6-$B6))/($C11-$B11)</f>
        <v>0.15083333333333337</v>
      </c>
      <c r="L11" s="32">
        <f>SQRT((L5*($C5-$B5))^2+(L6*($C6-$B6))^2)/($C11-$B11)</f>
        <v>0.13355515062502263</v>
      </c>
      <c r="M11" s="32">
        <f>(M5*($C5-$B5)-M6*($C6-$B6))/($C11-$B11)</f>
        <v>4.5833333333333393E-2</v>
      </c>
      <c r="N11" s="32">
        <f>SQRT((N5*($C5-$B5))^2+(N6*($C6-$B6))^2)/($C11-$B11)</f>
        <v>0.28452507424679996</v>
      </c>
      <c r="O11" s="32">
        <f>(O5*($C5-$B5)-O6*($C6-$B6))/($C11-$B11)</f>
        <v>2.3275000000000001</v>
      </c>
      <c r="P11" s="32">
        <f>SQRT((P5*($C5-$B5))^2+(P6*($C6-$B6))^2)/($C11-$B11)</f>
        <v>0.71431923238752926</v>
      </c>
      <c r="Q11" s="32">
        <f>(Q5*($C5-$B5)-Q6*($C6-$B6))/($C11-$B11)</f>
        <v>3.0808333333333331</v>
      </c>
      <c r="R11" s="32">
        <f>SQRT((R5*($C5-$B5))^2+(R6*($C6-$B6))^2)/($C11-$B11)</f>
        <v>0.54670062117437934</v>
      </c>
    </row>
    <row r="12" spans="1:18" x14ac:dyDescent="0.2">
      <c r="A12" s="20" t="s">
        <v>45</v>
      </c>
      <c r="B12" s="20">
        <v>2006</v>
      </c>
      <c r="C12" s="20">
        <v>2018</v>
      </c>
      <c r="D12" s="20"/>
      <c r="E12" s="33">
        <f>E6</f>
        <v>1.39</v>
      </c>
      <c r="F12" s="33">
        <f>F6</f>
        <v>0.39821260297291544</v>
      </c>
      <c r="G12" s="33">
        <f>G6</f>
        <v>0.62</v>
      </c>
      <c r="H12" s="33">
        <f>H6</f>
        <v>3.3437699486275375E-2</v>
      </c>
      <c r="I12" s="33">
        <f>I6</f>
        <v>0.63</v>
      </c>
      <c r="J12" s="33">
        <f>J6</f>
        <v>6.9915189834939356E-2</v>
      </c>
      <c r="K12" s="33">
        <f>K6</f>
        <v>0.37</v>
      </c>
      <c r="L12" s="33">
        <f>L6</f>
        <v>7.9034562422105367E-2</v>
      </c>
      <c r="M12" s="33">
        <f>M6</f>
        <v>0.6</v>
      </c>
      <c r="N12" s="33">
        <f>N6</f>
        <v>0.17022828829376541</v>
      </c>
      <c r="O12" s="33">
        <f>O6</f>
        <v>3.61</v>
      </c>
      <c r="P12" s="33">
        <f>P6</f>
        <v>0.44684925677113407</v>
      </c>
      <c r="Q12" s="33">
        <f>Q6</f>
        <v>3.69</v>
      </c>
      <c r="R12" s="33">
        <f>R6</f>
        <v>0.29181992278931213</v>
      </c>
    </row>
    <row r="13" spans="1:18" x14ac:dyDescent="0.2">
      <c r="A13" s="20"/>
      <c r="B13" s="20"/>
      <c r="C13" s="20"/>
      <c r="D13" s="20"/>
      <c r="E13" s="20"/>
      <c r="F13" s="20"/>
      <c r="G13" s="20"/>
      <c r="H13" s="20"/>
      <c r="I13" s="20"/>
    </row>
    <row r="14" spans="1:18" x14ac:dyDescent="0.2">
      <c r="A14" s="20"/>
      <c r="B14" s="20"/>
      <c r="C14" s="20"/>
      <c r="D14" s="20"/>
      <c r="E14" s="20"/>
      <c r="F14" s="20"/>
      <c r="G14" s="20"/>
      <c r="H14" s="20"/>
      <c r="I14" s="20"/>
    </row>
    <row r="15" spans="1:18" x14ac:dyDescent="0.2">
      <c r="A15" s="20"/>
      <c r="B15" s="20"/>
      <c r="C15" s="20"/>
      <c r="D15" s="20"/>
      <c r="E15" s="20"/>
      <c r="F15" s="20"/>
      <c r="G15" s="20"/>
      <c r="H15" s="20"/>
      <c r="I15" s="20"/>
    </row>
    <row r="16" spans="1:18" x14ac:dyDescent="0.2">
      <c r="A16" s="20"/>
      <c r="B16" s="20"/>
      <c r="C16" s="20"/>
      <c r="D16" s="20"/>
      <c r="E16" s="21"/>
      <c r="F16" s="20"/>
      <c r="G16" s="20"/>
      <c r="H16" s="20"/>
      <c r="I16" s="20"/>
    </row>
    <row r="19" spans="1:18" x14ac:dyDescent="0.2">
      <c r="A19" s="5" t="s">
        <v>2</v>
      </c>
      <c r="B19" s="2">
        <v>3.2896999999999998</v>
      </c>
    </row>
    <row r="21" spans="1:18" x14ac:dyDescent="0.2">
      <c r="A21" s="13" t="s">
        <v>57</v>
      </c>
    </row>
    <row r="22" spans="1:18" x14ac:dyDescent="0.2">
      <c r="A22" s="13" t="s">
        <v>55</v>
      </c>
    </row>
    <row r="23" spans="1:18" ht="15" x14ac:dyDescent="0.2">
      <c r="E23" s="17"/>
    </row>
    <row r="24" spans="1:18" ht="15" x14ac:dyDescent="0.2">
      <c r="E24" s="17"/>
    </row>
    <row r="25" spans="1:18" x14ac:dyDescent="0.2">
      <c r="A25" s="13" t="s">
        <v>106</v>
      </c>
      <c r="B25" s="13">
        <v>1901</v>
      </c>
      <c r="C25" s="13">
        <v>1970</v>
      </c>
      <c r="E25" s="15">
        <v>0.22768115942028996</v>
      </c>
      <c r="F25" s="15">
        <v>0.18513351446720258</v>
      </c>
      <c r="G25" s="15">
        <v>0.66681159420289848</v>
      </c>
      <c r="H25" s="15">
        <v>0.24123933665393343</v>
      </c>
      <c r="I25" s="15">
        <v>0.42318840579710137</v>
      </c>
      <c r="J25" s="13">
        <v>0.12427239538120734</v>
      </c>
      <c r="K25" s="13">
        <v>6.3768115942028783E-3</v>
      </c>
      <c r="L25" s="13">
        <v>0.13296624605146506</v>
      </c>
      <c r="M25" s="13">
        <v>-0.28869565217391302</v>
      </c>
      <c r="N25" s="13">
        <v>0.30087309282242997</v>
      </c>
      <c r="O25" s="13">
        <v>1.028550724637681</v>
      </c>
      <c r="P25" s="13">
        <v>0.4679566184766033</v>
      </c>
      <c r="Q25" s="13">
        <v>1.3463768115942027</v>
      </c>
      <c r="R25" s="13">
        <v>0.56224910751723212</v>
      </c>
    </row>
    <row r="26" spans="1:18" x14ac:dyDescent="0.2">
      <c r="A26" s="13" t="s">
        <v>105</v>
      </c>
      <c r="B26" s="13">
        <v>1971</v>
      </c>
      <c r="C26" s="13">
        <v>1992</v>
      </c>
      <c r="E26" s="15">
        <v>0.70095238095238088</v>
      </c>
      <c r="F26" s="15">
        <v>0.45952870283282399</v>
      </c>
      <c r="G26" s="15">
        <v>0.3299999999999999</v>
      </c>
      <c r="H26" s="15">
        <v>0.33124938630037404</v>
      </c>
      <c r="I26" s="15">
        <v>4.7619047619047616E-2</v>
      </c>
      <c r="J26" s="13">
        <v>0.13395156109087422</v>
      </c>
      <c r="K26" s="13">
        <v>1.571428571428576E-2</v>
      </c>
      <c r="L26" s="13">
        <v>0.31894306858980254</v>
      </c>
      <c r="M26" s="13">
        <v>-3.333333333333334E-2</v>
      </c>
      <c r="N26" s="13">
        <v>0.3078601657681368</v>
      </c>
      <c r="O26" s="13">
        <v>1.0833333333333333</v>
      </c>
      <c r="P26" s="13">
        <v>0.73274345748758574</v>
      </c>
      <c r="Q26" s="13">
        <v>1.3457142857142859</v>
      </c>
      <c r="R26" s="13">
        <v>1.1003077676127404</v>
      </c>
    </row>
    <row r="27" spans="1:18" x14ac:dyDescent="0.2">
      <c r="A27" s="13" t="s">
        <v>104</v>
      </c>
      <c r="B27" s="13">
        <v>1993</v>
      </c>
      <c r="C27" s="13">
        <v>2005</v>
      </c>
      <c r="E27" s="15">
        <v>1.3391666666666666</v>
      </c>
      <c r="F27" s="15">
        <v>0.60062098565845157</v>
      </c>
      <c r="G27" s="15">
        <v>0.52583333333333349</v>
      </c>
      <c r="H27" s="15">
        <v>0.19290700583317077</v>
      </c>
      <c r="I27" s="15">
        <v>0.26583333333333331</v>
      </c>
      <c r="J27" s="13">
        <v>0.11794868400199192</v>
      </c>
      <c r="K27" s="13">
        <v>0.15083333333333337</v>
      </c>
      <c r="L27" s="13">
        <v>0.13355515062502263</v>
      </c>
      <c r="M27" s="13">
        <v>4.5833333333333393E-2</v>
      </c>
      <c r="N27" s="13">
        <v>0.28452507424679996</v>
      </c>
      <c r="O27" s="13">
        <v>2.3275000000000001</v>
      </c>
      <c r="P27" s="13">
        <v>0.71431923238752926</v>
      </c>
      <c r="Q27" s="13">
        <v>3.0808333333333331</v>
      </c>
      <c r="R27" s="13">
        <v>0.54670062117437934</v>
      </c>
    </row>
    <row r="28" spans="1:18" x14ac:dyDescent="0.2">
      <c r="A28" s="13" t="s">
        <v>45</v>
      </c>
      <c r="B28" s="13">
        <v>2006</v>
      </c>
      <c r="C28" s="13">
        <v>2018</v>
      </c>
      <c r="E28" s="15">
        <v>1.39</v>
      </c>
      <c r="F28" s="15">
        <v>0.39821260297291544</v>
      </c>
      <c r="G28" s="15">
        <v>0.62</v>
      </c>
      <c r="H28" s="15">
        <v>3.3437699486275375E-2</v>
      </c>
      <c r="I28" s="15">
        <v>0.63</v>
      </c>
      <c r="J28" s="13">
        <v>6.9915189834939356E-2</v>
      </c>
      <c r="K28" s="13">
        <v>0.37</v>
      </c>
      <c r="L28" s="13">
        <v>7.9034562422105367E-2</v>
      </c>
      <c r="M28" s="13">
        <v>0.6</v>
      </c>
      <c r="N28" s="13">
        <v>0.17022828829376541</v>
      </c>
      <c r="O28" s="13">
        <v>3.61</v>
      </c>
      <c r="P28" s="13">
        <v>0.44684925677113407</v>
      </c>
      <c r="Q28" s="13">
        <v>3.69</v>
      </c>
      <c r="R28" s="13">
        <v>0.29181992278931213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40D5A-6A3D-4D73-8C57-3CF86E2ECC01}">
  <dimension ref="A2:R168"/>
  <sheetViews>
    <sheetView workbookViewId="0">
      <selection activeCell="D6" sqref="D6:E6"/>
    </sheetView>
  </sheetViews>
  <sheetFormatPr defaultRowHeight="14.25" x14ac:dyDescent="0.2"/>
  <cols>
    <col min="1" max="1" width="14.140625" bestFit="1" customWidth="1"/>
    <col min="4" max="5" width="9.140625" style="30"/>
    <col min="11" max="18" width="9.140625" style="18"/>
  </cols>
  <sheetData>
    <row r="2" spans="1:7" x14ac:dyDescent="0.2">
      <c r="B2" t="s">
        <v>83</v>
      </c>
    </row>
    <row r="3" spans="1:7" x14ac:dyDescent="0.2">
      <c r="D3" s="30" t="s">
        <v>100</v>
      </c>
      <c r="E3" s="30" t="s">
        <v>101</v>
      </c>
      <c r="F3" s="11" t="s">
        <v>102</v>
      </c>
      <c r="G3" s="11" t="s">
        <v>103</v>
      </c>
    </row>
    <row r="4" spans="1:7" x14ac:dyDescent="0.2">
      <c r="A4" t="s">
        <v>67</v>
      </c>
      <c r="B4">
        <v>1900</v>
      </c>
      <c r="C4">
        <v>2018</v>
      </c>
      <c r="D4" s="30">
        <v>1.5589999999999999</v>
      </c>
      <c r="E4" s="30">
        <v>0.19800000000000001</v>
      </c>
      <c r="F4">
        <v>1.5629999999999999</v>
      </c>
      <c r="G4">
        <v>0.13800000000000001</v>
      </c>
    </row>
    <row r="5" spans="1:7" x14ac:dyDescent="0.2">
      <c r="A5" t="s">
        <v>67</v>
      </c>
      <c r="B5">
        <v>1957</v>
      </c>
      <c r="C5">
        <v>2018</v>
      </c>
      <c r="D5" s="30">
        <v>1.7749999999999999</v>
      </c>
      <c r="E5" s="30">
        <v>0.182</v>
      </c>
      <c r="F5">
        <v>1.78</v>
      </c>
      <c r="G5">
        <v>0.104</v>
      </c>
    </row>
    <row r="6" spans="1:7" x14ac:dyDescent="0.2">
      <c r="A6" t="s">
        <v>67</v>
      </c>
      <c r="B6" s="24">
        <v>1993</v>
      </c>
      <c r="C6" s="24">
        <v>2018</v>
      </c>
      <c r="D6" s="30">
        <v>3.35</v>
      </c>
      <c r="E6" s="30">
        <v>0.28100000000000003</v>
      </c>
      <c r="F6">
        <v>3.3530000000000002</v>
      </c>
      <c r="G6">
        <v>0.17100000000000001</v>
      </c>
    </row>
    <row r="7" spans="1:7" x14ac:dyDescent="0.2">
      <c r="A7" t="s">
        <v>67</v>
      </c>
      <c r="B7">
        <v>1900</v>
      </c>
      <c r="C7">
        <v>1949</v>
      </c>
      <c r="D7" s="30">
        <v>1.35</v>
      </c>
      <c r="E7" s="30">
        <v>0.309</v>
      </c>
      <c r="F7">
        <v>1.3540000000000001</v>
      </c>
      <c r="G7">
        <v>0.20200000000000001</v>
      </c>
    </row>
    <row r="8" spans="1:7" x14ac:dyDescent="0.2">
      <c r="A8" t="s">
        <v>67</v>
      </c>
      <c r="B8">
        <v>1950</v>
      </c>
      <c r="C8">
        <v>1999</v>
      </c>
      <c r="D8" s="30">
        <v>0.98699999999999999</v>
      </c>
      <c r="E8" s="30">
        <v>0.217</v>
      </c>
      <c r="F8">
        <v>0.98099999999999998</v>
      </c>
      <c r="G8">
        <v>0.10199999999999999</v>
      </c>
    </row>
    <row r="9" spans="1:7" x14ac:dyDescent="0.2">
      <c r="A9" t="s">
        <v>67</v>
      </c>
      <c r="B9" s="24">
        <v>1900</v>
      </c>
      <c r="C9" s="24">
        <v>1956</v>
      </c>
      <c r="D9" s="30">
        <v>1.552</v>
      </c>
      <c r="E9" s="30">
        <v>0.28499999999999998</v>
      </c>
      <c r="F9">
        <v>1.5509999999999999</v>
      </c>
      <c r="G9">
        <v>0.19600000000000001</v>
      </c>
    </row>
    <row r="10" spans="1:7" x14ac:dyDescent="0.2">
      <c r="A10" t="s">
        <v>67</v>
      </c>
      <c r="B10" s="24">
        <v>1957</v>
      </c>
      <c r="C10" s="24">
        <v>1993</v>
      </c>
      <c r="D10" s="30">
        <v>0.872</v>
      </c>
      <c r="E10" s="30">
        <v>0.23</v>
      </c>
      <c r="F10">
        <v>0.876</v>
      </c>
      <c r="G10">
        <v>0.112</v>
      </c>
    </row>
    <row r="11" spans="1:7" x14ac:dyDescent="0.2">
      <c r="A11" t="s">
        <v>67</v>
      </c>
      <c r="B11">
        <v>1901</v>
      </c>
      <c r="C11">
        <v>2018</v>
      </c>
      <c r="D11" s="30">
        <v>1.5669999999999999</v>
      </c>
      <c r="E11" s="30">
        <v>0.19</v>
      </c>
      <c r="F11">
        <v>1.5669999999999999</v>
      </c>
      <c r="G11">
        <v>0.13800000000000001</v>
      </c>
    </row>
    <row r="12" spans="1:7" x14ac:dyDescent="0.2">
      <c r="A12" t="s">
        <v>67</v>
      </c>
      <c r="B12">
        <v>1901</v>
      </c>
      <c r="C12">
        <v>1990</v>
      </c>
      <c r="D12" s="30">
        <v>1.4430000000000001</v>
      </c>
      <c r="E12" s="30">
        <v>0.22700000000000001</v>
      </c>
      <c r="F12">
        <v>1.448</v>
      </c>
      <c r="G12">
        <v>0.17299999999999999</v>
      </c>
    </row>
    <row r="13" spans="1:7" x14ac:dyDescent="0.2">
      <c r="A13" t="s">
        <v>67</v>
      </c>
      <c r="B13">
        <v>1971</v>
      </c>
      <c r="C13">
        <v>2018</v>
      </c>
      <c r="D13" s="30">
        <v>2.2440000000000002</v>
      </c>
      <c r="E13" s="30">
        <v>0.187</v>
      </c>
      <c r="F13">
        <v>2.2440000000000002</v>
      </c>
      <c r="G13">
        <v>0.114</v>
      </c>
    </row>
    <row r="14" spans="1:7" x14ac:dyDescent="0.2">
      <c r="A14" t="s">
        <v>67</v>
      </c>
      <c r="B14">
        <v>2006</v>
      </c>
      <c r="C14">
        <v>2018</v>
      </c>
      <c r="D14" s="30">
        <v>4.2779999999999996</v>
      </c>
      <c r="E14" s="30">
        <v>0.65100000000000002</v>
      </c>
      <c r="F14">
        <v>4.2770000000000001</v>
      </c>
      <c r="G14">
        <v>0.38400000000000001</v>
      </c>
    </row>
    <row r="15" spans="1:7" x14ac:dyDescent="0.2">
      <c r="A15" t="s">
        <v>68</v>
      </c>
      <c r="B15">
        <v>1900</v>
      </c>
      <c r="C15">
        <v>2018</v>
      </c>
      <c r="D15" s="30">
        <v>0.51900000000000002</v>
      </c>
      <c r="E15" s="30">
        <v>0.106</v>
      </c>
      <c r="F15">
        <v>0.51700000000000002</v>
      </c>
      <c r="G15">
        <v>5.8999999999999997E-2</v>
      </c>
    </row>
    <row r="16" spans="1:7" x14ac:dyDescent="0.2">
      <c r="A16" t="s">
        <v>68</v>
      </c>
      <c r="B16">
        <v>1957</v>
      </c>
      <c r="C16">
        <v>2018</v>
      </c>
      <c r="D16" s="30">
        <v>0.70299999999999996</v>
      </c>
      <c r="E16" s="30">
        <v>0.10299999999999999</v>
      </c>
      <c r="F16">
        <v>0.70499999999999996</v>
      </c>
      <c r="G16">
        <v>0.04</v>
      </c>
    </row>
    <row r="17" spans="1:7" x14ac:dyDescent="0.2">
      <c r="A17" t="s">
        <v>68</v>
      </c>
      <c r="B17" s="24">
        <v>1993</v>
      </c>
      <c r="C17" s="24">
        <v>2018</v>
      </c>
      <c r="D17" s="30">
        <v>1.1930000000000001</v>
      </c>
      <c r="E17" s="30">
        <v>0.13900000000000001</v>
      </c>
      <c r="F17">
        <v>1.1910000000000001</v>
      </c>
      <c r="G17">
        <v>6.8000000000000005E-2</v>
      </c>
    </row>
    <row r="18" spans="1:7" x14ac:dyDescent="0.2">
      <c r="A18" t="s">
        <v>68</v>
      </c>
      <c r="B18">
        <v>1900</v>
      </c>
      <c r="C18">
        <v>1949</v>
      </c>
      <c r="D18" s="30">
        <v>0.28999999999999998</v>
      </c>
      <c r="E18" s="30">
        <v>9.9000000000000005E-2</v>
      </c>
      <c r="F18">
        <v>0.29099999999999998</v>
      </c>
      <c r="G18">
        <v>4.8000000000000001E-2</v>
      </c>
    </row>
    <row r="19" spans="1:7" x14ac:dyDescent="0.2">
      <c r="A19" t="s">
        <v>68</v>
      </c>
      <c r="B19">
        <v>1950</v>
      </c>
      <c r="C19">
        <v>1999</v>
      </c>
      <c r="D19" s="30">
        <v>0.47399999999999998</v>
      </c>
      <c r="E19" s="30">
        <v>0.108</v>
      </c>
      <c r="F19">
        <v>0.47399999999999998</v>
      </c>
      <c r="G19">
        <v>5.2999999999999999E-2</v>
      </c>
    </row>
    <row r="20" spans="1:7" x14ac:dyDescent="0.2">
      <c r="A20" t="s">
        <v>68</v>
      </c>
      <c r="B20" s="24">
        <v>1900</v>
      </c>
      <c r="C20" s="24">
        <v>1956</v>
      </c>
      <c r="D20" s="30">
        <v>0.32800000000000001</v>
      </c>
      <c r="E20" s="30">
        <v>9.8000000000000004E-2</v>
      </c>
      <c r="F20">
        <v>0.33</v>
      </c>
      <c r="G20">
        <v>3.9E-2</v>
      </c>
    </row>
    <row r="21" spans="1:7" x14ac:dyDescent="0.2">
      <c r="A21" t="s">
        <v>68</v>
      </c>
      <c r="B21" s="24">
        <v>1957</v>
      </c>
      <c r="C21" s="24">
        <v>1993</v>
      </c>
      <c r="D21" s="30">
        <v>0.42899999999999999</v>
      </c>
      <c r="E21" s="30">
        <v>0.129</v>
      </c>
      <c r="F21">
        <v>0.433</v>
      </c>
      <c r="G21">
        <v>3.5000000000000003E-2</v>
      </c>
    </row>
    <row r="22" spans="1:7" x14ac:dyDescent="0.2">
      <c r="A22" t="s">
        <v>68</v>
      </c>
      <c r="B22">
        <v>1901</v>
      </c>
      <c r="C22">
        <v>2018</v>
      </c>
      <c r="D22" s="30">
        <v>0.52600000000000002</v>
      </c>
      <c r="E22" s="30">
        <v>0.104</v>
      </c>
      <c r="F22">
        <v>0.52400000000000002</v>
      </c>
      <c r="G22">
        <v>5.8999999999999997E-2</v>
      </c>
    </row>
    <row r="23" spans="1:7" x14ac:dyDescent="0.2">
      <c r="A23" t="s">
        <v>68</v>
      </c>
      <c r="B23">
        <v>1901</v>
      </c>
      <c r="C23">
        <v>1990</v>
      </c>
      <c r="D23" s="30">
        <v>0.42299999999999999</v>
      </c>
      <c r="E23" s="30">
        <v>0.104</v>
      </c>
      <c r="F23">
        <v>0.42499999999999999</v>
      </c>
      <c r="G23">
        <v>6.2E-2</v>
      </c>
    </row>
    <row r="24" spans="1:7" x14ac:dyDescent="0.2">
      <c r="A24" t="s">
        <v>68</v>
      </c>
      <c r="B24">
        <v>1971</v>
      </c>
      <c r="C24">
        <v>2018</v>
      </c>
      <c r="D24" s="30">
        <v>0.84699999999999998</v>
      </c>
      <c r="E24" s="30">
        <v>0.123</v>
      </c>
      <c r="F24">
        <v>0.84299999999999997</v>
      </c>
      <c r="G24">
        <v>5.5E-2</v>
      </c>
    </row>
    <row r="25" spans="1:7" x14ac:dyDescent="0.2">
      <c r="A25" t="s">
        <v>68</v>
      </c>
      <c r="B25">
        <v>2006</v>
      </c>
      <c r="C25">
        <v>2018</v>
      </c>
      <c r="D25" s="30">
        <v>1.1719999999999999</v>
      </c>
      <c r="E25" s="30">
        <v>0.13200000000000001</v>
      </c>
      <c r="F25">
        <v>1.1739999999999999</v>
      </c>
      <c r="G25">
        <v>6.6000000000000003E-2</v>
      </c>
    </row>
    <row r="26" spans="1:7" x14ac:dyDescent="0.2">
      <c r="A26" t="s">
        <v>69</v>
      </c>
      <c r="B26">
        <v>1900</v>
      </c>
      <c r="C26">
        <v>2018</v>
      </c>
      <c r="D26" s="30">
        <v>0.70099999999999996</v>
      </c>
      <c r="E26" s="30">
        <v>0.108</v>
      </c>
      <c r="F26">
        <v>0.7</v>
      </c>
      <c r="G26">
        <v>8.7999999999999995E-2</v>
      </c>
    </row>
    <row r="27" spans="1:7" x14ac:dyDescent="0.2">
      <c r="A27" t="s">
        <v>69</v>
      </c>
      <c r="B27">
        <v>1957</v>
      </c>
      <c r="C27">
        <v>2018</v>
      </c>
      <c r="D27" s="30">
        <v>0.52100000000000002</v>
      </c>
      <c r="E27" s="30">
        <v>0.114</v>
      </c>
      <c r="F27">
        <v>0.52</v>
      </c>
      <c r="G27">
        <v>9.9000000000000005E-2</v>
      </c>
    </row>
    <row r="28" spans="1:7" x14ac:dyDescent="0.2">
      <c r="A28" t="s">
        <v>69</v>
      </c>
      <c r="B28" s="24">
        <v>1993</v>
      </c>
      <c r="C28" s="24">
        <v>2018</v>
      </c>
      <c r="D28" s="30">
        <v>0.67100000000000004</v>
      </c>
      <c r="E28" s="30">
        <v>9.8000000000000004E-2</v>
      </c>
      <c r="F28">
        <v>0.67200000000000004</v>
      </c>
      <c r="G28">
        <v>8.5999999999999993E-2</v>
      </c>
    </row>
    <row r="29" spans="1:7" x14ac:dyDescent="0.2">
      <c r="A29" t="s">
        <v>69</v>
      </c>
      <c r="B29">
        <v>1900</v>
      </c>
      <c r="C29">
        <v>1949</v>
      </c>
      <c r="D29" s="30">
        <v>0.94399999999999995</v>
      </c>
      <c r="E29" s="30">
        <v>0.13700000000000001</v>
      </c>
      <c r="F29">
        <v>0.94299999999999995</v>
      </c>
      <c r="G29">
        <v>8.7999999999999995E-2</v>
      </c>
    </row>
    <row r="30" spans="1:7" x14ac:dyDescent="0.2">
      <c r="A30" t="s">
        <v>69</v>
      </c>
      <c r="B30">
        <v>1950</v>
      </c>
      <c r="C30">
        <v>1999</v>
      </c>
      <c r="D30" s="30">
        <v>0.45800000000000002</v>
      </c>
      <c r="E30" s="30">
        <v>0.13900000000000001</v>
      </c>
      <c r="F30">
        <v>0.46</v>
      </c>
      <c r="G30">
        <v>9.1999999999999998E-2</v>
      </c>
    </row>
    <row r="31" spans="1:7" x14ac:dyDescent="0.2">
      <c r="A31" t="s">
        <v>69</v>
      </c>
      <c r="B31" s="24">
        <v>1900</v>
      </c>
      <c r="C31" s="24">
        <v>1956</v>
      </c>
      <c r="D31" s="30">
        <v>0.94199999999999995</v>
      </c>
      <c r="E31" s="30">
        <v>0.13300000000000001</v>
      </c>
      <c r="F31">
        <v>0.94299999999999995</v>
      </c>
      <c r="G31">
        <v>8.3000000000000004E-2</v>
      </c>
    </row>
    <row r="32" spans="1:7" x14ac:dyDescent="0.2">
      <c r="A32" t="s">
        <v>69</v>
      </c>
      <c r="B32" s="24">
        <v>1957</v>
      </c>
      <c r="C32" s="24">
        <v>1993</v>
      </c>
      <c r="D32" s="30">
        <v>0.40300000000000002</v>
      </c>
      <c r="E32" s="30">
        <v>0.154</v>
      </c>
      <c r="F32">
        <v>0.40200000000000002</v>
      </c>
      <c r="G32">
        <v>8.7999999999999995E-2</v>
      </c>
    </row>
    <row r="33" spans="1:7" x14ac:dyDescent="0.2">
      <c r="A33" t="s">
        <v>69</v>
      </c>
      <c r="B33">
        <v>1901</v>
      </c>
      <c r="C33">
        <v>2018</v>
      </c>
      <c r="D33" s="30">
        <v>0.69799999999999995</v>
      </c>
      <c r="E33" s="30">
        <v>0.108</v>
      </c>
      <c r="F33">
        <v>0.69799999999999995</v>
      </c>
      <c r="G33">
        <v>8.7999999999999995E-2</v>
      </c>
    </row>
    <row r="34" spans="1:7" x14ac:dyDescent="0.2">
      <c r="A34" t="s">
        <v>69</v>
      </c>
      <c r="B34">
        <v>1901</v>
      </c>
      <c r="C34">
        <v>1990</v>
      </c>
      <c r="D34" s="30">
        <v>0.77600000000000002</v>
      </c>
      <c r="E34" s="30">
        <v>0.11600000000000001</v>
      </c>
      <c r="F34">
        <v>0.77700000000000002</v>
      </c>
      <c r="G34">
        <v>8.3000000000000004E-2</v>
      </c>
    </row>
    <row r="35" spans="1:7" x14ac:dyDescent="0.2">
      <c r="A35" t="s">
        <v>69</v>
      </c>
      <c r="B35">
        <v>1971</v>
      </c>
      <c r="C35">
        <v>2018</v>
      </c>
      <c r="D35" s="30">
        <v>0.58199999999999996</v>
      </c>
      <c r="E35" s="30">
        <v>0.114</v>
      </c>
      <c r="F35">
        <v>0.58399999999999996</v>
      </c>
      <c r="G35">
        <v>0.10199999999999999</v>
      </c>
    </row>
    <row r="36" spans="1:7" x14ac:dyDescent="0.2">
      <c r="A36" t="s">
        <v>69</v>
      </c>
      <c r="B36">
        <v>2006</v>
      </c>
      <c r="C36">
        <v>2018</v>
      </c>
      <c r="D36" s="30">
        <v>0.67800000000000005</v>
      </c>
      <c r="E36" s="30">
        <v>5.8000000000000003E-2</v>
      </c>
      <c r="F36">
        <v>0.67700000000000005</v>
      </c>
      <c r="G36">
        <v>1.4999999999999999E-2</v>
      </c>
    </row>
    <row r="37" spans="1:7" x14ac:dyDescent="0.2">
      <c r="A37" t="s">
        <v>70</v>
      </c>
      <c r="B37">
        <v>1900</v>
      </c>
      <c r="C37">
        <v>2018</v>
      </c>
      <c r="D37" s="30">
        <v>0.443</v>
      </c>
      <c r="E37" s="30">
        <v>5.2999999999999999E-2</v>
      </c>
      <c r="F37">
        <v>0.442</v>
      </c>
      <c r="G37">
        <v>4.1000000000000002E-2</v>
      </c>
    </row>
    <row r="38" spans="1:7" x14ac:dyDescent="0.2">
      <c r="A38" t="s">
        <v>70</v>
      </c>
      <c r="B38">
        <v>1957</v>
      </c>
      <c r="C38">
        <v>2018</v>
      </c>
      <c r="D38" s="30">
        <v>0.29899999999999999</v>
      </c>
      <c r="E38" s="30">
        <v>0.05</v>
      </c>
      <c r="F38">
        <v>0.29799999999999999</v>
      </c>
      <c r="G38">
        <v>3.6999999999999998E-2</v>
      </c>
    </row>
    <row r="39" spans="1:7" x14ac:dyDescent="0.2">
      <c r="A39" t="s">
        <v>70</v>
      </c>
      <c r="B39" s="24">
        <v>1993</v>
      </c>
      <c r="C39" s="24">
        <v>2018</v>
      </c>
      <c r="D39" s="30">
        <v>0.65400000000000003</v>
      </c>
      <c r="E39" s="30">
        <v>4.8000000000000001E-2</v>
      </c>
      <c r="F39">
        <v>0.65500000000000003</v>
      </c>
      <c r="G39">
        <v>4.1000000000000002E-2</v>
      </c>
    </row>
    <row r="40" spans="1:7" x14ac:dyDescent="0.2">
      <c r="A40" t="s">
        <v>70</v>
      </c>
      <c r="B40">
        <v>1900</v>
      </c>
      <c r="C40">
        <v>1949</v>
      </c>
      <c r="D40" s="30">
        <v>0.57099999999999995</v>
      </c>
      <c r="E40" s="30">
        <v>0.10299999999999999</v>
      </c>
      <c r="F40">
        <v>0.57199999999999995</v>
      </c>
      <c r="G40">
        <v>7.6999999999999999E-2</v>
      </c>
    </row>
    <row r="41" spans="1:7" x14ac:dyDescent="0.2">
      <c r="A41" t="s">
        <v>70</v>
      </c>
      <c r="B41">
        <v>1950</v>
      </c>
      <c r="C41">
        <v>1999</v>
      </c>
      <c r="D41" s="30">
        <v>0.23699999999999999</v>
      </c>
      <c r="E41" s="30">
        <v>5.5E-2</v>
      </c>
      <c r="F41">
        <v>0.23799999999999999</v>
      </c>
      <c r="G41">
        <v>3.3000000000000002E-2</v>
      </c>
    </row>
    <row r="42" spans="1:7" x14ac:dyDescent="0.2">
      <c r="A42" t="s">
        <v>70</v>
      </c>
      <c r="B42" s="24">
        <v>1900</v>
      </c>
      <c r="C42" s="24">
        <v>1956</v>
      </c>
      <c r="D42" s="30">
        <v>0.58599999999999997</v>
      </c>
      <c r="E42" s="30">
        <v>9.4E-2</v>
      </c>
      <c r="F42">
        <v>0.58699999999999997</v>
      </c>
      <c r="G42">
        <v>6.7000000000000004E-2</v>
      </c>
    </row>
    <row r="43" spans="1:7" x14ac:dyDescent="0.2">
      <c r="A43" t="s">
        <v>70</v>
      </c>
      <c r="B43" s="24">
        <v>1957</v>
      </c>
      <c r="C43" s="24">
        <v>1993</v>
      </c>
      <c r="D43" s="30">
        <v>0.20699999999999999</v>
      </c>
      <c r="E43" s="30">
        <v>6.3E-2</v>
      </c>
      <c r="F43">
        <v>0.20799999999999999</v>
      </c>
      <c r="G43">
        <v>3.2000000000000001E-2</v>
      </c>
    </row>
    <row r="44" spans="1:7" x14ac:dyDescent="0.2">
      <c r="A44" t="s">
        <v>70</v>
      </c>
      <c r="B44">
        <v>1901</v>
      </c>
      <c r="C44">
        <v>2018</v>
      </c>
      <c r="D44" s="30">
        <v>0.442</v>
      </c>
      <c r="E44" s="30">
        <v>5.5E-2</v>
      </c>
      <c r="F44">
        <v>0.442</v>
      </c>
      <c r="G44">
        <v>0.04</v>
      </c>
    </row>
    <row r="45" spans="1:7" x14ac:dyDescent="0.2">
      <c r="A45" t="s">
        <v>70</v>
      </c>
      <c r="B45">
        <v>1901</v>
      </c>
      <c r="C45">
        <v>1990</v>
      </c>
      <c r="D45" s="30">
        <v>0.50800000000000001</v>
      </c>
      <c r="E45" s="30">
        <v>6.2E-2</v>
      </c>
      <c r="F45">
        <v>0.50800000000000001</v>
      </c>
      <c r="G45">
        <v>4.3999999999999997E-2</v>
      </c>
    </row>
    <row r="46" spans="1:7" x14ac:dyDescent="0.2">
      <c r="A46" t="s">
        <v>70</v>
      </c>
      <c r="B46">
        <v>1971</v>
      </c>
      <c r="C46">
        <v>2018</v>
      </c>
      <c r="D46" s="30">
        <v>0.34200000000000003</v>
      </c>
      <c r="E46" s="30">
        <v>5.1999999999999998E-2</v>
      </c>
      <c r="F46">
        <v>0.34200000000000003</v>
      </c>
      <c r="G46">
        <v>4.2000000000000003E-2</v>
      </c>
    </row>
    <row r="47" spans="1:7" x14ac:dyDescent="0.2">
      <c r="A47" t="s">
        <v>70</v>
      </c>
      <c r="B47">
        <v>2006</v>
      </c>
      <c r="C47">
        <v>2018</v>
      </c>
      <c r="D47" s="30">
        <v>0.85</v>
      </c>
      <c r="E47" s="30">
        <v>4.8000000000000001E-2</v>
      </c>
      <c r="F47">
        <v>0.85</v>
      </c>
      <c r="G47">
        <v>3.6999999999999998E-2</v>
      </c>
    </row>
    <row r="48" spans="1:7" x14ac:dyDescent="0.2">
      <c r="A48" t="s">
        <v>71</v>
      </c>
      <c r="B48">
        <v>1900</v>
      </c>
      <c r="C48">
        <v>2018</v>
      </c>
      <c r="D48" s="30">
        <v>7.5999999999999998E-2</v>
      </c>
      <c r="E48" s="30">
        <v>5.2999999999999999E-2</v>
      </c>
      <c r="F48">
        <v>7.8E-2</v>
      </c>
      <c r="G48">
        <v>3.1E-2</v>
      </c>
    </row>
    <row r="49" spans="1:7" x14ac:dyDescent="0.2">
      <c r="A49" t="s">
        <v>71</v>
      </c>
      <c r="B49">
        <v>1957</v>
      </c>
      <c r="C49">
        <v>2018</v>
      </c>
      <c r="D49" s="30">
        <v>0.13</v>
      </c>
      <c r="E49" s="30">
        <v>0.05</v>
      </c>
      <c r="F49">
        <v>0.13100000000000001</v>
      </c>
      <c r="G49">
        <v>2.8000000000000001E-2</v>
      </c>
    </row>
    <row r="50" spans="1:7" x14ac:dyDescent="0.2">
      <c r="A50" t="s">
        <v>71</v>
      </c>
      <c r="B50" s="24">
        <v>1993</v>
      </c>
      <c r="C50" s="24">
        <v>2018</v>
      </c>
      <c r="D50" s="30">
        <v>0.32</v>
      </c>
      <c r="E50" s="30">
        <v>6.9000000000000006E-2</v>
      </c>
      <c r="F50">
        <v>0.32</v>
      </c>
      <c r="G50">
        <v>4.1000000000000002E-2</v>
      </c>
    </row>
    <row r="51" spans="1:7" x14ac:dyDescent="0.2">
      <c r="A51" t="s">
        <v>71</v>
      </c>
      <c r="B51">
        <v>1900</v>
      </c>
      <c r="C51">
        <v>1949</v>
      </c>
      <c r="D51" s="30">
        <v>5.3999999999999999E-2</v>
      </c>
      <c r="E51" s="30">
        <v>5.7000000000000002E-2</v>
      </c>
      <c r="F51">
        <v>5.3999999999999999E-2</v>
      </c>
      <c r="G51">
        <v>3.7999999999999999E-2</v>
      </c>
    </row>
    <row r="52" spans="1:7" x14ac:dyDescent="0.2">
      <c r="A52" t="s">
        <v>71</v>
      </c>
      <c r="B52">
        <v>1950</v>
      </c>
      <c r="C52">
        <v>1999</v>
      </c>
      <c r="D52" s="30">
        <v>0.06</v>
      </c>
      <c r="E52" s="30">
        <v>5.7000000000000002E-2</v>
      </c>
      <c r="F52">
        <v>5.8999999999999997E-2</v>
      </c>
      <c r="G52">
        <v>2.1999999999999999E-2</v>
      </c>
    </row>
    <row r="53" spans="1:7" x14ac:dyDescent="0.2">
      <c r="A53" t="s">
        <v>71</v>
      </c>
      <c r="B53" s="24">
        <v>1900</v>
      </c>
      <c r="C53" s="24">
        <v>1956</v>
      </c>
      <c r="D53" s="30">
        <v>5.3999999999999999E-2</v>
      </c>
      <c r="E53" s="30">
        <v>5.8000000000000003E-2</v>
      </c>
      <c r="F53">
        <v>5.3999999999999999E-2</v>
      </c>
      <c r="G53">
        <v>3.6999999999999998E-2</v>
      </c>
    </row>
    <row r="54" spans="1:7" x14ac:dyDescent="0.2">
      <c r="A54" t="s">
        <v>71</v>
      </c>
      <c r="B54" s="24">
        <v>1957</v>
      </c>
      <c r="C54" s="24">
        <v>1993</v>
      </c>
      <c r="D54" s="30">
        <v>5.1999999999999998E-2</v>
      </c>
      <c r="E54" s="30">
        <v>5.7000000000000002E-2</v>
      </c>
      <c r="F54">
        <v>5.1999999999999998E-2</v>
      </c>
      <c r="G54">
        <v>2.1000000000000001E-2</v>
      </c>
    </row>
    <row r="55" spans="1:7" x14ac:dyDescent="0.2">
      <c r="A55" t="s">
        <v>71</v>
      </c>
      <c r="B55">
        <v>1901</v>
      </c>
      <c r="C55">
        <v>2018</v>
      </c>
      <c r="D55" s="30">
        <v>7.9000000000000001E-2</v>
      </c>
      <c r="E55" s="30">
        <v>5.2999999999999999E-2</v>
      </c>
      <c r="F55">
        <v>7.8E-2</v>
      </c>
      <c r="G55">
        <v>3.1E-2</v>
      </c>
    </row>
    <row r="56" spans="1:7" x14ac:dyDescent="0.2">
      <c r="A56" t="s">
        <v>71</v>
      </c>
      <c r="B56">
        <v>1901</v>
      </c>
      <c r="C56">
        <v>1990</v>
      </c>
      <c r="D56" s="30">
        <v>5.2999999999999999E-2</v>
      </c>
      <c r="E56" s="30">
        <v>5.8000000000000003E-2</v>
      </c>
      <c r="F56">
        <v>5.3999999999999999E-2</v>
      </c>
      <c r="G56">
        <v>3.3000000000000002E-2</v>
      </c>
    </row>
    <row r="57" spans="1:7" x14ac:dyDescent="0.2">
      <c r="A57" t="s">
        <v>71</v>
      </c>
      <c r="B57">
        <v>1971</v>
      </c>
      <c r="C57">
        <v>2018</v>
      </c>
      <c r="D57" s="30">
        <v>0.17100000000000001</v>
      </c>
      <c r="E57" s="30">
        <v>5.6000000000000001E-2</v>
      </c>
      <c r="F57">
        <v>0.17100000000000001</v>
      </c>
      <c r="G57">
        <v>3.1E-2</v>
      </c>
    </row>
    <row r="58" spans="1:7" x14ac:dyDescent="0.2">
      <c r="A58" t="s">
        <v>71</v>
      </c>
      <c r="B58">
        <v>2006</v>
      </c>
      <c r="C58">
        <v>2018</v>
      </c>
      <c r="D58" s="30">
        <v>0.496</v>
      </c>
      <c r="E58" s="30">
        <v>7.2999999999999995E-2</v>
      </c>
      <c r="F58">
        <v>0.497</v>
      </c>
      <c r="G58">
        <v>0.03</v>
      </c>
    </row>
    <row r="59" spans="1:7" x14ac:dyDescent="0.2">
      <c r="A59" t="s">
        <v>72</v>
      </c>
      <c r="B59">
        <v>1900</v>
      </c>
      <c r="C59">
        <v>2018</v>
      </c>
      <c r="D59" s="30">
        <v>-0.21299999999999999</v>
      </c>
      <c r="E59" s="30">
        <v>0.08</v>
      </c>
      <c r="F59">
        <v>-0.21299999999999999</v>
      </c>
      <c r="G59">
        <v>5.6000000000000001E-2</v>
      </c>
    </row>
    <row r="60" spans="1:7" x14ac:dyDescent="0.2">
      <c r="A60" t="s">
        <v>72</v>
      </c>
      <c r="B60">
        <v>1957</v>
      </c>
      <c r="C60">
        <v>2018</v>
      </c>
      <c r="D60" s="30">
        <v>-0.14499999999999999</v>
      </c>
      <c r="E60" s="30">
        <v>0.1</v>
      </c>
      <c r="F60">
        <v>-0.14399999999999999</v>
      </c>
      <c r="G60">
        <v>8.1000000000000003E-2</v>
      </c>
    </row>
    <row r="61" spans="1:7" x14ac:dyDescent="0.2">
      <c r="A61" t="s">
        <v>72</v>
      </c>
      <c r="B61" s="24">
        <v>1993</v>
      </c>
      <c r="C61" s="24">
        <v>2018</v>
      </c>
      <c r="D61" s="30">
        <v>0.313</v>
      </c>
      <c r="E61" s="30">
        <v>0.107</v>
      </c>
      <c r="F61">
        <v>0.315</v>
      </c>
      <c r="G61">
        <v>6.3E-2</v>
      </c>
    </row>
    <row r="62" spans="1:7" x14ac:dyDescent="0.2">
      <c r="A62" t="s">
        <v>72</v>
      </c>
      <c r="B62">
        <v>1900</v>
      </c>
      <c r="C62">
        <v>1949</v>
      </c>
      <c r="D62" s="30">
        <v>-2.3E-2</v>
      </c>
      <c r="E62" s="30">
        <v>5.1999999999999998E-2</v>
      </c>
      <c r="F62">
        <v>-2.3E-2</v>
      </c>
      <c r="G62">
        <v>1.6E-2</v>
      </c>
    </row>
    <row r="63" spans="1:7" x14ac:dyDescent="0.2">
      <c r="A63" t="s">
        <v>72</v>
      </c>
      <c r="B63">
        <v>1950</v>
      </c>
      <c r="C63">
        <v>1999</v>
      </c>
      <c r="D63" s="30">
        <v>-0.438</v>
      </c>
      <c r="E63" s="30">
        <v>0.11899999999999999</v>
      </c>
      <c r="F63">
        <v>-0.438</v>
      </c>
      <c r="G63">
        <v>9.4E-2</v>
      </c>
    </row>
    <row r="64" spans="1:7" x14ac:dyDescent="0.2">
      <c r="A64" t="s">
        <v>72</v>
      </c>
      <c r="B64" s="24">
        <v>1900</v>
      </c>
      <c r="C64" s="24">
        <v>1956</v>
      </c>
      <c r="D64" s="30">
        <v>-4.2999999999999997E-2</v>
      </c>
      <c r="E64" s="30">
        <v>5.0999999999999997E-2</v>
      </c>
      <c r="F64">
        <v>-4.3999999999999997E-2</v>
      </c>
      <c r="G64">
        <v>1.7000000000000001E-2</v>
      </c>
    </row>
    <row r="65" spans="1:7" x14ac:dyDescent="0.2">
      <c r="A65" t="s">
        <v>72</v>
      </c>
      <c r="B65" s="24">
        <v>1957</v>
      </c>
      <c r="C65" s="24">
        <v>1993</v>
      </c>
      <c r="D65" s="30">
        <v>-0.49099999999999999</v>
      </c>
      <c r="E65" s="30">
        <v>0.13100000000000001</v>
      </c>
      <c r="F65">
        <v>-0.49099999999999999</v>
      </c>
      <c r="G65">
        <v>0.106</v>
      </c>
    </row>
    <row r="66" spans="1:7" x14ac:dyDescent="0.2">
      <c r="A66" t="s">
        <v>72</v>
      </c>
      <c r="B66">
        <v>1901</v>
      </c>
      <c r="C66">
        <v>2018</v>
      </c>
      <c r="D66" s="30">
        <v>-0.216</v>
      </c>
      <c r="E66" s="30">
        <v>7.9000000000000001E-2</v>
      </c>
      <c r="F66">
        <v>-0.216</v>
      </c>
      <c r="G66">
        <v>5.6000000000000001E-2</v>
      </c>
    </row>
    <row r="67" spans="1:7" x14ac:dyDescent="0.2">
      <c r="A67" t="s">
        <v>72</v>
      </c>
      <c r="B67">
        <v>1901</v>
      </c>
      <c r="C67">
        <v>1990</v>
      </c>
      <c r="D67" s="30">
        <v>-0.253</v>
      </c>
      <c r="E67" s="30">
        <v>7.0000000000000007E-2</v>
      </c>
      <c r="F67">
        <v>-0.254</v>
      </c>
      <c r="G67">
        <v>4.9000000000000002E-2</v>
      </c>
    </row>
    <row r="68" spans="1:7" x14ac:dyDescent="0.2">
      <c r="A68" t="s">
        <v>72</v>
      </c>
      <c r="B68">
        <v>1971</v>
      </c>
      <c r="C68">
        <v>2018</v>
      </c>
      <c r="D68" s="30">
        <v>7.0999999999999994E-2</v>
      </c>
      <c r="E68" s="30">
        <v>8.7999999999999995E-2</v>
      </c>
      <c r="F68">
        <v>7.0000000000000007E-2</v>
      </c>
      <c r="G68">
        <v>6.6000000000000003E-2</v>
      </c>
    </row>
    <row r="69" spans="1:7" x14ac:dyDescent="0.2">
      <c r="A69" t="s">
        <v>72</v>
      </c>
      <c r="B69">
        <v>2006</v>
      </c>
      <c r="C69">
        <v>2018</v>
      </c>
      <c r="D69" s="30">
        <v>0.501</v>
      </c>
      <c r="E69" s="30">
        <v>0.14000000000000001</v>
      </c>
      <c r="F69">
        <v>0.499</v>
      </c>
      <c r="G69">
        <v>0.124</v>
      </c>
    </row>
    <row r="70" spans="1:7" x14ac:dyDescent="0.2">
      <c r="A70" t="s">
        <v>73</v>
      </c>
      <c r="B70">
        <v>1900</v>
      </c>
      <c r="C70">
        <v>2018</v>
      </c>
      <c r="D70" s="30">
        <v>1.0089999999999999</v>
      </c>
      <c r="E70" s="30">
        <v>0.17899999999999999</v>
      </c>
      <c r="F70">
        <v>1.0069999999999999</v>
      </c>
      <c r="G70">
        <v>0.11799999999999999</v>
      </c>
    </row>
    <row r="71" spans="1:7" x14ac:dyDescent="0.2">
      <c r="A71" t="s">
        <v>73</v>
      </c>
      <c r="B71">
        <v>1957</v>
      </c>
      <c r="C71">
        <v>2018</v>
      </c>
      <c r="D71" s="30">
        <v>0.80300000000000005</v>
      </c>
      <c r="E71" s="30">
        <v>0.191</v>
      </c>
      <c r="F71">
        <v>0.80500000000000005</v>
      </c>
      <c r="G71">
        <v>0.14399999999999999</v>
      </c>
    </row>
    <row r="72" spans="1:7" x14ac:dyDescent="0.2">
      <c r="A72" t="s">
        <v>73</v>
      </c>
      <c r="B72" s="24">
        <v>1993</v>
      </c>
      <c r="C72" s="24">
        <v>2018</v>
      </c>
      <c r="D72" s="30">
        <v>1.9670000000000001</v>
      </c>
      <c r="E72" s="30">
        <v>0.20599999999999999</v>
      </c>
      <c r="F72">
        <v>1.968</v>
      </c>
      <c r="G72">
        <v>0.13100000000000001</v>
      </c>
    </row>
    <row r="73" spans="1:7" x14ac:dyDescent="0.2">
      <c r="A73" t="s">
        <v>73</v>
      </c>
      <c r="B73">
        <v>1900</v>
      </c>
      <c r="C73">
        <v>1949</v>
      </c>
      <c r="D73" s="30">
        <v>1.5489999999999999</v>
      </c>
      <c r="E73" s="30">
        <v>0.215</v>
      </c>
      <c r="F73">
        <v>1.546</v>
      </c>
      <c r="G73">
        <v>0.113</v>
      </c>
    </row>
    <row r="74" spans="1:7" x14ac:dyDescent="0.2">
      <c r="A74" t="s">
        <v>73</v>
      </c>
      <c r="B74">
        <v>1950</v>
      </c>
      <c r="C74">
        <v>1999</v>
      </c>
      <c r="D74" s="30">
        <v>0.31900000000000001</v>
      </c>
      <c r="E74" s="30">
        <v>0.22900000000000001</v>
      </c>
      <c r="F74">
        <v>0.318</v>
      </c>
      <c r="G74">
        <v>0.13300000000000001</v>
      </c>
    </row>
    <row r="75" spans="1:7" x14ac:dyDescent="0.2">
      <c r="A75" t="s">
        <v>73</v>
      </c>
      <c r="B75" s="24">
        <v>1900</v>
      </c>
      <c r="C75" s="24">
        <v>1956</v>
      </c>
      <c r="D75" s="30">
        <v>1.5429999999999999</v>
      </c>
      <c r="E75" s="30">
        <v>0.20399999999999999</v>
      </c>
      <c r="F75">
        <v>1.54</v>
      </c>
      <c r="G75">
        <v>0.105</v>
      </c>
    </row>
    <row r="76" spans="1:7" x14ac:dyDescent="0.2">
      <c r="A76" t="s">
        <v>73</v>
      </c>
      <c r="B76" s="24">
        <v>1957</v>
      </c>
      <c r="C76" s="24">
        <v>1993</v>
      </c>
      <c r="D76" s="30">
        <v>0.16900000000000001</v>
      </c>
      <c r="E76" s="30">
        <v>0.23599999999999999</v>
      </c>
      <c r="F76">
        <v>0.16900000000000001</v>
      </c>
      <c r="G76">
        <v>0.13500000000000001</v>
      </c>
    </row>
    <row r="77" spans="1:7" x14ac:dyDescent="0.2">
      <c r="A77" t="s">
        <v>73</v>
      </c>
      <c r="B77">
        <v>1901</v>
      </c>
      <c r="C77">
        <v>2018</v>
      </c>
      <c r="D77" s="30">
        <v>0.999</v>
      </c>
      <c r="E77" s="30">
        <v>0.17899999999999999</v>
      </c>
      <c r="F77">
        <v>1.0009999999999999</v>
      </c>
      <c r="G77">
        <v>0.11799999999999999</v>
      </c>
    </row>
    <row r="78" spans="1:7" x14ac:dyDescent="0.2">
      <c r="A78" t="s">
        <v>73</v>
      </c>
      <c r="B78">
        <v>1901</v>
      </c>
      <c r="C78">
        <v>1990</v>
      </c>
      <c r="D78" s="30">
        <v>1.0860000000000001</v>
      </c>
      <c r="E78" s="30">
        <v>0.189</v>
      </c>
      <c r="F78">
        <v>1.085</v>
      </c>
      <c r="G78">
        <v>0.114</v>
      </c>
    </row>
    <row r="79" spans="1:7" x14ac:dyDescent="0.2">
      <c r="A79" t="s">
        <v>73</v>
      </c>
      <c r="B79">
        <v>1971</v>
      </c>
      <c r="C79">
        <v>2018</v>
      </c>
      <c r="D79" s="30">
        <v>1.1719999999999999</v>
      </c>
      <c r="E79" s="30">
        <v>0.19600000000000001</v>
      </c>
      <c r="F79">
        <v>1.17</v>
      </c>
      <c r="G79">
        <v>0.14599999999999999</v>
      </c>
    </row>
    <row r="80" spans="1:7" x14ac:dyDescent="0.2">
      <c r="A80" t="s">
        <v>73</v>
      </c>
      <c r="B80">
        <v>2006</v>
      </c>
      <c r="C80">
        <v>2018</v>
      </c>
      <c r="D80" s="30">
        <v>2.54</v>
      </c>
      <c r="E80" s="30">
        <v>0.22900000000000001</v>
      </c>
      <c r="F80">
        <v>2.5390000000000001</v>
      </c>
      <c r="G80">
        <v>0.13700000000000001</v>
      </c>
    </row>
    <row r="81" spans="1:7" x14ac:dyDescent="0.2">
      <c r="A81" t="s">
        <v>74</v>
      </c>
      <c r="B81">
        <v>1900</v>
      </c>
      <c r="C81">
        <v>2018</v>
      </c>
      <c r="D81" s="30" t="s">
        <v>75</v>
      </c>
      <c r="E81" s="30" t="s">
        <v>75</v>
      </c>
      <c r="F81" t="s">
        <v>75</v>
      </c>
      <c r="G81" t="s">
        <v>75</v>
      </c>
    </row>
    <row r="82" spans="1:7" x14ac:dyDescent="0.2">
      <c r="A82" t="s">
        <v>74</v>
      </c>
      <c r="B82">
        <v>1957</v>
      </c>
      <c r="C82">
        <v>2018</v>
      </c>
      <c r="D82" s="30" t="s">
        <v>75</v>
      </c>
      <c r="E82" s="30" t="s">
        <v>75</v>
      </c>
      <c r="F82" t="s">
        <v>75</v>
      </c>
      <c r="G82" t="s">
        <v>75</v>
      </c>
    </row>
    <row r="83" spans="1:7" x14ac:dyDescent="0.2">
      <c r="A83" t="s">
        <v>74</v>
      </c>
      <c r="B83" s="24">
        <v>1993</v>
      </c>
      <c r="C83" s="24">
        <v>2018</v>
      </c>
      <c r="D83" s="30" t="s">
        <v>75</v>
      </c>
      <c r="E83" s="30" t="s">
        <v>75</v>
      </c>
      <c r="F83" t="s">
        <v>75</v>
      </c>
      <c r="G83" t="s">
        <v>75</v>
      </c>
    </row>
    <row r="84" spans="1:7" x14ac:dyDescent="0.2">
      <c r="A84" t="s">
        <v>74</v>
      </c>
      <c r="B84">
        <v>1900</v>
      </c>
      <c r="C84">
        <v>1949</v>
      </c>
      <c r="D84" s="30">
        <v>-3.5000000000000003E-2</v>
      </c>
      <c r="E84" s="30">
        <v>0.02</v>
      </c>
      <c r="F84">
        <v>-3.4000000000000002E-2</v>
      </c>
      <c r="G84">
        <v>1.2E-2</v>
      </c>
    </row>
    <row r="85" spans="1:7" x14ac:dyDescent="0.2">
      <c r="A85" t="s">
        <v>74</v>
      </c>
      <c r="B85">
        <v>1950</v>
      </c>
      <c r="C85">
        <v>1999</v>
      </c>
      <c r="D85" s="30">
        <v>-7.0999999999999994E-2</v>
      </c>
      <c r="E85" s="30">
        <v>1.9E-2</v>
      </c>
      <c r="F85">
        <v>-7.1999999999999995E-2</v>
      </c>
      <c r="G85">
        <v>1.7999999999999999E-2</v>
      </c>
    </row>
    <row r="86" spans="1:7" x14ac:dyDescent="0.2">
      <c r="A86" t="s">
        <v>74</v>
      </c>
      <c r="B86" s="24">
        <v>1900</v>
      </c>
      <c r="C86" s="24">
        <v>1956</v>
      </c>
      <c r="D86" s="30">
        <v>-4.8000000000000001E-2</v>
      </c>
      <c r="E86" s="30">
        <v>1.9E-2</v>
      </c>
      <c r="F86">
        <v>-4.8000000000000001E-2</v>
      </c>
      <c r="G86">
        <v>0.01</v>
      </c>
    </row>
    <row r="87" spans="1:7" x14ac:dyDescent="0.2">
      <c r="A87" t="s">
        <v>74</v>
      </c>
      <c r="B87" s="24">
        <v>1957</v>
      </c>
      <c r="C87" s="24">
        <v>1993</v>
      </c>
      <c r="D87" s="30">
        <v>-7.6999999999999999E-2</v>
      </c>
      <c r="E87" s="30">
        <v>2.1999999999999999E-2</v>
      </c>
      <c r="F87">
        <v>-7.6999999999999999E-2</v>
      </c>
      <c r="G87">
        <v>2.5999999999999999E-2</v>
      </c>
    </row>
    <row r="88" spans="1:7" x14ac:dyDescent="0.2">
      <c r="A88" t="s">
        <v>74</v>
      </c>
      <c r="B88">
        <v>1901</v>
      </c>
      <c r="C88">
        <v>2018</v>
      </c>
      <c r="D88" s="30" t="s">
        <v>75</v>
      </c>
      <c r="E88" s="30" t="s">
        <v>75</v>
      </c>
      <c r="F88" t="s">
        <v>75</v>
      </c>
      <c r="G88" t="s">
        <v>75</v>
      </c>
    </row>
    <row r="89" spans="1:7" x14ac:dyDescent="0.2">
      <c r="A89" t="s">
        <v>74</v>
      </c>
      <c r="B89">
        <v>1901</v>
      </c>
      <c r="C89">
        <v>1990</v>
      </c>
      <c r="D89" s="30">
        <v>-0.10100000000000001</v>
      </c>
      <c r="E89" s="30">
        <v>1.9E-2</v>
      </c>
      <c r="F89">
        <v>-0.10100000000000001</v>
      </c>
      <c r="G89">
        <v>6.0000000000000001E-3</v>
      </c>
    </row>
    <row r="90" spans="1:7" x14ac:dyDescent="0.2">
      <c r="A90" t="s">
        <v>74</v>
      </c>
      <c r="B90">
        <v>1971</v>
      </c>
      <c r="C90">
        <v>2018</v>
      </c>
      <c r="D90" s="30" t="s">
        <v>75</v>
      </c>
      <c r="E90" s="30" t="s">
        <v>75</v>
      </c>
      <c r="F90" t="s">
        <v>75</v>
      </c>
      <c r="G90" t="s">
        <v>75</v>
      </c>
    </row>
    <row r="91" spans="1:7" x14ac:dyDescent="0.2">
      <c r="A91" t="s">
        <v>74</v>
      </c>
      <c r="B91">
        <v>2006</v>
      </c>
      <c r="C91">
        <v>2018</v>
      </c>
      <c r="D91" s="30" t="s">
        <v>75</v>
      </c>
      <c r="E91" s="30" t="s">
        <v>75</v>
      </c>
      <c r="F91" t="s">
        <v>75</v>
      </c>
      <c r="G91" t="s">
        <v>75</v>
      </c>
    </row>
    <row r="92" spans="1:7" x14ac:dyDescent="0.2">
      <c r="A92" t="s">
        <v>76</v>
      </c>
      <c r="B92">
        <v>1900</v>
      </c>
      <c r="C92">
        <v>2018</v>
      </c>
      <c r="D92" s="30" t="s">
        <v>75</v>
      </c>
      <c r="E92" s="30" t="s">
        <v>75</v>
      </c>
      <c r="F92" t="s">
        <v>75</v>
      </c>
      <c r="G92" t="s">
        <v>75</v>
      </c>
    </row>
    <row r="93" spans="1:7" x14ac:dyDescent="0.2">
      <c r="A93" t="s">
        <v>76</v>
      </c>
      <c r="B93">
        <v>1957</v>
      </c>
      <c r="C93">
        <v>2018</v>
      </c>
      <c r="D93" s="30" t="s">
        <v>75</v>
      </c>
      <c r="E93" s="30" t="s">
        <v>75</v>
      </c>
      <c r="F93" t="s">
        <v>75</v>
      </c>
      <c r="G93" t="s">
        <v>75</v>
      </c>
    </row>
    <row r="94" spans="1:7" x14ac:dyDescent="0.2">
      <c r="A94" t="s">
        <v>76</v>
      </c>
      <c r="B94" s="24">
        <v>1993</v>
      </c>
      <c r="C94" s="24">
        <v>2018</v>
      </c>
      <c r="D94" s="30" t="s">
        <v>75</v>
      </c>
      <c r="E94" s="30" t="s">
        <v>75</v>
      </c>
      <c r="F94" t="s">
        <v>75</v>
      </c>
      <c r="G94" t="s">
        <v>75</v>
      </c>
    </row>
    <row r="95" spans="1:7" x14ac:dyDescent="0.2">
      <c r="A95" t="s">
        <v>76</v>
      </c>
      <c r="B95">
        <v>1900</v>
      </c>
      <c r="C95">
        <v>1949</v>
      </c>
      <c r="D95" s="30">
        <v>4.8000000000000001E-2</v>
      </c>
      <c r="E95" s="30">
        <v>3.9E-2</v>
      </c>
      <c r="F95">
        <v>4.9000000000000002E-2</v>
      </c>
      <c r="G95">
        <v>8.9999999999999993E-3</v>
      </c>
    </row>
    <row r="96" spans="1:7" x14ac:dyDescent="0.2">
      <c r="A96" t="s">
        <v>76</v>
      </c>
      <c r="B96">
        <v>1950</v>
      </c>
      <c r="C96">
        <v>1999</v>
      </c>
      <c r="D96" s="30">
        <v>0.16400000000000001</v>
      </c>
      <c r="E96" s="30">
        <v>0.05</v>
      </c>
      <c r="F96">
        <v>0.16300000000000001</v>
      </c>
      <c r="G96">
        <v>2.3E-2</v>
      </c>
    </row>
    <row r="97" spans="1:7" x14ac:dyDescent="0.2">
      <c r="A97" t="s">
        <v>76</v>
      </c>
      <c r="B97" s="24">
        <v>1900</v>
      </c>
      <c r="C97" s="24">
        <v>1956</v>
      </c>
      <c r="D97" s="30">
        <v>5.1999999999999998E-2</v>
      </c>
      <c r="E97" s="30">
        <v>3.5999999999999997E-2</v>
      </c>
      <c r="F97">
        <v>5.3999999999999999E-2</v>
      </c>
      <c r="G97">
        <v>8.9999999999999993E-3</v>
      </c>
    </row>
    <row r="98" spans="1:7" x14ac:dyDescent="0.2">
      <c r="A98" t="s">
        <v>76</v>
      </c>
      <c r="B98" s="24">
        <v>1957</v>
      </c>
      <c r="C98" s="24">
        <v>1993</v>
      </c>
      <c r="D98" s="30">
        <v>0.16400000000000001</v>
      </c>
      <c r="E98" s="30">
        <v>5.0999999999999997E-2</v>
      </c>
      <c r="F98">
        <v>0.16400000000000001</v>
      </c>
      <c r="G98">
        <v>2.4E-2</v>
      </c>
    </row>
    <row r="99" spans="1:7" x14ac:dyDescent="0.2">
      <c r="A99" t="s">
        <v>76</v>
      </c>
      <c r="B99">
        <v>1901</v>
      </c>
      <c r="C99">
        <v>2018</v>
      </c>
      <c r="D99" s="30" t="s">
        <v>75</v>
      </c>
      <c r="E99" s="30" t="s">
        <v>75</v>
      </c>
      <c r="F99" t="s">
        <v>75</v>
      </c>
      <c r="G99" t="s">
        <v>75</v>
      </c>
    </row>
    <row r="100" spans="1:7" x14ac:dyDescent="0.2">
      <c r="A100" t="s">
        <v>76</v>
      </c>
      <c r="B100">
        <v>1901</v>
      </c>
      <c r="C100">
        <v>1990</v>
      </c>
      <c r="D100" s="30">
        <v>8.7999999999999995E-2</v>
      </c>
      <c r="E100" s="30">
        <v>4.1000000000000002E-2</v>
      </c>
      <c r="F100">
        <v>8.6999999999999994E-2</v>
      </c>
      <c r="G100">
        <v>1.4E-2</v>
      </c>
    </row>
    <row r="101" spans="1:7" x14ac:dyDescent="0.2">
      <c r="A101" t="s">
        <v>76</v>
      </c>
      <c r="B101">
        <v>1971</v>
      </c>
      <c r="C101">
        <v>2018</v>
      </c>
      <c r="D101" s="30" t="s">
        <v>75</v>
      </c>
      <c r="E101" s="30" t="s">
        <v>75</v>
      </c>
      <c r="F101" t="s">
        <v>75</v>
      </c>
      <c r="G101" t="s">
        <v>75</v>
      </c>
    </row>
    <row r="102" spans="1:7" x14ac:dyDescent="0.2">
      <c r="A102" t="s">
        <v>76</v>
      </c>
      <c r="B102">
        <v>2006</v>
      </c>
      <c r="C102">
        <v>2018</v>
      </c>
      <c r="D102" s="30" t="s">
        <v>75</v>
      </c>
      <c r="E102" s="30" t="s">
        <v>75</v>
      </c>
      <c r="F102" t="s">
        <v>75</v>
      </c>
      <c r="G102" t="s">
        <v>75</v>
      </c>
    </row>
    <row r="103" spans="1:7" x14ac:dyDescent="0.2">
      <c r="A103" t="s">
        <v>77</v>
      </c>
      <c r="B103">
        <v>1900</v>
      </c>
      <c r="C103">
        <v>2018</v>
      </c>
      <c r="D103" s="30" t="s">
        <v>75</v>
      </c>
      <c r="E103" s="30" t="s">
        <v>75</v>
      </c>
      <c r="F103" t="s">
        <v>75</v>
      </c>
      <c r="G103" t="s">
        <v>75</v>
      </c>
    </row>
    <row r="104" spans="1:7" x14ac:dyDescent="0.2">
      <c r="A104" t="s">
        <v>77</v>
      </c>
      <c r="B104">
        <v>1957</v>
      </c>
      <c r="C104">
        <v>2018</v>
      </c>
      <c r="D104" s="30" t="s">
        <v>75</v>
      </c>
      <c r="E104" s="30" t="s">
        <v>75</v>
      </c>
      <c r="F104" t="s">
        <v>75</v>
      </c>
      <c r="G104" t="s">
        <v>75</v>
      </c>
    </row>
    <row r="105" spans="1:7" x14ac:dyDescent="0.2">
      <c r="A105" t="s">
        <v>77</v>
      </c>
      <c r="B105" s="24">
        <v>1993</v>
      </c>
      <c r="C105" s="24">
        <v>2018</v>
      </c>
      <c r="D105" s="30" t="s">
        <v>75</v>
      </c>
      <c r="E105" s="30" t="s">
        <v>75</v>
      </c>
      <c r="F105" t="s">
        <v>75</v>
      </c>
      <c r="G105" t="s">
        <v>75</v>
      </c>
    </row>
    <row r="106" spans="1:7" x14ac:dyDescent="0.2">
      <c r="A106" t="s">
        <v>77</v>
      </c>
      <c r="B106">
        <v>1900</v>
      </c>
      <c r="C106">
        <v>1949</v>
      </c>
      <c r="D106" s="30">
        <v>-3.5000000000000003E-2</v>
      </c>
      <c r="E106" s="30">
        <v>6.7000000000000004E-2</v>
      </c>
      <c r="F106">
        <v>-3.6999999999999998E-2</v>
      </c>
      <c r="G106">
        <v>7.0000000000000001E-3</v>
      </c>
    </row>
    <row r="107" spans="1:7" x14ac:dyDescent="0.2">
      <c r="A107" t="s">
        <v>77</v>
      </c>
      <c r="B107">
        <v>1950</v>
      </c>
      <c r="C107">
        <v>1999</v>
      </c>
      <c r="D107" s="30">
        <v>-0.53300000000000003</v>
      </c>
      <c r="E107" s="30">
        <v>0.121</v>
      </c>
      <c r="F107">
        <v>-0.53100000000000003</v>
      </c>
      <c r="G107">
        <v>9.1999999999999998E-2</v>
      </c>
    </row>
    <row r="108" spans="1:7" x14ac:dyDescent="0.2">
      <c r="A108" t="s">
        <v>77</v>
      </c>
      <c r="B108" s="24">
        <v>1900</v>
      </c>
      <c r="C108" s="24">
        <v>1956</v>
      </c>
      <c r="D108" s="30">
        <v>-0.05</v>
      </c>
      <c r="E108" s="30">
        <v>6.8000000000000005E-2</v>
      </c>
      <c r="F108">
        <v>-4.9000000000000002E-2</v>
      </c>
      <c r="G108">
        <v>0.01</v>
      </c>
    </row>
    <row r="109" spans="1:7" x14ac:dyDescent="0.2">
      <c r="A109" t="s">
        <v>77</v>
      </c>
      <c r="B109" s="24">
        <v>1957</v>
      </c>
      <c r="C109" s="24">
        <v>1993</v>
      </c>
      <c r="D109" s="30">
        <v>-0.58199999999999996</v>
      </c>
      <c r="E109" s="30">
        <v>0.13100000000000001</v>
      </c>
      <c r="F109">
        <v>-0.58099999999999996</v>
      </c>
      <c r="G109">
        <v>0.10199999999999999</v>
      </c>
    </row>
    <row r="110" spans="1:7" x14ac:dyDescent="0.2">
      <c r="A110" t="s">
        <v>77</v>
      </c>
      <c r="B110">
        <v>1901</v>
      </c>
      <c r="C110">
        <v>2018</v>
      </c>
      <c r="D110" s="30" t="s">
        <v>75</v>
      </c>
      <c r="E110" s="30" t="s">
        <v>75</v>
      </c>
      <c r="F110" t="s">
        <v>75</v>
      </c>
      <c r="G110" t="s">
        <v>75</v>
      </c>
    </row>
    <row r="111" spans="1:7" x14ac:dyDescent="0.2">
      <c r="A111" t="s">
        <v>77</v>
      </c>
      <c r="B111">
        <v>1901</v>
      </c>
      <c r="C111">
        <v>1990</v>
      </c>
      <c r="D111" s="30">
        <v>-0.24099999999999999</v>
      </c>
      <c r="E111" s="30">
        <v>0.08</v>
      </c>
      <c r="F111">
        <v>-0.24</v>
      </c>
      <c r="G111">
        <v>4.7E-2</v>
      </c>
    </row>
    <row r="112" spans="1:7" x14ac:dyDescent="0.2">
      <c r="A112" t="s">
        <v>77</v>
      </c>
      <c r="B112">
        <v>1971</v>
      </c>
      <c r="C112">
        <v>2018</v>
      </c>
      <c r="D112" s="30" t="s">
        <v>75</v>
      </c>
      <c r="E112" s="30" t="s">
        <v>75</v>
      </c>
      <c r="F112" t="s">
        <v>75</v>
      </c>
      <c r="G112" t="s">
        <v>75</v>
      </c>
    </row>
    <row r="113" spans="1:7" x14ac:dyDescent="0.2">
      <c r="A113" t="s">
        <v>77</v>
      </c>
      <c r="B113">
        <v>2006</v>
      </c>
      <c r="C113">
        <v>2018</v>
      </c>
      <c r="D113" s="30" t="s">
        <v>75</v>
      </c>
      <c r="E113" s="30" t="s">
        <v>75</v>
      </c>
      <c r="F113" t="s">
        <v>75</v>
      </c>
      <c r="G113" t="s">
        <v>75</v>
      </c>
    </row>
    <row r="114" spans="1:7" x14ac:dyDescent="0.2">
      <c r="A114" t="s">
        <v>78</v>
      </c>
      <c r="B114">
        <v>1900</v>
      </c>
      <c r="C114">
        <v>2018</v>
      </c>
      <c r="D114" s="30">
        <v>1.2190000000000001</v>
      </c>
      <c r="E114" s="30">
        <v>0.14199999999999999</v>
      </c>
      <c r="F114">
        <v>1.22</v>
      </c>
      <c r="G114">
        <v>0.105</v>
      </c>
    </row>
    <row r="115" spans="1:7" x14ac:dyDescent="0.2">
      <c r="A115" t="s">
        <v>78</v>
      </c>
      <c r="B115">
        <v>1957</v>
      </c>
      <c r="C115">
        <v>2018</v>
      </c>
      <c r="D115" s="30">
        <v>0.94899999999999995</v>
      </c>
      <c r="E115" s="30">
        <v>0.14599999999999999</v>
      </c>
      <c r="F115">
        <v>0.94799999999999995</v>
      </c>
      <c r="G115">
        <v>0.121</v>
      </c>
    </row>
    <row r="116" spans="1:7" x14ac:dyDescent="0.2">
      <c r="A116" t="s">
        <v>78</v>
      </c>
      <c r="B116" s="24">
        <v>1993</v>
      </c>
      <c r="C116" s="24">
        <v>2018</v>
      </c>
      <c r="D116" s="30">
        <v>1.643</v>
      </c>
      <c r="E116" s="30">
        <v>0.14499999999999999</v>
      </c>
      <c r="F116">
        <v>1.6459999999999999</v>
      </c>
      <c r="G116">
        <v>0.115</v>
      </c>
    </row>
    <row r="117" spans="1:7" x14ac:dyDescent="0.2">
      <c r="A117" t="s">
        <v>78</v>
      </c>
      <c r="B117">
        <v>1900</v>
      </c>
      <c r="C117">
        <v>1949</v>
      </c>
      <c r="D117" s="30">
        <v>1.5680000000000001</v>
      </c>
      <c r="E117" s="30">
        <v>0.19600000000000001</v>
      </c>
      <c r="F117">
        <v>1.569</v>
      </c>
      <c r="G117">
        <v>0.11700000000000001</v>
      </c>
    </row>
    <row r="118" spans="1:7" x14ac:dyDescent="0.2">
      <c r="A118" t="s">
        <v>78</v>
      </c>
      <c r="B118">
        <v>1950</v>
      </c>
      <c r="C118">
        <v>1999</v>
      </c>
      <c r="D118" s="30">
        <v>0.753</v>
      </c>
      <c r="E118" s="30">
        <v>0.16900000000000001</v>
      </c>
      <c r="F118">
        <v>0.75700000000000001</v>
      </c>
      <c r="G118">
        <v>0.105</v>
      </c>
    </row>
    <row r="119" spans="1:7" x14ac:dyDescent="0.2">
      <c r="A119" t="s">
        <v>78</v>
      </c>
      <c r="B119" s="24">
        <v>1900</v>
      </c>
      <c r="C119" s="24">
        <v>1956</v>
      </c>
      <c r="D119" s="30">
        <v>1.5820000000000001</v>
      </c>
      <c r="E119" s="30">
        <v>0.183</v>
      </c>
      <c r="F119">
        <v>1.5840000000000001</v>
      </c>
      <c r="G119">
        <v>0.107</v>
      </c>
    </row>
    <row r="120" spans="1:7" x14ac:dyDescent="0.2">
      <c r="A120" t="s">
        <v>78</v>
      </c>
      <c r="B120" s="24">
        <v>1957</v>
      </c>
      <c r="C120" s="24">
        <v>1993</v>
      </c>
      <c r="D120" s="30">
        <v>0.66400000000000003</v>
      </c>
      <c r="E120" s="30">
        <v>0.182</v>
      </c>
      <c r="F120">
        <v>0.66200000000000003</v>
      </c>
      <c r="G120">
        <v>0.10100000000000001</v>
      </c>
    </row>
    <row r="121" spans="1:7" x14ac:dyDescent="0.2">
      <c r="A121" t="s">
        <v>78</v>
      </c>
      <c r="B121">
        <v>1901</v>
      </c>
      <c r="C121">
        <v>2018</v>
      </c>
      <c r="D121" s="30">
        <v>1.218</v>
      </c>
      <c r="E121" s="30">
        <v>0.14000000000000001</v>
      </c>
      <c r="F121">
        <v>1.2170000000000001</v>
      </c>
      <c r="G121">
        <v>0.104</v>
      </c>
    </row>
    <row r="122" spans="1:7" x14ac:dyDescent="0.2">
      <c r="A122" t="s">
        <v>78</v>
      </c>
      <c r="B122">
        <v>1901</v>
      </c>
      <c r="C122">
        <v>1990</v>
      </c>
      <c r="D122" s="30">
        <v>1.34</v>
      </c>
      <c r="E122" s="30">
        <v>0.155</v>
      </c>
      <c r="F122">
        <v>1.339</v>
      </c>
      <c r="G122">
        <v>9.9000000000000005E-2</v>
      </c>
    </row>
    <row r="123" spans="1:7" x14ac:dyDescent="0.2">
      <c r="A123" t="s">
        <v>78</v>
      </c>
      <c r="B123">
        <v>1971</v>
      </c>
      <c r="C123">
        <v>2018</v>
      </c>
      <c r="D123" s="30">
        <v>1.097</v>
      </c>
      <c r="E123" s="30">
        <v>0.152</v>
      </c>
      <c r="F123">
        <v>1.097</v>
      </c>
      <c r="G123">
        <v>0.13</v>
      </c>
    </row>
    <row r="124" spans="1:7" x14ac:dyDescent="0.2">
      <c r="A124" t="s">
        <v>78</v>
      </c>
      <c r="B124">
        <v>2006</v>
      </c>
      <c r="C124">
        <v>2018</v>
      </c>
      <c r="D124" s="30">
        <v>2.0209999999999999</v>
      </c>
      <c r="E124" s="30">
        <v>0.115</v>
      </c>
      <c r="F124">
        <v>2.024</v>
      </c>
      <c r="G124">
        <v>5.0999999999999997E-2</v>
      </c>
    </row>
    <row r="125" spans="1:7" x14ac:dyDescent="0.2">
      <c r="A125" t="s">
        <v>79</v>
      </c>
      <c r="B125">
        <v>1900</v>
      </c>
      <c r="C125">
        <v>2018</v>
      </c>
      <c r="D125" s="30" t="s">
        <v>75</v>
      </c>
      <c r="E125" s="30" t="s">
        <v>75</v>
      </c>
      <c r="F125" t="s">
        <v>75</v>
      </c>
      <c r="G125" t="s">
        <v>75</v>
      </c>
    </row>
    <row r="126" spans="1:7" x14ac:dyDescent="0.2">
      <c r="A126" t="s">
        <v>79</v>
      </c>
      <c r="B126">
        <v>1957</v>
      </c>
      <c r="C126">
        <v>2018</v>
      </c>
      <c r="D126" s="30" t="s">
        <v>75</v>
      </c>
      <c r="E126" s="30" t="s">
        <v>75</v>
      </c>
      <c r="F126" t="s">
        <v>75</v>
      </c>
      <c r="G126" t="s">
        <v>75</v>
      </c>
    </row>
    <row r="127" spans="1:7" x14ac:dyDescent="0.2">
      <c r="A127" t="s">
        <v>79</v>
      </c>
      <c r="B127" s="24">
        <v>1993</v>
      </c>
      <c r="C127" s="24">
        <v>2018</v>
      </c>
      <c r="D127" s="30">
        <v>3.3149999999999999</v>
      </c>
      <c r="E127" s="30">
        <v>0.27600000000000002</v>
      </c>
      <c r="F127">
        <v>3.3170000000000002</v>
      </c>
      <c r="G127">
        <v>0.155</v>
      </c>
    </row>
    <row r="128" spans="1:7" x14ac:dyDescent="0.2">
      <c r="A128" t="s">
        <v>79</v>
      </c>
      <c r="B128">
        <v>1900</v>
      </c>
      <c r="C128">
        <v>1949</v>
      </c>
      <c r="D128" s="30" t="s">
        <v>75</v>
      </c>
      <c r="E128" s="30" t="s">
        <v>75</v>
      </c>
      <c r="F128" t="s">
        <v>75</v>
      </c>
      <c r="G128" t="s">
        <v>75</v>
      </c>
    </row>
    <row r="129" spans="1:7" x14ac:dyDescent="0.2">
      <c r="A129" t="s">
        <v>79</v>
      </c>
      <c r="B129">
        <v>1950</v>
      </c>
      <c r="C129">
        <v>1999</v>
      </c>
      <c r="D129" s="30" t="s">
        <v>75</v>
      </c>
      <c r="E129" s="30" t="s">
        <v>75</v>
      </c>
      <c r="F129" t="s">
        <v>75</v>
      </c>
      <c r="G129" t="s">
        <v>75</v>
      </c>
    </row>
    <row r="130" spans="1:7" x14ac:dyDescent="0.2">
      <c r="A130" t="s">
        <v>79</v>
      </c>
      <c r="B130" s="24">
        <v>1900</v>
      </c>
      <c r="C130" s="24">
        <v>1956</v>
      </c>
      <c r="D130" s="30" t="s">
        <v>75</v>
      </c>
      <c r="E130" s="30" t="s">
        <v>75</v>
      </c>
      <c r="F130" t="s">
        <v>75</v>
      </c>
      <c r="G130" t="s">
        <v>75</v>
      </c>
    </row>
    <row r="131" spans="1:7" x14ac:dyDescent="0.2">
      <c r="A131" t="s">
        <v>79</v>
      </c>
      <c r="B131" s="24">
        <v>1957</v>
      </c>
      <c r="C131" s="24">
        <v>1993</v>
      </c>
      <c r="D131" s="30" t="s">
        <v>75</v>
      </c>
      <c r="E131" s="30" t="s">
        <v>75</v>
      </c>
      <c r="F131" t="s">
        <v>75</v>
      </c>
      <c r="G131" t="s">
        <v>75</v>
      </c>
    </row>
    <row r="132" spans="1:7" x14ac:dyDescent="0.2">
      <c r="A132" t="s">
        <v>79</v>
      </c>
      <c r="B132">
        <v>1901</v>
      </c>
      <c r="C132">
        <v>2018</v>
      </c>
      <c r="D132" s="30" t="s">
        <v>75</v>
      </c>
      <c r="E132" s="30" t="s">
        <v>75</v>
      </c>
      <c r="F132" t="s">
        <v>75</v>
      </c>
      <c r="G132" t="s">
        <v>75</v>
      </c>
    </row>
    <row r="133" spans="1:7" x14ac:dyDescent="0.2">
      <c r="A133" t="s">
        <v>79</v>
      </c>
      <c r="B133">
        <v>1901</v>
      </c>
      <c r="C133">
        <v>1990</v>
      </c>
      <c r="D133" s="30" t="s">
        <v>75</v>
      </c>
      <c r="E133" s="30" t="s">
        <v>75</v>
      </c>
      <c r="F133" t="s">
        <v>75</v>
      </c>
      <c r="G133" t="s">
        <v>75</v>
      </c>
    </row>
    <row r="134" spans="1:7" x14ac:dyDescent="0.2">
      <c r="A134" t="s">
        <v>79</v>
      </c>
      <c r="B134">
        <v>1971</v>
      </c>
      <c r="C134">
        <v>2018</v>
      </c>
      <c r="D134" s="30" t="s">
        <v>75</v>
      </c>
      <c r="E134" s="30" t="s">
        <v>75</v>
      </c>
      <c r="F134" t="s">
        <v>75</v>
      </c>
      <c r="G134" t="s">
        <v>75</v>
      </c>
    </row>
    <row r="135" spans="1:7" x14ac:dyDescent="0.2">
      <c r="A135" t="s">
        <v>79</v>
      </c>
      <c r="B135">
        <v>2006</v>
      </c>
      <c r="C135">
        <v>2018</v>
      </c>
      <c r="D135" s="30">
        <v>4.1349999999999998</v>
      </c>
      <c r="E135" s="30">
        <v>0.30599999999999999</v>
      </c>
      <c r="F135">
        <v>4.1349999999999998</v>
      </c>
      <c r="G135">
        <v>0.23200000000000001</v>
      </c>
    </row>
    <row r="136" spans="1:7" x14ac:dyDescent="0.2">
      <c r="A136" t="s">
        <v>80</v>
      </c>
      <c r="B136">
        <v>1900</v>
      </c>
      <c r="C136">
        <v>2018</v>
      </c>
      <c r="D136" s="30">
        <v>1.5249999999999999</v>
      </c>
      <c r="E136" s="30">
        <v>0.191</v>
      </c>
      <c r="F136">
        <v>1.524</v>
      </c>
      <c r="G136">
        <v>0.13</v>
      </c>
    </row>
    <row r="137" spans="1:7" x14ac:dyDescent="0.2">
      <c r="A137" t="s">
        <v>80</v>
      </c>
      <c r="B137">
        <v>1957</v>
      </c>
      <c r="C137">
        <v>2018</v>
      </c>
      <c r="D137" s="30">
        <v>1.5109999999999999</v>
      </c>
      <c r="E137" s="30">
        <v>0.20200000000000001</v>
      </c>
      <c r="F137">
        <v>1.5089999999999999</v>
      </c>
      <c r="G137">
        <v>0.159</v>
      </c>
    </row>
    <row r="138" spans="1:7" x14ac:dyDescent="0.2">
      <c r="A138" t="s">
        <v>80</v>
      </c>
      <c r="B138" s="24">
        <v>1993</v>
      </c>
      <c r="C138" s="24">
        <v>2018</v>
      </c>
      <c r="D138" s="30">
        <v>3.1579999999999999</v>
      </c>
      <c r="E138" s="30">
        <v>0.24099999999999999</v>
      </c>
      <c r="F138">
        <v>3.1589999999999998</v>
      </c>
      <c r="G138">
        <v>0.16</v>
      </c>
    </row>
    <row r="139" spans="1:7" x14ac:dyDescent="0.2">
      <c r="A139" t="s">
        <v>80</v>
      </c>
      <c r="B139">
        <v>1900</v>
      </c>
      <c r="C139">
        <v>1949</v>
      </c>
      <c r="D139" s="30">
        <v>1.837</v>
      </c>
      <c r="E139" s="30">
        <v>0.23</v>
      </c>
      <c r="F139">
        <v>1.837</v>
      </c>
      <c r="G139">
        <v>0.129</v>
      </c>
    </row>
    <row r="140" spans="1:7" x14ac:dyDescent="0.2">
      <c r="A140" t="s">
        <v>80</v>
      </c>
      <c r="B140">
        <v>1950</v>
      </c>
      <c r="C140">
        <v>1999</v>
      </c>
      <c r="D140" s="30">
        <v>0.78900000000000003</v>
      </c>
      <c r="E140" s="30">
        <v>0.23400000000000001</v>
      </c>
      <c r="F140">
        <v>0.79100000000000004</v>
      </c>
      <c r="G140">
        <v>0.14099999999999999</v>
      </c>
    </row>
    <row r="141" spans="1:7" x14ac:dyDescent="0.2">
      <c r="A141" t="s">
        <v>80</v>
      </c>
      <c r="B141" s="24">
        <v>1900</v>
      </c>
      <c r="C141" s="24">
        <v>1956</v>
      </c>
      <c r="D141" s="30">
        <v>1.87</v>
      </c>
      <c r="E141" s="30">
        <v>0.22</v>
      </c>
      <c r="F141">
        <v>1.87</v>
      </c>
      <c r="G141">
        <v>0.115</v>
      </c>
    </row>
    <row r="142" spans="1:7" x14ac:dyDescent="0.2">
      <c r="A142" t="s">
        <v>80</v>
      </c>
      <c r="B142" s="24">
        <v>1957</v>
      </c>
      <c r="C142" s="24">
        <v>1993</v>
      </c>
      <c r="D142" s="30">
        <v>0.60199999999999998</v>
      </c>
      <c r="E142" s="30">
        <v>0.25700000000000001</v>
      </c>
      <c r="F142">
        <v>0.60199999999999998</v>
      </c>
      <c r="G142">
        <v>0.124</v>
      </c>
    </row>
    <row r="143" spans="1:7" x14ac:dyDescent="0.2">
      <c r="A143" t="s">
        <v>80</v>
      </c>
      <c r="B143">
        <v>1901</v>
      </c>
      <c r="C143">
        <v>2018</v>
      </c>
      <c r="D143" s="30">
        <v>1.524</v>
      </c>
      <c r="E143" s="30">
        <v>0.193</v>
      </c>
      <c r="F143">
        <v>1.5249999999999999</v>
      </c>
      <c r="G143">
        <v>0.13</v>
      </c>
    </row>
    <row r="144" spans="1:7" x14ac:dyDescent="0.2">
      <c r="A144" t="s">
        <v>80</v>
      </c>
      <c r="B144">
        <v>1901</v>
      </c>
      <c r="C144">
        <v>1990</v>
      </c>
      <c r="D144" s="30">
        <v>1.502</v>
      </c>
      <c r="E144" s="30">
        <v>0.2</v>
      </c>
      <c r="F144">
        <v>1.5089999999999999</v>
      </c>
      <c r="G144">
        <v>0.125</v>
      </c>
    </row>
    <row r="145" spans="1:7" x14ac:dyDescent="0.2">
      <c r="A145" t="s">
        <v>80</v>
      </c>
      <c r="B145">
        <v>1971</v>
      </c>
      <c r="C145">
        <v>2018</v>
      </c>
      <c r="D145" s="30">
        <v>2.0169999999999999</v>
      </c>
      <c r="E145" s="30">
        <v>0.214</v>
      </c>
      <c r="F145">
        <v>2.0129999999999999</v>
      </c>
      <c r="G145">
        <v>0.16800000000000001</v>
      </c>
    </row>
    <row r="146" spans="1:7" x14ac:dyDescent="0.2">
      <c r="A146" t="s">
        <v>80</v>
      </c>
      <c r="B146">
        <v>2006</v>
      </c>
      <c r="C146">
        <v>2018</v>
      </c>
      <c r="D146" s="30">
        <v>3.7109999999999999</v>
      </c>
      <c r="E146" s="30">
        <v>0.247</v>
      </c>
      <c r="F146">
        <v>3.7120000000000002</v>
      </c>
      <c r="G146">
        <v>0.16300000000000001</v>
      </c>
    </row>
    <row r="147" spans="1:7" x14ac:dyDescent="0.2">
      <c r="A147" t="s">
        <v>81</v>
      </c>
      <c r="B147">
        <v>1900</v>
      </c>
      <c r="C147">
        <v>2018</v>
      </c>
      <c r="D147" s="30">
        <v>3.9E-2</v>
      </c>
      <c r="E147" s="30">
        <v>0.214</v>
      </c>
      <c r="F147">
        <v>3.9E-2</v>
      </c>
      <c r="G147">
        <v>0.17199999999999999</v>
      </c>
    </row>
    <row r="148" spans="1:7" x14ac:dyDescent="0.2">
      <c r="A148" t="s">
        <v>81</v>
      </c>
      <c r="B148">
        <v>1957</v>
      </c>
      <c r="C148">
        <v>2018</v>
      </c>
      <c r="D148" s="30">
        <v>0.27</v>
      </c>
      <c r="E148" s="30">
        <v>0.20899999999999999</v>
      </c>
      <c r="F148">
        <v>0.27</v>
      </c>
      <c r="G148">
        <v>0.11600000000000001</v>
      </c>
    </row>
    <row r="149" spans="1:7" x14ac:dyDescent="0.2">
      <c r="A149" t="s">
        <v>81</v>
      </c>
      <c r="B149" s="24">
        <v>1993</v>
      </c>
      <c r="C149" s="24">
        <v>2018</v>
      </c>
      <c r="D149" s="30">
        <v>0.19500000000000001</v>
      </c>
      <c r="E149" s="30">
        <v>0.31</v>
      </c>
      <c r="F149">
        <v>0.19400000000000001</v>
      </c>
      <c r="G149">
        <v>0.188</v>
      </c>
    </row>
    <row r="150" spans="1:7" x14ac:dyDescent="0.2">
      <c r="A150" t="s">
        <v>81</v>
      </c>
      <c r="B150">
        <v>1900</v>
      </c>
      <c r="C150">
        <v>1949</v>
      </c>
      <c r="D150" s="30">
        <v>-0.48399999999999999</v>
      </c>
      <c r="E150" s="30">
        <v>0.33700000000000002</v>
      </c>
      <c r="F150">
        <v>-0.48299999999999998</v>
      </c>
      <c r="G150">
        <v>0.22600000000000001</v>
      </c>
    </row>
    <row r="151" spans="1:7" x14ac:dyDescent="0.2">
      <c r="A151" t="s">
        <v>81</v>
      </c>
      <c r="B151">
        <v>1950</v>
      </c>
      <c r="C151">
        <v>1999</v>
      </c>
      <c r="D151" s="30">
        <v>0.19</v>
      </c>
      <c r="E151" s="30">
        <v>0.26200000000000001</v>
      </c>
      <c r="F151">
        <v>0.19</v>
      </c>
      <c r="G151">
        <v>0.14000000000000001</v>
      </c>
    </row>
    <row r="152" spans="1:7" x14ac:dyDescent="0.2">
      <c r="A152" t="s">
        <v>81</v>
      </c>
      <c r="B152" s="24">
        <v>1900</v>
      </c>
      <c r="C152" s="24">
        <v>1956</v>
      </c>
      <c r="D152" s="30">
        <v>-0.31900000000000001</v>
      </c>
      <c r="E152" s="30">
        <v>0.30399999999999999</v>
      </c>
      <c r="F152">
        <v>-0.31900000000000001</v>
      </c>
      <c r="G152">
        <v>0.215</v>
      </c>
    </row>
    <row r="153" spans="1:7" x14ac:dyDescent="0.2">
      <c r="A153" t="s">
        <v>81</v>
      </c>
      <c r="B153" s="24">
        <v>1957</v>
      </c>
      <c r="C153" s="24">
        <v>1993</v>
      </c>
      <c r="D153" s="30">
        <v>0.27500000000000002</v>
      </c>
      <c r="E153" s="30">
        <v>0.29799999999999999</v>
      </c>
      <c r="F153">
        <v>0.27400000000000002</v>
      </c>
      <c r="G153">
        <v>0.14099999999999999</v>
      </c>
    </row>
    <row r="154" spans="1:7" x14ac:dyDescent="0.2">
      <c r="A154" t="s">
        <v>81</v>
      </c>
      <c r="B154">
        <v>1901</v>
      </c>
      <c r="C154">
        <v>2018</v>
      </c>
      <c r="D154" s="30">
        <v>0.04</v>
      </c>
      <c r="E154" s="30">
        <v>0.21099999999999999</v>
      </c>
      <c r="F154">
        <v>4.2000000000000003E-2</v>
      </c>
      <c r="G154">
        <v>0.17199999999999999</v>
      </c>
    </row>
    <row r="155" spans="1:7" x14ac:dyDescent="0.2">
      <c r="A155" t="s">
        <v>81</v>
      </c>
      <c r="B155">
        <v>1901</v>
      </c>
      <c r="C155">
        <v>1990</v>
      </c>
      <c r="D155" s="30">
        <v>-6.0999999999999999E-2</v>
      </c>
      <c r="E155" s="30">
        <v>0.252</v>
      </c>
      <c r="F155">
        <v>-6.0999999999999999E-2</v>
      </c>
      <c r="G155">
        <v>0.20100000000000001</v>
      </c>
    </row>
    <row r="156" spans="1:7" x14ac:dyDescent="0.2">
      <c r="A156" t="s">
        <v>81</v>
      </c>
      <c r="B156">
        <v>1971</v>
      </c>
      <c r="C156">
        <v>2018</v>
      </c>
      <c r="D156" s="30">
        <v>0.22800000000000001</v>
      </c>
      <c r="E156" s="30">
        <v>0.215</v>
      </c>
      <c r="F156">
        <v>0.23100000000000001</v>
      </c>
      <c r="G156">
        <v>0.121</v>
      </c>
    </row>
    <row r="157" spans="1:7" x14ac:dyDescent="0.2">
      <c r="A157" t="s">
        <v>81</v>
      </c>
      <c r="B157">
        <v>2006</v>
      </c>
      <c r="C157">
        <v>2018</v>
      </c>
      <c r="D157" s="30">
        <v>0.56200000000000006</v>
      </c>
      <c r="E157" s="30">
        <v>0.67400000000000004</v>
      </c>
      <c r="F157">
        <v>0.56499999999999995</v>
      </c>
      <c r="G157">
        <v>0.35499999999999998</v>
      </c>
    </row>
    <row r="158" spans="1:7" x14ac:dyDescent="0.2">
      <c r="A158" t="s">
        <v>82</v>
      </c>
      <c r="B158">
        <v>1900</v>
      </c>
      <c r="C158">
        <v>2018</v>
      </c>
      <c r="D158" s="30">
        <v>1.044</v>
      </c>
      <c r="E158" s="30">
        <v>0.17799999999999999</v>
      </c>
      <c r="F158">
        <v>1.046</v>
      </c>
      <c r="G158">
        <v>0.14499999999999999</v>
      </c>
    </row>
    <row r="159" spans="1:7" x14ac:dyDescent="0.2">
      <c r="A159" t="s">
        <v>82</v>
      </c>
      <c r="B159">
        <v>1957</v>
      </c>
      <c r="C159">
        <v>2018</v>
      </c>
      <c r="D159" s="30">
        <v>1.071</v>
      </c>
      <c r="E159" s="30">
        <v>0.155</v>
      </c>
      <c r="F159">
        <v>1.075</v>
      </c>
      <c r="G159">
        <v>9.4E-2</v>
      </c>
    </row>
    <row r="160" spans="1:7" x14ac:dyDescent="0.2">
      <c r="A160" t="s">
        <v>82</v>
      </c>
      <c r="B160" s="24">
        <v>1993</v>
      </c>
      <c r="C160" s="24">
        <v>2018</v>
      </c>
      <c r="D160" s="30">
        <v>2.1629999999999998</v>
      </c>
      <c r="E160" s="30">
        <v>0.28000000000000003</v>
      </c>
      <c r="F160">
        <v>2.1619999999999999</v>
      </c>
      <c r="G160">
        <v>0.185</v>
      </c>
    </row>
    <row r="161" spans="1:7" x14ac:dyDescent="0.2">
      <c r="A161" t="s">
        <v>82</v>
      </c>
      <c r="B161">
        <v>1900</v>
      </c>
      <c r="C161">
        <v>1949</v>
      </c>
      <c r="D161" s="30">
        <v>1.06</v>
      </c>
      <c r="E161" s="30">
        <v>0.29599999999999999</v>
      </c>
      <c r="F161">
        <v>1.0629999999999999</v>
      </c>
      <c r="G161">
        <v>0.2</v>
      </c>
    </row>
    <row r="162" spans="1:7" x14ac:dyDescent="0.2">
      <c r="A162" t="s">
        <v>82</v>
      </c>
      <c r="B162">
        <v>1950</v>
      </c>
      <c r="C162">
        <v>1999</v>
      </c>
      <c r="D162" s="30">
        <v>0.51100000000000001</v>
      </c>
      <c r="E162" s="30">
        <v>0.19700000000000001</v>
      </c>
      <c r="F162">
        <v>0.50800000000000001</v>
      </c>
      <c r="G162">
        <v>0.104</v>
      </c>
    </row>
    <row r="163" spans="1:7" x14ac:dyDescent="0.2">
      <c r="A163" t="s">
        <v>82</v>
      </c>
      <c r="B163" s="24">
        <v>1900</v>
      </c>
      <c r="C163" s="24">
        <v>1956</v>
      </c>
      <c r="D163" s="30">
        <v>1.2170000000000001</v>
      </c>
      <c r="E163" s="30">
        <v>0.25900000000000001</v>
      </c>
      <c r="F163">
        <v>1.2210000000000001</v>
      </c>
      <c r="G163">
        <v>0.191</v>
      </c>
    </row>
    <row r="164" spans="1:7" x14ac:dyDescent="0.2">
      <c r="A164" t="s">
        <v>82</v>
      </c>
      <c r="B164" s="24">
        <v>1957</v>
      </c>
      <c r="C164" s="24">
        <v>1993</v>
      </c>
      <c r="D164" s="30">
        <v>0.442</v>
      </c>
      <c r="E164" s="30">
        <v>0.23</v>
      </c>
      <c r="F164">
        <v>0.443</v>
      </c>
      <c r="G164">
        <v>9.9000000000000005E-2</v>
      </c>
    </row>
    <row r="165" spans="1:7" x14ac:dyDescent="0.2">
      <c r="A165" t="s">
        <v>82</v>
      </c>
      <c r="B165">
        <v>1901</v>
      </c>
      <c r="C165">
        <v>2018</v>
      </c>
      <c r="D165" s="30">
        <v>1.042</v>
      </c>
      <c r="E165" s="30">
        <v>0.17499999999999999</v>
      </c>
      <c r="F165">
        <v>1.0429999999999999</v>
      </c>
      <c r="G165">
        <v>0.14499999999999999</v>
      </c>
    </row>
    <row r="166" spans="1:7" x14ac:dyDescent="0.2">
      <c r="A166" t="s">
        <v>82</v>
      </c>
      <c r="B166">
        <v>1901</v>
      </c>
      <c r="C166">
        <v>1990</v>
      </c>
      <c r="D166" s="30">
        <v>1.022</v>
      </c>
      <c r="E166" s="30">
        <v>0.20599999999999999</v>
      </c>
      <c r="F166">
        <v>1.0229999999999999</v>
      </c>
      <c r="G166">
        <v>0.17699999999999999</v>
      </c>
    </row>
    <row r="167" spans="1:7" x14ac:dyDescent="0.2">
      <c r="A167" t="s">
        <v>82</v>
      </c>
      <c r="B167">
        <v>1971</v>
      </c>
      <c r="C167">
        <v>2018</v>
      </c>
      <c r="D167" s="30">
        <v>1.403</v>
      </c>
      <c r="E167" s="30">
        <v>0.182</v>
      </c>
      <c r="F167">
        <v>1.401</v>
      </c>
      <c r="G167">
        <v>0.11</v>
      </c>
    </row>
    <row r="168" spans="1:7" x14ac:dyDescent="0.2">
      <c r="A168" t="s">
        <v>82</v>
      </c>
      <c r="B168">
        <v>2006</v>
      </c>
      <c r="C168">
        <v>2018</v>
      </c>
      <c r="D168" s="30">
        <v>3.101</v>
      </c>
      <c r="E168" s="30">
        <v>0.65500000000000003</v>
      </c>
      <c r="F168">
        <v>3.1030000000000002</v>
      </c>
      <c r="G168">
        <v>0.36499999999999999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16"/>
  <sheetViews>
    <sheetView workbookViewId="0">
      <selection activeCell="H13" sqref="H13:H16"/>
    </sheetView>
  </sheetViews>
  <sheetFormatPr defaultColWidth="14.42578125" defaultRowHeight="15.75" customHeight="1" x14ac:dyDescent="0.2"/>
  <cols>
    <col min="1" max="1" width="5.42578125" style="34" customWidth="1"/>
  </cols>
  <sheetData>
    <row r="1" spans="1:19" ht="12.75" x14ac:dyDescent="0.2">
      <c r="A1" s="34" t="s">
        <v>0</v>
      </c>
      <c r="B1" s="1"/>
      <c r="E1" t="s">
        <v>62</v>
      </c>
      <c r="H1" s="1" t="s">
        <v>1</v>
      </c>
      <c r="I1" s="2">
        <v>0.95416999999999996</v>
      </c>
    </row>
    <row r="2" spans="1:19" ht="12.75" x14ac:dyDescent="0.2">
      <c r="A2" s="34" t="s">
        <v>0</v>
      </c>
      <c r="B2" s="1"/>
      <c r="C2" s="1" t="s">
        <v>11</v>
      </c>
      <c r="H2" s="1" t="s">
        <v>2</v>
      </c>
      <c r="I2" s="2">
        <v>3.2896999999999998</v>
      </c>
      <c r="J2" s="11"/>
    </row>
    <row r="3" spans="1:19" ht="12.75" x14ac:dyDescent="0.2">
      <c r="A3" s="34" t="s">
        <v>0</v>
      </c>
      <c r="B3" s="1"/>
    </row>
    <row r="4" spans="1:19" ht="12.75" x14ac:dyDescent="0.2">
      <c r="B4" s="3" t="s">
        <v>3</v>
      </c>
      <c r="C4" s="3" t="s">
        <v>4</v>
      </c>
      <c r="D4" s="3" t="s">
        <v>5</v>
      </c>
      <c r="E4" s="3" t="s">
        <v>63</v>
      </c>
      <c r="F4" s="3" t="s">
        <v>6</v>
      </c>
      <c r="G4" s="3" t="s">
        <v>7</v>
      </c>
      <c r="H4" s="3" t="s">
        <v>8</v>
      </c>
      <c r="I4" s="1" t="s">
        <v>12</v>
      </c>
      <c r="M4" s="12"/>
      <c r="N4" s="12"/>
      <c r="O4" s="14"/>
      <c r="P4" s="14"/>
      <c r="Q4" s="14"/>
      <c r="R4" s="14"/>
      <c r="S4" s="14"/>
    </row>
    <row r="5" spans="1:19" ht="12.75" x14ac:dyDescent="0.2">
      <c r="A5" s="34" t="s">
        <v>0</v>
      </c>
      <c r="B5" s="11" t="s">
        <v>39</v>
      </c>
      <c r="C5">
        <v>1901</v>
      </c>
      <c r="D5">
        <v>1990</v>
      </c>
      <c r="E5">
        <v>0.29199999999999998</v>
      </c>
      <c r="F5">
        <v>0.36</v>
      </c>
      <c r="G5">
        <v>0.11247226190838071</v>
      </c>
      <c r="H5" s="1" t="s">
        <v>35</v>
      </c>
      <c r="I5" s="8"/>
      <c r="M5" s="12"/>
      <c r="N5" s="12"/>
      <c r="O5" s="14"/>
      <c r="P5" s="14"/>
      <c r="Q5" s="14"/>
      <c r="R5" s="14"/>
      <c r="S5" s="14"/>
    </row>
    <row r="6" spans="1:19" ht="12.75" x14ac:dyDescent="0.2">
      <c r="A6" s="34" t="s">
        <v>0</v>
      </c>
      <c r="B6" s="11" t="s">
        <v>41</v>
      </c>
      <c r="C6">
        <v>1971</v>
      </c>
      <c r="D6">
        <v>2018</v>
      </c>
      <c r="E6">
        <v>0.871</v>
      </c>
      <c r="F6">
        <v>1.01</v>
      </c>
      <c r="G6">
        <v>0.17022828829376541</v>
      </c>
      <c r="H6" s="5" t="s">
        <v>35</v>
      </c>
      <c r="M6" s="13"/>
      <c r="N6" s="13"/>
      <c r="O6" s="15"/>
      <c r="P6" s="15"/>
      <c r="Q6" s="15"/>
      <c r="R6" s="15"/>
      <c r="S6" s="15"/>
    </row>
    <row r="7" spans="1:19" s="18" customFormat="1" ht="12.75" x14ac:dyDescent="0.2">
      <c r="A7" s="35" t="s">
        <v>0</v>
      </c>
      <c r="B7" s="11" t="s">
        <v>43</v>
      </c>
      <c r="C7">
        <v>1993</v>
      </c>
      <c r="D7">
        <v>2018</v>
      </c>
      <c r="E7">
        <v>1.1299999999999999</v>
      </c>
      <c r="F7">
        <v>1.31</v>
      </c>
      <c r="G7">
        <v>0.21582515122959539</v>
      </c>
      <c r="H7" s="18" t="s">
        <v>35</v>
      </c>
      <c r="I7" s="18" t="s">
        <v>56</v>
      </c>
    </row>
    <row r="8" spans="1:19" ht="15.75" customHeight="1" x14ac:dyDescent="0.2">
      <c r="A8" s="34" t="s">
        <v>0</v>
      </c>
      <c r="B8" s="11" t="s">
        <v>45</v>
      </c>
      <c r="C8">
        <v>2006</v>
      </c>
      <c r="D8">
        <v>2018</v>
      </c>
      <c r="E8">
        <v>1.02</v>
      </c>
      <c r="F8">
        <v>1.39</v>
      </c>
      <c r="G8">
        <v>0.39821260297291544</v>
      </c>
    </row>
    <row r="9" spans="1:19" ht="15.75" customHeight="1" x14ac:dyDescent="0.2">
      <c r="A9" s="34" t="s">
        <v>0</v>
      </c>
      <c r="B9" s="11" t="s">
        <v>64</v>
      </c>
      <c r="C9">
        <v>1901</v>
      </c>
      <c r="D9">
        <v>2018</v>
      </c>
      <c r="E9">
        <v>0.48199999999999998</v>
      </c>
      <c r="F9">
        <v>0.54</v>
      </c>
      <c r="G9">
        <v>8.5114144146882703E-2</v>
      </c>
    </row>
    <row r="10" spans="1:19" ht="15.75" customHeight="1" x14ac:dyDescent="0.2">
      <c r="A10" s="34" t="s">
        <v>0</v>
      </c>
      <c r="B10" s="11" t="s">
        <v>90</v>
      </c>
      <c r="C10" s="27">
        <v>1900</v>
      </c>
      <c r="D10" s="5">
        <v>1956</v>
      </c>
      <c r="F10">
        <v>1.2170000000000001</v>
      </c>
      <c r="G10">
        <v>0.25900000000000001</v>
      </c>
      <c r="H10" s="11" t="s">
        <v>95</v>
      </c>
    </row>
    <row r="11" spans="1:19" ht="15.75" customHeight="1" x14ac:dyDescent="0.2">
      <c r="A11" s="34" t="s">
        <v>0</v>
      </c>
      <c r="B11" s="11" t="s">
        <v>91</v>
      </c>
      <c r="C11" s="28">
        <v>1957</v>
      </c>
      <c r="D11" s="5">
        <v>1993</v>
      </c>
      <c r="F11" s="29">
        <v>0.442</v>
      </c>
      <c r="G11">
        <v>0.23</v>
      </c>
      <c r="H11" s="11" t="s">
        <v>95</v>
      </c>
    </row>
    <row r="12" spans="1:19" ht="15.75" customHeight="1" x14ac:dyDescent="0.2">
      <c r="A12" s="34" t="s">
        <v>0</v>
      </c>
      <c r="B12" s="11" t="s">
        <v>43</v>
      </c>
      <c r="C12" s="28">
        <v>1993</v>
      </c>
      <c r="D12" s="5">
        <v>2018</v>
      </c>
      <c r="F12">
        <v>2.1629999999999998</v>
      </c>
      <c r="G12">
        <v>0.28000000000000003</v>
      </c>
      <c r="H12" s="11" t="s">
        <v>95</v>
      </c>
    </row>
    <row r="13" spans="1:19" ht="15.75" customHeight="1" x14ac:dyDescent="0.2">
      <c r="B13" s="13" t="s">
        <v>106</v>
      </c>
      <c r="C13" s="13">
        <v>1901</v>
      </c>
      <c r="D13" s="13">
        <v>1970</v>
      </c>
      <c r="E13" s="13"/>
      <c r="F13" s="15">
        <v>0.22768115942028996</v>
      </c>
      <c r="G13" s="15">
        <v>0.18513351446720258</v>
      </c>
      <c r="H13" s="11" t="s">
        <v>108</v>
      </c>
    </row>
    <row r="14" spans="1:19" ht="15.75" customHeight="1" x14ac:dyDescent="0.2">
      <c r="B14" s="13" t="s">
        <v>105</v>
      </c>
      <c r="C14" s="13">
        <v>1971</v>
      </c>
      <c r="D14" s="13">
        <v>1992</v>
      </c>
      <c r="E14" s="13"/>
      <c r="F14" s="15">
        <v>0.70095238095238088</v>
      </c>
      <c r="G14" s="15">
        <v>0.45952870283282399</v>
      </c>
      <c r="H14" s="11" t="s">
        <v>108</v>
      </c>
    </row>
    <row r="15" spans="1:19" ht="15.75" customHeight="1" x14ac:dyDescent="0.2">
      <c r="B15" s="13" t="s">
        <v>104</v>
      </c>
      <c r="C15" s="13">
        <v>1993</v>
      </c>
      <c r="D15" s="13">
        <v>2005</v>
      </c>
      <c r="E15" s="13"/>
      <c r="F15" s="15">
        <v>1.3391666666666666</v>
      </c>
      <c r="G15" s="15">
        <v>0.60062098565845157</v>
      </c>
      <c r="H15" s="11" t="s">
        <v>108</v>
      </c>
    </row>
    <row r="16" spans="1:19" ht="15.75" customHeight="1" x14ac:dyDescent="0.2">
      <c r="B16" s="13" t="s">
        <v>45</v>
      </c>
      <c r="C16" s="13">
        <v>2006</v>
      </c>
      <c r="D16" s="13">
        <v>2018</v>
      </c>
      <c r="E16" s="13"/>
      <c r="F16" s="15">
        <v>1.39</v>
      </c>
      <c r="G16" s="15">
        <v>0.39821260297291544</v>
      </c>
      <c r="H16" s="11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17"/>
  <sheetViews>
    <sheetView workbookViewId="0">
      <selection activeCell="F5" sqref="F5:G17"/>
    </sheetView>
  </sheetViews>
  <sheetFormatPr defaultColWidth="14.42578125" defaultRowHeight="15.75" customHeight="1" x14ac:dyDescent="0.2"/>
  <cols>
    <col min="1" max="1" width="8.28515625" style="34" customWidth="1"/>
  </cols>
  <sheetData>
    <row r="1" spans="1:21" ht="12.75" x14ac:dyDescent="0.2">
      <c r="A1" s="34" t="s">
        <v>0</v>
      </c>
      <c r="B1" s="1" t="s">
        <v>0</v>
      </c>
      <c r="E1" t="s">
        <v>62</v>
      </c>
      <c r="H1" s="1" t="s">
        <v>1</v>
      </c>
      <c r="I1" s="2">
        <v>0.95416999999999996</v>
      </c>
      <c r="K1" s="6" t="s">
        <v>10</v>
      </c>
    </row>
    <row r="2" spans="1:21" ht="12.75" x14ac:dyDescent="0.2">
      <c r="A2" s="34" t="s">
        <v>0</v>
      </c>
      <c r="B2" s="1" t="s">
        <v>0</v>
      </c>
      <c r="C2" s="1" t="s">
        <v>11</v>
      </c>
      <c r="H2" s="1" t="s">
        <v>2</v>
      </c>
      <c r="I2" s="2">
        <v>3.2896999999999998</v>
      </c>
      <c r="K2" s="5" t="s">
        <v>34</v>
      </c>
    </row>
    <row r="3" spans="1:21" ht="12.75" x14ac:dyDescent="0.2">
      <c r="A3" s="34" t="s">
        <v>0</v>
      </c>
      <c r="B3" s="1" t="s">
        <v>0</v>
      </c>
      <c r="K3" s="18" t="s">
        <v>35</v>
      </c>
    </row>
    <row r="4" spans="1:21" ht="12.75" x14ac:dyDescent="0.2">
      <c r="B4" s="3" t="s">
        <v>3</v>
      </c>
      <c r="C4" s="3" t="s">
        <v>4</v>
      </c>
      <c r="D4" s="3" t="s">
        <v>5</v>
      </c>
      <c r="E4" s="3" t="s">
        <v>63</v>
      </c>
      <c r="F4" s="3" t="s">
        <v>6</v>
      </c>
      <c r="G4" s="3" t="s">
        <v>7</v>
      </c>
      <c r="H4" s="3" t="s">
        <v>8</v>
      </c>
      <c r="I4" s="1" t="s">
        <v>12</v>
      </c>
      <c r="O4" s="12"/>
      <c r="P4" s="12"/>
      <c r="Q4" s="14"/>
      <c r="R4" s="14"/>
      <c r="S4" s="14"/>
      <c r="T4" s="14"/>
      <c r="U4" s="14"/>
    </row>
    <row r="5" spans="1:21" ht="15.75" customHeight="1" x14ac:dyDescent="0.2">
      <c r="B5" s="5" t="s">
        <v>89</v>
      </c>
      <c r="C5" s="5">
        <v>1850</v>
      </c>
      <c r="D5" s="5">
        <v>1900</v>
      </c>
      <c r="F5">
        <v>0.434</v>
      </c>
      <c r="G5">
        <v>0.11</v>
      </c>
      <c r="H5" s="11" t="s">
        <v>96</v>
      </c>
      <c r="O5" s="13"/>
      <c r="P5" s="13"/>
      <c r="Q5" s="15"/>
      <c r="R5" s="15"/>
      <c r="S5" s="15"/>
      <c r="T5" s="15"/>
      <c r="U5" s="15"/>
    </row>
    <row r="6" spans="1:21" ht="12.75" x14ac:dyDescent="0.2">
      <c r="A6" s="34" t="s">
        <v>0</v>
      </c>
      <c r="B6" s="11" t="s">
        <v>39</v>
      </c>
      <c r="C6" s="5">
        <v>1901</v>
      </c>
      <c r="D6" s="5">
        <v>1990</v>
      </c>
      <c r="E6" s="5">
        <v>0.74</v>
      </c>
      <c r="F6">
        <v>0.57999999999999996</v>
      </c>
      <c r="G6">
        <v>0.14590996139465603</v>
      </c>
      <c r="H6" s="11" t="s">
        <v>60</v>
      </c>
      <c r="I6" s="1"/>
      <c r="O6" s="12"/>
      <c r="P6" s="12"/>
      <c r="Q6" s="14"/>
      <c r="R6" s="14"/>
      <c r="S6" s="14"/>
      <c r="T6" s="14"/>
      <c r="U6" s="14"/>
    </row>
    <row r="7" spans="1:21" ht="12.75" x14ac:dyDescent="0.2">
      <c r="A7" s="34" t="s">
        <v>0</v>
      </c>
      <c r="B7" s="11" t="s">
        <v>41</v>
      </c>
      <c r="C7" s="5">
        <v>1971</v>
      </c>
      <c r="D7" s="5">
        <v>2018</v>
      </c>
      <c r="E7" s="5">
        <v>0.56000000000000005</v>
      </c>
      <c r="F7">
        <v>0.44</v>
      </c>
      <c r="G7">
        <v>0.13983037966987874</v>
      </c>
      <c r="H7" s="11" t="s">
        <v>60</v>
      </c>
      <c r="O7" s="13"/>
      <c r="P7" s="13"/>
      <c r="Q7" s="15"/>
      <c r="R7" s="15"/>
      <c r="S7" s="15"/>
      <c r="T7" s="15"/>
      <c r="U7" s="15"/>
    </row>
    <row r="8" spans="1:21" s="18" customFormat="1" ht="12.75" x14ac:dyDescent="0.2">
      <c r="A8" s="35" t="s">
        <v>0</v>
      </c>
      <c r="B8" s="11" t="s">
        <v>43</v>
      </c>
      <c r="C8" s="5">
        <v>1993</v>
      </c>
      <c r="D8" s="5">
        <v>2018</v>
      </c>
      <c r="E8" s="5">
        <v>0.67</v>
      </c>
      <c r="F8">
        <v>0.55000000000000004</v>
      </c>
      <c r="G8">
        <v>9.1193725871660011E-2</v>
      </c>
      <c r="H8" s="11" t="s">
        <v>60</v>
      </c>
      <c r="I8" s="19"/>
    </row>
    <row r="9" spans="1:21" ht="15.75" customHeight="1" x14ac:dyDescent="0.2">
      <c r="A9" s="34" t="s">
        <v>0</v>
      </c>
      <c r="B9" s="11" t="s">
        <v>45</v>
      </c>
      <c r="C9" s="5">
        <v>2006</v>
      </c>
      <c r="D9" s="5">
        <v>2018</v>
      </c>
      <c r="E9" s="5">
        <v>0.66</v>
      </c>
      <c r="F9">
        <v>0.62</v>
      </c>
      <c r="G9">
        <v>3.3437699486275375E-2</v>
      </c>
      <c r="H9" s="11" t="s">
        <v>60</v>
      </c>
      <c r="O9" s="13"/>
      <c r="P9" s="13"/>
      <c r="Q9" s="16"/>
      <c r="R9" s="15"/>
      <c r="S9" s="15"/>
      <c r="T9" s="15"/>
      <c r="U9" s="15"/>
    </row>
    <row r="10" spans="1:21" ht="15.75" customHeight="1" x14ac:dyDescent="0.2">
      <c r="A10" s="34" t="s">
        <v>0</v>
      </c>
      <c r="B10" s="11" t="s">
        <v>64</v>
      </c>
      <c r="C10" s="5">
        <v>1901</v>
      </c>
      <c r="D10" s="5">
        <v>2018</v>
      </c>
      <c r="E10" s="5">
        <v>0.72</v>
      </c>
      <c r="F10">
        <v>0.56999999999999995</v>
      </c>
      <c r="G10">
        <v>0.13071100708271274</v>
      </c>
      <c r="H10" s="11" t="s">
        <v>60</v>
      </c>
      <c r="O10" s="13"/>
      <c r="P10" s="13"/>
      <c r="Q10" s="15"/>
      <c r="R10" s="15"/>
      <c r="S10" s="15"/>
      <c r="T10" s="15"/>
      <c r="U10" s="15"/>
    </row>
    <row r="11" spans="1:21" ht="15.75" customHeight="1" x14ac:dyDescent="0.2">
      <c r="A11" s="34" t="s">
        <v>0</v>
      </c>
      <c r="B11" s="11" t="s">
        <v>90</v>
      </c>
      <c r="C11" s="27">
        <v>1900</v>
      </c>
      <c r="D11" s="5">
        <v>1956</v>
      </c>
      <c r="F11">
        <v>0.94199999999999995</v>
      </c>
      <c r="G11">
        <v>0.13300000000000001</v>
      </c>
      <c r="H11" s="11" t="s">
        <v>97</v>
      </c>
      <c r="O11" s="13"/>
      <c r="P11" s="13"/>
      <c r="Q11" s="15"/>
      <c r="R11" s="15"/>
      <c r="S11" s="15"/>
      <c r="T11" s="15"/>
      <c r="U11" s="15"/>
    </row>
    <row r="12" spans="1:21" ht="15.75" customHeight="1" x14ac:dyDescent="0.2">
      <c r="A12" s="34" t="s">
        <v>0</v>
      </c>
      <c r="B12" s="11" t="s">
        <v>91</v>
      </c>
      <c r="C12" s="28">
        <v>1957</v>
      </c>
      <c r="D12" s="5">
        <v>1993</v>
      </c>
      <c r="F12">
        <v>0.40300000000000002</v>
      </c>
      <c r="G12">
        <v>0.154</v>
      </c>
      <c r="H12" s="11" t="s">
        <v>97</v>
      </c>
      <c r="O12" s="13"/>
      <c r="P12" s="13"/>
      <c r="Q12" s="15"/>
      <c r="R12" s="15"/>
      <c r="S12" s="15"/>
      <c r="T12" s="15"/>
      <c r="U12" s="15"/>
    </row>
    <row r="13" spans="1:21" ht="15.75" customHeight="1" x14ac:dyDescent="0.2">
      <c r="A13" s="34" t="s">
        <v>0</v>
      </c>
      <c r="B13" s="11" t="s">
        <v>43</v>
      </c>
      <c r="C13" s="28">
        <v>1993</v>
      </c>
      <c r="D13" s="5">
        <v>2018</v>
      </c>
      <c r="F13">
        <v>0.67100000000000004</v>
      </c>
      <c r="G13">
        <v>9.8000000000000004E-2</v>
      </c>
      <c r="H13" s="11" t="s">
        <v>97</v>
      </c>
      <c r="O13" s="13"/>
      <c r="P13" s="13"/>
      <c r="Q13" s="15"/>
      <c r="R13" s="15"/>
      <c r="S13" s="15"/>
      <c r="T13" s="15"/>
      <c r="U13" s="15"/>
    </row>
    <row r="14" spans="1:21" ht="15.75" customHeight="1" x14ac:dyDescent="0.2">
      <c r="B14" s="13" t="s">
        <v>106</v>
      </c>
      <c r="C14" s="13">
        <v>1901</v>
      </c>
      <c r="D14" s="13">
        <v>1970</v>
      </c>
      <c r="F14" s="15">
        <v>0.66681159420289848</v>
      </c>
      <c r="G14" s="15">
        <v>0.24123933665393343</v>
      </c>
      <c r="H14" s="11" t="s">
        <v>108</v>
      </c>
    </row>
    <row r="15" spans="1:21" ht="15.75" customHeight="1" x14ac:dyDescent="0.2">
      <c r="B15" s="13" t="s">
        <v>105</v>
      </c>
      <c r="C15" s="13">
        <v>1971</v>
      </c>
      <c r="D15" s="13">
        <v>1992</v>
      </c>
      <c r="F15" s="15">
        <v>0.3299999999999999</v>
      </c>
      <c r="G15" s="15">
        <v>0.33124938630037404</v>
      </c>
      <c r="H15" s="11" t="s">
        <v>108</v>
      </c>
    </row>
    <row r="16" spans="1:21" ht="15.75" customHeight="1" x14ac:dyDescent="0.2">
      <c r="B16" s="13" t="s">
        <v>104</v>
      </c>
      <c r="C16" s="13">
        <v>1993</v>
      </c>
      <c r="D16" s="13">
        <v>2005</v>
      </c>
      <c r="F16" s="15">
        <v>0.52583333333333349</v>
      </c>
      <c r="G16" s="15">
        <v>0.19290700583317077</v>
      </c>
      <c r="H16" s="11" t="s">
        <v>108</v>
      </c>
    </row>
    <row r="17" spans="2:8" ht="15.75" customHeight="1" x14ac:dyDescent="0.2">
      <c r="B17" s="13" t="s">
        <v>45</v>
      </c>
      <c r="C17" s="13">
        <v>2006</v>
      </c>
      <c r="D17" s="13">
        <v>2018</v>
      </c>
      <c r="F17" s="15">
        <v>0.62</v>
      </c>
      <c r="G17" s="15">
        <v>3.3437699486275375E-2</v>
      </c>
      <c r="H17" s="11" t="s">
        <v>108</v>
      </c>
    </row>
  </sheetData>
  <hyperlinks>
    <hyperlink ref="K1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T17"/>
  <sheetViews>
    <sheetView workbookViewId="0">
      <selection activeCell="F13" sqref="F13:G16"/>
    </sheetView>
  </sheetViews>
  <sheetFormatPr defaultColWidth="14.42578125" defaultRowHeight="15.75" customHeight="1" x14ac:dyDescent="0.2"/>
  <cols>
    <col min="1" max="1" width="14.42578125" style="34"/>
    <col min="3" max="5" width="11.140625" customWidth="1"/>
  </cols>
  <sheetData>
    <row r="1" spans="1:20" ht="12.75" x14ac:dyDescent="0.2">
      <c r="A1" s="34" t="s">
        <v>0</v>
      </c>
      <c r="B1" s="1" t="s">
        <v>0</v>
      </c>
      <c r="E1" t="s">
        <v>62</v>
      </c>
      <c r="H1" s="1" t="s">
        <v>1</v>
      </c>
      <c r="I1" s="2">
        <v>0.95416999999999996</v>
      </c>
      <c r="K1" s="11" t="s">
        <v>14</v>
      </c>
    </row>
    <row r="2" spans="1:20" ht="12.75" x14ac:dyDescent="0.2">
      <c r="A2" s="34" t="s">
        <v>0</v>
      </c>
      <c r="B2" s="1" t="s">
        <v>0</v>
      </c>
      <c r="H2" s="1" t="s">
        <v>2</v>
      </c>
      <c r="I2" s="2">
        <v>3.2896999999999998</v>
      </c>
      <c r="J2" s="1"/>
      <c r="K2">
        <f>75.1/361</f>
        <v>0.20803324099722989</v>
      </c>
      <c r="L2" s="11">
        <f>29.4/361</f>
        <v>8.1440443213296396E-2</v>
      </c>
      <c r="M2" s="6" t="s">
        <v>15</v>
      </c>
      <c r="N2" s="18" t="s">
        <v>61</v>
      </c>
      <c r="O2" s="1"/>
    </row>
    <row r="3" spans="1:20" ht="12.75" x14ac:dyDescent="0.2">
      <c r="A3" s="34" t="s">
        <v>0</v>
      </c>
      <c r="B3" s="1" t="s">
        <v>0</v>
      </c>
    </row>
    <row r="4" spans="1:20" ht="12.75" x14ac:dyDescent="0.2">
      <c r="B4" s="3" t="s">
        <v>3</v>
      </c>
      <c r="C4" s="3" t="s">
        <v>4</v>
      </c>
      <c r="D4" s="3" t="s">
        <v>5</v>
      </c>
      <c r="E4" s="3" t="s">
        <v>63</v>
      </c>
      <c r="F4" s="3" t="s">
        <v>6</v>
      </c>
      <c r="G4" s="3" t="s">
        <v>7</v>
      </c>
      <c r="H4" s="3" t="s">
        <v>8</v>
      </c>
      <c r="I4" s="3" t="s">
        <v>9</v>
      </c>
    </row>
    <row r="5" spans="1:20" ht="12.75" x14ac:dyDescent="0.2">
      <c r="A5" s="34" t="s">
        <v>0</v>
      </c>
      <c r="B5" s="11" t="s">
        <v>39</v>
      </c>
      <c r="C5">
        <v>1901</v>
      </c>
      <c r="D5">
        <v>1990</v>
      </c>
      <c r="E5">
        <v>0.44</v>
      </c>
      <c r="F5">
        <v>0.33</v>
      </c>
      <c r="G5">
        <v>8.8153935009271364E-2</v>
      </c>
      <c r="H5" s="1" t="s">
        <v>58</v>
      </c>
      <c r="I5" s="1"/>
      <c r="N5" s="20"/>
      <c r="O5" s="20"/>
      <c r="P5" s="20"/>
      <c r="Q5" s="20"/>
      <c r="R5" s="20"/>
      <c r="S5" s="20"/>
      <c r="T5" s="20"/>
    </row>
    <row r="6" spans="1:20" ht="12.75" x14ac:dyDescent="0.2">
      <c r="A6" s="34" t="s">
        <v>0</v>
      </c>
      <c r="B6" s="11" t="s">
        <v>41</v>
      </c>
      <c r="C6">
        <v>1971</v>
      </c>
      <c r="D6">
        <v>2018</v>
      </c>
      <c r="E6">
        <v>0.35</v>
      </c>
      <c r="F6">
        <v>0.25</v>
      </c>
      <c r="G6">
        <v>5.4716235522996023E-2</v>
      </c>
      <c r="H6" s="5" t="s">
        <v>58</v>
      </c>
      <c r="N6" s="20"/>
      <c r="O6" s="20"/>
      <c r="P6" s="20"/>
      <c r="Q6" s="20"/>
      <c r="R6" s="20"/>
      <c r="S6" s="20"/>
      <c r="T6" s="20"/>
    </row>
    <row r="7" spans="1:20" ht="12.75" x14ac:dyDescent="0.2">
      <c r="A7" s="35" t="s">
        <v>0</v>
      </c>
      <c r="B7" s="11" t="s">
        <v>43</v>
      </c>
      <c r="C7">
        <v>1993</v>
      </c>
      <c r="D7">
        <v>2018</v>
      </c>
      <c r="E7">
        <v>0.57999999999999996</v>
      </c>
      <c r="F7">
        <v>0.43</v>
      </c>
      <c r="G7">
        <v>4.5596862935830026E-2</v>
      </c>
      <c r="H7" s="5" t="s">
        <v>58</v>
      </c>
      <c r="N7" s="20"/>
      <c r="O7" s="20"/>
      <c r="P7" s="20"/>
      <c r="Q7" s="20"/>
      <c r="R7" s="20"/>
      <c r="S7" s="20"/>
      <c r="T7" s="20"/>
    </row>
    <row r="8" spans="1:20" s="18" customFormat="1" ht="12.75" x14ac:dyDescent="0.2">
      <c r="A8" s="34" t="s">
        <v>0</v>
      </c>
      <c r="B8" s="11" t="s">
        <v>45</v>
      </c>
      <c r="C8" s="18">
        <v>2006</v>
      </c>
      <c r="D8" s="18">
        <v>2018</v>
      </c>
      <c r="E8" s="18">
        <v>0.79</v>
      </c>
      <c r="F8">
        <v>0.63</v>
      </c>
      <c r="G8">
        <v>6.9915189834939356E-2</v>
      </c>
      <c r="H8" s="5" t="s">
        <v>58</v>
      </c>
    </row>
    <row r="9" spans="1:20" ht="15.75" customHeight="1" x14ac:dyDescent="0.2">
      <c r="A9" s="34" t="s">
        <v>0</v>
      </c>
      <c r="B9" s="11" t="s">
        <v>64</v>
      </c>
      <c r="C9">
        <v>1901</v>
      </c>
      <c r="D9">
        <v>2018</v>
      </c>
      <c r="E9">
        <v>0.46</v>
      </c>
      <c r="F9">
        <v>0.35</v>
      </c>
      <c r="G9">
        <v>6.9915189834939356E-2</v>
      </c>
      <c r="H9" s="5" t="s">
        <v>58</v>
      </c>
      <c r="N9" s="20"/>
      <c r="O9" s="20"/>
      <c r="P9" s="20"/>
      <c r="Q9" s="20"/>
      <c r="R9" s="20"/>
      <c r="S9" s="20"/>
      <c r="T9" s="20"/>
    </row>
    <row r="10" spans="1:20" ht="15.75" customHeight="1" x14ac:dyDescent="0.2">
      <c r="A10" s="34" t="s">
        <v>0</v>
      </c>
      <c r="B10" s="11" t="s">
        <v>90</v>
      </c>
      <c r="C10" s="27">
        <v>1900</v>
      </c>
      <c r="D10" s="5">
        <v>1956</v>
      </c>
      <c r="F10">
        <v>0.58599999999999997</v>
      </c>
      <c r="G10">
        <v>9.4E-2</v>
      </c>
      <c r="H10" s="5" t="s">
        <v>98</v>
      </c>
      <c r="N10" s="20"/>
      <c r="O10" s="20"/>
      <c r="P10" s="20"/>
      <c r="Q10" s="20"/>
      <c r="R10" s="20"/>
      <c r="S10" s="20"/>
      <c r="T10" s="20"/>
    </row>
    <row r="11" spans="1:20" ht="15.75" customHeight="1" x14ac:dyDescent="0.2">
      <c r="A11" s="34" t="s">
        <v>0</v>
      </c>
      <c r="B11" s="11" t="s">
        <v>91</v>
      </c>
      <c r="C11" s="28">
        <v>1957</v>
      </c>
      <c r="D11" s="5">
        <v>1993</v>
      </c>
      <c r="F11">
        <v>0.20699999999999999</v>
      </c>
      <c r="G11">
        <v>6.3E-2</v>
      </c>
      <c r="H11" s="5" t="s">
        <v>98</v>
      </c>
      <c r="N11" s="20"/>
      <c r="O11" s="20"/>
      <c r="P11" s="20"/>
      <c r="Q11" s="20"/>
      <c r="R11" s="20"/>
      <c r="S11" s="20"/>
      <c r="T11" s="20"/>
    </row>
    <row r="12" spans="1:20" ht="15.75" customHeight="1" x14ac:dyDescent="0.2">
      <c r="A12" s="34" t="s">
        <v>0</v>
      </c>
      <c r="B12" s="11" t="s">
        <v>43</v>
      </c>
      <c r="C12" s="28">
        <v>1993</v>
      </c>
      <c r="D12" s="5">
        <v>2018</v>
      </c>
      <c r="F12">
        <v>0.65400000000000003</v>
      </c>
      <c r="G12">
        <v>4.8000000000000001E-2</v>
      </c>
      <c r="H12" s="5" t="s">
        <v>98</v>
      </c>
      <c r="N12" s="20"/>
      <c r="O12" s="20"/>
      <c r="P12" s="20"/>
      <c r="Q12" s="20"/>
      <c r="R12" s="20"/>
      <c r="S12" s="20"/>
      <c r="T12" s="20"/>
    </row>
    <row r="13" spans="1:20" ht="15.75" customHeight="1" x14ac:dyDescent="0.2">
      <c r="B13" s="13" t="s">
        <v>106</v>
      </c>
      <c r="C13" s="13">
        <v>1901</v>
      </c>
      <c r="D13" s="13">
        <v>1970</v>
      </c>
      <c r="F13" s="15">
        <v>0.42318840579710137</v>
      </c>
      <c r="G13" s="13">
        <v>0.12427239538120734</v>
      </c>
      <c r="H13" s="11" t="s">
        <v>108</v>
      </c>
      <c r="N13" s="20"/>
      <c r="O13" s="20"/>
      <c r="P13" s="20"/>
      <c r="Q13" s="20"/>
      <c r="R13" s="20"/>
      <c r="S13" s="20"/>
      <c r="T13" s="20"/>
    </row>
    <row r="14" spans="1:20" ht="15.75" customHeight="1" x14ac:dyDescent="0.2">
      <c r="B14" s="13" t="s">
        <v>105</v>
      </c>
      <c r="C14" s="13">
        <v>1971</v>
      </c>
      <c r="D14" s="13">
        <v>1992</v>
      </c>
      <c r="F14" s="15">
        <v>4.7619047619047616E-2</v>
      </c>
      <c r="G14" s="13">
        <v>0.13395156109087422</v>
      </c>
      <c r="H14" s="11" t="s">
        <v>108</v>
      </c>
      <c r="N14" s="20"/>
      <c r="O14" s="20"/>
      <c r="P14" s="20"/>
      <c r="Q14" s="20"/>
      <c r="R14" s="20"/>
      <c r="S14" s="20"/>
      <c r="T14" s="20"/>
    </row>
    <row r="15" spans="1:20" ht="15.75" customHeight="1" x14ac:dyDescent="0.2">
      <c r="B15" s="13" t="s">
        <v>104</v>
      </c>
      <c r="C15" s="13">
        <v>1993</v>
      </c>
      <c r="D15" s="13">
        <v>2005</v>
      </c>
      <c r="F15" s="15">
        <v>0.26583333333333331</v>
      </c>
      <c r="G15" s="13">
        <v>0.11794868400199192</v>
      </c>
      <c r="H15" s="11" t="s">
        <v>108</v>
      </c>
      <c r="N15" s="20"/>
      <c r="O15" s="20"/>
      <c r="P15" s="20"/>
      <c r="Q15" s="20"/>
      <c r="R15" s="20"/>
      <c r="S15" s="20"/>
      <c r="T15" s="20"/>
    </row>
    <row r="16" spans="1:20" ht="15.75" customHeight="1" x14ac:dyDescent="0.2">
      <c r="B16" s="13" t="s">
        <v>45</v>
      </c>
      <c r="C16" s="13">
        <v>2006</v>
      </c>
      <c r="D16" s="13">
        <v>2018</v>
      </c>
      <c r="F16" s="15">
        <v>0.63</v>
      </c>
      <c r="G16" s="13">
        <v>6.9915189834939356E-2</v>
      </c>
      <c r="H16" s="11" t="s">
        <v>108</v>
      </c>
      <c r="N16" s="20"/>
      <c r="O16" s="20"/>
      <c r="P16" s="20"/>
      <c r="Q16" s="20"/>
      <c r="R16" s="20"/>
      <c r="S16" s="20"/>
      <c r="T16" s="20"/>
    </row>
    <row r="17" spans="14:20" ht="15.75" customHeight="1" x14ac:dyDescent="0.2">
      <c r="N17" s="20"/>
      <c r="O17" s="20"/>
      <c r="P17" s="20"/>
      <c r="Q17" s="20"/>
      <c r="R17" s="20"/>
      <c r="S17" s="20"/>
      <c r="T17" s="20"/>
    </row>
  </sheetData>
  <hyperlinks>
    <hyperlink ref="M2" r:id="rId1" xr:uid="{37DEF5A8-E9F1-46C3-BAEE-FFDF254259B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29"/>
  <sheetViews>
    <sheetView workbookViewId="0">
      <selection activeCell="F13" sqref="F13:G16"/>
    </sheetView>
  </sheetViews>
  <sheetFormatPr defaultColWidth="14.42578125" defaultRowHeight="15.75" customHeight="1" x14ac:dyDescent="0.2"/>
  <sheetData>
    <row r="1" spans="1:15" ht="12.75" x14ac:dyDescent="0.2">
      <c r="A1" s="34" t="s">
        <v>0</v>
      </c>
      <c r="B1" s="5" t="s">
        <v>0</v>
      </c>
      <c r="E1" t="s">
        <v>62</v>
      </c>
      <c r="H1" s="1" t="s">
        <v>1</v>
      </c>
      <c r="I1" s="2">
        <v>0.95416999999999996</v>
      </c>
    </row>
    <row r="2" spans="1:15" ht="12.75" x14ac:dyDescent="0.2">
      <c r="A2" s="34" t="s">
        <v>0</v>
      </c>
      <c r="B2" s="5" t="s">
        <v>0</v>
      </c>
      <c r="H2" s="1" t="s">
        <v>2</v>
      </c>
      <c r="I2" s="2">
        <v>3.2896999999999998</v>
      </c>
      <c r="K2" s="8" t="s">
        <v>31</v>
      </c>
    </row>
    <row r="3" spans="1:15" ht="12.75" x14ac:dyDescent="0.2">
      <c r="A3" s="34" t="s">
        <v>0</v>
      </c>
      <c r="B3" s="5" t="s">
        <v>0</v>
      </c>
      <c r="F3" s="8"/>
    </row>
    <row r="4" spans="1:15" ht="12.75" x14ac:dyDescent="0.2">
      <c r="A4" s="34"/>
      <c r="B4" s="3" t="s">
        <v>3</v>
      </c>
      <c r="C4" s="3" t="s">
        <v>4</v>
      </c>
      <c r="D4" s="3" t="s">
        <v>5</v>
      </c>
      <c r="E4" s="3" t="s">
        <v>63</v>
      </c>
      <c r="F4" s="3" t="s">
        <v>6</v>
      </c>
      <c r="G4" s="3" t="s">
        <v>7</v>
      </c>
      <c r="H4" s="3" t="s">
        <v>8</v>
      </c>
      <c r="I4" s="3" t="s">
        <v>9</v>
      </c>
    </row>
    <row r="5" spans="1:15" s="18" customFormat="1" ht="12.75" x14ac:dyDescent="0.2">
      <c r="A5" s="34" t="s">
        <v>0</v>
      </c>
      <c r="B5" s="11" t="s">
        <v>39</v>
      </c>
      <c r="C5" s="18">
        <v>1901</v>
      </c>
      <c r="D5" s="18">
        <v>1990</v>
      </c>
      <c r="E5" s="18">
        <v>0.05</v>
      </c>
      <c r="F5" s="18">
        <v>0</v>
      </c>
      <c r="G5" s="18">
        <v>6.3835608110162034E-2</v>
      </c>
      <c r="H5" s="18" t="s">
        <v>58</v>
      </c>
    </row>
    <row r="6" spans="1:15" s="18" customFormat="1" ht="12.75" x14ac:dyDescent="0.2">
      <c r="A6" s="34" t="s">
        <v>0</v>
      </c>
      <c r="B6" s="11" t="s">
        <v>41</v>
      </c>
      <c r="C6" s="18">
        <v>1971</v>
      </c>
      <c r="D6" s="18">
        <v>2018</v>
      </c>
      <c r="E6" s="18">
        <v>0.2</v>
      </c>
      <c r="F6" s="18">
        <v>0.14000000000000001</v>
      </c>
      <c r="G6" s="18">
        <v>0.13983037966987871</v>
      </c>
      <c r="H6" s="18" t="s">
        <v>58</v>
      </c>
    </row>
    <row r="7" spans="1:15" ht="15.75" customHeight="1" x14ac:dyDescent="0.2">
      <c r="A7" s="35" t="s">
        <v>0</v>
      </c>
      <c r="B7" s="11" t="s">
        <v>43</v>
      </c>
      <c r="C7">
        <v>1993</v>
      </c>
      <c r="D7">
        <v>2018</v>
      </c>
      <c r="E7">
        <v>0.34</v>
      </c>
      <c r="F7">
        <v>0.25</v>
      </c>
      <c r="G7">
        <v>5.1676444660607355E-2</v>
      </c>
      <c r="H7" s="11" t="s">
        <v>58</v>
      </c>
    </row>
    <row r="8" spans="1:15" ht="15.75" customHeight="1" x14ac:dyDescent="0.2">
      <c r="A8" s="34" t="s">
        <v>0</v>
      </c>
      <c r="B8" s="11" t="s">
        <v>45</v>
      </c>
      <c r="C8">
        <v>2006</v>
      </c>
      <c r="D8">
        <v>2018</v>
      </c>
      <c r="E8">
        <v>0.52</v>
      </c>
      <c r="F8">
        <v>0.37</v>
      </c>
      <c r="G8">
        <v>7.9034562422105367E-2</v>
      </c>
      <c r="H8" s="11" t="s">
        <v>58</v>
      </c>
    </row>
    <row r="9" spans="1:15" ht="15.75" customHeight="1" x14ac:dyDescent="0.2">
      <c r="A9" s="34" t="s">
        <v>0</v>
      </c>
      <c r="B9" s="11" t="s">
        <v>64</v>
      </c>
      <c r="C9">
        <v>1901</v>
      </c>
      <c r="D9">
        <v>2018</v>
      </c>
      <c r="E9">
        <v>0.11</v>
      </c>
      <c r="F9">
        <v>0.06</v>
      </c>
      <c r="G9">
        <v>5.4716235522996017E-2</v>
      </c>
      <c r="H9" s="11" t="s">
        <v>58</v>
      </c>
    </row>
    <row r="10" spans="1:15" ht="15.75" customHeight="1" x14ac:dyDescent="0.2">
      <c r="A10" s="34" t="s">
        <v>0</v>
      </c>
      <c r="B10" s="11" t="s">
        <v>90</v>
      </c>
      <c r="C10" s="27">
        <v>1900</v>
      </c>
      <c r="D10" s="5">
        <v>1956</v>
      </c>
      <c r="F10">
        <v>5.3999999999999999E-2</v>
      </c>
      <c r="G10">
        <v>5.8000000000000003E-2</v>
      </c>
      <c r="H10" s="11" t="s">
        <v>99</v>
      </c>
    </row>
    <row r="11" spans="1:15" ht="15.75" customHeight="1" x14ac:dyDescent="0.2">
      <c r="A11" s="34" t="s">
        <v>0</v>
      </c>
      <c r="B11" s="11" t="s">
        <v>91</v>
      </c>
      <c r="C11" s="28">
        <v>1957</v>
      </c>
      <c r="D11" s="5">
        <v>1993</v>
      </c>
      <c r="F11">
        <v>5.1999999999999998E-2</v>
      </c>
      <c r="G11">
        <v>5.7000000000000002E-2</v>
      </c>
      <c r="H11" s="11" t="s">
        <v>99</v>
      </c>
    </row>
    <row r="12" spans="1:15" ht="15.75" customHeight="1" x14ac:dyDescent="0.2">
      <c r="A12" s="34" t="s">
        <v>0</v>
      </c>
      <c r="B12" s="11" t="s">
        <v>43</v>
      </c>
      <c r="C12" s="28">
        <v>1993</v>
      </c>
      <c r="D12" s="5">
        <v>2018</v>
      </c>
      <c r="F12">
        <v>0.32</v>
      </c>
      <c r="G12">
        <v>6.9000000000000006E-2</v>
      </c>
      <c r="H12" s="11" t="s">
        <v>99</v>
      </c>
    </row>
    <row r="13" spans="1:15" ht="15.75" customHeight="1" x14ac:dyDescent="0.2">
      <c r="B13" s="13" t="s">
        <v>106</v>
      </c>
      <c r="C13" s="13">
        <v>1901</v>
      </c>
      <c r="D13" s="13">
        <v>1970</v>
      </c>
      <c r="F13" s="13">
        <v>6.3768115942028783E-3</v>
      </c>
      <c r="G13" s="13">
        <v>0.13296624605146506</v>
      </c>
      <c r="H13" s="11" t="s">
        <v>108</v>
      </c>
    </row>
    <row r="14" spans="1:15" ht="15.75" customHeight="1" x14ac:dyDescent="0.2">
      <c r="B14" s="13" t="s">
        <v>105</v>
      </c>
      <c r="C14" s="13">
        <v>1971</v>
      </c>
      <c r="D14" s="13">
        <v>1992</v>
      </c>
      <c r="F14" s="13">
        <v>1.571428571428576E-2</v>
      </c>
      <c r="G14" s="13">
        <v>0.31894306858980254</v>
      </c>
      <c r="H14" s="11" t="s">
        <v>108</v>
      </c>
      <c r="I14" s="12"/>
      <c r="J14" s="12"/>
      <c r="K14" s="14"/>
      <c r="L14" s="14"/>
      <c r="M14" s="14"/>
      <c r="N14" s="14"/>
      <c r="O14" s="14"/>
    </row>
    <row r="15" spans="1:15" ht="15.75" customHeight="1" x14ac:dyDescent="0.2">
      <c r="B15" s="13" t="s">
        <v>104</v>
      </c>
      <c r="C15" s="13">
        <v>1993</v>
      </c>
      <c r="D15" s="13">
        <v>2005</v>
      </c>
      <c r="F15" s="13">
        <v>0.15083333333333337</v>
      </c>
      <c r="G15" s="13">
        <v>0.13355515062502263</v>
      </c>
      <c r="H15" s="11" t="s">
        <v>108</v>
      </c>
    </row>
    <row r="16" spans="1:15" ht="15.75" customHeight="1" x14ac:dyDescent="0.2">
      <c r="B16" s="13" t="s">
        <v>45</v>
      </c>
      <c r="C16" s="13">
        <v>2006</v>
      </c>
      <c r="D16" s="13">
        <v>2018</v>
      </c>
      <c r="F16" s="13">
        <v>0.37</v>
      </c>
      <c r="G16" s="13">
        <v>7.9034562422105367E-2</v>
      </c>
      <c r="H16" s="11" t="s">
        <v>108</v>
      </c>
    </row>
    <row r="22" spans="9:15" ht="15.75" customHeight="1" x14ac:dyDescent="0.2">
      <c r="I22" s="13"/>
      <c r="J22" s="13"/>
      <c r="K22" s="15"/>
      <c r="L22" s="15"/>
      <c r="M22" s="15"/>
      <c r="N22" s="15"/>
      <c r="O22" s="15"/>
    </row>
    <row r="23" spans="9:15" ht="15.75" customHeight="1" x14ac:dyDescent="0.2">
      <c r="I23" s="13"/>
      <c r="J23" s="13"/>
      <c r="K23" s="15"/>
      <c r="L23" s="15"/>
      <c r="M23" s="15"/>
      <c r="N23" s="15"/>
      <c r="O23" s="15"/>
    </row>
    <row r="24" spans="9:15" ht="15.75" customHeight="1" x14ac:dyDescent="0.2">
      <c r="I24" s="13"/>
      <c r="J24" s="13"/>
      <c r="K24" s="15"/>
      <c r="L24" s="15"/>
      <c r="M24" s="15"/>
      <c r="N24" s="15"/>
      <c r="O24" s="15"/>
    </row>
    <row r="25" spans="9:15" ht="15.75" customHeight="1" x14ac:dyDescent="0.2">
      <c r="I25" s="13"/>
      <c r="J25" s="13"/>
      <c r="K25" s="15"/>
      <c r="L25" s="15"/>
      <c r="M25" s="15"/>
      <c r="N25" s="15"/>
      <c r="O25" s="15"/>
    </row>
    <row r="26" spans="9:15" ht="15.75" customHeight="1" x14ac:dyDescent="0.2">
      <c r="I26" s="13"/>
      <c r="J26" s="13"/>
      <c r="K26" s="15"/>
      <c r="L26" s="15"/>
      <c r="M26" s="15"/>
      <c r="N26" s="15"/>
      <c r="O26" s="15"/>
    </row>
    <row r="27" spans="9:15" ht="15.75" customHeight="1" x14ac:dyDescent="0.2">
      <c r="I27" s="13"/>
      <c r="J27" s="13"/>
      <c r="K27" s="15"/>
      <c r="L27" s="15"/>
      <c r="M27" s="15"/>
      <c r="N27" s="15"/>
      <c r="O27" s="15"/>
    </row>
    <row r="28" spans="9:15" ht="15.75" customHeight="1" x14ac:dyDescent="0.2">
      <c r="I28" s="13"/>
      <c r="J28" s="13"/>
      <c r="K28" s="17"/>
      <c r="L28" s="17"/>
      <c r="M28" s="17"/>
      <c r="N28" s="17"/>
      <c r="O28" s="17"/>
    </row>
    <row r="29" spans="9:15" ht="15.75" customHeight="1" x14ac:dyDescent="0.2">
      <c r="I29" s="13"/>
      <c r="J29" s="13"/>
      <c r="K29" s="17"/>
      <c r="L29" s="17"/>
      <c r="M29" s="17"/>
      <c r="N29" s="17"/>
      <c r="O29" s="1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1:H5"/>
  <sheetViews>
    <sheetView workbookViewId="0">
      <selection sqref="A1:A1048576"/>
    </sheetView>
  </sheetViews>
  <sheetFormatPr defaultColWidth="14.42578125" defaultRowHeight="15.75" customHeight="1" x14ac:dyDescent="0.2"/>
  <sheetData>
    <row r="1" spans="2:8" ht="15.75" customHeight="1" x14ac:dyDescent="0.2">
      <c r="B1" s="5" t="s">
        <v>0</v>
      </c>
      <c r="G1" s="5" t="s">
        <v>1</v>
      </c>
      <c r="H1" s="2">
        <v>0.95416999999999996</v>
      </c>
    </row>
    <row r="2" spans="2:8" ht="15.75" customHeight="1" x14ac:dyDescent="0.2">
      <c r="B2" s="5" t="s">
        <v>0</v>
      </c>
      <c r="G2" s="5" t="s">
        <v>2</v>
      </c>
      <c r="H2" s="2">
        <v>3.2896999999999998</v>
      </c>
    </row>
    <row r="3" spans="2:8" ht="15.75" customHeight="1" x14ac:dyDescent="0.2">
      <c r="B3" s="5" t="s">
        <v>0</v>
      </c>
      <c r="E3" s="8"/>
    </row>
    <row r="4" spans="2:8" ht="15.75" customHeight="1" x14ac:dyDescent="0.2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</row>
    <row r="5" spans="2:8" ht="15.75" customHeight="1" x14ac:dyDescent="0.2">
      <c r="B5" s="9" t="s">
        <v>13</v>
      </c>
      <c r="C5" s="5">
        <v>1992</v>
      </c>
      <c r="D5" s="5">
        <v>2017</v>
      </c>
      <c r="E5" s="10">
        <f>94/361</f>
        <v>0.26038781163434904</v>
      </c>
      <c r="F5" s="10">
        <f>27/361</f>
        <v>7.4792243767313013E-2</v>
      </c>
      <c r="G5" s="11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1:H5"/>
  <sheetViews>
    <sheetView workbookViewId="0">
      <selection sqref="A1:A1048576"/>
    </sheetView>
  </sheetViews>
  <sheetFormatPr defaultColWidth="14.42578125" defaultRowHeight="15.75" customHeight="1" x14ac:dyDescent="0.2"/>
  <sheetData>
    <row r="1" spans="2:8" ht="15.75" customHeight="1" x14ac:dyDescent="0.2">
      <c r="B1" s="5" t="s">
        <v>0</v>
      </c>
      <c r="G1" s="5" t="s">
        <v>1</v>
      </c>
      <c r="H1" s="2">
        <v>0.95416999999999996</v>
      </c>
    </row>
    <row r="2" spans="2:8" ht="15.75" customHeight="1" x14ac:dyDescent="0.2">
      <c r="B2" s="5" t="s">
        <v>0</v>
      </c>
      <c r="G2" s="5" t="s">
        <v>2</v>
      </c>
      <c r="H2" s="2">
        <v>3.2896999999999998</v>
      </c>
    </row>
    <row r="3" spans="2:8" ht="15.75" customHeight="1" x14ac:dyDescent="0.2">
      <c r="B3" s="5" t="s">
        <v>0</v>
      </c>
      <c r="E3" s="8"/>
    </row>
    <row r="4" spans="2:8" ht="15.75" customHeight="1" x14ac:dyDescent="0.2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</row>
    <row r="5" spans="2:8" ht="15.75" customHeight="1" x14ac:dyDescent="0.2">
      <c r="B5" s="9" t="s">
        <v>13</v>
      </c>
      <c r="C5" s="5">
        <v>1992</v>
      </c>
      <c r="D5" s="5">
        <v>2017</v>
      </c>
      <c r="E5" s="10">
        <f>-5/361</f>
        <v>-1.3850415512465374E-2</v>
      </c>
      <c r="F5" s="10">
        <f>46/361</f>
        <v>0.12742382271468145</v>
      </c>
      <c r="G5" s="11" t="s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0963A-2E81-4D98-8532-52392815F16C}">
  <dimension ref="B1:H5"/>
  <sheetViews>
    <sheetView workbookViewId="0">
      <selection sqref="A1:A1048576"/>
    </sheetView>
  </sheetViews>
  <sheetFormatPr defaultRowHeight="12.75" x14ac:dyDescent="0.2"/>
  <sheetData>
    <row r="1" spans="2:8" x14ac:dyDescent="0.2">
      <c r="B1" s="5" t="s">
        <v>0</v>
      </c>
      <c r="G1" s="5" t="s">
        <v>1</v>
      </c>
      <c r="H1" s="2">
        <v>0.95416999999999996</v>
      </c>
    </row>
    <row r="2" spans="2:8" x14ac:dyDescent="0.2">
      <c r="B2" s="5" t="s">
        <v>0</v>
      </c>
      <c r="G2" s="5" t="s">
        <v>2</v>
      </c>
      <c r="H2" s="2">
        <v>3.2896999999999998</v>
      </c>
    </row>
    <row r="3" spans="2:8" x14ac:dyDescent="0.2">
      <c r="B3" s="5" t="s">
        <v>0</v>
      </c>
      <c r="E3" s="8"/>
    </row>
    <row r="4" spans="2:8" x14ac:dyDescent="0.2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</row>
    <row r="5" spans="2:8" x14ac:dyDescent="0.2">
      <c r="B5" s="9" t="s">
        <v>13</v>
      </c>
      <c r="C5" s="5">
        <v>1992</v>
      </c>
      <c r="D5" s="5">
        <v>2017</v>
      </c>
      <c r="E5" s="10">
        <f>20/361</f>
        <v>5.5401662049861494E-2</v>
      </c>
      <c r="F5" s="10">
        <f>15/361</f>
        <v>4.1551246537396121E-2</v>
      </c>
      <c r="G5" s="8" t="s">
        <v>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4F62-F26B-4AD1-AB30-17B83DAD40A3}">
  <dimension ref="A1:W17"/>
  <sheetViews>
    <sheetView tabSelected="1" workbookViewId="0">
      <selection activeCell="J25" sqref="J25"/>
    </sheetView>
  </sheetViews>
  <sheetFormatPr defaultRowHeight="12.75" x14ac:dyDescent="0.2"/>
  <cols>
    <col min="1" max="1" width="9.140625" style="34"/>
  </cols>
  <sheetData>
    <row r="1" spans="1:23" x14ac:dyDescent="0.2">
      <c r="A1" s="34" t="s">
        <v>0</v>
      </c>
      <c r="B1" s="5" t="s">
        <v>0</v>
      </c>
      <c r="E1" t="s">
        <v>62</v>
      </c>
      <c r="H1" s="5" t="s">
        <v>1</v>
      </c>
      <c r="I1" s="2">
        <v>0.95416999999999996</v>
      </c>
      <c r="J1" s="4" t="s">
        <v>10</v>
      </c>
    </row>
    <row r="2" spans="1:23" x14ac:dyDescent="0.2">
      <c r="A2" s="34" t="s">
        <v>0</v>
      </c>
      <c r="B2" s="5" t="s">
        <v>0</v>
      </c>
      <c r="H2" s="5" t="s">
        <v>2</v>
      </c>
      <c r="I2" s="2">
        <v>3.2896999999999998</v>
      </c>
      <c r="J2" s="7" t="s">
        <v>16</v>
      </c>
    </row>
    <row r="3" spans="1:23" x14ac:dyDescent="0.2">
      <c r="A3" s="34" t="s">
        <v>0</v>
      </c>
      <c r="B3" s="5" t="s">
        <v>0</v>
      </c>
    </row>
    <row r="4" spans="1:23" x14ac:dyDescent="0.2">
      <c r="B4" s="3" t="s">
        <v>3</v>
      </c>
      <c r="C4" s="3" t="s">
        <v>4</v>
      </c>
      <c r="D4" s="3" t="s">
        <v>5</v>
      </c>
      <c r="E4" s="3" t="s">
        <v>63</v>
      </c>
      <c r="F4" s="3" t="s">
        <v>6</v>
      </c>
      <c r="G4" s="3" t="s">
        <v>7</v>
      </c>
      <c r="H4" s="3" t="s">
        <v>8</v>
      </c>
      <c r="I4" s="3" t="s">
        <v>9</v>
      </c>
      <c r="R4" t="s">
        <v>86</v>
      </c>
      <c r="S4" t="s">
        <v>87</v>
      </c>
      <c r="T4" t="s">
        <v>84</v>
      </c>
      <c r="U4" t="s">
        <v>85</v>
      </c>
    </row>
    <row r="5" spans="1:23" x14ac:dyDescent="0.2">
      <c r="B5" s="5" t="s">
        <v>89</v>
      </c>
      <c r="C5" s="5">
        <v>1850</v>
      </c>
      <c r="D5" s="5">
        <v>1900</v>
      </c>
      <c r="E5" s="5"/>
      <c r="F5">
        <f>R5-T5</f>
        <v>-0.15399999999999997</v>
      </c>
      <c r="G5">
        <f>SQRT(S5^2+ U5^2)</f>
        <v>0.30083217912982646</v>
      </c>
      <c r="H5" s="5" t="s">
        <v>17</v>
      </c>
      <c r="I5" s="8" t="s">
        <v>18</v>
      </c>
      <c r="R5" s="5">
        <f>0.014*1000/50</f>
        <v>0.28000000000000003</v>
      </c>
      <c r="S5" s="5">
        <f>0.014*1000/50</f>
        <v>0.28000000000000003</v>
      </c>
      <c r="T5">
        <v>0.434</v>
      </c>
      <c r="U5">
        <v>0.11</v>
      </c>
      <c r="W5" t="s">
        <v>88</v>
      </c>
    </row>
    <row r="6" spans="1:23" x14ac:dyDescent="0.2">
      <c r="A6" s="34" t="s">
        <v>0</v>
      </c>
      <c r="B6" s="11" t="s">
        <v>39</v>
      </c>
      <c r="C6" s="5">
        <v>1901</v>
      </c>
      <c r="D6" s="5">
        <v>1990</v>
      </c>
      <c r="E6" s="5"/>
      <c r="F6">
        <f>R6-T6</f>
        <v>0.77000000000000013</v>
      </c>
      <c r="G6">
        <f>SQRT(S6^2+ U6^2)</f>
        <v>0.37600136416247626</v>
      </c>
      <c r="H6" s="11" t="s">
        <v>59</v>
      </c>
      <c r="R6" s="20">
        <v>1.35</v>
      </c>
      <c r="S6" s="20">
        <v>0.34653615831230811</v>
      </c>
      <c r="T6">
        <v>0.57999999999999996</v>
      </c>
      <c r="U6">
        <v>0.14590996139465603</v>
      </c>
    </row>
    <row r="7" spans="1:23" x14ac:dyDescent="0.2">
      <c r="A7" s="34" t="s">
        <v>0</v>
      </c>
      <c r="B7" s="11" t="s">
        <v>41</v>
      </c>
      <c r="C7" s="5">
        <v>1971</v>
      </c>
      <c r="D7" s="5">
        <v>2018</v>
      </c>
      <c r="E7" s="5"/>
      <c r="F7">
        <f>R7-T7</f>
        <v>1.8900000000000001</v>
      </c>
      <c r="G7">
        <f>SQRT(S7^2+ U7^2)</f>
        <v>0.49731015669922207</v>
      </c>
      <c r="H7" s="11" t="s">
        <v>59</v>
      </c>
      <c r="R7" s="20">
        <v>2.33</v>
      </c>
      <c r="S7" s="20">
        <v>0.47724716539502088</v>
      </c>
      <c r="T7">
        <v>0.44</v>
      </c>
      <c r="U7">
        <v>0.13983037966987874</v>
      </c>
    </row>
    <row r="8" spans="1:23" x14ac:dyDescent="0.2">
      <c r="A8" s="35" t="s">
        <v>0</v>
      </c>
      <c r="B8" s="11" t="s">
        <v>43</v>
      </c>
      <c r="C8" s="5">
        <v>1993</v>
      </c>
      <c r="D8" s="5">
        <v>2018</v>
      </c>
      <c r="E8" s="5"/>
      <c r="F8">
        <f>R8-T8</f>
        <v>2.7</v>
      </c>
      <c r="G8">
        <f>SQRT(S8^2+ U8^2)</f>
        <v>0.23991249685230437</v>
      </c>
      <c r="H8" s="11" t="s">
        <v>59</v>
      </c>
      <c r="R8" s="15">
        <v>3.25</v>
      </c>
      <c r="S8" s="15">
        <v>0.22190473295437274</v>
      </c>
      <c r="T8">
        <v>0.55000000000000004</v>
      </c>
      <c r="U8">
        <v>9.1193725871660011E-2</v>
      </c>
    </row>
    <row r="9" spans="1:23" x14ac:dyDescent="0.2">
      <c r="A9" s="34" t="s">
        <v>0</v>
      </c>
      <c r="B9" s="11" t="s">
        <v>45</v>
      </c>
      <c r="C9" s="5">
        <v>2006</v>
      </c>
      <c r="D9" s="5">
        <v>2018</v>
      </c>
      <c r="E9" s="5"/>
      <c r="F9">
        <f>R9-T9</f>
        <v>3.07</v>
      </c>
      <c r="G9">
        <f>SQRT(S9^2+ U9^2)</f>
        <v>0.29372937729089094</v>
      </c>
      <c r="H9" s="11" t="s">
        <v>59</v>
      </c>
      <c r="R9">
        <v>3.69</v>
      </c>
      <c r="S9">
        <v>0.29181992278931213</v>
      </c>
      <c r="T9">
        <v>0.62</v>
      </c>
      <c r="U9">
        <v>3.3437699486275375E-2</v>
      </c>
    </row>
    <row r="10" spans="1:23" x14ac:dyDescent="0.2">
      <c r="A10" s="34" t="s">
        <v>0</v>
      </c>
      <c r="B10" s="11" t="s">
        <v>64</v>
      </c>
      <c r="C10" s="5">
        <v>1901</v>
      </c>
      <c r="D10" s="5">
        <v>2018</v>
      </c>
      <c r="E10" s="5"/>
      <c r="F10">
        <f>R10-T10</f>
        <v>1.1600000000000001</v>
      </c>
      <c r="G10">
        <f>SQRT(S10^2+ U10^2)</f>
        <v>0.30046299159562434</v>
      </c>
      <c r="H10" s="11" t="s">
        <v>59</v>
      </c>
      <c r="R10">
        <v>1.73</v>
      </c>
      <c r="S10">
        <v>0.27054138675259143</v>
      </c>
      <c r="T10">
        <v>0.56999999999999995</v>
      </c>
      <c r="U10">
        <v>0.13071100708271274</v>
      </c>
    </row>
    <row r="11" spans="1:23" ht="14.25" x14ac:dyDescent="0.2">
      <c r="A11" s="34" t="s">
        <v>0</v>
      </c>
      <c r="B11" s="11" t="s">
        <v>90</v>
      </c>
      <c r="C11" s="27">
        <v>1900</v>
      </c>
      <c r="D11" s="5">
        <v>1956</v>
      </c>
      <c r="F11">
        <f t="shared" ref="F11:F13" si="0">R11-T11</f>
        <v>0.6100000000000001</v>
      </c>
      <c r="G11">
        <f t="shared" ref="G11:G13" si="1">SQRT(S11^2+ U11^2)</f>
        <v>0.31450596178769014</v>
      </c>
      <c r="H11" s="11" t="s">
        <v>62</v>
      </c>
      <c r="R11">
        <v>1.552</v>
      </c>
      <c r="S11">
        <v>0.28499999999999998</v>
      </c>
      <c r="T11">
        <v>0.94199999999999995</v>
      </c>
      <c r="U11">
        <v>0.13300000000000001</v>
      </c>
    </row>
    <row r="12" spans="1:23" ht="14.25" x14ac:dyDescent="0.2">
      <c r="A12" s="34" t="s">
        <v>0</v>
      </c>
      <c r="B12" s="11" t="s">
        <v>91</v>
      </c>
      <c r="C12" s="28">
        <v>1957</v>
      </c>
      <c r="D12" s="5">
        <v>1993</v>
      </c>
      <c r="F12">
        <f t="shared" si="0"/>
        <v>0.46899999999999997</v>
      </c>
      <c r="G12">
        <f t="shared" si="1"/>
        <v>0.27679595372765115</v>
      </c>
      <c r="H12" s="11" t="s">
        <v>62</v>
      </c>
      <c r="R12">
        <v>0.872</v>
      </c>
      <c r="S12">
        <v>0.23</v>
      </c>
      <c r="T12">
        <v>0.40300000000000002</v>
      </c>
      <c r="U12">
        <v>0.154</v>
      </c>
    </row>
    <row r="13" spans="1:23" ht="14.25" x14ac:dyDescent="0.2">
      <c r="A13" s="34" t="s">
        <v>0</v>
      </c>
      <c r="B13" s="11" t="s">
        <v>43</v>
      </c>
      <c r="C13" s="28">
        <v>1993</v>
      </c>
      <c r="D13" s="5">
        <v>2018</v>
      </c>
      <c r="F13">
        <f t="shared" si="0"/>
        <v>2.6440000000000001</v>
      </c>
      <c r="G13">
        <f t="shared" si="1"/>
        <v>0.29288222889072668</v>
      </c>
      <c r="H13" s="11" t="s">
        <v>62</v>
      </c>
      <c r="R13">
        <v>3.3149999999999999</v>
      </c>
      <c r="S13">
        <v>0.27600000000000002</v>
      </c>
      <c r="T13">
        <v>0.67100000000000004</v>
      </c>
      <c r="U13">
        <v>9.8000000000000004E-2</v>
      </c>
    </row>
    <row r="14" spans="1:23" x14ac:dyDescent="0.2">
      <c r="B14" s="13" t="s">
        <v>106</v>
      </c>
      <c r="C14" s="13">
        <v>1901</v>
      </c>
      <c r="D14" s="13">
        <v>1970</v>
      </c>
      <c r="F14">
        <f t="shared" ref="F14:F17" si="2">R14-T14</f>
        <v>0.67956521739130427</v>
      </c>
      <c r="G14">
        <f t="shared" ref="G14:G17" si="3">SQRT(S14^2+ U14^2)</f>
        <v>0.6118173554690598</v>
      </c>
      <c r="H14" s="11" t="s">
        <v>108</v>
      </c>
      <c r="R14" s="13">
        <v>1.3463768115942027</v>
      </c>
      <c r="S14" s="13">
        <v>0.56224910751723212</v>
      </c>
      <c r="T14" s="15">
        <v>0.66681159420289848</v>
      </c>
      <c r="U14" s="15">
        <v>0.24123933665393343</v>
      </c>
    </row>
    <row r="15" spans="1:23" x14ac:dyDescent="0.2">
      <c r="B15" s="13" t="s">
        <v>105</v>
      </c>
      <c r="C15" s="13">
        <v>1971</v>
      </c>
      <c r="D15" s="13">
        <v>1992</v>
      </c>
      <c r="F15">
        <f t="shared" si="2"/>
        <v>1.015714285714286</v>
      </c>
      <c r="G15">
        <f t="shared" si="3"/>
        <v>1.1490880468411926</v>
      </c>
      <c r="H15" s="11" t="s">
        <v>108</v>
      </c>
      <c r="R15" s="13">
        <v>1.3457142857142859</v>
      </c>
      <c r="S15" s="13">
        <v>1.1003077676127404</v>
      </c>
      <c r="T15" s="15">
        <v>0.3299999999999999</v>
      </c>
      <c r="U15" s="15">
        <v>0.33124938630037404</v>
      </c>
    </row>
    <row r="16" spans="1:23" x14ac:dyDescent="0.2">
      <c r="B16" s="13" t="s">
        <v>104</v>
      </c>
      <c r="C16" s="13">
        <v>1993</v>
      </c>
      <c r="D16" s="13">
        <v>2005</v>
      </c>
      <c r="F16">
        <f t="shared" si="2"/>
        <v>2.5549999999999997</v>
      </c>
      <c r="G16">
        <f t="shared" si="3"/>
        <v>0.57973673515827095</v>
      </c>
      <c r="H16" s="11" t="s">
        <v>108</v>
      </c>
      <c r="R16" s="13">
        <v>3.0808333333333331</v>
      </c>
      <c r="S16" s="13">
        <v>0.54670062117437934</v>
      </c>
      <c r="T16" s="15">
        <v>0.52583333333333349</v>
      </c>
      <c r="U16" s="15">
        <v>0.19290700583317077</v>
      </c>
    </row>
    <row r="17" spans="2:21" x14ac:dyDescent="0.2">
      <c r="B17" s="13" t="s">
        <v>45</v>
      </c>
      <c r="C17" s="13">
        <v>2006</v>
      </c>
      <c r="D17" s="13">
        <v>2018</v>
      </c>
      <c r="F17">
        <f t="shared" si="2"/>
        <v>3.07</v>
      </c>
      <c r="G17">
        <f t="shared" si="3"/>
        <v>0.29372937729089094</v>
      </c>
      <c r="H17" s="11" t="s">
        <v>108</v>
      </c>
      <c r="R17" s="13">
        <v>3.69</v>
      </c>
      <c r="S17" s="13">
        <v>0.29181992278931213</v>
      </c>
      <c r="T17" s="15">
        <v>0.62</v>
      </c>
      <c r="U17" s="15">
        <v>3.3437699486275375E-2</v>
      </c>
    </row>
  </sheetData>
  <hyperlinks>
    <hyperlink ref="J1" r:id="rId1" xr:uid="{F141555B-26A2-40A5-8281-236CFCC5783A}"/>
    <hyperlink ref="J2" r:id="rId2" xr:uid="{64358BC0-D5B0-428D-93C6-17383AB8397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GMSL</vt:lpstr>
      <vt:lpstr>Steric</vt:lpstr>
      <vt:lpstr>GIC</vt:lpstr>
      <vt:lpstr>GrIS</vt:lpstr>
      <vt:lpstr>AIS</vt:lpstr>
      <vt:lpstr>WAIS</vt:lpstr>
      <vt:lpstr>EAIS</vt:lpstr>
      <vt:lpstr>PEN</vt:lpstr>
      <vt:lpstr>All but GIC</vt:lpstr>
      <vt:lpstr>Expert</vt:lpstr>
      <vt:lpstr>transposed ar6</vt:lpstr>
      <vt:lpstr>Frederikse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Aslak Grinsted</cp:lastModifiedBy>
  <dcterms:modified xsi:type="dcterms:W3CDTF">2021-12-16T07:38:41Z</dcterms:modified>
</cp:coreProperties>
</file>