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80" yWindow="0" windowWidth="24480" windowHeight="15620" tabRatio="500"/>
  </bookViews>
  <sheets>
    <sheet name="defaultFit_Inclusive" sheetId="4" r:id="rId1"/>
    <sheet name="defaultFit_Prompt" sheetId="13" r:id="rId2"/>
    <sheet name="defaultFit_NonPrompt" sheetId="14" r:id="rId3"/>
    <sheet name="fitSyst_Inclusive" sheetId="11" r:id="rId4"/>
    <sheet name="fitSyst_bFrac" sheetId="12" r:id="rId5"/>
    <sheet name="fitSyst_Prompt" sheetId="15" r:id="rId6"/>
    <sheet name="fitSyst_NonPrompt" sheetId="16" r:id="rId7"/>
    <sheet name="trgBiassing" sheetId="6" r:id="rId8"/>
    <sheet name="epSystematic" sheetId="9" r:id="rId9"/>
    <sheet name="zVtx_cut_10cm" sheetId="7" r:id="rId10"/>
    <sheet name="nbkg_defaultFit" sheetId="5" r:id="rId11"/>
    <sheet name="NcollNpart" sheetId="2" r:id="rId12"/>
    <sheet name="ep_CorrectionFactors" sheetId="3" r:id="rId13"/>
  </sheets>
  <definedNames>
    <definedName name="Cent" localSheetId="2">#REF!</definedName>
    <definedName name="Cent" localSheetId="1">#REF!</definedName>
    <definedName name="Cent" localSheetId="8">#REF!</definedName>
    <definedName name="Cent" localSheetId="6">#REF!</definedName>
    <definedName name="Cent" localSheetId="5">#REF!</definedName>
    <definedName name="Cent">#REF!</definedName>
    <definedName name="ep23_corr" localSheetId="2">#REF!</definedName>
    <definedName name="ep23_corr" localSheetId="1">#REF!</definedName>
    <definedName name="ep23_corr" localSheetId="8">#REF!</definedName>
    <definedName name="ep23_corr" localSheetId="6">#REF!</definedName>
    <definedName name="ep23_corr" localSheetId="5">#REF!</definedName>
    <definedName name="ep23_corr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4" l="1"/>
  <c r="J6" i="14"/>
  <c r="J7" i="14"/>
  <c r="J16" i="14"/>
  <c r="J17" i="14"/>
  <c r="J18" i="14"/>
  <c r="J19" i="14"/>
  <c r="J22" i="14"/>
  <c r="J23" i="14"/>
  <c r="J24" i="14"/>
  <c r="J25" i="14"/>
  <c r="J28" i="14"/>
  <c r="J29" i="14"/>
  <c r="J30" i="14"/>
  <c r="J31" i="14"/>
  <c r="J34" i="14"/>
  <c r="J35" i="14"/>
  <c r="J36" i="14"/>
  <c r="J37" i="14"/>
  <c r="J40" i="14"/>
  <c r="J41" i="14"/>
  <c r="J42" i="14"/>
  <c r="J43" i="14"/>
  <c r="J46" i="14"/>
  <c r="J47" i="14"/>
  <c r="J48" i="14"/>
  <c r="J49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4" i="14"/>
  <c r="G5" i="14"/>
  <c r="G6" i="14"/>
  <c r="G7" i="14"/>
  <c r="G16" i="14"/>
  <c r="G17" i="14"/>
  <c r="G18" i="14"/>
  <c r="G19" i="14"/>
  <c r="G22" i="14"/>
  <c r="G23" i="14"/>
  <c r="G24" i="14"/>
  <c r="G25" i="14"/>
  <c r="G28" i="14"/>
  <c r="G29" i="14"/>
  <c r="G30" i="14"/>
  <c r="G31" i="14"/>
  <c r="G34" i="14"/>
  <c r="G35" i="14"/>
  <c r="G36" i="14"/>
  <c r="G37" i="14"/>
  <c r="G40" i="14"/>
  <c r="G41" i="14"/>
  <c r="G42" i="14"/>
  <c r="G43" i="14"/>
  <c r="G46" i="14"/>
  <c r="G47" i="14"/>
  <c r="G48" i="14"/>
  <c r="G49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4" i="14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4" i="13"/>
  <c r="J4" i="4"/>
  <c r="Y85" i="14"/>
  <c r="AA85" i="14"/>
  <c r="X85" i="14"/>
  <c r="Z85" i="14"/>
  <c r="Y84" i="14"/>
  <c r="AA84" i="14"/>
  <c r="X84" i="14"/>
  <c r="Z84" i="14"/>
  <c r="Y83" i="14"/>
  <c r="AA83" i="14"/>
  <c r="X83" i="14"/>
  <c r="Z83" i="14"/>
  <c r="Y82" i="14"/>
  <c r="AA82" i="14"/>
  <c r="X82" i="14"/>
  <c r="Z82" i="14"/>
  <c r="Y79" i="14"/>
  <c r="AA79" i="14"/>
  <c r="X79" i="14"/>
  <c r="Z79" i="14"/>
  <c r="Y78" i="14"/>
  <c r="AA78" i="14"/>
  <c r="X78" i="14"/>
  <c r="Z78" i="14"/>
  <c r="Y77" i="14"/>
  <c r="AA77" i="14"/>
  <c r="X77" i="14"/>
  <c r="Z77" i="14"/>
  <c r="Y76" i="14"/>
  <c r="AA76" i="14"/>
  <c r="X76" i="14"/>
  <c r="Z76" i="14"/>
  <c r="Y73" i="14"/>
  <c r="AA73" i="14"/>
  <c r="X73" i="14"/>
  <c r="Z73" i="14"/>
  <c r="Y72" i="14"/>
  <c r="AA72" i="14"/>
  <c r="X72" i="14"/>
  <c r="Z72" i="14"/>
  <c r="Y71" i="14"/>
  <c r="AA71" i="14"/>
  <c r="X71" i="14"/>
  <c r="Z71" i="14"/>
  <c r="Y70" i="14"/>
  <c r="AA70" i="14"/>
  <c r="X70" i="14"/>
  <c r="Z70" i="14"/>
  <c r="Y67" i="14"/>
  <c r="AA67" i="14"/>
  <c r="X67" i="14"/>
  <c r="Z67" i="14"/>
  <c r="Y66" i="14"/>
  <c r="AA66" i="14"/>
  <c r="X66" i="14"/>
  <c r="Z66" i="14"/>
  <c r="Y65" i="14"/>
  <c r="AA65" i="14"/>
  <c r="X65" i="14"/>
  <c r="Z65" i="14"/>
  <c r="Y64" i="14"/>
  <c r="AA64" i="14"/>
  <c r="X64" i="14"/>
  <c r="Z64" i="14"/>
  <c r="Y49" i="14"/>
  <c r="AA49" i="14"/>
  <c r="X49" i="14"/>
  <c r="Z49" i="14"/>
  <c r="Y48" i="14"/>
  <c r="AA48" i="14"/>
  <c r="X48" i="14"/>
  <c r="Z48" i="14"/>
  <c r="Y47" i="14"/>
  <c r="AA47" i="14"/>
  <c r="X47" i="14"/>
  <c r="Z47" i="14"/>
  <c r="Y46" i="14"/>
  <c r="AA46" i="14"/>
  <c r="X46" i="14"/>
  <c r="Z46" i="14"/>
  <c r="Y43" i="14"/>
  <c r="AA43" i="14"/>
  <c r="X43" i="14"/>
  <c r="Z43" i="14"/>
  <c r="Y42" i="14"/>
  <c r="AA42" i="14"/>
  <c r="X42" i="14"/>
  <c r="Z42" i="14"/>
  <c r="Y41" i="14"/>
  <c r="AA41" i="14"/>
  <c r="X41" i="14"/>
  <c r="Z41" i="14"/>
  <c r="Y40" i="14"/>
  <c r="AA40" i="14"/>
  <c r="X40" i="14"/>
  <c r="Z40" i="14"/>
  <c r="Y37" i="14"/>
  <c r="AA37" i="14"/>
  <c r="X37" i="14"/>
  <c r="Z37" i="14"/>
  <c r="Y36" i="14"/>
  <c r="AA36" i="14"/>
  <c r="X36" i="14"/>
  <c r="Z36" i="14"/>
  <c r="Y35" i="14"/>
  <c r="AA35" i="14"/>
  <c r="X35" i="14"/>
  <c r="Z35" i="14"/>
  <c r="Y34" i="14"/>
  <c r="AA34" i="14"/>
  <c r="X34" i="14"/>
  <c r="Z34" i="14"/>
  <c r="Y31" i="14"/>
  <c r="AA31" i="14"/>
  <c r="X31" i="14"/>
  <c r="Z31" i="14"/>
  <c r="Y30" i="14"/>
  <c r="AA30" i="14"/>
  <c r="X30" i="14"/>
  <c r="Z30" i="14"/>
  <c r="Y29" i="14"/>
  <c r="AA29" i="14"/>
  <c r="X29" i="14"/>
  <c r="Z29" i="14"/>
  <c r="Y28" i="14"/>
  <c r="AA28" i="14"/>
  <c r="X28" i="14"/>
  <c r="Z28" i="14"/>
  <c r="Y25" i="14"/>
  <c r="AA25" i="14"/>
  <c r="X25" i="14"/>
  <c r="Z25" i="14"/>
  <c r="Y24" i="14"/>
  <c r="AA24" i="14"/>
  <c r="X24" i="14"/>
  <c r="Z24" i="14"/>
  <c r="Y23" i="14"/>
  <c r="AA23" i="14"/>
  <c r="X23" i="14"/>
  <c r="Z23" i="14"/>
  <c r="Y22" i="14"/>
  <c r="AA22" i="14"/>
  <c r="X22" i="14"/>
  <c r="Z22" i="14"/>
  <c r="Y19" i="14"/>
  <c r="AA19" i="14"/>
  <c r="X19" i="14"/>
  <c r="Z19" i="14"/>
  <c r="Y18" i="14"/>
  <c r="AA18" i="14"/>
  <c r="X18" i="14"/>
  <c r="Z18" i="14"/>
  <c r="Y17" i="14"/>
  <c r="AA17" i="14"/>
  <c r="X17" i="14"/>
  <c r="Z17" i="14"/>
  <c r="Y16" i="14"/>
  <c r="AA16" i="14"/>
  <c r="X16" i="14"/>
  <c r="Z16" i="14"/>
  <c r="Y7" i="14"/>
  <c r="AA7" i="14"/>
  <c r="X7" i="14"/>
  <c r="Z7" i="14"/>
  <c r="Y6" i="14"/>
  <c r="AA6" i="14"/>
  <c r="X6" i="14"/>
  <c r="Z6" i="14"/>
  <c r="Y5" i="14"/>
  <c r="AA5" i="14"/>
  <c r="X5" i="14"/>
  <c r="Z5" i="14"/>
  <c r="Y4" i="14"/>
  <c r="AA4" i="14"/>
  <c r="X4" i="14"/>
  <c r="Z4" i="14"/>
  <c r="Y85" i="13"/>
  <c r="AA85" i="13"/>
  <c r="X85" i="13"/>
  <c r="Z85" i="13"/>
  <c r="Y84" i="13"/>
  <c r="AA84" i="13"/>
  <c r="X84" i="13"/>
  <c r="Z84" i="13"/>
  <c r="Y83" i="13"/>
  <c r="AA83" i="13"/>
  <c r="X83" i="13"/>
  <c r="Z83" i="13"/>
  <c r="Y82" i="13"/>
  <c r="AA82" i="13"/>
  <c r="X82" i="13"/>
  <c r="Z82" i="13"/>
  <c r="Y79" i="13"/>
  <c r="AA79" i="13"/>
  <c r="X79" i="13"/>
  <c r="Z79" i="13"/>
  <c r="Y78" i="13"/>
  <c r="AA78" i="13"/>
  <c r="X78" i="13"/>
  <c r="Z78" i="13"/>
  <c r="Y77" i="13"/>
  <c r="AA77" i="13"/>
  <c r="X77" i="13"/>
  <c r="Z77" i="13"/>
  <c r="Y76" i="13"/>
  <c r="AA76" i="13"/>
  <c r="X76" i="13"/>
  <c r="Z76" i="13"/>
  <c r="Y73" i="13"/>
  <c r="AA73" i="13"/>
  <c r="X73" i="13"/>
  <c r="Z73" i="13"/>
  <c r="Y72" i="13"/>
  <c r="AA72" i="13"/>
  <c r="X72" i="13"/>
  <c r="Z72" i="13"/>
  <c r="Y71" i="13"/>
  <c r="AA71" i="13"/>
  <c r="X71" i="13"/>
  <c r="Z71" i="13"/>
  <c r="Y70" i="13"/>
  <c r="AA70" i="13"/>
  <c r="X70" i="13"/>
  <c r="Z70" i="13"/>
  <c r="Y67" i="13"/>
  <c r="AA67" i="13"/>
  <c r="X67" i="13"/>
  <c r="Z67" i="13"/>
  <c r="Y66" i="13"/>
  <c r="AA66" i="13"/>
  <c r="X66" i="13"/>
  <c r="Z66" i="13"/>
  <c r="Y65" i="13"/>
  <c r="AA65" i="13"/>
  <c r="X65" i="13"/>
  <c r="Z65" i="13"/>
  <c r="Y64" i="13"/>
  <c r="AA64" i="13"/>
  <c r="X64" i="13"/>
  <c r="Z64" i="13"/>
  <c r="Y49" i="13"/>
  <c r="AA49" i="13"/>
  <c r="X49" i="13"/>
  <c r="Z49" i="13"/>
  <c r="Y48" i="13"/>
  <c r="AA48" i="13"/>
  <c r="X48" i="13"/>
  <c r="Z48" i="13"/>
  <c r="Y47" i="13"/>
  <c r="AA47" i="13"/>
  <c r="X47" i="13"/>
  <c r="Z47" i="13"/>
  <c r="Y46" i="13"/>
  <c r="AA46" i="13"/>
  <c r="X46" i="13"/>
  <c r="Z46" i="13"/>
  <c r="Y43" i="13"/>
  <c r="AA43" i="13"/>
  <c r="X43" i="13"/>
  <c r="Z43" i="13"/>
  <c r="Y42" i="13"/>
  <c r="AA42" i="13"/>
  <c r="X42" i="13"/>
  <c r="Z42" i="13"/>
  <c r="Y41" i="13"/>
  <c r="AA41" i="13"/>
  <c r="X41" i="13"/>
  <c r="Z41" i="13"/>
  <c r="Y40" i="13"/>
  <c r="AA40" i="13"/>
  <c r="X40" i="13"/>
  <c r="Z40" i="13"/>
  <c r="Y37" i="13"/>
  <c r="AA37" i="13"/>
  <c r="X37" i="13"/>
  <c r="Z37" i="13"/>
  <c r="Y36" i="13"/>
  <c r="AA36" i="13"/>
  <c r="X36" i="13"/>
  <c r="Z36" i="13"/>
  <c r="Y35" i="13"/>
  <c r="AA35" i="13"/>
  <c r="X35" i="13"/>
  <c r="Z35" i="13"/>
  <c r="Y34" i="13"/>
  <c r="AA34" i="13"/>
  <c r="X34" i="13"/>
  <c r="Z34" i="13"/>
  <c r="Y31" i="13"/>
  <c r="AA31" i="13"/>
  <c r="X31" i="13"/>
  <c r="Z31" i="13"/>
  <c r="Y30" i="13"/>
  <c r="AA30" i="13"/>
  <c r="X30" i="13"/>
  <c r="Z30" i="13"/>
  <c r="Y29" i="13"/>
  <c r="AA29" i="13"/>
  <c r="X29" i="13"/>
  <c r="Z29" i="13"/>
  <c r="Y28" i="13"/>
  <c r="AA28" i="13"/>
  <c r="X28" i="13"/>
  <c r="Z28" i="13"/>
  <c r="Y25" i="13"/>
  <c r="AA25" i="13"/>
  <c r="X25" i="13"/>
  <c r="Z25" i="13"/>
  <c r="Y24" i="13"/>
  <c r="AA24" i="13"/>
  <c r="X24" i="13"/>
  <c r="Z24" i="13"/>
  <c r="Y23" i="13"/>
  <c r="AA23" i="13"/>
  <c r="X23" i="13"/>
  <c r="Z23" i="13"/>
  <c r="Y22" i="13"/>
  <c r="AA22" i="13"/>
  <c r="X22" i="13"/>
  <c r="Z22" i="13"/>
  <c r="Y19" i="13"/>
  <c r="AA19" i="13"/>
  <c r="X19" i="13"/>
  <c r="Z19" i="13"/>
  <c r="Y18" i="13"/>
  <c r="AA18" i="13"/>
  <c r="X18" i="13"/>
  <c r="Z18" i="13"/>
  <c r="Y17" i="13"/>
  <c r="AA17" i="13"/>
  <c r="X17" i="13"/>
  <c r="Z17" i="13"/>
  <c r="Y16" i="13"/>
  <c r="AA16" i="13"/>
  <c r="X16" i="13"/>
  <c r="Z16" i="13"/>
  <c r="Y7" i="13"/>
  <c r="AA7" i="13"/>
  <c r="X7" i="13"/>
  <c r="Z7" i="13"/>
  <c r="Y6" i="13"/>
  <c r="AA6" i="13"/>
  <c r="X6" i="13"/>
  <c r="Z6" i="13"/>
  <c r="Y5" i="13"/>
  <c r="AA5" i="13"/>
  <c r="X5" i="13"/>
  <c r="Z5" i="13"/>
  <c r="Y4" i="13"/>
  <c r="AA4" i="13"/>
  <c r="X4" i="13"/>
  <c r="Z4" i="13"/>
  <c r="J83" i="4"/>
  <c r="J84" i="4"/>
  <c r="J85" i="4"/>
  <c r="J82" i="4"/>
  <c r="G83" i="4"/>
  <c r="G84" i="4"/>
  <c r="G85" i="4"/>
  <c r="G82" i="4"/>
  <c r="J77" i="4"/>
  <c r="J78" i="4"/>
  <c r="J79" i="4"/>
  <c r="J76" i="4"/>
  <c r="G77" i="4"/>
  <c r="G78" i="4"/>
  <c r="G79" i="4"/>
  <c r="G76" i="4"/>
  <c r="J71" i="4"/>
  <c r="J72" i="4"/>
  <c r="J73" i="4"/>
  <c r="J70" i="4"/>
  <c r="G71" i="4"/>
  <c r="G72" i="4"/>
  <c r="G73" i="4"/>
  <c r="G70" i="4"/>
  <c r="J65" i="4"/>
  <c r="J66" i="4"/>
  <c r="J67" i="4"/>
  <c r="J64" i="4"/>
  <c r="G65" i="4"/>
  <c r="G66" i="4"/>
  <c r="G67" i="4"/>
  <c r="G64" i="4"/>
  <c r="J47" i="4"/>
  <c r="J48" i="4"/>
  <c r="J49" i="4"/>
  <c r="J46" i="4"/>
  <c r="G47" i="4"/>
  <c r="G48" i="4"/>
  <c r="G49" i="4"/>
  <c r="G46" i="4"/>
  <c r="J41" i="4"/>
  <c r="J42" i="4"/>
  <c r="J43" i="4"/>
  <c r="J40" i="4"/>
  <c r="G41" i="4"/>
  <c r="G42" i="4"/>
  <c r="G43" i="4"/>
  <c r="G40" i="4"/>
  <c r="J35" i="4"/>
  <c r="J36" i="4"/>
  <c r="J37" i="4"/>
  <c r="J34" i="4"/>
  <c r="G35" i="4"/>
  <c r="G36" i="4"/>
  <c r="G37" i="4"/>
  <c r="G34" i="4"/>
  <c r="J29" i="4"/>
  <c r="J30" i="4"/>
  <c r="J31" i="4"/>
  <c r="J28" i="4"/>
  <c r="G29" i="4"/>
  <c r="G30" i="4"/>
  <c r="G31" i="4"/>
  <c r="G28" i="4"/>
  <c r="J23" i="4"/>
  <c r="J24" i="4"/>
  <c r="J25" i="4"/>
  <c r="J22" i="4"/>
  <c r="G23" i="4"/>
  <c r="G24" i="4"/>
  <c r="G25" i="4"/>
  <c r="G22" i="4"/>
  <c r="J17" i="4"/>
  <c r="J18" i="4"/>
  <c r="J19" i="4"/>
  <c r="J16" i="4"/>
  <c r="G17" i="4"/>
  <c r="G18" i="4"/>
  <c r="G19" i="4"/>
  <c r="G16" i="4"/>
  <c r="J5" i="4"/>
  <c r="J6" i="4"/>
  <c r="J7" i="4"/>
  <c r="G5" i="4"/>
  <c r="G6" i="4"/>
  <c r="G7" i="4"/>
  <c r="G4" i="4"/>
  <c r="AA5" i="4"/>
  <c r="AA6" i="4"/>
  <c r="AA7" i="4"/>
  <c r="AA16" i="4"/>
  <c r="AA17" i="4"/>
  <c r="AA18" i="4"/>
  <c r="AA19" i="4"/>
  <c r="AA22" i="4"/>
  <c r="AA23" i="4"/>
  <c r="AA24" i="4"/>
  <c r="AA25" i="4"/>
  <c r="AA28" i="4"/>
  <c r="AA29" i="4"/>
  <c r="AA30" i="4"/>
  <c r="AA31" i="4"/>
  <c r="AA34" i="4"/>
  <c r="AA35" i="4"/>
  <c r="AA36" i="4"/>
  <c r="AA37" i="4"/>
  <c r="AA40" i="4"/>
  <c r="AA41" i="4"/>
  <c r="AA42" i="4"/>
  <c r="AA43" i="4"/>
  <c r="AA46" i="4"/>
  <c r="AA47" i="4"/>
  <c r="AA48" i="4"/>
  <c r="AA49" i="4"/>
  <c r="AA64" i="4"/>
  <c r="AA65" i="4"/>
  <c r="AA66" i="4"/>
  <c r="AA67" i="4"/>
  <c r="AA70" i="4"/>
  <c r="AA71" i="4"/>
  <c r="AA72" i="4"/>
  <c r="AA73" i="4"/>
  <c r="AA76" i="4"/>
  <c r="AA77" i="4"/>
  <c r="AA78" i="4"/>
  <c r="AA79" i="4"/>
  <c r="AA82" i="4"/>
  <c r="AA83" i="4"/>
  <c r="AA84" i="4"/>
  <c r="AA85" i="4"/>
  <c r="AA4" i="4"/>
  <c r="Z5" i="4"/>
  <c r="Z6" i="4"/>
  <c r="Z7" i="4"/>
  <c r="Z16" i="4"/>
  <c r="Z17" i="4"/>
  <c r="Z18" i="4"/>
  <c r="Z19" i="4"/>
  <c r="Z22" i="4"/>
  <c r="Z23" i="4"/>
  <c r="Z24" i="4"/>
  <c r="Z25" i="4"/>
  <c r="Z28" i="4"/>
  <c r="Z29" i="4"/>
  <c r="Z30" i="4"/>
  <c r="Z31" i="4"/>
  <c r="Z34" i="4"/>
  <c r="Z35" i="4"/>
  <c r="Z36" i="4"/>
  <c r="Z37" i="4"/>
  <c r="Z40" i="4"/>
  <c r="Z41" i="4"/>
  <c r="Z42" i="4"/>
  <c r="Z43" i="4"/>
  <c r="Z46" i="4"/>
  <c r="Z47" i="4"/>
  <c r="Z48" i="4"/>
  <c r="Z49" i="4"/>
  <c r="Z64" i="4"/>
  <c r="Z65" i="4"/>
  <c r="Z66" i="4"/>
  <c r="Z67" i="4"/>
  <c r="Z70" i="4"/>
  <c r="Z71" i="4"/>
  <c r="Z72" i="4"/>
  <c r="Z73" i="4"/>
  <c r="Z76" i="4"/>
  <c r="Z77" i="4"/>
  <c r="Z78" i="4"/>
  <c r="Z79" i="4"/>
  <c r="Z82" i="4"/>
  <c r="Z83" i="4"/>
  <c r="Z84" i="4"/>
  <c r="Z85" i="4"/>
  <c r="Z4" i="4"/>
  <c r="Y83" i="4"/>
  <c r="Y84" i="4"/>
  <c r="Y85" i="4"/>
  <c r="Y82" i="4"/>
  <c r="Y77" i="4"/>
  <c r="Y78" i="4"/>
  <c r="Y79" i="4"/>
  <c r="Y76" i="4"/>
  <c r="Y71" i="4"/>
  <c r="Y72" i="4"/>
  <c r="Y73" i="4"/>
  <c r="Y70" i="4"/>
  <c r="Y65" i="4"/>
  <c r="Y66" i="4"/>
  <c r="Y67" i="4"/>
  <c r="Y64" i="4"/>
  <c r="Y47" i="4"/>
  <c r="Y48" i="4"/>
  <c r="Y49" i="4"/>
  <c r="Y46" i="4"/>
  <c r="Y41" i="4"/>
  <c r="Y42" i="4"/>
  <c r="Y43" i="4"/>
  <c r="Y40" i="4"/>
  <c r="Y35" i="4"/>
  <c r="Y36" i="4"/>
  <c r="Y37" i="4"/>
  <c r="Y34" i="4"/>
  <c r="Y29" i="4"/>
  <c r="Y30" i="4"/>
  <c r="Y31" i="4"/>
  <c r="Y28" i="4"/>
  <c r="Y23" i="4"/>
  <c r="Y24" i="4"/>
  <c r="Y25" i="4"/>
  <c r="Y22" i="4"/>
  <c r="X83" i="4"/>
  <c r="X84" i="4"/>
  <c r="X85" i="4"/>
  <c r="X82" i="4"/>
  <c r="X77" i="4"/>
  <c r="X78" i="4"/>
  <c r="X79" i="4"/>
  <c r="X76" i="4"/>
  <c r="X71" i="4"/>
  <c r="X72" i="4"/>
  <c r="X73" i="4"/>
  <c r="X70" i="4"/>
  <c r="X65" i="4"/>
  <c r="X66" i="4"/>
  <c r="X67" i="4"/>
  <c r="X64" i="4"/>
  <c r="X47" i="4"/>
  <c r="X48" i="4"/>
  <c r="X49" i="4"/>
  <c r="X46" i="4"/>
  <c r="X41" i="4"/>
  <c r="X42" i="4"/>
  <c r="X43" i="4"/>
  <c r="X40" i="4"/>
  <c r="X35" i="4"/>
  <c r="X36" i="4"/>
  <c r="X37" i="4"/>
  <c r="X34" i="4"/>
  <c r="X29" i="4"/>
  <c r="X30" i="4"/>
  <c r="X31" i="4"/>
  <c r="X28" i="4"/>
  <c r="X23" i="4"/>
  <c r="X24" i="4"/>
  <c r="X25" i="4"/>
  <c r="X22" i="4"/>
  <c r="Y17" i="4"/>
  <c r="Y18" i="4"/>
  <c r="Y19" i="4"/>
  <c r="Y16" i="4"/>
  <c r="X17" i="4"/>
  <c r="X18" i="4"/>
  <c r="X19" i="4"/>
  <c r="X16" i="4"/>
  <c r="Y5" i="4"/>
  <c r="Y6" i="4"/>
  <c r="Y7" i="4"/>
  <c r="Y4" i="4"/>
  <c r="X5" i="4"/>
  <c r="X6" i="4"/>
  <c r="X7" i="4"/>
  <c r="X4" i="4"/>
  <c r="F44" i="4"/>
  <c r="I38" i="4"/>
  <c r="F38" i="4"/>
  <c r="I32" i="4"/>
  <c r="F32" i="4"/>
  <c r="I26" i="4"/>
  <c r="F26" i="4"/>
  <c r="I20" i="4"/>
  <c r="F20" i="4"/>
  <c r="I8" i="4"/>
  <c r="F8" i="4"/>
  <c r="F85" i="16"/>
  <c r="F82" i="16"/>
  <c r="F83" i="16"/>
  <c r="F84" i="16"/>
  <c r="F86" i="16"/>
  <c r="H85" i="14"/>
  <c r="H82" i="14"/>
  <c r="H83" i="14"/>
  <c r="H84" i="14"/>
  <c r="H86" i="14"/>
  <c r="AI85" i="16"/>
  <c r="I85" i="16"/>
  <c r="I82" i="16"/>
  <c r="I83" i="16"/>
  <c r="I84" i="16"/>
  <c r="I86" i="16"/>
  <c r="L85" i="16"/>
  <c r="L82" i="16"/>
  <c r="L83" i="16"/>
  <c r="L84" i="16"/>
  <c r="L86" i="16"/>
  <c r="U85" i="16"/>
  <c r="U82" i="16"/>
  <c r="U83" i="16"/>
  <c r="U84" i="16"/>
  <c r="U86" i="16"/>
  <c r="X85" i="16"/>
  <c r="X82" i="16"/>
  <c r="X83" i="16"/>
  <c r="X84" i="16"/>
  <c r="X86" i="16"/>
  <c r="AA85" i="16"/>
  <c r="AA82" i="16"/>
  <c r="AA83" i="16"/>
  <c r="AA84" i="16"/>
  <c r="AA86" i="16"/>
  <c r="AD85" i="16"/>
  <c r="AD82" i="16"/>
  <c r="AD83" i="16"/>
  <c r="AD84" i="16"/>
  <c r="AD86" i="16"/>
  <c r="AF85" i="16"/>
  <c r="E85" i="14"/>
  <c r="E4" i="14"/>
  <c r="E5" i="14"/>
  <c r="E6" i="14"/>
  <c r="E7" i="14"/>
  <c r="E8" i="14"/>
  <c r="AH85" i="16"/>
  <c r="T85" i="16"/>
  <c r="T83" i="16"/>
  <c r="T84" i="16"/>
  <c r="T82" i="16"/>
  <c r="T86" i="16"/>
  <c r="E85" i="16"/>
  <c r="E82" i="16"/>
  <c r="E83" i="16"/>
  <c r="E84" i="16"/>
  <c r="E86" i="16"/>
  <c r="H85" i="16"/>
  <c r="H82" i="16"/>
  <c r="H83" i="16"/>
  <c r="H84" i="16"/>
  <c r="H86" i="16"/>
  <c r="K85" i="16"/>
  <c r="K82" i="16"/>
  <c r="K83" i="16"/>
  <c r="K84" i="16"/>
  <c r="K86" i="16"/>
  <c r="W85" i="16"/>
  <c r="W82" i="16"/>
  <c r="W83" i="16"/>
  <c r="W84" i="16"/>
  <c r="W86" i="16"/>
  <c r="Z85" i="16"/>
  <c r="Z82" i="16"/>
  <c r="Z83" i="16"/>
  <c r="Z84" i="16"/>
  <c r="Z86" i="16"/>
  <c r="AC85" i="16"/>
  <c r="AC82" i="16"/>
  <c r="AC83" i="16"/>
  <c r="AC84" i="16"/>
  <c r="AC86" i="16"/>
  <c r="AE85" i="16"/>
  <c r="AI84" i="16"/>
  <c r="AF84" i="16"/>
  <c r="E84" i="14"/>
  <c r="AH84" i="16"/>
  <c r="AE84" i="16"/>
  <c r="AI83" i="16"/>
  <c r="AF83" i="16"/>
  <c r="E83" i="14"/>
  <c r="AH83" i="16"/>
  <c r="AE83" i="16"/>
  <c r="AI82" i="16"/>
  <c r="AF82" i="16"/>
  <c r="E82" i="14"/>
  <c r="AH82" i="16"/>
  <c r="AE82" i="16"/>
  <c r="F79" i="16"/>
  <c r="F76" i="16"/>
  <c r="F77" i="16"/>
  <c r="F78" i="16"/>
  <c r="F80" i="16"/>
  <c r="H79" i="14"/>
  <c r="H76" i="14"/>
  <c r="H77" i="14"/>
  <c r="H78" i="14"/>
  <c r="H80" i="14"/>
  <c r="AI79" i="16"/>
  <c r="I79" i="16"/>
  <c r="I76" i="16"/>
  <c r="I77" i="16"/>
  <c r="I78" i="16"/>
  <c r="I80" i="16"/>
  <c r="L79" i="16"/>
  <c r="L76" i="16"/>
  <c r="L77" i="16"/>
  <c r="L78" i="16"/>
  <c r="L80" i="16"/>
  <c r="U79" i="16"/>
  <c r="U76" i="16"/>
  <c r="U77" i="16"/>
  <c r="U78" i="16"/>
  <c r="U80" i="16"/>
  <c r="X79" i="16"/>
  <c r="X76" i="16"/>
  <c r="X77" i="16"/>
  <c r="X78" i="16"/>
  <c r="X80" i="16"/>
  <c r="AA79" i="16"/>
  <c r="AA76" i="16"/>
  <c r="AA77" i="16"/>
  <c r="AA78" i="16"/>
  <c r="AA80" i="16"/>
  <c r="AD79" i="16"/>
  <c r="AD76" i="16"/>
  <c r="AD77" i="16"/>
  <c r="AD78" i="16"/>
  <c r="AD80" i="16"/>
  <c r="AF79" i="16"/>
  <c r="E79" i="14"/>
  <c r="AH79" i="16"/>
  <c r="T79" i="16"/>
  <c r="T77" i="16"/>
  <c r="T78" i="16"/>
  <c r="T76" i="16"/>
  <c r="T80" i="16"/>
  <c r="E79" i="16"/>
  <c r="E76" i="16"/>
  <c r="E77" i="16"/>
  <c r="E78" i="16"/>
  <c r="E80" i="16"/>
  <c r="H79" i="16"/>
  <c r="H76" i="16"/>
  <c r="H77" i="16"/>
  <c r="H78" i="16"/>
  <c r="H80" i="16"/>
  <c r="K79" i="16"/>
  <c r="K76" i="16"/>
  <c r="K77" i="16"/>
  <c r="K78" i="16"/>
  <c r="K80" i="16"/>
  <c r="W79" i="16"/>
  <c r="W76" i="16"/>
  <c r="W77" i="16"/>
  <c r="W78" i="16"/>
  <c r="W80" i="16"/>
  <c r="Z79" i="16"/>
  <c r="Z76" i="16"/>
  <c r="Z77" i="16"/>
  <c r="Z78" i="16"/>
  <c r="Z80" i="16"/>
  <c r="AC79" i="16"/>
  <c r="AC76" i="16"/>
  <c r="AC77" i="16"/>
  <c r="AC78" i="16"/>
  <c r="AC80" i="16"/>
  <c r="AE79" i="16"/>
  <c r="AI78" i="16"/>
  <c r="AF78" i="16"/>
  <c r="E78" i="14"/>
  <c r="AH78" i="16"/>
  <c r="AE78" i="16"/>
  <c r="AI77" i="16"/>
  <c r="AF77" i="16"/>
  <c r="E77" i="14"/>
  <c r="AH77" i="16"/>
  <c r="AE77" i="16"/>
  <c r="AI76" i="16"/>
  <c r="AF76" i="16"/>
  <c r="E76" i="14"/>
  <c r="AH76" i="16"/>
  <c r="AE76" i="16"/>
  <c r="F73" i="16"/>
  <c r="F70" i="16"/>
  <c r="F71" i="16"/>
  <c r="F72" i="16"/>
  <c r="F74" i="16"/>
  <c r="H73" i="14"/>
  <c r="H64" i="14"/>
  <c r="H65" i="14"/>
  <c r="H66" i="14"/>
  <c r="H67" i="14"/>
  <c r="H68" i="14"/>
  <c r="AI73" i="16"/>
  <c r="I73" i="16"/>
  <c r="I70" i="16"/>
  <c r="I71" i="16"/>
  <c r="I72" i="16"/>
  <c r="I74" i="16"/>
  <c r="L73" i="16"/>
  <c r="L70" i="16"/>
  <c r="L71" i="16"/>
  <c r="L72" i="16"/>
  <c r="L74" i="16"/>
  <c r="U73" i="16"/>
  <c r="U70" i="16"/>
  <c r="U71" i="16"/>
  <c r="U72" i="16"/>
  <c r="U74" i="16"/>
  <c r="X73" i="16"/>
  <c r="X70" i="16"/>
  <c r="X71" i="16"/>
  <c r="X72" i="16"/>
  <c r="X74" i="16"/>
  <c r="AA73" i="16"/>
  <c r="AA70" i="16"/>
  <c r="AA71" i="16"/>
  <c r="AA72" i="16"/>
  <c r="AA74" i="16"/>
  <c r="AD73" i="16"/>
  <c r="AD70" i="16"/>
  <c r="AD71" i="16"/>
  <c r="AD72" i="16"/>
  <c r="AD74" i="16"/>
  <c r="AF73" i="16"/>
  <c r="E73" i="14"/>
  <c r="AH73" i="16"/>
  <c r="T73" i="16"/>
  <c r="T71" i="16"/>
  <c r="T72" i="16"/>
  <c r="T70" i="16"/>
  <c r="T74" i="16"/>
  <c r="E73" i="16"/>
  <c r="E70" i="16"/>
  <c r="E71" i="16"/>
  <c r="E72" i="16"/>
  <c r="E74" i="16"/>
  <c r="H73" i="16"/>
  <c r="H70" i="16"/>
  <c r="H71" i="16"/>
  <c r="H72" i="16"/>
  <c r="H74" i="16"/>
  <c r="K73" i="16"/>
  <c r="K70" i="16"/>
  <c r="K71" i="16"/>
  <c r="K72" i="16"/>
  <c r="K74" i="16"/>
  <c r="W73" i="16"/>
  <c r="W70" i="16"/>
  <c r="W71" i="16"/>
  <c r="W72" i="16"/>
  <c r="W74" i="16"/>
  <c r="Z73" i="16"/>
  <c r="Z70" i="16"/>
  <c r="Z71" i="16"/>
  <c r="Z72" i="16"/>
  <c r="Z74" i="16"/>
  <c r="AC73" i="16"/>
  <c r="AC70" i="16"/>
  <c r="AC71" i="16"/>
  <c r="AC72" i="16"/>
  <c r="AC74" i="16"/>
  <c r="AE73" i="16"/>
  <c r="H72" i="14"/>
  <c r="AI72" i="16"/>
  <c r="AF72" i="16"/>
  <c r="E72" i="14"/>
  <c r="AH72" i="16"/>
  <c r="AE72" i="16"/>
  <c r="H71" i="14"/>
  <c r="AI71" i="16"/>
  <c r="AF71" i="16"/>
  <c r="E71" i="14"/>
  <c r="AH71" i="16"/>
  <c r="AE71" i="16"/>
  <c r="H70" i="14"/>
  <c r="AI70" i="16"/>
  <c r="AF70" i="16"/>
  <c r="E70" i="14"/>
  <c r="AH70" i="16"/>
  <c r="AE70" i="16"/>
  <c r="F67" i="16"/>
  <c r="F64" i="16"/>
  <c r="F65" i="16"/>
  <c r="F66" i="16"/>
  <c r="F68" i="16"/>
  <c r="AI67" i="16"/>
  <c r="I67" i="16"/>
  <c r="I64" i="16"/>
  <c r="I65" i="16"/>
  <c r="I66" i="16"/>
  <c r="I68" i="16"/>
  <c r="L67" i="16"/>
  <c r="L64" i="16"/>
  <c r="L65" i="16"/>
  <c r="L66" i="16"/>
  <c r="L68" i="16"/>
  <c r="U67" i="16"/>
  <c r="U64" i="16"/>
  <c r="U65" i="16"/>
  <c r="U66" i="16"/>
  <c r="U68" i="16"/>
  <c r="X67" i="16"/>
  <c r="X64" i="16"/>
  <c r="X65" i="16"/>
  <c r="X66" i="16"/>
  <c r="X68" i="16"/>
  <c r="AA67" i="16"/>
  <c r="AA64" i="16"/>
  <c r="AA65" i="16"/>
  <c r="AA66" i="16"/>
  <c r="AA68" i="16"/>
  <c r="AD67" i="16"/>
  <c r="AD64" i="16"/>
  <c r="AD65" i="16"/>
  <c r="AD66" i="16"/>
  <c r="AD68" i="16"/>
  <c r="AF67" i="16"/>
  <c r="E67" i="14"/>
  <c r="AH67" i="16"/>
  <c r="T67" i="16"/>
  <c r="E67" i="16"/>
  <c r="E4" i="16"/>
  <c r="E5" i="16"/>
  <c r="E6" i="16"/>
  <c r="E7" i="16"/>
  <c r="E8" i="16"/>
  <c r="H67" i="16"/>
  <c r="H4" i="16"/>
  <c r="H5" i="16"/>
  <c r="H6" i="16"/>
  <c r="H7" i="16"/>
  <c r="H8" i="16"/>
  <c r="K67" i="16"/>
  <c r="K4" i="16"/>
  <c r="K5" i="16"/>
  <c r="K6" i="16"/>
  <c r="K7" i="16"/>
  <c r="K8" i="16"/>
  <c r="T4" i="16"/>
  <c r="T5" i="16"/>
  <c r="T6" i="16"/>
  <c r="T7" i="16"/>
  <c r="T8" i="16"/>
  <c r="W67" i="16"/>
  <c r="W4" i="16"/>
  <c r="W5" i="16"/>
  <c r="W6" i="16"/>
  <c r="W7" i="16"/>
  <c r="W8" i="16"/>
  <c r="Z67" i="16"/>
  <c r="Z4" i="16"/>
  <c r="Z5" i="16"/>
  <c r="Z6" i="16"/>
  <c r="Z7" i="16"/>
  <c r="Z8" i="16"/>
  <c r="AC67" i="16"/>
  <c r="AC4" i="16"/>
  <c r="AC5" i="16"/>
  <c r="AC6" i="16"/>
  <c r="AC7" i="16"/>
  <c r="AC8" i="16"/>
  <c r="AE67" i="16"/>
  <c r="AI66" i="16"/>
  <c r="AF66" i="16"/>
  <c r="E66" i="14"/>
  <c r="AH66" i="16"/>
  <c r="T66" i="16"/>
  <c r="E66" i="16"/>
  <c r="H66" i="16"/>
  <c r="K66" i="16"/>
  <c r="W66" i="16"/>
  <c r="Z66" i="16"/>
  <c r="AC66" i="16"/>
  <c r="AE66" i="16"/>
  <c r="AI65" i="16"/>
  <c r="AF65" i="16"/>
  <c r="E65" i="14"/>
  <c r="AH65" i="16"/>
  <c r="T65" i="16"/>
  <c r="E65" i="16"/>
  <c r="H65" i="16"/>
  <c r="K65" i="16"/>
  <c r="W65" i="16"/>
  <c r="Z65" i="16"/>
  <c r="AC65" i="16"/>
  <c r="AE65" i="16"/>
  <c r="AI64" i="16"/>
  <c r="AF64" i="16"/>
  <c r="E64" i="14"/>
  <c r="AH64" i="16"/>
  <c r="T64" i="16"/>
  <c r="E64" i="16"/>
  <c r="H64" i="16"/>
  <c r="K64" i="16"/>
  <c r="W64" i="16"/>
  <c r="Z64" i="16"/>
  <c r="AC64" i="16"/>
  <c r="AE64" i="16"/>
  <c r="H49" i="14"/>
  <c r="H47" i="14"/>
  <c r="H48" i="14"/>
  <c r="H46" i="14"/>
  <c r="H50" i="14"/>
  <c r="AI49" i="16"/>
  <c r="U49" i="16"/>
  <c r="U47" i="16"/>
  <c r="U48" i="16"/>
  <c r="U46" i="16"/>
  <c r="U50" i="16"/>
  <c r="F49" i="16"/>
  <c r="F46" i="16"/>
  <c r="F47" i="16"/>
  <c r="F48" i="16"/>
  <c r="F50" i="16"/>
  <c r="I49" i="16"/>
  <c r="I46" i="16"/>
  <c r="I47" i="16"/>
  <c r="I48" i="16"/>
  <c r="I50" i="16"/>
  <c r="L49" i="16"/>
  <c r="L46" i="16"/>
  <c r="L47" i="16"/>
  <c r="L48" i="16"/>
  <c r="L50" i="16"/>
  <c r="X49" i="16"/>
  <c r="X46" i="16"/>
  <c r="X47" i="16"/>
  <c r="X48" i="16"/>
  <c r="X50" i="16"/>
  <c r="AA49" i="16"/>
  <c r="AA46" i="16"/>
  <c r="AA47" i="16"/>
  <c r="AA48" i="16"/>
  <c r="AA50" i="16"/>
  <c r="AD49" i="16"/>
  <c r="AD46" i="16"/>
  <c r="AD47" i="16"/>
  <c r="AD48" i="16"/>
  <c r="AD50" i="16"/>
  <c r="AF49" i="16"/>
  <c r="E49" i="14"/>
  <c r="AH49" i="16"/>
  <c r="T49" i="16"/>
  <c r="T47" i="16"/>
  <c r="T48" i="16"/>
  <c r="T46" i="16"/>
  <c r="T50" i="16"/>
  <c r="E49" i="16"/>
  <c r="E46" i="16"/>
  <c r="E47" i="16"/>
  <c r="E48" i="16"/>
  <c r="E50" i="16"/>
  <c r="H49" i="16"/>
  <c r="H46" i="16"/>
  <c r="H47" i="16"/>
  <c r="H48" i="16"/>
  <c r="H50" i="16"/>
  <c r="K49" i="16"/>
  <c r="K46" i="16"/>
  <c r="K47" i="16"/>
  <c r="K48" i="16"/>
  <c r="K50" i="16"/>
  <c r="W49" i="16"/>
  <c r="W46" i="16"/>
  <c r="W47" i="16"/>
  <c r="W48" i="16"/>
  <c r="W50" i="16"/>
  <c r="Z49" i="16"/>
  <c r="Z46" i="16"/>
  <c r="Z47" i="16"/>
  <c r="Z48" i="16"/>
  <c r="Z50" i="16"/>
  <c r="AC49" i="16"/>
  <c r="AC46" i="16"/>
  <c r="AC47" i="16"/>
  <c r="AC48" i="16"/>
  <c r="AC50" i="16"/>
  <c r="AE49" i="16"/>
  <c r="AI48" i="16"/>
  <c r="AF48" i="16"/>
  <c r="E48" i="14"/>
  <c r="AH48" i="16"/>
  <c r="AE48" i="16"/>
  <c r="AI47" i="16"/>
  <c r="AF47" i="16"/>
  <c r="E47" i="14"/>
  <c r="AH47" i="16"/>
  <c r="AE47" i="16"/>
  <c r="AI46" i="16"/>
  <c r="AF46" i="16"/>
  <c r="E46" i="14"/>
  <c r="AH46" i="16"/>
  <c r="AE46" i="16"/>
  <c r="H43" i="14"/>
  <c r="H41" i="14"/>
  <c r="H42" i="14"/>
  <c r="H40" i="14"/>
  <c r="H44" i="14"/>
  <c r="AI43" i="16"/>
  <c r="U43" i="16"/>
  <c r="U41" i="16"/>
  <c r="U42" i="16"/>
  <c r="U40" i="16"/>
  <c r="U44" i="16"/>
  <c r="F43" i="16"/>
  <c r="F40" i="16"/>
  <c r="F41" i="16"/>
  <c r="F42" i="16"/>
  <c r="F44" i="16"/>
  <c r="I43" i="16"/>
  <c r="I40" i="16"/>
  <c r="I41" i="16"/>
  <c r="I42" i="16"/>
  <c r="I44" i="16"/>
  <c r="L43" i="16"/>
  <c r="L40" i="16"/>
  <c r="L41" i="16"/>
  <c r="L42" i="16"/>
  <c r="L44" i="16"/>
  <c r="X43" i="16"/>
  <c r="X40" i="16"/>
  <c r="X41" i="16"/>
  <c r="X42" i="16"/>
  <c r="X44" i="16"/>
  <c r="AA43" i="16"/>
  <c r="AA40" i="16"/>
  <c r="AA41" i="16"/>
  <c r="AA42" i="16"/>
  <c r="AA44" i="16"/>
  <c r="AD43" i="16"/>
  <c r="AD40" i="16"/>
  <c r="AD41" i="16"/>
  <c r="AD42" i="16"/>
  <c r="AD44" i="16"/>
  <c r="AF43" i="16"/>
  <c r="E43" i="14"/>
  <c r="AH43" i="16"/>
  <c r="T43" i="16"/>
  <c r="T41" i="16"/>
  <c r="T42" i="16"/>
  <c r="T40" i="16"/>
  <c r="T44" i="16"/>
  <c r="E43" i="16"/>
  <c r="E40" i="16"/>
  <c r="E41" i="16"/>
  <c r="E42" i="16"/>
  <c r="E44" i="16"/>
  <c r="H43" i="16"/>
  <c r="H40" i="16"/>
  <c r="H41" i="16"/>
  <c r="H42" i="16"/>
  <c r="H44" i="16"/>
  <c r="K43" i="16"/>
  <c r="K40" i="16"/>
  <c r="K41" i="16"/>
  <c r="K42" i="16"/>
  <c r="K44" i="16"/>
  <c r="W43" i="16"/>
  <c r="W40" i="16"/>
  <c r="W41" i="16"/>
  <c r="W42" i="16"/>
  <c r="W44" i="16"/>
  <c r="Z43" i="16"/>
  <c r="Z40" i="16"/>
  <c r="Z41" i="16"/>
  <c r="Z42" i="16"/>
  <c r="Z44" i="16"/>
  <c r="AC43" i="16"/>
  <c r="AC40" i="16"/>
  <c r="AC41" i="16"/>
  <c r="AC42" i="16"/>
  <c r="AC44" i="16"/>
  <c r="AE43" i="16"/>
  <c r="AI42" i="16"/>
  <c r="AF42" i="16"/>
  <c r="E42" i="14"/>
  <c r="AH42" i="16"/>
  <c r="AE42" i="16"/>
  <c r="AI41" i="16"/>
  <c r="AF41" i="16"/>
  <c r="E41" i="14"/>
  <c r="AH41" i="16"/>
  <c r="AE41" i="16"/>
  <c r="AI40" i="16"/>
  <c r="AF40" i="16"/>
  <c r="E40" i="14"/>
  <c r="AH40" i="16"/>
  <c r="AE40" i="16"/>
  <c r="H37" i="14"/>
  <c r="H35" i="14"/>
  <c r="H36" i="14"/>
  <c r="H34" i="14"/>
  <c r="H38" i="14"/>
  <c r="AI37" i="16"/>
  <c r="U37" i="16"/>
  <c r="U35" i="16"/>
  <c r="U36" i="16"/>
  <c r="U34" i="16"/>
  <c r="U38" i="16"/>
  <c r="F37" i="16"/>
  <c r="F34" i="16"/>
  <c r="F35" i="16"/>
  <c r="F36" i="16"/>
  <c r="F38" i="16"/>
  <c r="I37" i="16"/>
  <c r="I34" i="16"/>
  <c r="I35" i="16"/>
  <c r="I36" i="16"/>
  <c r="I38" i="16"/>
  <c r="L37" i="16"/>
  <c r="L34" i="16"/>
  <c r="L35" i="16"/>
  <c r="L36" i="16"/>
  <c r="L38" i="16"/>
  <c r="X37" i="16"/>
  <c r="X34" i="16"/>
  <c r="X35" i="16"/>
  <c r="X36" i="16"/>
  <c r="X38" i="16"/>
  <c r="AA37" i="16"/>
  <c r="AA34" i="16"/>
  <c r="AA35" i="16"/>
  <c r="AA36" i="16"/>
  <c r="AA38" i="16"/>
  <c r="AD37" i="16"/>
  <c r="AD34" i="16"/>
  <c r="AD35" i="16"/>
  <c r="AD36" i="16"/>
  <c r="AD38" i="16"/>
  <c r="AF37" i="16"/>
  <c r="E37" i="14"/>
  <c r="AH37" i="16"/>
  <c r="T37" i="16"/>
  <c r="T35" i="16"/>
  <c r="T36" i="16"/>
  <c r="T34" i="16"/>
  <c r="T38" i="16"/>
  <c r="E37" i="16"/>
  <c r="E34" i="16"/>
  <c r="E35" i="16"/>
  <c r="E36" i="16"/>
  <c r="E38" i="16"/>
  <c r="H37" i="16"/>
  <c r="H34" i="16"/>
  <c r="H35" i="16"/>
  <c r="H36" i="16"/>
  <c r="H38" i="16"/>
  <c r="K37" i="16"/>
  <c r="K34" i="16"/>
  <c r="K35" i="16"/>
  <c r="K36" i="16"/>
  <c r="K38" i="16"/>
  <c r="W37" i="16"/>
  <c r="W34" i="16"/>
  <c r="W35" i="16"/>
  <c r="W36" i="16"/>
  <c r="W38" i="16"/>
  <c r="Z37" i="16"/>
  <c r="Z34" i="16"/>
  <c r="Z35" i="16"/>
  <c r="Z36" i="16"/>
  <c r="Z38" i="16"/>
  <c r="AC37" i="16"/>
  <c r="AC34" i="16"/>
  <c r="AC35" i="16"/>
  <c r="AC36" i="16"/>
  <c r="AC38" i="16"/>
  <c r="AE37" i="16"/>
  <c r="AI36" i="16"/>
  <c r="AF36" i="16"/>
  <c r="E36" i="14"/>
  <c r="AH36" i="16"/>
  <c r="AE36" i="16"/>
  <c r="AI35" i="16"/>
  <c r="AF35" i="16"/>
  <c r="E35" i="14"/>
  <c r="AH35" i="16"/>
  <c r="AE35" i="16"/>
  <c r="AI34" i="16"/>
  <c r="AF34" i="16"/>
  <c r="E34" i="14"/>
  <c r="AH34" i="16"/>
  <c r="AE34" i="16"/>
  <c r="F31" i="16"/>
  <c r="F28" i="16"/>
  <c r="F29" i="16"/>
  <c r="F30" i="16"/>
  <c r="F32" i="16"/>
  <c r="H31" i="14"/>
  <c r="H28" i="14"/>
  <c r="H29" i="14"/>
  <c r="H30" i="14"/>
  <c r="H32" i="14"/>
  <c r="AI31" i="16"/>
  <c r="I31" i="16"/>
  <c r="I28" i="16"/>
  <c r="I29" i="16"/>
  <c r="I30" i="16"/>
  <c r="I32" i="16"/>
  <c r="L31" i="16"/>
  <c r="L28" i="16"/>
  <c r="L29" i="16"/>
  <c r="L30" i="16"/>
  <c r="L32" i="16"/>
  <c r="U31" i="16"/>
  <c r="U28" i="16"/>
  <c r="U29" i="16"/>
  <c r="U30" i="16"/>
  <c r="U32" i="16"/>
  <c r="X31" i="16"/>
  <c r="X28" i="16"/>
  <c r="X29" i="16"/>
  <c r="X30" i="16"/>
  <c r="X32" i="16"/>
  <c r="AA31" i="16"/>
  <c r="AA28" i="16"/>
  <c r="AA29" i="16"/>
  <c r="AA30" i="16"/>
  <c r="AA32" i="16"/>
  <c r="AD31" i="16"/>
  <c r="AD28" i="16"/>
  <c r="AD29" i="16"/>
  <c r="AD30" i="16"/>
  <c r="AD32" i="16"/>
  <c r="AF31" i="16"/>
  <c r="E31" i="16"/>
  <c r="E28" i="16"/>
  <c r="E29" i="16"/>
  <c r="E30" i="16"/>
  <c r="E32" i="16"/>
  <c r="E31" i="14"/>
  <c r="AH31" i="16"/>
  <c r="H31" i="16"/>
  <c r="H28" i="16"/>
  <c r="H29" i="16"/>
  <c r="H30" i="16"/>
  <c r="H32" i="16"/>
  <c r="K31" i="16"/>
  <c r="K28" i="16"/>
  <c r="K29" i="16"/>
  <c r="K30" i="16"/>
  <c r="K32" i="16"/>
  <c r="T31" i="16"/>
  <c r="T28" i="16"/>
  <c r="T29" i="16"/>
  <c r="T30" i="16"/>
  <c r="T32" i="16"/>
  <c r="W31" i="16"/>
  <c r="W28" i="16"/>
  <c r="W29" i="16"/>
  <c r="W30" i="16"/>
  <c r="W32" i="16"/>
  <c r="Z31" i="16"/>
  <c r="Z28" i="16"/>
  <c r="Z29" i="16"/>
  <c r="Z30" i="16"/>
  <c r="Z32" i="16"/>
  <c r="AC31" i="16"/>
  <c r="AC28" i="16"/>
  <c r="AC29" i="16"/>
  <c r="AC30" i="16"/>
  <c r="AC32" i="16"/>
  <c r="AE31" i="16"/>
  <c r="AI30" i="16"/>
  <c r="AF30" i="16"/>
  <c r="E30" i="14"/>
  <c r="AH30" i="16"/>
  <c r="AE30" i="16"/>
  <c r="AI29" i="16"/>
  <c r="AF29" i="16"/>
  <c r="E29" i="14"/>
  <c r="AH29" i="16"/>
  <c r="AE29" i="16"/>
  <c r="AI28" i="16"/>
  <c r="AF28" i="16"/>
  <c r="E28" i="14"/>
  <c r="AH28" i="16"/>
  <c r="AE28" i="16"/>
  <c r="F25" i="16"/>
  <c r="F22" i="16"/>
  <c r="F23" i="16"/>
  <c r="F24" i="16"/>
  <c r="F26" i="16"/>
  <c r="H25" i="14"/>
  <c r="H22" i="14"/>
  <c r="H23" i="14"/>
  <c r="H24" i="14"/>
  <c r="H26" i="14"/>
  <c r="AI25" i="16"/>
  <c r="I25" i="16"/>
  <c r="I22" i="16"/>
  <c r="I23" i="16"/>
  <c r="I24" i="16"/>
  <c r="I26" i="16"/>
  <c r="L25" i="16"/>
  <c r="L22" i="16"/>
  <c r="L23" i="16"/>
  <c r="L24" i="16"/>
  <c r="L26" i="16"/>
  <c r="U25" i="16"/>
  <c r="U22" i="16"/>
  <c r="U23" i="16"/>
  <c r="U24" i="16"/>
  <c r="U26" i="16"/>
  <c r="X25" i="16"/>
  <c r="X22" i="16"/>
  <c r="X23" i="16"/>
  <c r="X24" i="16"/>
  <c r="X26" i="16"/>
  <c r="AA25" i="16"/>
  <c r="AA22" i="16"/>
  <c r="AA23" i="16"/>
  <c r="AA24" i="16"/>
  <c r="AA26" i="16"/>
  <c r="AD25" i="16"/>
  <c r="AD22" i="16"/>
  <c r="AD23" i="16"/>
  <c r="AD24" i="16"/>
  <c r="AD26" i="16"/>
  <c r="AF25" i="16"/>
  <c r="E25" i="16"/>
  <c r="E22" i="16"/>
  <c r="E23" i="16"/>
  <c r="E24" i="16"/>
  <c r="E26" i="16"/>
  <c r="E25" i="14"/>
  <c r="AH25" i="16"/>
  <c r="H25" i="16"/>
  <c r="H22" i="16"/>
  <c r="H23" i="16"/>
  <c r="H24" i="16"/>
  <c r="H26" i="16"/>
  <c r="K25" i="16"/>
  <c r="K22" i="16"/>
  <c r="K23" i="16"/>
  <c r="K24" i="16"/>
  <c r="K26" i="16"/>
  <c r="T25" i="16"/>
  <c r="T22" i="16"/>
  <c r="T23" i="16"/>
  <c r="T24" i="16"/>
  <c r="T26" i="16"/>
  <c r="W25" i="16"/>
  <c r="W22" i="16"/>
  <c r="W23" i="16"/>
  <c r="W24" i="16"/>
  <c r="W26" i="16"/>
  <c r="Z25" i="16"/>
  <c r="Z22" i="16"/>
  <c r="Z23" i="16"/>
  <c r="Z24" i="16"/>
  <c r="Z26" i="16"/>
  <c r="AC25" i="16"/>
  <c r="AC22" i="16"/>
  <c r="AC23" i="16"/>
  <c r="AC24" i="16"/>
  <c r="AC26" i="16"/>
  <c r="AE25" i="16"/>
  <c r="AI24" i="16"/>
  <c r="AF24" i="16"/>
  <c r="E24" i="14"/>
  <c r="AH24" i="16"/>
  <c r="AE24" i="16"/>
  <c r="AI23" i="16"/>
  <c r="AF23" i="16"/>
  <c r="E23" i="14"/>
  <c r="AH23" i="16"/>
  <c r="AE23" i="16"/>
  <c r="AI22" i="16"/>
  <c r="AF22" i="16"/>
  <c r="E22" i="14"/>
  <c r="AH22" i="16"/>
  <c r="AE22" i="16"/>
  <c r="F19" i="16"/>
  <c r="F16" i="16"/>
  <c r="F17" i="16"/>
  <c r="F18" i="16"/>
  <c r="F20" i="16"/>
  <c r="H19" i="14"/>
  <c r="H16" i="14"/>
  <c r="H17" i="14"/>
  <c r="H18" i="14"/>
  <c r="H20" i="14"/>
  <c r="AI19" i="16"/>
  <c r="I19" i="16"/>
  <c r="I16" i="16"/>
  <c r="I17" i="16"/>
  <c r="I18" i="16"/>
  <c r="I20" i="16"/>
  <c r="L19" i="16"/>
  <c r="L16" i="16"/>
  <c r="L17" i="16"/>
  <c r="L18" i="16"/>
  <c r="L20" i="16"/>
  <c r="U19" i="16"/>
  <c r="U16" i="16"/>
  <c r="U17" i="16"/>
  <c r="U18" i="16"/>
  <c r="U20" i="16"/>
  <c r="X19" i="16"/>
  <c r="X16" i="16"/>
  <c r="X17" i="16"/>
  <c r="X18" i="16"/>
  <c r="X20" i="16"/>
  <c r="AA19" i="16"/>
  <c r="AA16" i="16"/>
  <c r="AA17" i="16"/>
  <c r="AA18" i="16"/>
  <c r="AA20" i="16"/>
  <c r="AD19" i="16"/>
  <c r="AD16" i="16"/>
  <c r="AD17" i="16"/>
  <c r="AD18" i="16"/>
  <c r="AD20" i="16"/>
  <c r="AF19" i="16"/>
  <c r="E19" i="16"/>
  <c r="E16" i="16"/>
  <c r="E17" i="16"/>
  <c r="E18" i="16"/>
  <c r="E20" i="16"/>
  <c r="E19" i="14"/>
  <c r="AH19" i="16"/>
  <c r="H19" i="16"/>
  <c r="H16" i="16"/>
  <c r="H17" i="16"/>
  <c r="H18" i="16"/>
  <c r="H20" i="16"/>
  <c r="K19" i="16"/>
  <c r="K16" i="16"/>
  <c r="K17" i="16"/>
  <c r="K18" i="16"/>
  <c r="K20" i="16"/>
  <c r="T19" i="16"/>
  <c r="T16" i="16"/>
  <c r="T17" i="16"/>
  <c r="T18" i="16"/>
  <c r="T20" i="16"/>
  <c r="W19" i="16"/>
  <c r="W16" i="16"/>
  <c r="W17" i="16"/>
  <c r="W18" i="16"/>
  <c r="W20" i="16"/>
  <c r="Z19" i="16"/>
  <c r="Z16" i="16"/>
  <c r="Z17" i="16"/>
  <c r="Z18" i="16"/>
  <c r="Z20" i="16"/>
  <c r="AC19" i="16"/>
  <c r="AC16" i="16"/>
  <c r="AC17" i="16"/>
  <c r="AC18" i="16"/>
  <c r="AC20" i="16"/>
  <c r="AE19" i="16"/>
  <c r="AI18" i="16"/>
  <c r="AF18" i="16"/>
  <c r="E18" i="14"/>
  <c r="AH18" i="16"/>
  <c r="AE18" i="16"/>
  <c r="AI17" i="16"/>
  <c r="AF17" i="16"/>
  <c r="E17" i="14"/>
  <c r="AH17" i="16"/>
  <c r="AE17" i="16"/>
  <c r="AI16" i="16"/>
  <c r="AF16" i="16"/>
  <c r="E16" i="14"/>
  <c r="AH16" i="16"/>
  <c r="AE16" i="16"/>
  <c r="F7" i="16"/>
  <c r="F4" i="16"/>
  <c r="F5" i="16"/>
  <c r="F6" i="16"/>
  <c r="F8" i="16"/>
  <c r="H7" i="14"/>
  <c r="H4" i="14"/>
  <c r="H5" i="14"/>
  <c r="H6" i="14"/>
  <c r="H8" i="14"/>
  <c r="AI7" i="16"/>
  <c r="I7" i="16"/>
  <c r="I4" i="16"/>
  <c r="I5" i="16"/>
  <c r="I6" i="16"/>
  <c r="I8" i="16"/>
  <c r="L7" i="16"/>
  <c r="L4" i="16"/>
  <c r="L5" i="16"/>
  <c r="L6" i="16"/>
  <c r="L8" i="16"/>
  <c r="U7" i="16"/>
  <c r="U4" i="16"/>
  <c r="U5" i="16"/>
  <c r="U6" i="16"/>
  <c r="U8" i="16"/>
  <c r="X7" i="16"/>
  <c r="X4" i="16"/>
  <c r="X5" i="16"/>
  <c r="X6" i="16"/>
  <c r="X8" i="16"/>
  <c r="AA7" i="16"/>
  <c r="AA4" i="16"/>
  <c r="AA5" i="16"/>
  <c r="AA6" i="16"/>
  <c r="AA8" i="16"/>
  <c r="AD7" i="16"/>
  <c r="AD4" i="16"/>
  <c r="AD5" i="16"/>
  <c r="AD6" i="16"/>
  <c r="AD8" i="16"/>
  <c r="AF7" i="16"/>
  <c r="AH7" i="16"/>
  <c r="AE7" i="16"/>
  <c r="AI6" i="16"/>
  <c r="AF6" i="16"/>
  <c r="AH6" i="16"/>
  <c r="AE6" i="16"/>
  <c r="AI5" i="16"/>
  <c r="AF5" i="16"/>
  <c r="AH5" i="16"/>
  <c r="AE5" i="16"/>
  <c r="AI4" i="16"/>
  <c r="AF4" i="16"/>
  <c r="AH4" i="16"/>
  <c r="AE4" i="16"/>
  <c r="F83" i="15"/>
  <c r="F82" i="15"/>
  <c r="F84" i="15"/>
  <c r="F85" i="15"/>
  <c r="F86" i="15"/>
  <c r="H83" i="13"/>
  <c r="H82" i="13"/>
  <c r="H84" i="13"/>
  <c r="H85" i="13"/>
  <c r="H86" i="13"/>
  <c r="AI83" i="15"/>
  <c r="I83" i="15"/>
  <c r="I82" i="15"/>
  <c r="I84" i="15"/>
  <c r="I85" i="15"/>
  <c r="I86" i="15"/>
  <c r="L83" i="15"/>
  <c r="L82" i="15"/>
  <c r="L84" i="15"/>
  <c r="L85" i="15"/>
  <c r="L86" i="15"/>
  <c r="X83" i="15"/>
  <c r="X82" i="15"/>
  <c r="X84" i="15"/>
  <c r="X85" i="15"/>
  <c r="X86" i="15"/>
  <c r="AA83" i="15"/>
  <c r="AA82" i="15"/>
  <c r="AA84" i="15"/>
  <c r="AA85" i="15"/>
  <c r="AA86" i="15"/>
  <c r="AD83" i="15"/>
  <c r="AD82" i="15"/>
  <c r="AD84" i="15"/>
  <c r="AD85" i="15"/>
  <c r="AD86" i="15"/>
  <c r="AF83" i="15"/>
  <c r="AI84" i="15"/>
  <c r="AF84" i="15"/>
  <c r="AI85" i="15"/>
  <c r="AF85" i="15"/>
  <c r="AI82" i="15"/>
  <c r="AF82" i="15"/>
  <c r="F77" i="15"/>
  <c r="F76" i="15"/>
  <c r="F78" i="15"/>
  <c r="F79" i="15"/>
  <c r="F80" i="15"/>
  <c r="H77" i="13"/>
  <c r="H76" i="13"/>
  <c r="H78" i="13"/>
  <c r="H79" i="13"/>
  <c r="H80" i="13"/>
  <c r="AI77" i="15"/>
  <c r="I77" i="15"/>
  <c r="I76" i="15"/>
  <c r="I78" i="15"/>
  <c r="I79" i="15"/>
  <c r="I80" i="15"/>
  <c r="L77" i="15"/>
  <c r="L76" i="15"/>
  <c r="L78" i="15"/>
  <c r="L79" i="15"/>
  <c r="L80" i="15"/>
  <c r="X77" i="15"/>
  <c r="X76" i="15"/>
  <c r="X78" i="15"/>
  <c r="X79" i="15"/>
  <c r="X80" i="15"/>
  <c r="AA77" i="15"/>
  <c r="AA76" i="15"/>
  <c r="AA78" i="15"/>
  <c r="AA79" i="15"/>
  <c r="AA80" i="15"/>
  <c r="AD77" i="15"/>
  <c r="AD76" i="15"/>
  <c r="AD78" i="15"/>
  <c r="AD79" i="15"/>
  <c r="AD80" i="15"/>
  <c r="AF77" i="15"/>
  <c r="AI78" i="15"/>
  <c r="AF78" i="15"/>
  <c r="AI79" i="15"/>
  <c r="AF79" i="15"/>
  <c r="AI76" i="15"/>
  <c r="AF76" i="15"/>
  <c r="F71" i="15"/>
  <c r="F70" i="15"/>
  <c r="F72" i="15"/>
  <c r="F73" i="15"/>
  <c r="F74" i="15"/>
  <c r="H71" i="13"/>
  <c r="H70" i="13"/>
  <c r="H72" i="13"/>
  <c r="H73" i="13"/>
  <c r="H74" i="13"/>
  <c r="AI71" i="15"/>
  <c r="I71" i="15"/>
  <c r="I70" i="15"/>
  <c r="I72" i="15"/>
  <c r="I73" i="15"/>
  <c r="I74" i="15"/>
  <c r="L71" i="15"/>
  <c r="L70" i="15"/>
  <c r="L72" i="15"/>
  <c r="L73" i="15"/>
  <c r="L74" i="15"/>
  <c r="X71" i="15"/>
  <c r="X70" i="15"/>
  <c r="X72" i="15"/>
  <c r="X73" i="15"/>
  <c r="X74" i="15"/>
  <c r="AA71" i="15"/>
  <c r="AA70" i="15"/>
  <c r="AA72" i="15"/>
  <c r="AA73" i="15"/>
  <c r="AA74" i="15"/>
  <c r="AD71" i="15"/>
  <c r="AD70" i="15"/>
  <c r="AD72" i="15"/>
  <c r="AD73" i="15"/>
  <c r="AD74" i="15"/>
  <c r="AF71" i="15"/>
  <c r="AI72" i="15"/>
  <c r="AF72" i="15"/>
  <c r="AI73" i="15"/>
  <c r="AF73" i="15"/>
  <c r="AI70" i="15"/>
  <c r="AF70" i="15"/>
  <c r="F65" i="15"/>
  <c r="F64" i="15"/>
  <c r="F66" i="15"/>
  <c r="F67" i="15"/>
  <c r="F68" i="15"/>
  <c r="H65" i="13"/>
  <c r="H64" i="13"/>
  <c r="H66" i="13"/>
  <c r="H67" i="13"/>
  <c r="H68" i="13"/>
  <c r="AI65" i="15"/>
  <c r="I65" i="15"/>
  <c r="I64" i="15"/>
  <c r="I66" i="15"/>
  <c r="I67" i="15"/>
  <c r="I68" i="15"/>
  <c r="L65" i="15"/>
  <c r="L64" i="15"/>
  <c r="L66" i="15"/>
  <c r="L67" i="15"/>
  <c r="L68" i="15"/>
  <c r="X65" i="15"/>
  <c r="X64" i="15"/>
  <c r="X66" i="15"/>
  <c r="X67" i="15"/>
  <c r="X68" i="15"/>
  <c r="AA65" i="15"/>
  <c r="AA64" i="15"/>
  <c r="AA66" i="15"/>
  <c r="AA67" i="15"/>
  <c r="AA68" i="15"/>
  <c r="AD65" i="15"/>
  <c r="AD64" i="15"/>
  <c r="AD66" i="15"/>
  <c r="AD67" i="15"/>
  <c r="AD68" i="15"/>
  <c r="AF65" i="15"/>
  <c r="AI66" i="15"/>
  <c r="AF66" i="15"/>
  <c r="AI67" i="15"/>
  <c r="AF67" i="15"/>
  <c r="AI64" i="15"/>
  <c r="AF64" i="15"/>
  <c r="H47" i="13"/>
  <c r="H48" i="13"/>
  <c r="H49" i="13"/>
  <c r="H46" i="13"/>
  <c r="H50" i="13"/>
  <c r="AI47" i="15"/>
  <c r="F47" i="15"/>
  <c r="F46" i="15"/>
  <c r="F48" i="15"/>
  <c r="F49" i="15"/>
  <c r="F50" i="15"/>
  <c r="I47" i="15"/>
  <c r="I46" i="15"/>
  <c r="I48" i="15"/>
  <c r="I49" i="15"/>
  <c r="I50" i="15"/>
  <c r="L47" i="15"/>
  <c r="L46" i="15"/>
  <c r="L48" i="15"/>
  <c r="L49" i="15"/>
  <c r="L50" i="15"/>
  <c r="X47" i="15"/>
  <c r="X46" i="15"/>
  <c r="X48" i="15"/>
  <c r="X49" i="15"/>
  <c r="X50" i="15"/>
  <c r="AA47" i="15"/>
  <c r="AA46" i="15"/>
  <c r="AA48" i="15"/>
  <c r="AA49" i="15"/>
  <c r="AA50" i="15"/>
  <c r="AD47" i="15"/>
  <c r="AD46" i="15"/>
  <c r="AD48" i="15"/>
  <c r="AD49" i="15"/>
  <c r="AD50" i="15"/>
  <c r="AF47" i="15"/>
  <c r="AI48" i="15"/>
  <c r="AF48" i="15"/>
  <c r="AI49" i="15"/>
  <c r="AF49" i="15"/>
  <c r="AI46" i="15"/>
  <c r="AF46" i="15"/>
  <c r="H41" i="13"/>
  <c r="H42" i="13"/>
  <c r="H43" i="13"/>
  <c r="H40" i="13"/>
  <c r="H44" i="13"/>
  <c r="AI41" i="15"/>
  <c r="F41" i="15"/>
  <c r="F40" i="15"/>
  <c r="F42" i="15"/>
  <c r="F43" i="15"/>
  <c r="F44" i="15"/>
  <c r="I41" i="15"/>
  <c r="I40" i="15"/>
  <c r="I42" i="15"/>
  <c r="I43" i="15"/>
  <c r="I44" i="15"/>
  <c r="L41" i="15"/>
  <c r="L40" i="15"/>
  <c r="L42" i="15"/>
  <c r="L43" i="15"/>
  <c r="L44" i="15"/>
  <c r="X41" i="15"/>
  <c r="X40" i="15"/>
  <c r="X42" i="15"/>
  <c r="X43" i="15"/>
  <c r="X44" i="15"/>
  <c r="AA41" i="15"/>
  <c r="AA40" i="15"/>
  <c r="AA42" i="15"/>
  <c r="AA43" i="15"/>
  <c r="AA44" i="15"/>
  <c r="AD41" i="15"/>
  <c r="AD40" i="15"/>
  <c r="AD42" i="15"/>
  <c r="AD43" i="15"/>
  <c r="AD44" i="15"/>
  <c r="AF41" i="15"/>
  <c r="AI42" i="15"/>
  <c r="AF42" i="15"/>
  <c r="AI43" i="15"/>
  <c r="AF43" i="15"/>
  <c r="AI40" i="15"/>
  <c r="AF40" i="15"/>
  <c r="H35" i="13"/>
  <c r="H36" i="13"/>
  <c r="H37" i="13"/>
  <c r="H34" i="13"/>
  <c r="H38" i="13"/>
  <c r="AI35" i="15"/>
  <c r="F35" i="15"/>
  <c r="F34" i="15"/>
  <c r="F36" i="15"/>
  <c r="F37" i="15"/>
  <c r="F38" i="15"/>
  <c r="I35" i="15"/>
  <c r="I34" i="15"/>
  <c r="I36" i="15"/>
  <c r="I37" i="15"/>
  <c r="I38" i="15"/>
  <c r="L35" i="15"/>
  <c r="L34" i="15"/>
  <c r="L36" i="15"/>
  <c r="L37" i="15"/>
  <c r="L38" i="15"/>
  <c r="X35" i="15"/>
  <c r="X34" i="15"/>
  <c r="X36" i="15"/>
  <c r="X37" i="15"/>
  <c r="X38" i="15"/>
  <c r="AA35" i="15"/>
  <c r="AA34" i="15"/>
  <c r="AA36" i="15"/>
  <c r="AA37" i="15"/>
  <c r="AA38" i="15"/>
  <c r="AD35" i="15"/>
  <c r="AD34" i="15"/>
  <c r="AD36" i="15"/>
  <c r="AD37" i="15"/>
  <c r="AD38" i="15"/>
  <c r="AF35" i="15"/>
  <c r="AI36" i="15"/>
  <c r="AF36" i="15"/>
  <c r="AI37" i="15"/>
  <c r="AF37" i="15"/>
  <c r="AI34" i="15"/>
  <c r="AF34" i="15"/>
  <c r="F29" i="15"/>
  <c r="F28" i="15"/>
  <c r="F30" i="15"/>
  <c r="F31" i="15"/>
  <c r="F32" i="15"/>
  <c r="H29" i="13"/>
  <c r="H28" i="13"/>
  <c r="H30" i="13"/>
  <c r="H31" i="13"/>
  <c r="H32" i="13"/>
  <c r="AI29" i="15"/>
  <c r="I29" i="15"/>
  <c r="I28" i="15"/>
  <c r="I30" i="15"/>
  <c r="I31" i="15"/>
  <c r="I32" i="15"/>
  <c r="L29" i="15"/>
  <c r="L28" i="15"/>
  <c r="L30" i="15"/>
  <c r="L31" i="15"/>
  <c r="L32" i="15"/>
  <c r="X29" i="15"/>
  <c r="X28" i="15"/>
  <c r="X30" i="15"/>
  <c r="X31" i="15"/>
  <c r="X32" i="15"/>
  <c r="AA29" i="15"/>
  <c r="AA28" i="15"/>
  <c r="AA30" i="15"/>
  <c r="AA31" i="15"/>
  <c r="AA32" i="15"/>
  <c r="AD29" i="15"/>
  <c r="AD28" i="15"/>
  <c r="AD30" i="15"/>
  <c r="AD31" i="15"/>
  <c r="AD32" i="15"/>
  <c r="AF29" i="15"/>
  <c r="AI30" i="15"/>
  <c r="AF30" i="15"/>
  <c r="AI31" i="15"/>
  <c r="AF31" i="15"/>
  <c r="AI28" i="15"/>
  <c r="AF28" i="15"/>
  <c r="F23" i="15"/>
  <c r="F22" i="15"/>
  <c r="F24" i="15"/>
  <c r="F25" i="15"/>
  <c r="F26" i="15"/>
  <c r="H23" i="13"/>
  <c r="H22" i="13"/>
  <c r="H24" i="13"/>
  <c r="H25" i="13"/>
  <c r="H26" i="13"/>
  <c r="AI23" i="15"/>
  <c r="I23" i="15"/>
  <c r="I22" i="15"/>
  <c r="I24" i="15"/>
  <c r="I25" i="15"/>
  <c r="I26" i="15"/>
  <c r="L23" i="15"/>
  <c r="L22" i="15"/>
  <c r="L24" i="15"/>
  <c r="L25" i="15"/>
  <c r="L26" i="15"/>
  <c r="X23" i="15"/>
  <c r="X22" i="15"/>
  <c r="X24" i="15"/>
  <c r="X25" i="15"/>
  <c r="X26" i="15"/>
  <c r="AA23" i="15"/>
  <c r="AA22" i="15"/>
  <c r="AA24" i="15"/>
  <c r="AA25" i="15"/>
  <c r="AA26" i="15"/>
  <c r="AD23" i="15"/>
  <c r="AD22" i="15"/>
  <c r="AD24" i="15"/>
  <c r="AD25" i="15"/>
  <c r="AD26" i="15"/>
  <c r="AF23" i="15"/>
  <c r="AI24" i="15"/>
  <c r="AF24" i="15"/>
  <c r="AI25" i="15"/>
  <c r="AF25" i="15"/>
  <c r="AI22" i="15"/>
  <c r="AF22" i="15"/>
  <c r="F17" i="15"/>
  <c r="F16" i="15"/>
  <c r="F18" i="15"/>
  <c r="F19" i="15"/>
  <c r="F20" i="15"/>
  <c r="H17" i="13"/>
  <c r="H16" i="13"/>
  <c r="H18" i="13"/>
  <c r="H19" i="13"/>
  <c r="H20" i="13"/>
  <c r="AI17" i="15"/>
  <c r="I17" i="15"/>
  <c r="I16" i="15"/>
  <c r="I18" i="15"/>
  <c r="I19" i="15"/>
  <c r="I20" i="15"/>
  <c r="L17" i="15"/>
  <c r="L16" i="15"/>
  <c r="L18" i="15"/>
  <c r="L19" i="15"/>
  <c r="L20" i="15"/>
  <c r="X17" i="15"/>
  <c r="X16" i="15"/>
  <c r="X18" i="15"/>
  <c r="X19" i="15"/>
  <c r="X20" i="15"/>
  <c r="AA17" i="15"/>
  <c r="AA16" i="15"/>
  <c r="AA18" i="15"/>
  <c r="AA19" i="15"/>
  <c r="AA20" i="15"/>
  <c r="AD17" i="15"/>
  <c r="AD16" i="15"/>
  <c r="AD18" i="15"/>
  <c r="AD19" i="15"/>
  <c r="AD20" i="15"/>
  <c r="AF17" i="15"/>
  <c r="AI18" i="15"/>
  <c r="AF18" i="15"/>
  <c r="AI19" i="15"/>
  <c r="AF19" i="15"/>
  <c r="AI16" i="15"/>
  <c r="AF16" i="15"/>
  <c r="F5" i="15"/>
  <c r="F4" i="15"/>
  <c r="F6" i="15"/>
  <c r="F7" i="15"/>
  <c r="F8" i="15"/>
  <c r="H5" i="13"/>
  <c r="H4" i="13"/>
  <c r="H6" i="13"/>
  <c r="H7" i="13"/>
  <c r="H8" i="13"/>
  <c r="AI5" i="15"/>
  <c r="I5" i="15"/>
  <c r="I4" i="15"/>
  <c r="I6" i="15"/>
  <c r="I7" i="15"/>
  <c r="I8" i="15"/>
  <c r="L5" i="15"/>
  <c r="L4" i="15"/>
  <c r="L6" i="15"/>
  <c r="L7" i="15"/>
  <c r="L8" i="15"/>
  <c r="X5" i="15"/>
  <c r="X4" i="15"/>
  <c r="X6" i="15"/>
  <c r="X7" i="15"/>
  <c r="X8" i="15"/>
  <c r="AA5" i="15"/>
  <c r="AA4" i="15"/>
  <c r="AA6" i="15"/>
  <c r="AA7" i="15"/>
  <c r="AA8" i="15"/>
  <c r="AD5" i="15"/>
  <c r="AD4" i="15"/>
  <c r="AD6" i="15"/>
  <c r="AD7" i="15"/>
  <c r="AD8" i="15"/>
  <c r="AF5" i="15"/>
  <c r="AI6" i="15"/>
  <c r="AF6" i="15"/>
  <c r="AI7" i="15"/>
  <c r="AF7" i="15"/>
  <c r="AI4" i="15"/>
  <c r="AF4" i="15"/>
  <c r="E83" i="13"/>
  <c r="E84" i="13"/>
  <c r="E85" i="13"/>
  <c r="E82" i="13"/>
  <c r="E86" i="13"/>
  <c r="AH83" i="15"/>
  <c r="E83" i="15"/>
  <c r="E82" i="15"/>
  <c r="E84" i="15"/>
  <c r="E85" i="15"/>
  <c r="E86" i="15"/>
  <c r="H83" i="15"/>
  <c r="H82" i="15"/>
  <c r="H84" i="15"/>
  <c r="H85" i="15"/>
  <c r="H86" i="15"/>
  <c r="K83" i="15"/>
  <c r="K82" i="15"/>
  <c r="K84" i="15"/>
  <c r="K85" i="15"/>
  <c r="K86" i="15"/>
  <c r="W83" i="15"/>
  <c r="W82" i="15"/>
  <c r="W84" i="15"/>
  <c r="W85" i="15"/>
  <c r="W86" i="15"/>
  <c r="Z83" i="15"/>
  <c r="Z82" i="15"/>
  <c r="Z84" i="15"/>
  <c r="Z85" i="15"/>
  <c r="Z86" i="15"/>
  <c r="AC83" i="15"/>
  <c r="AC82" i="15"/>
  <c r="AC84" i="15"/>
  <c r="AC85" i="15"/>
  <c r="AC86" i="15"/>
  <c r="AE83" i="15"/>
  <c r="AH84" i="15"/>
  <c r="AE84" i="15"/>
  <c r="AH85" i="15"/>
  <c r="AE85" i="15"/>
  <c r="AH82" i="15"/>
  <c r="AE82" i="15"/>
  <c r="E77" i="13"/>
  <c r="E78" i="13"/>
  <c r="E79" i="13"/>
  <c r="E76" i="13"/>
  <c r="E80" i="13"/>
  <c r="AH77" i="15"/>
  <c r="E77" i="15"/>
  <c r="E76" i="15"/>
  <c r="E78" i="15"/>
  <c r="E79" i="15"/>
  <c r="E80" i="15"/>
  <c r="H77" i="15"/>
  <c r="H76" i="15"/>
  <c r="H78" i="15"/>
  <c r="H79" i="15"/>
  <c r="H80" i="15"/>
  <c r="K77" i="15"/>
  <c r="K76" i="15"/>
  <c r="K78" i="15"/>
  <c r="K79" i="15"/>
  <c r="K80" i="15"/>
  <c r="W77" i="15"/>
  <c r="W76" i="15"/>
  <c r="W78" i="15"/>
  <c r="W79" i="15"/>
  <c r="W80" i="15"/>
  <c r="Z77" i="15"/>
  <c r="Z76" i="15"/>
  <c r="Z78" i="15"/>
  <c r="Z79" i="15"/>
  <c r="Z80" i="15"/>
  <c r="AC77" i="15"/>
  <c r="AC76" i="15"/>
  <c r="AC78" i="15"/>
  <c r="AC79" i="15"/>
  <c r="AC80" i="15"/>
  <c r="AE77" i="15"/>
  <c r="AH78" i="15"/>
  <c r="AE78" i="15"/>
  <c r="AH79" i="15"/>
  <c r="AE79" i="15"/>
  <c r="AH76" i="15"/>
  <c r="AE76" i="15"/>
  <c r="E71" i="13"/>
  <c r="E72" i="13"/>
  <c r="E73" i="13"/>
  <c r="E70" i="13"/>
  <c r="E74" i="13"/>
  <c r="AH71" i="15"/>
  <c r="E71" i="15"/>
  <c r="E70" i="15"/>
  <c r="E72" i="15"/>
  <c r="E73" i="15"/>
  <c r="E74" i="15"/>
  <c r="H71" i="15"/>
  <c r="H70" i="15"/>
  <c r="H72" i="15"/>
  <c r="H73" i="15"/>
  <c r="H74" i="15"/>
  <c r="K71" i="15"/>
  <c r="K70" i="15"/>
  <c r="K72" i="15"/>
  <c r="K73" i="15"/>
  <c r="K74" i="15"/>
  <c r="W71" i="15"/>
  <c r="W70" i="15"/>
  <c r="W72" i="15"/>
  <c r="W73" i="15"/>
  <c r="W74" i="15"/>
  <c r="Z71" i="15"/>
  <c r="Z70" i="15"/>
  <c r="Z72" i="15"/>
  <c r="Z73" i="15"/>
  <c r="Z74" i="15"/>
  <c r="AC71" i="15"/>
  <c r="AC70" i="15"/>
  <c r="AC72" i="15"/>
  <c r="AC73" i="15"/>
  <c r="AC74" i="15"/>
  <c r="AE71" i="15"/>
  <c r="AH72" i="15"/>
  <c r="AE72" i="15"/>
  <c r="AH73" i="15"/>
  <c r="AE73" i="15"/>
  <c r="AH70" i="15"/>
  <c r="AE70" i="15"/>
  <c r="E47" i="13"/>
  <c r="E48" i="13"/>
  <c r="E49" i="13"/>
  <c r="E46" i="13"/>
  <c r="E50" i="13"/>
  <c r="AH47" i="15"/>
  <c r="E47" i="15"/>
  <c r="E46" i="15"/>
  <c r="E48" i="15"/>
  <c r="E49" i="15"/>
  <c r="E50" i="15"/>
  <c r="H47" i="15"/>
  <c r="H46" i="15"/>
  <c r="H48" i="15"/>
  <c r="H49" i="15"/>
  <c r="H50" i="15"/>
  <c r="K47" i="15"/>
  <c r="K46" i="15"/>
  <c r="K48" i="15"/>
  <c r="K49" i="15"/>
  <c r="K50" i="15"/>
  <c r="W47" i="15"/>
  <c r="W46" i="15"/>
  <c r="W48" i="15"/>
  <c r="W49" i="15"/>
  <c r="W50" i="15"/>
  <c r="Z47" i="15"/>
  <c r="Z46" i="15"/>
  <c r="Z48" i="15"/>
  <c r="Z49" i="15"/>
  <c r="Z50" i="15"/>
  <c r="AC47" i="15"/>
  <c r="AC46" i="15"/>
  <c r="AC48" i="15"/>
  <c r="AC49" i="15"/>
  <c r="AC50" i="15"/>
  <c r="AE47" i="15"/>
  <c r="AH48" i="15"/>
  <c r="AE48" i="15"/>
  <c r="AH49" i="15"/>
  <c r="AE49" i="15"/>
  <c r="AH46" i="15"/>
  <c r="AE46" i="15"/>
  <c r="E41" i="13"/>
  <c r="E42" i="13"/>
  <c r="E43" i="13"/>
  <c r="E40" i="13"/>
  <c r="E44" i="13"/>
  <c r="AH41" i="15"/>
  <c r="E41" i="15"/>
  <c r="E40" i="15"/>
  <c r="E42" i="15"/>
  <c r="E43" i="15"/>
  <c r="E44" i="15"/>
  <c r="H41" i="15"/>
  <c r="H40" i="15"/>
  <c r="H42" i="15"/>
  <c r="H43" i="15"/>
  <c r="H44" i="15"/>
  <c r="K41" i="15"/>
  <c r="K40" i="15"/>
  <c r="K42" i="15"/>
  <c r="K43" i="15"/>
  <c r="K44" i="15"/>
  <c r="W41" i="15"/>
  <c r="W40" i="15"/>
  <c r="W42" i="15"/>
  <c r="W43" i="15"/>
  <c r="W44" i="15"/>
  <c r="Z41" i="15"/>
  <c r="Z40" i="15"/>
  <c r="Z42" i="15"/>
  <c r="Z43" i="15"/>
  <c r="Z44" i="15"/>
  <c r="AC41" i="15"/>
  <c r="AC40" i="15"/>
  <c r="AC42" i="15"/>
  <c r="AC43" i="15"/>
  <c r="AC44" i="15"/>
  <c r="AE41" i="15"/>
  <c r="AH42" i="15"/>
  <c r="AE42" i="15"/>
  <c r="AH43" i="15"/>
  <c r="AE43" i="15"/>
  <c r="AH40" i="15"/>
  <c r="AE40" i="15"/>
  <c r="E35" i="13"/>
  <c r="E36" i="13"/>
  <c r="E37" i="13"/>
  <c r="E34" i="13"/>
  <c r="E38" i="13"/>
  <c r="AH35" i="15"/>
  <c r="E35" i="15"/>
  <c r="E34" i="15"/>
  <c r="E36" i="15"/>
  <c r="E37" i="15"/>
  <c r="E38" i="15"/>
  <c r="H35" i="15"/>
  <c r="H34" i="15"/>
  <c r="H36" i="15"/>
  <c r="H37" i="15"/>
  <c r="H38" i="15"/>
  <c r="K35" i="15"/>
  <c r="K34" i="15"/>
  <c r="K36" i="15"/>
  <c r="K37" i="15"/>
  <c r="K38" i="15"/>
  <c r="W35" i="15"/>
  <c r="W34" i="15"/>
  <c r="W36" i="15"/>
  <c r="W37" i="15"/>
  <c r="W38" i="15"/>
  <c r="Z35" i="15"/>
  <c r="Z34" i="15"/>
  <c r="Z36" i="15"/>
  <c r="Z37" i="15"/>
  <c r="Z38" i="15"/>
  <c r="AC35" i="15"/>
  <c r="AC34" i="15"/>
  <c r="AC36" i="15"/>
  <c r="AC37" i="15"/>
  <c r="AC38" i="15"/>
  <c r="AE35" i="15"/>
  <c r="AH36" i="15"/>
  <c r="AE36" i="15"/>
  <c r="AH37" i="15"/>
  <c r="AE37" i="15"/>
  <c r="AH34" i="15"/>
  <c r="AE34" i="15"/>
  <c r="E29" i="15"/>
  <c r="E28" i="15"/>
  <c r="E30" i="15"/>
  <c r="E31" i="15"/>
  <c r="E32" i="15"/>
  <c r="E29" i="13"/>
  <c r="E28" i="13"/>
  <c r="E30" i="13"/>
  <c r="E31" i="13"/>
  <c r="E32" i="13"/>
  <c r="AH29" i="15"/>
  <c r="H29" i="15"/>
  <c r="H28" i="15"/>
  <c r="H30" i="15"/>
  <c r="H31" i="15"/>
  <c r="H32" i="15"/>
  <c r="K29" i="15"/>
  <c r="K28" i="15"/>
  <c r="K30" i="15"/>
  <c r="K31" i="15"/>
  <c r="K32" i="15"/>
  <c r="W29" i="15"/>
  <c r="W28" i="15"/>
  <c r="W30" i="15"/>
  <c r="W31" i="15"/>
  <c r="W32" i="15"/>
  <c r="Z29" i="15"/>
  <c r="Z28" i="15"/>
  <c r="Z30" i="15"/>
  <c r="Z31" i="15"/>
  <c r="Z32" i="15"/>
  <c r="AC29" i="15"/>
  <c r="AC28" i="15"/>
  <c r="AC30" i="15"/>
  <c r="AC31" i="15"/>
  <c r="AC32" i="15"/>
  <c r="AE29" i="15"/>
  <c r="AH30" i="15"/>
  <c r="AE30" i="15"/>
  <c r="AH31" i="15"/>
  <c r="AE31" i="15"/>
  <c r="AH28" i="15"/>
  <c r="AE28" i="15"/>
  <c r="E23" i="15"/>
  <c r="E22" i="15"/>
  <c r="E24" i="15"/>
  <c r="E25" i="15"/>
  <c r="E26" i="15"/>
  <c r="E23" i="13"/>
  <c r="E22" i="13"/>
  <c r="E24" i="13"/>
  <c r="E25" i="13"/>
  <c r="E26" i="13"/>
  <c r="AH23" i="15"/>
  <c r="H23" i="15"/>
  <c r="H22" i="15"/>
  <c r="H24" i="15"/>
  <c r="H25" i="15"/>
  <c r="H26" i="15"/>
  <c r="K23" i="15"/>
  <c r="K22" i="15"/>
  <c r="K24" i="15"/>
  <c r="K25" i="15"/>
  <c r="K26" i="15"/>
  <c r="W23" i="15"/>
  <c r="W22" i="15"/>
  <c r="W24" i="15"/>
  <c r="W25" i="15"/>
  <c r="W26" i="15"/>
  <c r="Z23" i="15"/>
  <c r="Z22" i="15"/>
  <c r="Z24" i="15"/>
  <c r="Z25" i="15"/>
  <c r="Z26" i="15"/>
  <c r="AC23" i="15"/>
  <c r="AC22" i="15"/>
  <c r="AC24" i="15"/>
  <c r="AC25" i="15"/>
  <c r="AC26" i="15"/>
  <c r="AE23" i="15"/>
  <c r="AH24" i="15"/>
  <c r="AE24" i="15"/>
  <c r="AH25" i="15"/>
  <c r="AE25" i="15"/>
  <c r="AH22" i="15"/>
  <c r="AE22" i="15"/>
  <c r="E17" i="15"/>
  <c r="E16" i="15"/>
  <c r="E18" i="15"/>
  <c r="E19" i="15"/>
  <c r="E20" i="15"/>
  <c r="E17" i="13"/>
  <c r="E16" i="13"/>
  <c r="E18" i="13"/>
  <c r="E19" i="13"/>
  <c r="E20" i="13"/>
  <c r="AH17" i="15"/>
  <c r="H17" i="15"/>
  <c r="H16" i="15"/>
  <c r="H18" i="15"/>
  <c r="H19" i="15"/>
  <c r="H20" i="15"/>
  <c r="K17" i="15"/>
  <c r="K16" i="15"/>
  <c r="K18" i="15"/>
  <c r="K19" i="15"/>
  <c r="K20" i="15"/>
  <c r="W17" i="15"/>
  <c r="W16" i="15"/>
  <c r="W18" i="15"/>
  <c r="W19" i="15"/>
  <c r="W20" i="15"/>
  <c r="Z17" i="15"/>
  <c r="Z16" i="15"/>
  <c r="Z18" i="15"/>
  <c r="Z19" i="15"/>
  <c r="Z20" i="15"/>
  <c r="AC17" i="15"/>
  <c r="AC16" i="15"/>
  <c r="AC18" i="15"/>
  <c r="AC19" i="15"/>
  <c r="AC20" i="15"/>
  <c r="AE17" i="15"/>
  <c r="AH18" i="15"/>
  <c r="AE18" i="15"/>
  <c r="AH19" i="15"/>
  <c r="AE19" i="15"/>
  <c r="AH16" i="15"/>
  <c r="AE16" i="15"/>
  <c r="E5" i="15"/>
  <c r="E4" i="15"/>
  <c r="E6" i="15"/>
  <c r="E7" i="15"/>
  <c r="E8" i="15"/>
  <c r="E5" i="13"/>
  <c r="E4" i="13"/>
  <c r="E6" i="13"/>
  <c r="E7" i="13"/>
  <c r="E8" i="13"/>
  <c r="AH5" i="15"/>
  <c r="H5" i="15"/>
  <c r="H4" i="15"/>
  <c r="H6" i="15"/>
  <c r="H7" i="15"/>
  <c r="H8" i="15"/>
  <c r="K5" i="15"/>
  <c r="K4" i="15"/>
  <c r="K6" i="15"/>
  <c r="K7" i="15"/>
  <c r="K8" i="15"/>
  <c r="W5" i="15"/>
  <c r="W4" i="15"/>
  <c r="W6" i="15"/>
  <c r="W7" i="15"/>
  <c r="W8" i="15"/>
  <c r="Z5" i="15"/>
  <c r="Z4" i="15"/>
  <c r="Z6" i="15"/>
  <c r="Z7" i="15"/>
  <c r="Z8" i="15"/>
  <c r="AC5" i="15"/>
  <c r="AC4" i="15"/>
  <c r="AC6" i="15"/>
  <c r="AC7" i="15"/>
  <c r="AC8" i="15"/>
  <c r="AE5" i="15"/>
  <c r="AH6" i="15"/>
  <c r="AE6" i="15"/>
  <c r="AH7" i="15"/>
  <c r="AE7" i="15"/>
  <c r="E65" i="13"/>
  <c r="E66" i="13"/>
  <c r="E67" i="13"/>
  <c r="E64" i="13"/>
  <c r="E68" i="13"/>
  <c r="AH64" i="15"/>
  <c r="E64" i="15"/>
  <c r="H64" i="15"/>
  <c r="K64" i="15"/>
  <c r="W64" i="15"/>
  <c r="Z64" i="15"/>
  <c r="AC64" i="15"/>
  <c r="AE64" i="15"/>
  <c r="AH65" i="15"/>
  <c r="E65" i="15"/>
  <c r="H65" i="15"/>
  <c r="K65" i="15"/>
  <c r="W65" i="15"/>
  <c r="Z65" i="15"/>
  <c r="AC65" i="15"/>
  <c r="AE65" i="15"/>
  <c r="AH66" i="15"/>
  <c r="E66" i="15"/>
  <c r="H66" i="15"/>
  <c r="K66" i="15"/>
  <c r="W66" i="15"/>
  <c r="Z66" i="15"/>
  <c r="AC66" i="15"/>
  <c r="AE66" i="15"/>
  <c r="AH67" i="15"/>
  <c r="E67" i="15"/>
  <c r="H67" i="15"/>
  <c r="K67" i="15"/>
  <c r="W67" i="15"/>
  <c r="Z67" i="15"/>
  <c r="AC67" i="15"/>
  <c r="AE67" i="15"/>
  <c r="AH4" i="15"/>
  <c r="AE4" i="15"/>
  <c r="T68" i="16"/>
  <c r="E68" i="15"/>
  <c r="H68" i="15"/>
  <c r="K68" i="15"/>
  <c r="W68" i="15"/>
  <c r="Z68" i="15"/>
  <c r="AC68" i="15"/>
  <c r="I83" i="14"/>
  <c r="I84" i="14"/>
  <c r="I85" i="14"/>
  <c r="I82" i="14"/>
  <c r="F83" i="14"/>
  <c r="E86" i="14"/>
  <c r="F84" i="14"/>
  <c r="F85" i="14"/>
  <c r="F82" i="14"/>
  <c r="I77" i="14"/>
  <c r="I78" i="14"/>
  <c r="I79" i="14"/>
  <c r="I76" i="14"/>
  <c r="F77" i="14"/>
  <c r="E80" i="14"/>
  <c r="F78" i="14"/>
  <c r="F79" i="14"/>
  <c r="F76" i="14"/>
  <c r="I71" i="14"/>
  <c r="H74" i="14"/>
  <c r="I72" i="14"/>
  <c r="I73" i="14"/>
  <c r="I70" i="14"/>
  <c r="F71" i="14"/>
  <c r="E74" i="14"/>
  <c r="F72" i="14"/>
  <c r="F73" i="14"/>
  <c r="F70" i="14"/>
  <c r="I65" i="14"/>
  <c r="I66" i="14"/>
  <c r="I67" i="14"/>
  <c r="I64" i="14"/>
  <c r="F65" i="14"/>
  <c r="E68" i="14"/>
  <c r="F66" i="14"/>
  <c r="F67" i="14"/>
  <c r="F64" i="14"/>
  <c r="I47" i="14"/>
  <c r="I48" i="14"/>
  <c r="I49" i="14"/>
  <c r="I46" i="14"/>
  <c r="F47" i="14"/>
  <c r="E50" i="14"/>
  <c r="F48" i="14"/>
  <c r="F49" i="14"/>
  <c r="F46" i="14"/>
  <c r="I41" i="14"/>
  <c r="I42" i="14"/>
  <c r="I43" i="14"/>
  <c r="I40" i="14"/>
  <c r="F41" i="14"/>
  <c r="E44" i="14"/>
  <c r="F42" i="14"/>
  <c r="F43" i="14"/>
  <c r="F40" i="14"/>
  <c r="I35" i="14"/>
  <c r="I36" i="14"/>
  <c r="I37" i="14"/>
  <c r="I34" i="14"/>
  <c r="F35" i="14"/>
  <c r="E38" i="14"/>
  <c r="F36" i="14"/>
  <c r="F37" i="14"/>
  <c r="F34" i="14"/>
  <c r="I29" i="14"/>
  <c r="I30" i="14"/>
  <c r="I31" i="14"/>
  <c r="I28" i="14"/>
  <c r="F29" i="14"/>
  <c r="E32" i="14"/>
  <c r="F30" i="14"/>
  <c r="F31" i="14"/>
  <c r="F28" i="14"/>
  <c r="I23" i="14"/>
  <c r="I24" i="14"/>
  <c r="I25" i="14"/>
  <c r="I22" i="14"/>
  <c r="F23" i="14"/>
  <c r="E26" i="14"/>
  <c r="F24" i="14"/>
  <c r="F25" i="14"/>
  <c r="F22" i="14"/>
  <c r="I17" i="14"/>
  <c r="I18" i="14"/>
  <c r="I19" i="14"/>
  <c r="I16" i="14"/>
  <c r="F17" i="14"/>
  <c r="E20" i="14"/>
  <c r="F18" i="14"/>
  <c r="F19" i="14"/>
  <c r="F16" i="14"/>
  <c r="I5" i="14"/>
  <c r="I6" i="14"/>
  <c r="I7" i="14"/>
  <c r="I4" i="14"/>
  <c r="F5" i="14"/>
  <c r="F6" i="14"/>
  <c r="F7" i="14"/>
  <c r="F4" i="14"/>
  <c r="I83" i="13"/>
  <c r="I84" i="13"/>
  <c r="I85" i="13"/>
  <c r="I82" i="13"/>
  <c r="F83" i="13"/>
  <c r="F84" i="13"/>
  <c r="F85" i="13"/>
  <c r="F82" i="13"/>
  <c r="I77" i="13"/>
  <c r="I78" i="13"/>
  <c r="I79" i="13"/>
  <c r="I76" i="13"/>
  <c r="F77" i="13"/>
  <c r="F78" i="13"/>
  <c r="F79" i="13"/>
  <c r="F76" i="13"/>
  <c r="I71" i="13"/>
  <c r="I72" i="13"/>
  <c r="I73" i="13"/>
  <c r="I70" i="13"/>
  <c r="F71" i="13"/>
  <c r="F72" i="13"/>
  <c r="F73" i="13"/>
  <c r="F70" i="13"/>
  <c r="I65" i="13"/>
  <c r="I66" i="13"/>
  <c r="I67" i="13"/>
  <c r="I64" i="13"/>
  <c r="F65" i="13"/>
  <c r="F66" i="13"/>
  <c r="F67" i="13"/>
  <c r="F64" i="13"/>
  <c r="I47" i="13"/>
  <c r="I48" i="13"/>
  <c r="I49" i="13"/>
  <c r="I46" i="13"/>
  <c r="F47" i="13"/>
  <c r="F48" i="13"/>
  <c r="F49" i="13"/>
  <c r="F46" i="13"/>
  <c r="I41" i="13"/>
  <c r="I42" i="13"/>
  <c r="I43" i="13"/>
  <c r="I40" i="13"/>
  <c r="F41" i="13"/>
  <c r="F42" i="13"/>
  <c r="F43" i="13"/>
  <c r="F40" i="13"/>
  <c r="I35" i="13"/>
  <c r="I36" i="13"/>
  <c r="I37" i="13"/>
  <c r="I34" i="13"/>
  <c r="F35" i="13"/>
  <c r="F36" i="13"/>
  <c r="F37" i="13"/>
  <c r="F34" i="13"/>
  <c r="I29" i="13"/>
  <c r="I30" i="13"/>
  <c r="I31" i="13"/>
  <c r="I28" i="13"/>
  <c r="F29" i="13"/>
  <c r="F30" i="13"/>
  <c r="F31" i="13"/>
  <c r="F28" i="13"/>
  <c r="I23" i="13"/>
  <c r="I24" i="13"/>
  <c r="I25" i="13"/>
  <c r="I22" i="13"/>
  <c r="F23" i="13"/>
  <c r="F24" i="13"/>
  <c r="F25" i="13"/>
  <c r="F22" i="13"/>
  <c r="I17" i="13"/>
  <c r="I18" i="13"/>
  <c r="I19" i="13"/>
  <c r="I16" i="13"/>
  <c r="F17" i="13"/>
  <c r="F18" i="13"/>
  <c r="F19" i="13"/>
  <c r="F16" i="13"/>
  <c r="I5" i="13"/>
  <c r="I6" i="13"/>
  <c r="I7" i="13"/>
  <c r="I4" i="13"/>
  <c r="F5" i="13"/>
  <c r="F6" i="13"/>
  <c r="F7" i="13"/>
  <c r="F4" i="13"/>
  <c r="AD14" i="16"/>
  <c r="AC14" i="16"/>
  <c r="AA14" i="16"/>
  <c r="U56" i="16"/>
  <c r="T56" i="16"/>
  <c r="W56" i="16"/>
  <c r="X56" i="16"/>
  <c r="X62" i="16"/>
  <c r="W62" i="16"/>
  <c r="AC68" i="16"/>
  <c r="Z68" i="16"/>
  <c r="W68" i="16"/>
  <c r="R86" i="16"/>
  <c r="Q86" i="16"/>
  <c r="O86" i="16"/>
  <c r="N86" i="16"/>
  <c r="R80" i="16"/>
  <c r="Q80" i="16"/>
  <c r="O80" i="16"/>
  <c r="N80" i="16"/>
  <c r="R74" i="16"/>
  <c r="Q74" i="16"/>
  <c r="O74" i="16"/>
  <c r="N74" i="16"/>
  <c r="R68" i="16"/>
  <c r="Q68" i="16"/>
  <c r="O68" i="16"/>
  <c r="N68" i="16"/>
  <c r="R62" i="16"/>
  <c r="Q62" i="16"/>
  <c r="O62" i="16"/>
  <c r="N62" i="16"/>
  <c r="R56" i="16"/>
  <c r="Q56" i="16"/>
  <c r="O56" i="16"/>
  <c r="N56" i="16"/>
  <c r="R50" i="16"/>
  <c r="Q50" i="16"/>
  <c r="O50" i="16"/>
  <c r="N50" i="16"/>
  <c r="R44" i="16"/>
  <c r="Q44" i="16"/>
  <c r="Q38" i="16"/>
  <c r="R38" i="16"/>
  <c r="R32" i="16"/>
  <c r="Q32" i="16"/>
  <c r="R26" i="16"/>
  <c r="Q26" i="16"/>
  <c r="O44" i="16"/>
  <c r="O38" i="16"/>
  <c r="O32" i="16"/>
  <c r="O26" i="16"/>
  <c r="N44" i="16"/>
  <c r="N38" i="16"/>
  <c r="N32" i="16"/>
  <c r="N26" i="16"/>
  <c r="R20" i="16"/>
  <c r="Q20" i="16"/>
  <c r="O20" i="16"/>
  <c r="N20" i="16"/>
  <c r="Z14" i="16"/>
  <c r="X14" i="16"/>
  <c r="W14" i="16"/>
  <c r="U14" i="16"/>
  <c r="T14" i="16"/>
  <c r="R14" i="16"/>
  <c r="Q14" i="16"/>
  <c r="O14" i="16"/>
  <c r="N14" i="16"/>
  <c r="R8" i="16"/>
  <c r="Q8" i="16"/>
  <c r="O8" i="16"/>
  <c r="N8" i="16"/>
  <c r="K68" i="16"/>
  <c r="H68" i="16"/>
  <c r="E68" i="16"/>
  <c r="K45" i="16"/>
  <c r="H45" i="15"/>
  <c r="E86" i="4"/>
  <c r="E80" i="4"/>
  <c r="E74" i="4"/>
  <c r="E68" i="4"/>
  <c r="H50" i="4"/>
  <c r="E50" i="4"/>
  <c r="H44" i="4"/>
  <c r="F44" i="7"/>
  <c r="E44" i="4"/>
  <c r="H38" i="4"/>
  <c r="E38" i="4"/>
  <c r="F86" i="7"/>
  <c r="E86" i="7"/>
  <c r="F80" i="7"/>
  <c r="E80" i="7"/>
  <c r="F74" i="7"/>
  <c r="E74" i="7"/>
  <c r="F68" i="7"/>
  <c r="E68" i="7"/>
  <c r="F62" i="7"/>
  <c r="E62" i="7"/>
  <c r="F56" i="7"/>
  <c r="E56" i="7"/>
  <c r="E50" i="7"/>
  <c r="F50" i="7"/>
  <c r="E44" i="7"/>
  <c r="F38" i="7"/>
  <c r="E38" i="7"/>
  <c r="F86" i="9"/>
  <c r="E86" i="9"/>
  <c r="F80" i="9"/>
  <c r="E80" i="9"/>
  <c r="F74" i="9"/>
  <c r="E74" i="9"/>
  <c r="F68" i="9"/>
  <c r="E68" i="9"/>
  <c r="F62" i="9"/>
  <c r="E62" i="9"/>
  <c r="F56" i="9"/>
  <c r="E56" i="9"/>
  <c r="F50" i="9"/>
  <c r="E50" i="9"/>
  <c r="F44" i="9"/>
  <c r="E44" i="9"/>
  <c r="F38" i="9"/>
  <c r="E38" i="9"/>
  <c r="M86" i="6"/>
  <c r="L86" i="6"/>
  <c r="M80" i="6"/>
  <c r="L80" i="6"/>
  <c r="M74" i="6"/>
  <c r="L74" i="6"/>
  <c r="M68" i="6"/>
  <c r="L68" i="6"/>
  <c r="M62" i="6"/>
  <c r="L62" i="6"/>
  <c r="M56" i="6"/>
  <c r="L56" i="6"/>
  <c r="M50" i="6"/>
  <c r="L50" i="6"/>
  <c r="M44" i="6"/>
  <c r="L44" i="6"/>
  <c r="M38" i="6"/>
  <c r="L38" i="6"/>
  <c r="F86" i="6"/>
  <c r="E86" i="6"/>
  <c r="F80" i="6"/>
  <c r="E80" i="6"/>
  <c r="F74" i="6"/>
  <c r="E74" i="6"/>
  <c r="F68" i="6"/>
  <c r="E68" i="6"/>
  <c r="E62" i="6"/>
  <c r="F62" i="6"/>
  <c r="F56" i="6"/>
  <c r="E56" i="6"/>
  <c r="F50" i="6"/>
  <c r="E50" i="6"/>
  <c r="F44" i="6"/>
  <c r="E44" i="6"/>
  <c r="F38" i="6"/>
  <c r="E38" i="6"/>
  <c r="F62" i="11"/>
  <c r="F56" i="11"/>
  <c r="F50" i="11"/>
  <c r="F44" i="11"/>
  <c r="F38" i="11"/>
  <c r="L38" i="11"/>
  <c r="I38" i="11"/>
  <c r="I44" i="11"/>
  <c r="L44" i="11"/>
  <c r="L50" i="11"/>
  <c r="I50" i="11"/>
  <c r="I56" i="11"/>
  <c r="L56" i="11"/>
  <c r="L62" i="11"/>
  <c r="I62" i="11"/>
  <c r="I68" i="11"/>
  <c r="L68" i="11"/>
  <c r="L74" i="11"/>
  <c r="I74" i="11"/>
  <c r="I80" i="11"/>
  <c r="L80" i="11"/>
  <c r="L86" i="11"/>
  <c r="I86" i="11"/>
  <c r="F86" i="11"/>
  <c r="F80" i="11"/>
  <c r="F74" i="11"/>
  <c r="F68" i="11"/>
  <c r="K86" i="11"/>
  <c r="H86" i="11"/>
  <c r="E86" i="11"/>
  <c r="E80" i="11"/>
  <c r="H80" i="11"/>
  <c r="K80" i="11"/>
  <c r="K74" i="11"/>
  <c r="H74" i="11"/>
  <c r="E74" i="11"/>
  <c r="K68" i="11"/>
  <c r="H68" i="11"/>
  <c r="E68" i="11"/>
  <c r="K62" i="11"/>
  <c r="H62" i="11"/>
  <c r="E62" i="11"/>
  <c r="K56" i="11"/>
  <c r="H56" i="11"/>
  <c r="E56" i="11"/>
  <c r="K50" i="11"/>
  <c r="H50" i="11"/>
  <c r="E50" i="11"/>
  <c r="K44" i="11"/>
  <c r="H44" i="11"/>
  <c r="E44" i="11"/>
  <c r="K38" i="11"/>
  <c r="H38" i="11"/>
  <c r="E38" i="11"/>
  <c r="H81" i="14"/>
  <c r="I81" i="14"/>
  <c r="H75" i="14"/>
  <c r="I75" i="14"/>
  <c r="H69" i="14"/>
  <c r="I69" i="14"/>
  <c r="H63" i="14"/>
  <c r="I63" i="14"/>
  <c r="H45" i="14"/>
  <c r="I45" i="14"/>
  <c r="H39" i="14"/>
  <c r="I39" i="14"/>
  <c r="H33" i="14"/>
  <c r="I33" i="14"/>
  <c r="H27" i="14"/>
  <c r="I27" i="14"/>
  <c r="H21" i="14"/>
  <c r="I21" i="14"/>
  <c r="H15" i="14"/>
  <c r="I15" i="14"/>
  <c r="H3" i="14"/>
  <c r="I3" i="14"/>
  <c r="H62" i="14"/>
  <c r="E62" i="14"/>
  <c r="H14" i="14"/>
  <c r="E14" i="14"/>
  <c r="E45" i="14"/>
  <c r="F45" i="14"/>
  <c r="E39" i="14"/>
  <c r="F39" i="14"/>
  <c r="E33" i="14"/>
  <c r="F33" i="14"/>
  <c r="E27" i="14"/>
  <c r="F27" i="14"/>
  <c r="E21" i="14"/>
  <c r="F21" i="14"/>
  <c r="E15" i="14"/>
  <c r="F15" i="14"/>
  <c r="E3" i="14"/>
  <c r="F3" i="14"/>
  <c r="H14" i="13"/>
  <c r="E14" i="13"/>
  <c r="H27" i="13"/>
  <c r="I27" i="13"/>
  <c r="E27" i="13"/>
  <c r="F27" i="13"/>
  <c r="E21" i="13"/>
  <c r="F21" i="13"/>
  <c r="H21" i="13"/>
  <c r="I21" i="13"/>
  <c r="H15" i="13"/>
  <c r="I15" i="13"/>
  <c r="E15" i="13"/>
  <c r="F15" i="13"/>
  <c r="H3" i="13"/>
  <c r="I3" i="13"/>
  <c r="E3" i="13"/>
  <c r="F3" i="13"/>
  <c r="E62" i="4"/>
  <c r="H86" i="4"/>
  <c r="H80" i="4"/>
  <c r="H74" i="4"/>
  <c r="H62" i="4"/>
  <c r="H68" i="4"/>
  <c r="F32" i="7"/>
  <c r="E32" i="7"/>
  <c r="F26" i="7"/>
  <c r="E26" i="7"/>
  <c r="F20" i="7"/>
  <c r="E20" i="7"/>
  <c r="F8" i="7"/>
  <c r="E8" i="7"/>
  <c r="F32" i="9"/>
  <c r="E32" i="9"/>
  <c r="F26" i="9"/>
  <c r="E26" i="9"/>
  <c r="F20" i="9"/>
  <c r="E20" i="9"/>
  <c r="F8" i="9"/>
  <c r="E8" i="9"/>
  <c r="M8" i="6"/>
  <c r="L8" i="6"/>
  <c r="M20" i="6"/>
  <c r="L20" i="6"/>
  <c r="M26" i="6"/>
  <c r="L26" i="6"/>
  <c r="M32" i="6"/>
  <c r="L32" i="6"/>
  <c r="F32" i="6"/>
  <c r="E32" i="6"/>
  <c r="F26" i="6"/>
  <c r="E26" i="6"/>
  <c r="F20" i="6"/>
  <c r="E20" i="6"/>
  <c r="F8" i="6"/>
  <c r="E8" i="6"/>
  <c r="L32" i="11"/>
  <c r="K32" i="11"/>
  <c r="I32" i="11"/>
  <c r="H32" i="11"/>
  <c r="L26" i="11"/>
  <c r="K26" i="11"/>
  <c r="I26" i="11"/>
  <c r="H26" i="11"/>
  <c r="L20" i="11"/>
  <c r="K20" i="11"/>
  <c r="I20" i="11"/>
  <c r="H20" i="11"/>
  <c r="L8" i="11"/>
  <c r="K8" i="11"/>
  <c r="I8" i="11"/>
  <c r="H8" i="11"/>
  <c r="F32" i="11"/>
  <c r="E32" i="11"/>
  <c r="F26" i="11"/>
  <c r="E26" i="11"/>
  <c r="F20" i="11"/>
  <c r="E20" i="11"/>
  <c r="F8" i="11"/>
  <c r="E8" i="11"/>
  <c r="H32" i="4"/>
  <c r="H26" i="4"/>
  <c r="H20" i="4"/>
  <c r="H8" i="4"/>
  <c r="E32" i="4"/>
  <c r="E26" i="4"/>
  <c r="E20" i="4"/>
  <c r="E8" i="4"/>
  <c r="T33" i="16"/>
  <c r="E33" i="16"/>
  <c r="H33" i="16"/>
  <c r="K33" i="16"/>
  <c r="W33" i="16"/>
  <c r="Z33" i="16"/>
  <c r="AC33" i="16"/>
  <c r="U33" i="16"/>
  <c r="F33" i="16"/>
  <c r="I33" i="16"/>
  <c r="L33" i="16"/>
  <c r="X33" i="16"/>
  <c r="AA33" i="16"/>
  <c r="AD33" i="16"/>
  <c r="T39" i="16"/>
  <c r="E39" i="16"/>
  <c r="H39" i="16"/>
  <c r="K39" i="16"/>
  <c r="W39" i="16"/>
  <c r="Z39" i="16"/>
  <c r="AC39" i="16"/>
  <c r="U39" i="16"/>
  <c r="F39" i="16"/>
  <c r="I39" i="16"/>
  <c r="L39" i="16"/>
  <c r="X39" i="16"/>
  <c r="AA39" i="16"/>
  <c r="AD39" i="16"/>
  <c r="T45" i="16"/>
  <c r="E45" i="16"/>
  <c r="H45" i="16"/>
  <c r="W45" i="16"/>
  <c r="Z45" i="16"/>
  <c r="AC45" i="16"/>
  <c r="U45" i="16"/>
  <c r="F45" i="16"/>
  <c r="I45" i="16"/>
  <c r="L45" i="16"/>
  <c r="X45" i="16"/>
  <c r="AA45" i="16"/>
  <c r="AD45" i="16"/>
  <c r="E63" i="14"/>
  <c r="F63" i="14"/>
  <c r="T63" i="16"/>
  <c r="E63" i="16"/>
  <c r="H63" i="16"/>
  <c r="K63" i="16"/>
  <c r="W63" i="16"/>
  <c r="Z63" i="16"/>
  <c r="AC63" i="16"/>
  <c r="U63" i="16"/>
  <c r="F63" i="16"/>
  <c r="I63" i="16"/>
  <c r="L63" i="16"/>
  <c r="X63" i="16"/>
  <c r="AA63" i="16"/>
  <c r="AD63" i="16"/>
  <c r="E69" i="14"/>
  <c r="F69" i="14"/>
  <c r="T69" i="16"/>
  <c r="E69" i="16"/>
  <c r="H69" i="16"/>
  <c r="K69" i="16"/>
  <c r="W69" i="16"/>
  <c r="Z69" i="16"/>
  <c r="AC69" i="16"/>
  <c r="U69" i="16"/>
  <c r="F69" i="16"/>
  <c r="I69" i="16"/>
  <c r="L69" i="16"/>
  <c r="X69" i="16"/>
  <c r="AA69" i="16"/>
  <c r="AD69" i="16"/>
  <c r="E75" i="14"/>
  <c r="F75" i="14"/>
  <c r="T75" i="16"/>
  <c r="E75" i="16"/>
  <c r="H75" i="16"/>
  <c r="K75" i="16"/>
  <c r="W75" i="16"/>
  <c r="Z75" i="16"/>
  <c r="AC75" i="16"/>
  <c r="U75" i="16"/>
  <c r="F75" i="16"/>
  <c r="I75" i="16"/>
  <c r="L75" i="16"/>
  <c r="X75" i="16"/>
  <c r="AA75" i="16"/>
  <c r="AD75" i="16"/>
  <c r="E81" i="14"/>
  <c r="F81" i="14"/>
  <c r="T81" i="16"/>
  <c r="E81" i="16"/>
  <c r="H81" i="16"/>
  <c r="K81" i="16"/>
  <c r="W81" i="16"/>
  <c r="Z81" i="16"/>
  <c r="AC81" i="16"/>
  <c r="U81" i="16"/>
  <c r="F81" i="16"/>
  <c r="I81" i="16"/>
  <c r="L81" i="16"/>
  <c r="X81" i="16"/>
  <c r="AA81" i="16"/>
  <c r="AD81" i="16"/>
  <c r="H33" i="13"/>
  <c r="I33" i="13"/>
  <c r="F33" i="15"/>
  <c r="I33" i="15"/>
  <c r="L33" i="15"/>
  <c r="X33" i="15"/>
  <c r="AA33" i="15"/>
  <c r="AD33" i="15"/>
  <c r="H39" i="13"/>
  <c r="I39" i="13"/>
  <c r="F39" i="15"/>
  <c r="I39" i="15"/>
  <c r="L39" i="15"/>
  <c r="X39" i="15"/>
  <c r="AA39" i="15"/>
  <c r="AD39" i="15"/>
  <c r="H45" i="13"/>
  <c r="I45" i="13"/>
  <c r="F45" i="15"/>
  <c r="I45" i="15"/>
  <c r="L45" i="15"/>
  <c r="X45" i="15"/>
  <c r="AA45" i="15"/>
  <c r="AD45" i="15"/>
  <c r="H62" i="13"/>
  <c r="H63" i="13"/>
  <c r="I63" i="13"/>
  <c r="F63" i="15"/>
  <c r="I63" i="15"/>
  <c r="L63" i="15"/>
  <c r="X63" i="15"/>
  <c r="AA63" i="15"/>
  <c r="AD63" i="15"/>
  <c r="H69" i="13"/>
  <c r="I69" i="13"/>
  <c r="F69" i="15"/>
  <c r="I69" i="15"/>
  <c r="L69" i="15"/>
  <c r="X69" i="15"/>
  <c r="AA69" i="15"/>
  <c r="AD69" i="15"/>
  <c r="H75" i="13"/>
  <c r="I75" i="13"/>
  <c r="F75" i="15"/>
  <c r="I75" i="15"/>
  <c r="L75" i="15"/>
  <c r="X75" i="15"/>
  <c r="AA75" i="15"/>
  <c r="AD75" i="15"/>
  <c r="H81" i="13"/>
  <c r="I81" i="13"/>
  <c r="F81" i="15"/>
  <c r="I81" i="15"/>
  <c r="L81" i="15"/>
  <c r="X81" i="15"/>
  <c r="AA81" i="15"/>
  <c r="AD81" i="15"/>
  <c r="E33" i="13"/>
  <c r="F33" i="13"/>
  <c r="E33" i="15"/>
  <c r="H33" i="15"/>
  <c r="K33" i="15"/>
  <c r="W33" i="15"/>
  <c r="Z33" i="15"/>
  <c r="AC33" i="15"/>
  <c r="E39" i="13"/>
  <c r="F39" i="13"/>
  <c r="E39" i="15"/>
  <c r="H39" i="15"/>
  <c r="K39" i="15"/>
  <c r="W39" i="15"/>
  <c r="Z39" i="15"/>
  <c r="AC39" i="15"/>
  <c r="E45" i="13"/>
  <c r="F45" i="13"/>
  <c r="E45" i="15"/>
  <c r="K45" i="15"/>
  <c r="W45" i="15"/>
  <c r="Z45" i="15"/>
  <c r="AC45" i="15"/>
  <c r="E62" i="13"/>
  <c r="E63" i="13"/>
  <c r="F63" i="13"/>
  <c r="E63" i="15"/>
  <c r="H63" i="15"/>
  <c r="K63" i="15"/>
  <c r="W63" i="15"/>
  <c r="Z63" i="15"/>
  <c r="AC63" i="15"/>
  <c r="E69" i="13"/>
  <c r="F69" i="13"/>
  <c r="E69" i="15"/>
  <c r="H69" i="15"/>
  <c r="K69" i="15"/>
  <c r="W69" i="15"/>
  <c r="Z69" i="15"/>
  <c r="AC69" i="15"/>
  <c r="E75" i="13"/>
  <c r="F75" i="13"/>
  <c r="E75" i="15"/>
  <c r="H75" i="15"/>
  <c r="K75" i="15"/>
  <c r="W75" i="15"/>
  <c r="Z75" i="15"/>
  <c r="AC75" i="15"/>
  <c r="E81" i="13"/>
  <c r="F81" i="13"/>
  <c r="E81" i="15"/>
  <c r="H81" i="15"/>
  <c r="K81" i="15"/>
  <c r="W81" i="15"/>
  <c r="Z81" i="15"/>
  <c r="AC81" i="15"/>
  <c r="R82" i="14"/>
  <c r="R76" i="14"/>
  <c r="R70" i="14"/>
  <c r="R64" i="14"/>
  <c r="R46" i="14"/>
  <c r="R40" i="14"/>
  <c r="R34" i="14"/>
  <c r="R28" i="14"/>
  <c r="R22" i="14"/>
  <c r="Q82" i="14"/>
  <c r="Q76" i="14"/>
  <c r="Q70" i="14"/>
  <c r="Q64" i="14"/>
  <c r="Q46" i="14"/>
  <c r="Q40" i="14"/>
  <c r="Q34" i="14"/>
  <c r="Q28" i="14"/>
  <c r="Q22" i="14"/>
  <c r="R34" i="13"/>
  <c r="R46" i="13"/>
  <c r="R40" i="13"/>
  <c r="Q22" i="13"/>
  <c r="R28" i="13"/>
  <c r="R22" i="13"/>
  <c r="R64" i="13"/>
  <c r="R70" i="13"/>
  <c r="R76" i="13"/>
  <c r="R82" i="13"/>
  <c r="Q82" i="13"/>
  <c r="Q76" i="13"/>
  <c r="Q70" i="13"/>
  <c r="Q64" i="13"/>
  <c r="Q46" i="13"/>
  <c r="Q40" i="13"/>
  <c r="Q34" i="13"/>
  <c r="Q28" i="13"/>
  <c r="R82" i="4"/>
  <c r="R76" i="4"/>
  <c r="R70" i="4"/>
  <c r="R64" i="4"/>
  <c r="R46" i="4"/>
  <c r="R40" i="4"/>
  <c r="R34" i="4"/>
  <c r="R28" i="4"/>
  <c r="R22" i="4"/>
  <c r="Q82" i="4"/>
  <c r="Q76" i="4"/>
  <c r="Q70" i="4"/>
  <c r="Q64" i="4"/>
  <c r="Q46" i="4"/>
  <c r="Q40" i="4"/>
  <c r="Q34" i="4"/>
  <c r="Q28" i="4"/>
  <c r="Q22" i="4"/>
  <c r="N23" i="3"/>
  <c r="N22" i="3"/>
  <c r="I23" i="3"/>
  <c r="I22" i="3"/>
  <c r="D23" i="3"/>
  <c r="D22" i="3"/>
  <c r="M23" i="3"/>
  <c r="M22" i="3"/>
  <c r="H23" i="3"/>
  <c r="H22" i="3"/>
  <c r="C23" i="3"/>
  <c r="C22" i="3"/>
  <c r="R16" i="14"/>
  <c r="Q16" i="14"/>
  <c r="R4" i="14"/>
  <c r="Q4" i="14"/>
  <c r="R16" i="13"/>
  <c r="Q16" i="13"/>
  <c r="R4" i="13"/>
  <c r="Q4" i="13"/>
  <c r="R16" i="4"/>
  <c r="R4" i="4"/>
  <c r="Q16" i="4"/>
  <c r="Q4" i="4"/>
  <c r="P32" i="6"/>
  <c r="D6" i="5"/>
  <c r="H6" i="5"/>
  <c r="I6" i="5"/>
  <c r="N23" i="5"/>
  <c r="M23" i="5"/>
  <c r="E6" i="5"/>
  <c r="N17" i="5"/>
  <c r="M17" i="5"/>
  <c r="D7" i="5"/>
  <c r="E7" i="5"/>
  <c r="H7" i="5"/>
  <c r="I7" i="5"/>
  <c r="N10" i="5"/>
  <c r="M10" i="5"/>
  <c r="N24" i="5"/>
  <c r="N22" i="5"/>
  <c r="N21" i="5"/>
  <c r="N20" i="5"/>
  <c r="N19" i="5"/>
  <c r="N18" i="5"/>
  <c r="N16" i="5"/>
  <c r="N15" i="5"/>
  <c r="N14" i="5"/>
  <c r="N13" i="5"/>
  <c r="N12" i="5"/>
  <c r="N11" i="5"/>
  <c r="N9" i="5"/>
  <c r="N8" i="5"/>
  <c r="N7" i="5"/>
  <c r="M22" i="5"/>
  <c r="M21" i="5"/>
  <c r="M20" i="5"/>
  <c r="M19" i="5"/>
  <c r="M18" i="5"/>
  <c r="M16" i="5"/>
  <c r="M15" i="5"/>
  <c r="M14" i="5"/>
  <c r="M13" i="5"/>
  <c r="M12" i="5"/>
  <c r="M11" i="5"/>
  <c r="M9" i="5"/>
  <c r="M8" i="5"/>
  <c r="M7" i="5"/>
  <c r="I5" i="5"/>
  <c r="H5" i="5"/>
  <c r="I4" i="5"/>
  <c r="H4" i="5"/>
  <c r="I3" i="5"/>
  <c r="H3" i="5"/>
  <c r="I2" i="5"/>
  <c r="H2" i="5"/>
  <c r="E5" i="5"/>
  <c r="D5" i="5"/>
  <c r="E4" i="5"/>
  <c r="D4" i="5"/>
  <c r="E3" i="5"/>
  <c r="D3" i="5"/>
  <c r="E2" i="5"/>
  <c r="D2" i="5"/>
  <c r="M24" i="5"/>
  <c r="N6" i="5"/>
  <c r="M6" i="5"/>
  <c r="N5" i="5"/>
  <c r="M5" i="5"/>
  <c r="N4" i="5"/>
  <c r="M4" i="5"/>
  <c r="N3" i="5"/>
  <c r="M3" i="5"/>
  <c r="N2" i="5"/>
  <c r="M2" i="5"/>
  <c r="N21" i="3"/>
  <c r="I21" i="3"/>
  <c r="M21" i="3"/>
  <c r="H21" i="3"/>
  <c r="D21" i="3"/>
  <c r="C21" i="3"/>
  <c r="D20" i="3"/>
  <c r="N20" i="3"/>
  <c r="N19" i="3"/>
  <c r="I20" i="3"/>
  <c r="I19" i="3"/>
  <c r="I18" i="3"/>
  <c r="D19" i="3"/>
  <c r="M20" i="3"/>
  <c r="M19" i="3"/>
  <c r="H20" i="3"/>
  <c r="H19" i="3"/>
  <c r="C20" i="3"/>
  <c r="C19" i="3"/>
  <c r="N18" i="3"/>
  <c r="M18" i="3"/>
  <c r="D18" i="3"/>
  <c r="H18" i="3"/>
  <c r="C18" i="3"/>
</calcChain>
</file>

<file path=xl/sharedStrings.xml><?xml version="1.0" encoding="utf-8"?>
<sst xmlns="http://schemas.openxmlformats.org/spreadsheetml/2006/main" count="1185" uniqueCount="105">
  <si>
    <t>5..10</t>
  </si>
  <si>
    <t>0..5</t>
  </si>
  <si>
    <t>10..30</t>
  </si>
  <si>
    <t>30..60</t>
  </si>
  <si>
    <t>v2_corr</t>
  </si>
  <si>
    <t>v2_corr_err</t>
  </si>
  <si>
    <t>npart</t>
  </si>
  <si>
    <t>ncoll</t>
  </si>
  <si>
    <t>cBin</t>
  </si>
  <si>
    <t>HFm_corr</t>
  </si>
  <si>
    <t>HFm_corr_err</t>
  </si>
  <si>
    <t>HFm_v2</t>
  </si>
  <si>
    <t>HFm_v2_err</t>
  </si>
  <si>
    <t>HFp_corr</t>
  </si>
  <si>
    <t>HFp_corr_err</t>
  </si>
  <si>
    <t>HFp_v2</t>
  </si>
  <si>
    <t>HFp_v2_err</t>
  </si>
  <si>
    <t>10..60</t>
  </si>
  <si>
    <t>|y|</t>
  </si>
  <si>
    <t>pT</t>
  </si>
  <si>
    <t>centrality</t>
  </si>
  <si>
    <t>0.0-2.4</t>
  </si>
  <si>
    <t>6.5-10</t>
  </si>
  <si>
    <t>10.0-40.0</t>
  </si>
  <si>
    <t>0.0-1.2</t>
  </si>
  <si>
    <t>6.5-40</t>
  </si>
  <si>
    <t>1.6-2.4</t>
  </si>
  <si>
    <t>3.0-6.5</t>
  </si>
  <si>
    <t>etHF (21)</t>
  </si>
  <si>
    <t>centBin_low</t>
  </si>
  <si>
    <t>centBin_high</t>
  </si>
  <si>
    <t>correction</t>
  </si>
  <si>
    <t>correction_err</t>
  </si>
  <si>
    <t>etHFp (22)</t>
  </si>
  <si>
    <t>etHFm (23)</t>
  </si>
  <si>
    <t>0..10</t>
  </si>
  <si>
    <t>3-6.5</t>
  </si>
  <si>
    <t>6.5-8</t>
  </si>
  <si>
    <t>8--10</t>
  </si>
  <si>
    <t>10.0-13.0</t>
  </si>
  <si>
    <t>13.0-40.0</t>
  </si>
  <si>
    <t>10--13</t>
  </si>
  <si>
    <t>13-40</t>
  </si>
  <si>
    <t>10--40</t>
  </si>
  <si>
    <t>6.5--10</t>
  </si>
  <si>
    <t>13--40</t>
  </si>
  <si>
    <t>6.5-10.0</t>
  </si>
  <si>
    <t>6.5--40</t>
  </si>
  <si>
    <t>phiBin</t>
  </si>
  <si>
    <t>0-0.393</t>
  </si>
  <si>
    <t>0.393-0.785</t>
  </si>
  <si>
    <t>0-1.571</t>
  </si>
  <si>
    <t>0.785-1.178</t>
  </si>
  <si>
    <t>1.178-1.571</t>
  </si>
  <si>
    <t>30-60</t>
  </si>
  <si>
    <t>|y|&lt;2.4</t>
  </si>
  <si>
    <t>10..20</t>
  </si>
  <si>
    <t>20..30</t>
  </si>
  <si>
    <t>SignalShape: CB only</t>
  </si>
  <si>
    <t>BkgShape: pol</t>
  </si>
  <si>
    <t>FitMethod:constrained</t>
  </si>
  <si>
    <t>HLT_HIL1DoubleMu0_HighQ</t>
  </si>
  <si>
    <t>No flattening</t>
  </si>
  <si>
    <t>Nsig_HFp</t>
  </si>
  <si>
    <t>NSig_HFm</t>
  </si>
  <si>
    <t>v2</t>
  </si>
  <si>
    <t>v2_err</t>
  </si>
  <si>
    <t>INCLUSIVE</t>
  </si>
  <si>
    <t>Nsig_HFm</t>
  </si>
  <si>
    <t>errNsig_HF</t>
  </si>
  <si>
    <t>errNSig_HFm</t>
  </si>
  <si>
    <t>HLT_HIL1DoubleMu0_HighQ+NoCowboy</t>
  </si>
  <si>
    <t>errNew_HFp</t>
  </si>
  <si>
    <t>errNew_HFm</t>
  </si>
  <si>
    <t>NON-PROMPT</t>
  </si>
  <si>
    <t>PROMPT</t>
  </si>
  <si>
    <t>8..10</t>
  </si>
  <si>
    <t>10..40</t>
  </si>
  <si>
    <t>6.5..10</t>
  </si>
  <si>
    <t>6.5..40</t>
  </si>
  <si>
    <t>|y|&lt;1.2</t>
  </si>
  <si>
    <t>y[1.6,2.4]</t>
  </si>
  <si>
    <t>|y|[1.2,1.6]</t>
  </si>
  <si>
    <t>3..6.5</t>
  </si>
  <si>
    <t>bFrac</t>
  </si>
  <si>
    <t>bFrac_Err</t>
  </si>
  <si>
    <t>zvtx&lt;10</t>
  </si>
  <si>
    <t>fix resolution to MC</t>
  </si>
  <si>
    <t>1 Gauss for resolution</t>
  </si>
  <si>
    <t>1 Gauss Resolution</t>
  </si>
  <si>
    <t>Fix Resolution to MC</t>
  </si>
  <si>
    <t>zVtx&lt;10</t>
  </si>
  <si>
    <t>trigger bias</t>
  </si>
  <si>
    <t>Non-flat</t>
  </si>
  <si>
    <t>trigger bias 2</t>
  </si>
  <si>
    <t>RMS</t>
  </si>
  <si>
    <t>SgnShape:CB</t>
  </si>
  <si>
    <t>nominalNormalized</t>
  </si>
  <si>
    <t>nominal_normalized</t>
  </si>
  <si>
    <t>HFp</t>
  </si>
  <si>
    <t>HFm</t>
  </si>
  <si>
    <t>yieldNormalized</t>
  </si>
  <si>
    <t>errYieldNormalized</t>
  </si>
  <si>
    <t>HFp_err</t>
  </si>
  <si>
    <t>HFm_err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</si>
</sst>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color rgb="FF000000"/>
      <name val="Arial"/>
    </font>
    <font>
      <sz val="14"/>
      <color rgb="FF000000"/>
      <name val="Calibri"/>
      <scheme val="minor"/>
    </font>
    <font>
      <sz val="14"/>
      <color rgb="FF000000"/>
      <name val="Arial"/>
    </font>
    <font>
      <sz val="12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1" tint="0.499984740745262"/>
        <bgColor rgb="FF000000"/>
      </patternFill>
    </fill>
  </fills>
  <borders count="1">
    <border>
      <left/>
      <right/>
      <top/>
      <bottom/>
      <diagonal/>
    </border>
  </borders>
  <cellStyleXfs count="8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2">
    <xf numFmtId="0" fontId="0" fillId="0" borderId="0" xfId="0"/>
    <xf numFmtId="0" fontId="3" fillId="6" borderId="0" xfId="0" applyFont="1" applyFill="1"/>
    <xf numFmtId="164" fontId="3" fillId="0" borderId="0" xfId="0" applyNumberFormat="1" applyFont="1"/>
    <xf numFmtId="164" fontId="3" fillId="0" borderId="0" xfId="0" applyNumberFormat="1" applyFont="1" applyFill="1"/>
    <xf numFmtId="164" fontId="3" fillId="2" borderId="0" xfId="0" applyNumberFormat="1" applyFont="1" applyFill="1"/>
    <xf numFmtId="164" fontId="3" fillId="3" borderId="0" xfId="0" applyNumberFormat="1" applyFont="1" applyFill="1"/>
    <xf numFmtId="0" fontId="3" fillId="0" borderId="0" xfId="0" applyFont="1"/>
    <xf numFmtId="164" fontId="3" fillId="5" borderId="0" xfId="0" applyNumberFormat="1" applyFont="1" applyFill="1"/>
    <xf numFmtId="164" fontId="3" fillId="4" borderId="0" xfId="0" applyNumberFormat="1" applyFont="1" applyFill="1"/>
    <xf numFmtId="16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0" fontId="5" fillId="2" borderId="0" xfId="0" applyFont="1" applyFill="1"/>
    <xf numFmtId="0" fontId="5" fillId="3" borderId="0" xfId="0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0" fontId="6" fillId="3" borderId="0" xfId="0" applyFont="1" applyFill="1"/>
    <xf numFmtId="0" fontId="6" fillId="5" borderId="0" xfId="0" applyFont="1" applyFill="1"/>
    <xf numFmtId="0" fontId="6" fillId="4" borderId="0" xfId="0" applyFont="1" applyFill="1"/>
    <xf numFmtId="164" fontId="3" fillId="10" borderId="0" xfId="0" applyNumberFormat="1" applyFont="1" applyFill="1"/>
    <xf numFmtId="0" fontId="5" fillId="8" borderId="0" xfId="0" applyFont="1" applyFill="1"/>
    <xf numFmtId="0" fontId="6" fillId="8" borderId="0" xfId="0" applyFont="1" applyFill="1"/>
    <xf numFmtId="164" fontId="5" fillId="3" borderId="0" xfId="0" applyNumberFormat="1" applyFont="1" applyFill="1"/>
    <xf numFmtId="0" fontId="4" fillId="10" borderId="0" xfId="0" applyFont="1" applyFill="1"/>
    <xf numFmtId="0" fontId="6" fillId="10" borderId="0" xfId="0" applyFont="1" applyFill="1"/>
    <xf numFmtId="0" fontId="4" fillId="9" borderId="0" xfId="0" applyFont="1" applyFill="1"/>
    <xf numFmtId="164" fontId="5" fillId="0" borderId="0" xfId="0" applyNumberFormat="1" applyFont="1"/>
    <xf numFmtId="0" fontId="5" fillId="0" borderId="0" xfId="0" applyFont="1"/>
    <xf numFmtId="0" fontId="3" fillId="2" borderId="0" xfId="0" applyFont="1" applyFill="1"/>
    <xf numFmtId="0" fontId="3" fillId="4" borderId="0" xfId="0" applyFont="1" applyFill="1"/>
    <xf numFmtId="164" fontId="5" fillId="11" borderId="0" xfId="0" applyNumberFormat="1" applyFont="1" applyFill="1"/>
    <xf numFmtId="0" fontId="5" fillId="11" borderId="0" xfId="0" applyFont="1" applyFill="1"/>
    <xf numFmtId="164" fontId="5" fillId="7" borderId="0" xfId="0" applyNumberFormat="1" applyFont="1" applyFill="1"/>
    <xf numFmtId="0" fontId="3" fillId="7" borderId="0" xfId="0" applyFont="1" applyFill="1"/>
    <xf numFmtId="0" fontId="5" fillId="7" borderId="0" xfId="0" applyFont="1" applyFill="1"/>
    <xf numFmtId="0" fontId="3" fillId="3" borderId="0" xfId="0" applyFont="1" applyFill="1"/>
    <xf numFmtId="0" fontId="0" fillId="2" borderId="0" xfId="0" applyFill="1"/>
    <xf numFmtId="0" fontId="0" fillId="4" borderId="0" xfId="0" applyFill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5" fillId="16" borderId="0" xfId="0" applyFont="1" applyFill="1"/>
    <xf numFmtId="0" fontId="5" fillId="17" borderId="0" xfId="0" applyFont="1" applyFill="1"/>
    <xf numFmtId="0" fontId="3" fillId="0" borderId="0" xfId="0" applyFont="1" applyFill="1"/>
    <xf numFmtId="0" fontId="7" fillId="18" borderId="0" xfId="0" applyFont="1" applyFill="1"/>
    <xf numFmtId="0" fontId="5" fillId="19" borderId="0" xfId="0" applyFont="1" applyFill="1"/>
    <xf numFmtId="0" fontId="0" fillId="19" borderId="0" xfId="0" applyFill="1"/>
    <xf numFmtId="164" fontId="5" fillId="19" borderId="0" xfId="0" applyNumberFormat="1" applyFont="1" applyFill="1"/>
    <xf numFmtId="0" fontId="5" fillId="20" borderId="0" xfId="0" applyFont="1" applyFill="1"/>
    <xf numFmtId="164" fontId="5" fillId="20" borderId="0" xfId="0" applyNumberFormat="1" applyFont="1" applyFill="1"/>
    <xf numFmtId="0" fontId="5" fillId="21" borderId="0" xfId="0" applyFont="1" applyFill="1"/>
    <xf numFmtId="0" fontId="0" fillId="22" borderId="0" xfId="0" applyFill="1"/>
    <xf numFmtId="164" fontId="5" fillId="21" borderId="0" xfId="0" applyNumberFormat="1" applyFont="1" applyFill="1"/>
    <xf numFmtId="0" fontId="5" fillId="24" borderId="0" xfId="0" applyFont="1" applyFill="1"/>
    <xf numFmtId="0" fontId="0" fillId="23" borderId="0" xfId="0" applyFill="1"/>
    <xf numFmtId="164" fontId="5" fillId="24" borderId="0" xfId="0" applyNumberFormat="1" applyFont="1" applyFill="1"/>
    <xf numFmtId="0" fontId="5" fillId="26" borderId="0" xfId="0" applyFont="1" applyFill="1"/>
    <xf numFmtId="0" fontId="0" fillId="25" borderId="0" xfId="0" applyFill="1"/>
    <xf numFmtId="164" fontId="5" fillId="26" borderId="0" xfId="0" applyNumberFormat="1" applyFont="1" applyFill="1"/>
    <xf numFmtId="0" fontId="5" fillId="27" borderId="0" xfId="0" applyFont="1" applyFill="1"/>
    <xf numFmtId="164" fontId="5" fillId="27" borderId="0" xfId="0" applyNumberFormat="1" applyFont="1" applyFill="1"/>
    <xf numFmtId="0" fontId="0" fillId="28" borderId="0" xfId="0" applyFill="1"/>
    <xf numFmtId="0" fontId="5" fillId="29" borderId="0" xfId="0" applyFont="1" applyFill="1"/>
    <xf numFmtId="164" fontId="5" fillId="29" borderId="0" xfId="0" applyNumberFormat="1" applyFont="1" applyFill="1"/>
    <xf numFmtId="0" fontId="0" fillId="7" borderId="0" xfId="0" applyFill="1"/>
    <xf numFmtId="0" fontId="5" fillId="30" borderId="0" xfId="0" applyFont="1" applyFill="1"/>
    <xf numFmtId="164" fontId="5" fillId="30" borderId="0" xfId="0" applyNumberFormat="1" applyFont="1" applyFill="1"/>
    <xf numFmtId="0" fontId="5" fillId="31" borderId="0" xfId="0" applyFont="1" applyFill="1"/>
    <xf numFmtId="164" fontId="5" fillId="31" borderId="0" xfId="0" applyNumberFormat="1" applyFont="1" applyFill="1"/>
    <xf numFmtId="0" fontId="3" fillId="32" borderId="0" xfId="0" applyFont="1" applyFill="1"/>
    <xf numFmtId="164" fontId="3" fillId="32" borderId="0" xfId="0" applyNumberFormat="1" applyFont="1" applyFill="1" applyAlignment="1">
      <alignment vertical="center"/>
    </xf>
    <xf numFmtId="0" fontId="5" fillId="34" borderId="0" xfId="0" applyFont="1" applyFill="1"/>
    <xf numFmtId="0" fontId="3" fillId="28" borderId="0" xfId="0" applyFont="1" applyFill="1"/>
    <xf numFmtId="164" fontId="3" fillId="7" borderId="0" xfId="0" applyNumberFormat="1" applyFont="1" applyFill="1" applyAlignment="1">
      <alignment vertical="center"/>
    </xf>
    <xf numFmtId="0" fontId="7" fillId="30" borderId="0" xfId="0" applyFont="1" applyFill="1"/>
    <xf numFmtId="164" fontId="3" fillId="7" borderId="0" xfId="0" applyNumberFormat="1" applyFont="1" applyFill="1"/>
    <xf numFmtId="164" fontId="3" fillId="28" borderId="0" xfId="0" applyNumberFormat="1" applyFont="1" applyFill="1"/>
    <xf numFmtId="0" fontId="5" fillId="32" borderId="0" xfId="0" applyFont="1" applyFill="1"/>
    <xf numFmtId="0" fontId="7" fillId="34" borderId="0" xfId="0" applyFont="1" applyFill="1"/>
    <xf numFmtId="0" fontId="0" fillId="32" borderId="0" xfId="0" applyFill="1"/>
    <xf numFmtId="0" fontId="0" fillId="0" borderId="0" xfId="0" applyFill="1"/>
    <xf numFmtId="0" fontId="5" fillId="0" borderId="0" xfId="0" applyFont="1" applyFill="1"/>
    <xf numFmtId="164" fontId="5" fillId="0" borderId="0" xfId="0" applyNumberFormat="1" applyFont="1" applyFill="1"/>
    <xf numFmtId="0" fontId="7" fillId="0" borderId="0" xfId="0" applyFont="1" applyFill="1"/>
    <xf numFmtId="164" fontId="3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4" fontId="3" fillId="32" borderId="0" xfId="0" applyNumberFormat="1" applyFont="1" applyFill="1"/>
    <xf numFmtId="0" fontId="3" fillId="32" borderId="0" xfId="0" applyFont="1" applyFill="1" applyAlignment="1">
      <alignment vertical="center"/>
    </xf>
    <xf numFmtId="0" fontId="0" fillId="3" borderId="0" xfId="0" applyFill="1"/>
    <xf numFmtId="0" fontId="7" fillId="32" borderId="0" xfId="0" applyFont="1" applyFill="1"/>
    <xf numFmtId="164" fontId="5" fillId="32" borderId="0" xfId="0" applyNumberFormat="1" applyFont="1" applyFill="1" applyAlignment="1">
      <alignment vertical="center"/>
    </xf>
    <xf numFmtId="0" fontId="5" fillId="32" borderId="0" xfId="0" applyFont="1" applyFill="1" applyAlignment="1">
      <alignment vertical="center"/>
    </xf>
    <xf numFmtId="0" fontId="7" fillId="7" borderId="0" xfId="0" applyFont="1" applyFill="1"/>
    <xf numFmtId="164" fontId="5" fillId="7" borderId="0" xfId="0" applyNumberFormat="1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7" fillId="3" borderId="0" xfId="0" applyFont="1" applyFill="1"/>
    <xf numFmtId="0" fontId="7" fillId="28" borderId="0" xfId="0" applyFont="1" applyFill="1"/>
    <xf numFmtId="164" fontId="5" fillId="28" borderId="0" xfId="0" applyNumberFormat="1" applyFont="1" applyFill="1" applyAlignment="1">
      <alignment vertical="center"/>
    </xf>
    <xf numFmtId="0" fontId="5" fillId="28" borderId="0" xfId="0" applyFont="1" applyFill="1"/>
    <xf numFmtId="0" fontId="7" fillId="17" borderId="0" xfId="0" applyFont="1" applyFill="1"/>
    <xf numFmtId="0" fontId="7" fillId="33" borderId="0" xfId="0" applyFont="1" applyFill="1"/>
    <xf numFmtId="0" fontId="5" fillId="6" borderId="0" xfId="0" applyFont="1" applyFill="1"/>
    <xf numFmtId="164" fontId="5" fillId="3" borderId="0" xfId="0" applyNumberFormat="1" applyFont="1" applyFill="1" applyAlignment="1">
      <alignment vertical="center"/>
    </xf>
    <xf numFmtId="166" fontId="3" fillId="32" borderId="0" xfId="0" applyNumberFormat="1" applyFont="1" applyFill="1"/>
    <xf numFmtId="166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3" fillId="28" borderId="0" xfId="0" applyNumberFormat="1" applyFont="1" applyFill="1" applyAlignment="1">
      <alignment horizontal="center" vertical="center"/>
    </xf>
    <xf numFmtId="164" fontId="5" fillId="28" borderId="0" xfId="0" applyNumberFormat="1" applyFont="1" applyFill="1" applyAlignment="1">
      <alignment horizontal="center" vertical="center"/>
    </xf>
    <xf numFmtId="0" fontId="5" fillId="28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" fontId="7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8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showRuler="0" workbookViewId="0">
      <pane xSplit="4" topLeftCell="E1" activePane="topRight" state="frozen"/>
      <selection pane="topRight" activeCell="J4" sqref="J4"/>
    </sheetView>
  </sheetViews>
  <sheetFormatPr baseColWidth="10" defaultRowHeight="18" x14ac:dyDescent="0"/>
  <cols>
    <col min="1" max="3" width="10.83203125" style="46"/>
    <col min="4" max="4" width="13.5" style="46" customWidth="1"/>
    <col min="5" max="5" width="10.83203125" style="46"/>
    <col min="6" max="6" width="14.1640625" style="46" customWidth="1"/>
    <col min="7" max="7" width="13.6640625" style="46" customWidth="1"/>
    <col min="8" max="8" width="10.5" style="46" customWidth="1"/>
    <col min="9" max="9" width="13.33203125" style="46" customWidth="1"/>
    <col min="10" max="10" width="13.1640625" style="46" customWidth="1"/>
    <col min="11" max="11" width="10.83203125" style="46"/>
    <col min="12" max="12" width="11.1640625" style="46" bestFit="1" customWidth="1"/>
    <col min="13" max="13" width="13" style="46" customWidth="1"/>
    <col min="14" max="14" width="10.83203125" style="46"/>
    <col min="15" max="15" width="12.83203125" style="46" customWidth="1"/>
    <col min="16" max="25" width="10.83203125" style="46"/>
    <col min="26" max="26" width="11.1640625" style="46" bestFit="1" customWidth="1"/>
    <col min="27" max="16384" width="10.83203125" style="46"/>
  </cols>
  <sheetData>
    <row r="1" spans="1:27">
      <c r="J1" s="1"/>
      <c r="K1" s="1" t="s">
        <v>67</v>
      </c>
      <c r="L1" s="1"/>
      <c r="X1" s="3" t="s">
        <v>101</v>
      </c>
      <c r="Z1" s="46" t="s">
        <v>102</v>
      </c>
    </row>
    <row r="2" spans="1:27" s="3" customFormat="1">
      <c r="A2" s="3" t="s">
        <v>18</v>
      </c>
      <c r="B2" s="3" t="s">
        <v>19</v>
      </c>
      <c r="C2" s="3" t="s">
        <v>20</v>
      </c>
      <c r="D2" s="3" t="s">
        <v>48</v>
      </c>
      <c r="E2" s="3" t="s">
        <v>63</v>
      </c>
      <c r="F2" s="3" t="s">
        <v>69</v>
      </c>
      <c r="G2" s="3" t="s">
        <v>72</v>
      </c>
      <c r="H2" s="3" t="s">
        <v>68</v>
      </c>
      <c r="I2" s="3" t="s">
        <v>70</v>
      </c>
      <c r="J2" s="3" t="s">
        <v>73</v>
      </c>
      <c r="L2" s="3" t="s">
        <v>15</v>
      </c>
      <c r="M2" s="3" t="s">
        <v>16</v>
      </c>
      <c r="N2" s="3" t="s">
        <v>11</v>
      </c>
      <c r="O2" s="46" t="s">
        <v>12</v>
      </c>
      <c r="Q2" s="3" t="s">
        <v>65</v>
      </c>
      <c r="R2" s="3" t="s">
        <v>66</v>
      </c>
      <c r="U2" s="3" t="s">
        <v>84</v>
      </c>
      <c r="V2" s="3" t="s">
        <v>85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 s="3" customFormat="1">
      <c r="A3" s="113" t="s">
        <v>55</v>
      </c>
      <c r="B3" s="113" t="s">
        <v>25</v>
      </c>
      <c r="C3" s="113" t="s">
        <v>35</v>
      </c>
      <c r="D3" s="85" t="s">
        <v>51</v>
      </c>
      <c r="E3" s="67">
        <v>1453.04</v>
      </c>
      <c r="F3" s="67">
        <v>45.721400000000003</v>
      </c>
      <c r="G3" s="87"/>
      <c r="H3" s="67">
        <v>1326.7</v>
      </c>
      <c r="I3" s="67">
        <v>44.006500000000003</v>
      </c>
      <c r="J3" s="87"/>
      <c r="K3" s="83"/>
      <c r="L3" s="87"/>
      <c r="M3" s="87"/>
      <c r="N3" s="87"/>
      <c r="O3" s="46"/>
      <c r="U3" s="67">
        <v>0.26973000000000003</v>
      </c>
      <c r="V3" s="67">
        <v>1.2332600000000001E-2</v>
      </c>
    </row>
    <row r="4" spans="1:27" s="3" customFormat="1">
      <c r="A4" s="113"/>
      <c r="B4" s="113"/>
      <c r="C4" s="113"/>
      <c r="D4" s="3" t="s">
        <v>49</v>
      </c>
      <c r="E4" s="67">
        <v>382.66</v>
      </c>
      <c r="F4" s="67">
        <v>23.063600000000001</v>
      </c>
      <c r="G4" s="87">
        <f>SQRT(POWER(Z4,2)+(POWER(E4/$E$8-fitSyst_Inclusive!E4/fitSyst_Inclusive!$E$8,2)+POWER(E4/$E$8-fitSyst_Inclusive!H4/fitSyst_Inclusive!$H$8,2)+POWER(E4/$E$8-fitSyst_Inclusive!K4/fitSyst_Inclusive!$K$8,2)+POWER(E4/$E$8-trgBiassing!E4/trgBiassing!$E$8,2)+POWER(E4/$E$8-trgBiassing!L4/trgBiassing!$L$8,2)+POWER(E4/$E$8-epSystematic!E4/epSystematic!$E$8,2)+POWER(E4/$E$8-zVtx_cut_10cm!E4/zVtx_cut_10cm!$E$8,2))/(7*POWER(PI()/8,2)))</f>
        <v>5.5437704711022509E-2</v>
      </c>
      <c r="H4" s="67">
        <v>354.029</v>
      </c>
      <c r="I4" s="67">
        <v>21.851400000000002</v>
      </c>
      <c r="J4" s="87">
        <f>SQRT(POWER(AA4,2)+(POWER(H4/$H$8-fitSyst_Inclusive!F4/fitSyst_Inclusive!$F$8,2)+POWER(H4/$H$8-fitSyst_Inclusive!I4/fitSyst_Inclusive!$I$8,2)+POWER(H4/$H$8-fitSyst_Inclusive!L4/fitSyst_Inclusive!$L$8,2)+POWER(H4/$H$8-trgBiassing!F4/trgBiassing!$F$8,2)+POWER(H4/$H$8-trgBiassing!M4/trgBiassing!$M$8,2)+POWER(H4/$H$8-epSystematic!F4/epSystematic!$F$8,2)+POWER(H4/$H$8-zVtx_cut_10cm!F4/zVtx_cut_10cm!$F$8,2))/(7*POWER(PI()/8,2)))</f>
        <v>4.3556942815564104E-2</v>
      </c>
      <c r="K4" s="83"/>
      <c r="L4" s="111">
        <v>2.6942000000000001E-2</v>
      </c>
      <c r="M4" s="111">
        <v>2.1938099999999999E-2</v>
      </c>
      <c r="N4" s="111">
        <v>2.1839500000000001E-2</v>
      </c>
      <c r="O4" s="111">
        <v>2.2655600000000001E-2</v>
      </c>
      <c r="P4" s="113"/>
      <c r="Q4" s="112">
        <f xml:space="preserve"> (L4/ep_CorrectionFactors!H21+N4/ep_CorrectionFactors!M21)/2</f>
        <v>3.8739706058880385E-2</v>
      </c>
      <c r="R4" s="112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2.5037297459527267E-2</v>
      </c>
      <c r="S4" s="113"/>
      <c r="T4" s="113"/>
      <c r="U4" s="67">
        <v>0.295047</v>
      </c>
      <c r="V4" s="67">
        <v>2.40731E-2</v>
      </c>
      <c r="X4" s="3">
        <f xml:space="preserve"> E4/($E$8*PI()/8)</f>
        <v>0.67911030913351422</v>
      </c>
      <c r="Y4" s="3">
        <f xml:space="preserve"> H4/($H$8*PI()/8)</f>
        <v>0.67959281874766475</v>
      </c>
      <c r="Z4" s="3">
        <f xml:space="preserve"> X4*F4/E4</f>
        <v>4.0931188328363871E-2</v>
      </c>
      <c r="AA4" s="3">
        <f xml:space="preserve"> Y4*I4/H4</f>
        <v>4.1945870308880688E-2</v>
      </c>
    </row>
    <row r="5" spans="1:27" s="3" customFormat="1">
      <c r="A5" s="113"/>
      <c r="B5" s="113"/>
      <c r="C5" s="113"/>
      <c r="D5" s="3" t="s">
        <v>50</v>
      </c>
      <c r="E5" s="67">
        <v>361.68400000000003</v>
      </c>
      <c r="F5" s="67">
        <v>22.744700000000002</v>
      </c>
      <c r="G5" s="87">
        <f>SQRT(POWER(Z5,2)+(POWER(E5/$E$8-fitSyst_Inclusive!E5/fitSyst_Inclusive!$E$8,2)+POWER(E5/$E$8-fitSyst_Inclusive!H5/fitSyst_Inclusive!$H$8,2)+POWER(E5/$E$8-fitSyst_Inclusive!K5/fitSyst_Inclusive!$K$8,2)+POWER(E5/$E$8-trgBiassing!E5/trgBiassing!$E$8,2)+POWER(E5/$E$8-trgBiassing!L5/trgBiassing!$L$8,2)+POWER(E5/$E$8-epSystematic!E5/epSystematic!$E$8,2)+POWER(E5/$E$8-zVtx_cut_10cm!E5/zVtx_cut_10cm!$E$8,2))/(7*POWER(PI()/8,2)))</f>
        <v>4.2358266682556225E-2</v>
      </c>
      <c r="H5" s="67">
        <v>322.77300000000002</v>
      </c>
      <c r="I5" s="67">
        <v>21.106200000000001</v>
      </c>
      <c r="J5" s="87">
        <f>SQRT(POWER(AA5,2)+(POWER(H5/$H$8-fitSyst_Inclusive!F5/fitSyst_Inclusive!$F$8,2)+POWER(H5/$H$8-fitSyst_Inclusive!I5/fitSyst_Inclusive!$I$8,2)+POWER(H5/$H$8-fitSyst_Inclusive!L5/fitSyst_Inclusive!$L$8,2)+POWER(H5/$H$8-trgBiassing!F5/trgBiassing!$F$8,2)+POWER(H5/$H$8-trgBiassing!M5/trgBiassing!$M$8,2)+POWER(H5/$H$8-epSystematic!F5/epSystematic!$F$8,2)+POWER(H5/$H$8-zVtx_cut_10cm!F5/zVtx_cut_10cm!$F$8,2))/(7*POWER(PI()/8,2)))</f>
        <v>4.5299187424353772E-2</v>
      </c>
      <c r="K5" s="83"/>
      <c r="L5" s="111"/>
      <c r="M5" s="111"/>
      <c r="N5" s="111"/>
      <c r="O5" s="111"/>
      <c r="P5" s="113"/>
      <c r="Q5" s="112"/>
      <c r="R5" s="112"/>
      <c r="S5" s="113"/>
      <c r="T5" s="113"/>
      <c r="U5" s="67">
        <v>0.26367000000000002</v>
      </c>
      <c r="V5" s="67">
        <v>2.4772700000000002E-2</v>
      </c>
      <c r="X5" s="3">
        <f t="shared" ref="X5:X7" si="0" xml:space="preserve"> E5/($E$8*PI()/8)</f>
        <v>0.64188400420385194</v>
      </c>
      <c r="Y5" s="3">
        <f t="shared" ref="Y5:Y7" si="1" xml:space="preserve"> H5/($H$8*PI()/8)</f>
        <v>0.61959391147516174</v>
      </c>
      <c r="Z5" s="3">
        <f t="shared" ref="Z5:Z67" si="2" xml:space="preserve"> X5*F5/E5</f>
        <v>4.0365233492262176E-2</v>
      </c>
      <c r="AA5" s="3">
        <f t="shared" ref="AA5:AA67" si="3" xml:space="preserve"> Y5*I5/H5</f>
        <v>4.0515387019289278E-2</v>
      </c>
    </row>
    <row r="6" spans="1:27">
      <c r="A6" s="113"/>
      <c r="B6" s="113"/>
      <c r="C6" s="113"/>
      <c r="D6" s="46" t="s">
        <v>52</v>
      </c>
      <c r="E6" s="67">
        <v>342.49799999999999</v>
      </c>
      <c r="F6" s="67">
        <v>21.930499999999999</v>
      </c>
      <c r="G6" s="87">
        <f>SQRT(POWER(Z6,2)+(POWER(E6/$E$8-fitSyst_Inclusive!E6/fitSyst_Inclusive!$E$8,2)+POWER(E6/$E$8-fitSyst_Inclusive!H6/fitSyst_Inclusive!$H$8,2)+POWER(E6/$E$8-fitSyst_Inclusive!K6/fitSyst_Inclusive!$K$8,2)+POWER(E6/$E$8-trgBiassing!E6/trgBiassing!$E$8,2)+POWER(E6/$E$8-trgBiassing!L6/trgBiassing!$L$8,2)+POWER(E6/$E$8-epSystematic!E6/epSystematic!$E$8,2)+POWER(E6/$E$8-zVtx_cut_10cm!E6/zVtx_cut_10cm!$E$8,2))/(7*POWER(PI()/8,2)))</f>
        <v>4.8315750273130315E-2</v>
      </c>
      <c r="H6" s="67">
        <v>331.21600000000001</v>
      </c>
      <c r="I6" s="67">
        <v>20.9832</v>
      </c>
      <c r="J6" s="87">
        <f>SQRT(POWER(AA6,2)+(POWER(H6/$H$8-fitSyst_Inclusive!F6/fitSyst_Inclusive!$F$8,2)+POWER(H6/$H$8-fitSyst_Inclusive!I6/fitSyst_Inclusive!$I$8,2)+POWER(H6/$H$8-fitSyst_Inclusive!L6/fitSyst_Inclusive!$L$8,2)+POWER(H6/$H$8-trgBiassing!F6/trgBiassing!$F$8,2)+POWER(H6/$H$8-trgBiassing!M6/trgBiassing!$M$8,2)+POWER(H6/$H$8-epSystematic!F6/epSystematic!$F$8,2)+POWER(H6/$H$8-zVtx_cut_10cm!F6/zVtx_cut_10cm!$F$8,2))/(7*POWER(PI()/8,2)))</f>
        <v>4.312482561175246E-2</v>
      </c>
      <c r="K6" s="83"/>
      <c r="L6" s="111"/>
      <c r="M6" s="111"/>
      <c r="N6" s="111"/>
      <c r="O6" s="111"/>
      <c r="P6" s="113"/>
      <c r="Q6" s="112"/>
      <c r="R6" s="112"/>
      <c r="S6" s="113"/>
      <c r="T6" s="113"/>
      <c r="U6" s="67">
        <v>0.25571100000000002</v>
      </c>
      <c r="V6" s="67">
        <v>2.4815799999999999E-2</v>
      </c>
      <c r="X6" s="3">
        <f t="shared" si="0"/>
        <v>0.60783442914757313</v>
      </c>
      <c r="Y6" s="3">
        <f t="shared" si="1"/>
        <v>0.63580106447304185</v>
      </c>
      <c r="Z6" s="3">
        <f t="shared" si="2"/>
        <v>3.8920265077229212E-2</v>
      </c>
      <c r="AA6" s="3">
        <f t="shared" si="3"/>
        <v>4.0279276653454939E-2</v>
      </c>
    </row>
    <row r="7" spans="1:27">
      <c r="A7" s="113"/>
      <c r="B7" s="113"/>
      <c r="C7" s="113"/>
      <c r="D7" s="46" t="s">
        <v>53</v>
      </c>
      <c r="E7" s="67">
        <v>348.029</v>
      </c>
      <c r="F7" s="67">
        <v>21.506599999999999</v>
      </c>
      <c r="G7" s="87">
        <f>SQRT(POWER(Z7,2)+(POWER(E7/$E$8-fitSyst_Inclusive!E7/fitSyst_Inclusive!$E$8,2)+POWER(E7/$E$8-fitSyst_Inclusive!H7/fitSyst_Inclusive!$H$8,2)+POWER(E7/$E$8-fitSyst_Inclusive!K7/fitSyst_Inclusive!$K$8,2)+POWER(E7/$E$8-trgBiassing!E7/trgBiassing!$E$8,2)+POWER(E7/$E$8-trgBiassing!L7/trgBiassing!$L$8,2)+POWER(E7/$E$8-epSystematic!E7/epSystematic!$E$8,2)+POWER(E7/$E$8-zVtx_cut_10cm!E7/zVtx_cut_10cm!$E$8,2))/(7*POWER(PI()/8,2)))</f>
        <v>3.9655757947071248E-2</v>
      </c>
      <c r="H7" s="67">
        <v>318.55200000000002</v>
      </c>
      <c r="I7" s="67">
        <v>20.784400000000002</v>
      </c>
      <c r="J7" s="87">
        <f>SQRT(POWER(AA7,2)+(POWER(H7/$H$8-fitSyst_Inclusive!F7/fitSyst_Inclusive!$F$8,2)+POWER(H7/$H$8-fitSyst_Inclusive!I7/fitSyst_Inclusive!$I$8,2)+POWER(H7/$H$8-fitSyst_Inclusive!L7/fitSyst_Inclusive!$L$8,2)+POWER(H7/$H$8-trgBiassing!F7/trgBiassing!$F$8,2)+POWER(H7/$H$8-trgBiassing!M7/trgBiassing!$M$8,2)+POWER(H7/$H$8-epSystematic!F7/epSystematic!$F$8,2)+POWER(H7/$H$8-zVtx_cut_10cm!F7/zVtx_cut_10cm!$F$8,2))/(7*POWER(PI()/8,2)))</f>
        <v>4.2352856110929406E-2</v>
      </c>
      <c r="K7" s="83"/>
      <c r="L7" s="111"/>
      <c r="M7" s="111"/>
      <c r="N7" s="111"/>
      <c r="O7" s="111"/>
      <c r="P7" s="113"/>
      <c r="Q7" s="112"/>
      <c r="R7" s="112"/>
      <c r="S7" s="113"/>
      <c r="T7" s="113"/>
      <c r="U7" s="67">
        <v>0.25173600000000002</v>
      </c>
      <c r="V7" s="67">
        <v>2.4316299999999999E-2</v>
      </c>
      <c r="X7" s="3">
        <f t="shared" si="0"/>
        <v>0.61765034698538601</v>
      </c>
      <c r="Y7" s="3">
        <f t="shared" si="1"/>
        <v>0.61149129477445674</v>
      </c>
      <c r="Z7" s="3">
        <f t="shared" si="2"/>
        <v>3.8167965751348024E-2</v>
      </c>
      <c r="AA7" s="3">
        <f t="shared" si="3"/>
        <v>3.9897660875179618E-2</v>
      </c>
    </row>
    <row r="8" spans="1:27">
      <c r="A8" s="113"/>
      <c r="B8" s="113"/>
      <c r="C8" s="113"/>
      <c r="D8" s="72"/>
      <c r="E8" s="82">
        <f xml:space="preserve"> SUM(E4:E7)</f>
        <v>1434.8710000000001</v>
      </c>
      <c r="F8" s="82">
        <f xml:space="preserve"> SQRT(F4*F4+F5*F5+F6*F6+F7*F7)</f>
        <v>44.64002348632895</v>
      </c>
      <c r="G8" s="73"/>
      <c r="H8" s="82">
        <f xml:space="preserve"> SUM(H4:H7)</f>
        <v>1326.5700000000002</v>
      </c>
      <c r="I8" s="82">
        <f xml:space="preserve"> SQRT(I4*I4+I5*I5+I6*I6+I7*I7)</f>
        <v>42.370288245420284</v>
      </c>
      <c r="J8" s="73"/>
      <c r="K8" s="82"/>
      <c r="L8" s="73"/>
      <c r="M8" s="73"/>
      <c r="N8" s="73"/>
      <c r="O8" s="72"/>
      <c r="P8" s="72"/>
      <c r="Q8" s="109"/>
      <c r="R8" s="109"/>
      <c r="S8" s="72"/>
      <c r="T8" s="72"/>
      <c r="U8" s="72"/>
      <c r="V8" s="72"/>
      <c r="X8" s="3"/>
      <c r="Y8" s="3"/>
      <c r="Z8" s="3"/>
      <c r="AA8" s="3"/>
    </row>
    <row r="9" spans="1:27">
      <c r="A9" s="113"/>
      <c r="B9" s="113"/>
      <c r="C9" s="114" t="s">
        <v>2</v>
      </c>
      <c r="D9" s="3"/>
      <c r="E9" s="67"/>
      <c r="F9" s="67"/>
      <c r="G9" s="87"/>
      <c r="H9" s="67"/>
      <c r="I9" s="67"/>
      <c r="J9" s="87"/>
      <c r="K9" s="83"/>
      <c r="L9" s="90"/>
      <c r="M9" s="90"/>
      <c r="N9" s="90"/>
      <c r="Q9" s="110"/>
      <c r="R9" s="110"/>
      <c r="X9" s="3"/>
      <c r="Y9" s="3"/>
      <c r="Z9" s="3"/>
      <c r="AA9" s="3"/>
    </row>
    <row r="10" spans="1:27">
      <c r="A10" s="113"/>
      <c r="B10" s="113"/>
      <c r="C10" s="114"/>
      <c r="D10" s="3"/>
      <c r="E10" s="67"/>
      <c r="F10" s="67"/>
      <c r="G10" s="87"/>
      <c r="H10" s="67"/>
      <c r="I10" s="67"/>
      <c r="J10" s="87"/>
      <c r="K10" s="83"/>
      <c r="L10" s="111"/>
      <c r="M10" s="111"/>
      <c r="N10" s="111"/>
      <c r="O10" s="111"/>
      <c r="P10" s="111"/>
      <c r="Q10" s="112"/>
      <c r="R10" s="112"/>
      <c r="S10" s="111"/>
      <c r="T10" s="111"/>
      <c r="U10" s="67">
        <v>0.22850400000000001</v>
      </c>
      <c r="V10" s="67">
        <v>1.7362699999999998E-2</v>
      </c>
      <c r="X10" s="3"/>
      <c r="Y10" s="3"/>
      <c r="Z10" s="3"/>
      <c r="AA10" s="3"/>
    </row>
    <row r="11" spans="1:27">
      <c r="A11" s="113"/>
      <c r="B11" s="113"/>
      <c r="C11" s="114"/>
      <c r="D11" s="3"/>
      <c r="E11" s="67"/>
      <c r="F11" s="67"/>
      <c r="G11" s="87"/>
      <c r="H11" s="67"/>
      <c r="I11" s="67"/>
      <c r="J11" s="87"/>
      <c r="K11" s="83"/>
      <c r="L11" s="111"/>
      <c r="M11" s="111"/>
      <c r="N11" s="111"/>
      <c r="O11" s="111"/>
      <c r="P11" s="111"/>
      <c r="Q11" s="112"/>
      <c r="R11" s="112"/>
      <c r="S11" s="111"/>
      <c r="T11" s="111"/>
      <c r="U11" s="67">
        <v>0.22984399999999999</v>
      </c>
      <c r="V11" s="67">
        <v>1.87446E-2</v>
      </c>
      <c r="X11" s="3"/>
      <c r="Y11" s="3"/>
      <c r="Z11" s="3"/>
      <c r="AA11" s="3"/>
    </row>
    <row r="12" spans="1:27">
      <c r="A12" s="113"/>
      <c r="B12" s="113"/>
      <c r="C12" s="114"/>
      <c r="E12" s="67"/>
      <c r="F12" s="67"/>
      <c r="G12" s="87"/>
      <c r="H12" s="67"/>
      <c r="I12" s="67"/>
      <c r="J12" s="87"/>
      <c r="K12" s="83"/>
      <c r="L12" s="111"/>
      <c r="M12" s="111"/>
      <c r="N12" s="111"/>
      <c r="O12" s="111"/>
      <c r="P12" s="111"/>
      <c r="Q12" s="112"/>
      <c r="R12" s="112"/>
      <c r="S12" s="111"/>
      <c r="T12" s="111"/>
      <c r="U12" s="67">
        <v>0.266629</v>
      </c>
      <c r="V12" s="67">
        <v>1.9885E-2</v>
      </c>
      <c r="X12" s="3"/>
      <c r="Y12" s="3"/>
      <c r="Z12" s="3"/>
      <c r="AA12" s="3"/>
    </row>
    <row r="13" spans="1:27">
      <c r="A13" s="113"/>
      <c r="B13" s="113"/>
      <c r="C13" s="114"/>
      <c r="E13" s="67"/>
      <c r="F13" s="67"/>
      <c r="G13" s="87"/>
      <c r="H13" s="67"/>
      <c r="I13" s="67"/>
      <c r="J13" s="87"/>
      <c r="K13" s="83"/>
      <c r="L13" s="111"/>
      <c r="M13" s="111"/>
      <c r="N13" s="111"/>
      <c r="O13" s="111"/>
      <c r="P13" s="111"/>
      <c r="Q13" s="112"/>
      <c r="R13" s="112"/>
      <c r="S13" s="111"/>
      <c r="T13" s="111"/>
      <c r="U13" s="67">
        <v>0.23769100000000001</v>
      </c>
      <c r="V13" s="67">
        <v>2.17025E-2</v>
      </c>
      <c r="X13" s="3"/>
      <c r="Y13" s="3"/>
      <c r="Z13" s="3"/>
      <c r="AA13" s="3"/>
    </row>
    <row r="14" spans="1:27">
      <c r="A14" s="113"/>
      <c r="B14" s="113"/>
      <c r="C14" s="114"/>
      <c r="D14" s="72"/>
      <c r="E14" s="82"/>
      <c r="F14" s="82"/>
      <c r="G14" s="73"/>
      <c r="H14" s="82"/>
      <c r="I14" s="82"/>
      <c r="J14" s="73"/>
      <c r="K14" s="82"/>
      <c r="L14" s="92"/>
      <c r="M14" s="92"/>
      <c r="N14" s="92"/>
      <c r="O14" s="72"/>
      <c r="P14" s="72"/>
      <c r="Q14" s="109"/>
      <c r="R14" s="109"/>
      <c r="S14" s="72"/>
      <c r="T14" s="72"/>
      <c r="U14" s="72"/>
      <c r="V14" s="72"/>
      <c r="X14" s="3"/>
      <c r="Y14" s="3"/>
      <c r="Z14" s="3"/>
      <c r="AA14" s="3"/>
    </row>
    <row r="15" spans="1:27">
      <c r="A15" s="113"/>
      <c r="B15" s="113"/>
      <c r="C15" s="111" t="s">
        <v>54</v>
      </c>
      <c r="D15" s="85" t="s">
        <v>51</v>
      </c>
      <c r="E15" s="67">
        <v>1258.8900000000001</v>
      </c>
      <c r="F15" s="67">
        <v>38.845399999999998</v>
      </c>
      <c r="G15" s="87"/>
      <c r="H15" s="67">
        <v>1234.5999999999999</v>
      </c>
      <c r="I15" s="67">
        <v>38.269599999999997</v>
      </c>
      <c r="J15" s="87"/>
      <c r="K15" s="83"/>
      <c r="L15" s="90"/>
      <c r="M15" s="90"/>
      <c r="N15" s="90"/>
      <c r="Q15" s="110"/>
      <c r="R15" s="110"/>
      <c r="U15" s="67">
        <v>0.225743</v>
      </c>
      <c r="V15" s="67">
        <v>1.1725599999999999E-2</v>
      </c>
      <c r="X15" s="3"/>
      <c r="Y15" s="3"/>
      <c r="Z15" s="3"/>
      <c r="AA15" s="3"/>
    </row>
    <row r="16" spans="1:27">
      <c r="A16" s="113"/>
      <c r="B16" s="113"/>
      <c r="C16" s="111"/>
      <c r="D16" s="85" t="s">
        <v>49</v>
      </c>
      <c r="E16" s="67">
        <v>317.048</v>
      </c>
      <c r="F16" s="67">
        <v>19.6236</v>
      </c>
      <c r="G16" s="87">
        <f>SQRT(POWER(Z16,2)+(POWER(E16/$E$20-fitSyst_Inclusive!E16/fitSyst_Inclusive!$E$20,2)+POWER(E16/$E$20-fitSyst_Inclusive!H16/fitSyst_Inclusive!$H$20,2)+POWER(E16/$E$20-fitSyst_Inclusive!K16/fitSyst_Inclusive!$K$20,2)+POWER(E16/$E$20-trgBiassing!E16/trgBiassing!$E$20,2)+POWER(E16/$E$20-trgBiassing!L16/trgBiassing!$L$20,2)+POWER(E16/$E$20-epSystematic!E16/epSystematic!$E$20,2)+POWER(E16/$E$20-zVtx_cut_10cm!E16/zVtx_cut_10cm!$E$20,2))/(7*POWER(PI()/8,2)))</f>
        <v>4.4484674369618886E-2</v>
      </c>
      <c r="H16" s="67">
        <v>366.34300000000002</v>
      </c>
      <c r="I16" s="67">
        <v>20.498100000000001</v>
      </c>
      <c r="J16" s="87">
        <f>SQRT(POWER(AA16,2)+(POWER(H16/$H$20-fitSyst_Inclusive!F16/fitSyst_Inclusive!$F$20,2)+POWER(H16/$H$20-fitSyst_Inclusive!I16/fitSyst_Inclusive!$I$20,2)+POWER(H16/$H$20-fitSyst_Inclusive!L16/fitSyst_Inclusive!$L$20,2)+POWER(H16/$H$20-trgBiassing!F16/trgBiassing!$F$20,2)+POWER(H16/$H$20-trgBiassing!M16/trgBiassing!$M$20,2)+POWER(H16/$H$20-epSystematic!F16/epSystematic!$F$20,2)+POWER(H16/$H$20-zVtx_cut_10cm!F16/zVtx_cut_10cm!$F$20,2))/(7*POWER(PI()/8,2)))</f>
        <v>4.5852812007025734E-2</v>
      </c>
      <c r="K16" s="83"/>
      <c r="L16" s="111">
        <v>2.6987400000000002E-2</v>
      </c>
      <c r="M16" s="111">
        <v>2.15476E-2</v>
      </c>
      <c r="N16" s="111">
        <v>7.18665E-2</v>
      </c>
      <c r="O16" s="111">
        <v>2.1770500000000002E-2</v>
      </c>
      <c r="P16" s="111"/>
      <c r="Q16" s="112">
        <f xml:space="preserve"> (L16/ep_CorrectionFactors!H20+N16/ep_CorrectionFactors!M20)/2</f>
        <v>6.6683485715239299E-2</v>
      </c>
      <c r="R16" s="112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2.0659923419505694E-2</v>
      </c>
      <c r="S16" s="111"/>
      <c r="T16" s="111"/>
      <c r="U16" s="67">
        <v>0.218171</v>
      </c>
      <c r="V16" s="67">
        <v>2.21307E-2</v>
      </c>
      <c r="X16" s="3">
        <f xml:space="preserve"> E16/($E$20*PI()/8)</f>
        <v>0.6405148057552581</v>
      </c>
      <c r="Y16" s="3">
        <f xml:space="preserve"> H16/($H$20*PI()/8)</f>
        <v>0.75536434764154514</v>
      </c>
      <c r="Z16" s="3">
        <f t="shared" si="2"/>
        <v>3.9644490241915679E-2</v>
      </c>
      <c r="AA16" s="3">
        <f t="shared" si="3"/>
        <v>4.2265128402593083E-2</v>
      </c>
    </row>
    <row r="17" spans="1:27">
      <c r="A17" s="113"/>
      <c r="B17" s="113"/>
      <c r="C17" s="111"/>
      <c r="D17" s="85" t="s">
        <v>50</v>
      </c>
      <c r="E17" s="67">
        <v>346.18900000000002</v>
      </c>
      <c r="F17" s="67">
        <v>20.259699999999999</v>
      </c>
      <c r="G17" s="87">
        <f>SQRT(POWER(Z17,2)+(POWER(E17/$E$20-fitSyst_Inclusive!E17/fitSyst_Inclusive!$E$20,2)+POWER(E17/$E$20-fitSyst_Inclusive!H17/fitSyst_Inclusive!$H$20,2)+POWER(E17/$E$20-fitSyst_Inclusive!K17/fitSyst_Inclusive!$K$20,2)+POWER(E17/$E$20-trgBiassing!E17/trgBiassing!$E$20,2)+POWER(E17/$E$20-trgBiassing!L17/trgBiassing!$L$20,2)+POWER(E17/$E$20-epSystematic!E17/epSystematic!$E$20,2)+POWER(E17/$E$20-zVtx_cut_10cm!E17/zVtx_cut_10cm!$E$20,2))/(7*POWER(PI()/8,2)))</f>
        <v>4.4026774897709876E-2</v>
      </c>
      <c r="H17" s="67">
        <v>309.68599999999998</v>
      </c>
      <c r="I17" s="67">
        <v>18.857099999999999</v>
      </c>
      <c r="J17" s="87">
        <f>SQRT(POWER(AA17,2)+(POWER(H17/$H$20-fitSyst_Inclusive!F17/fitSyst_Inclusive!$F$20,2)+POWER(H17/$H$20-fitSyst_Inclusive!I17/fitSyst_Inclusive!$I$20,2)+POWER(H17/$H$20-fitSyst_Inclusive!L17/fitSyst_Inclusive!$L$20,2)+POWER(H17/$H$20-trgBiassing!F17/trgBiassing!$F$20,2)+POWER(H17/$H$20-trgBiassing!M17/trgBiassing!$M$20,2)+POWER(H17/$H$20-epSystematic!F17/epSystematic!$F$20,2)+POWER(H17/$H$20-zVtx_cut_10cm!F17/zVtx_cut_10cm!$F$20,2))/(7*POWER(PI()/8,2)))</f>
        <v>3.9562623871457619E-2</v>
      </c>
      <c r="K17" s="83"/>
      <c r="L17" s="111"/>
      <c r="M17" s="111"/>
      <c r="N17" s="111"/>
      <c r="O17" s="111"/>
      <c r="P17" s="111"/>
      <c r="Q17" s="112"/>
      <c r="R17" s="112"/>
      <c r="S17" s="111"/>
      <c r="T17" s="111"/>
      <c r="U17" s="67">
        <v>0.21544099999999999</v>
      </c>
      <c r="V17" s="67">
        <v>2.27429E-2</v>
      </c>
      <c r="X17" s="3">
        <f t="shared" ref="X17:X19" si="4" xml:space="preserve"> E17/($E$20*PI()/8)</f>
        <v>0.69938678083320838</v>
      </c>
      <c r="Y17" s="3">
        <f t="shared" ref="Y17:Y19" si="5" xml:space="preserve"> H17/($H$20*PI()/8)</f>
        <v>0.63854301396155932</v>
      </c>
      <c r="Z17" s="3">
        <f t="shared" si="2"/>
        <v>4.0929568425474377E-2</v>
      </c>
      <c r="AA17" s="3">
        <f t="shared" si="3"/>
        <v>3.888154281618969E-2</v>
      </c>
    </row>
    <row r="18" spans="1:27">
      <c r="A18" s="113"/>
      <c r="B18" s="113"/>
      <c r="C18" s="111"/>
      <c r="D18" s="84" t="s">
        <v>52</v>
      </c>
      <c r="E18" s="67">
        <v>296.834</v>
      </c>
      <c r="F18" s="67">
        <v>18.697500000000002</v>
      </c>
      <c r="G18" s="87">
        <f>SQRT(POWER(Z18,2)+(POWER(E18/$E$20-fitSyst_Inclusive!E18/fitSyst_Inclusive!$E$20,2)+POWER(E18/$E$20-fitSyst_Inclusive!H18/fitSyst_Inclusive!$H$20,2)+POWER(E18/$E$20-fitSyst_Inclusive!K18/fitSyst_Inclusive!$K$20,2)+POWER(E18/$E$20-trgBiassing!E18/trgBiassing!$E$20,2)+POWER(E18/$E$20-trgBiassing!L18/trgBiassing!$L$20,2)+POWER(E18/$E$20-epSystematic!E18/epSystematic!$E$20,2)+POWER(E18/$E$20-zVtx_cut_10cm!E18/zVtx_cut_10cm!$E$20,2))/(7*POWER(PI()/8,2)))</f>
        <v>3.9788961878362117E-2</v>
      </c>
      <c r="H18" s="67">
        <v>279.30200000000002</v>
      </c>
      <c r="I18" s="67">
        <v>17.908200000000001</v>
      </c>
      <c r="J18" s="87">
        <f>SQRT(POWER(AA18,2)+(POWER(H18/$H$20-fitSyst_Inclusive!F18/fitSyst_Inclusive!$F$20,2)+POWER(H18/$H$20-fitSyst_Inclusive!I18/fitSyst_Inclusive!$I$20,2)+POWER(H18/$H$20-fitSyst_Inclusive!L18/fitSyst_Inclusive!$L$20,2)+POWER(H18/$H$20-trgBiassing!F18/trgBiassing!$F$20,2)+POWER(H18/$H$20-trgBiassing!M18/trgBiassing!$M$20,2)+POWER(H18/$H$20-epSystematic!F18/epSystematic!$F$20,2)+POWER(H18/$H$20-zVtx_cut_10cm!F18/zVtx_cut_10cm!$F$20,2))/(7*POWER(PI()/8,2)))</f>
        <v>4.3690158501869157E-2</v>
      </c>
      <c r="K18" s="83"/>
      <c r="L18" s="111"/>
      <c r="M18" s="111"/>
      <c r="N18" s="111"/>
      <c r="O18" s="111"/>
      <c r="P18" s="111"/>
      <c r="Q18" s="112"/>
      <c r="R18" s="112"/>
      <c r="S18" s="111"/>
      <c r="T18" s="111"/>
      <c r="U18" s="67">
        <v>0.20308599999999999</v>
      </c>
      <c r="V18" s="67">
        <v>2.33149E-2</v>
      </c>
      <c r="X18" s="3">
        <f t="shared" si="4"/>
        <v>0.59967756255064308</v>
      </c>
      <c r="Y18" s="3">
        <f t="shared" si="5"/>
        <v>0.57589410204365543</v>
      </c>
      <c r="Z18" s="3">
        <f t="shared" si="2"/>
        <v>3.7773540853779042E-2</v>
      </c>
      <c r="AA18" s="3">
        <f t="shared" si="3"/>
        <v>3.6925001461565583E-2</v>
      </c>
    </row>
    <row r="19" spans="1:27">
      <c r="A19" s="113"/>
      <c r="B19" s="113"/>
      <c r="C19" s="111"/>
      <c r="D19" s="84" t="s">
        <v>53</v>
      </c>
      <c r="E19" s="67">
        <v>300.40899999999999</v>
      </c>
      <c r="F19" s="67">
        <v>18.737400000000001</v>
      </c>
      <c r="G19" s="87">
        <f>SQRT(POWER(Z19,2)+(POWER(E19/$E$20-fitSyst_Inclusive!E19/fitSyst_Inclusive!$E$20,2)+POWER(E19/$E$20-fitSyst_Inclusive!H19/fitSyst_Inclusive!$H$20,2)+POWER(E19/$E$20-fitSyst_Inclusive!K19/fitSyst_Inclusive!$K$20,2)+POWER(E19/$E$20-trgBiassing!E19/trgBiassing!$E$20,2)+POWER(E19/$E$20-trgBiassing!L19/trgBiassing!$L$20,2)+POWER(E19/$E$20-epSystematic!E19/epSystematic!$E$20,2)+POWER(E19/$E$20-zVtx_cut_10cm!E19/zVtx_cut_10cm!$E$20,2))/(7*POWER(PI()/8,2)))</f>
        <v>4.198669102661079E-2</v>
      </c>
      <c r="H19" s="67">
        <v>279.68200000000002</v>
      </c>
      <c r="I19" s="67">
        <v>17.9696</v>
      </c>
      <c r="J19" s="87">
        <f>SQRT(POWER(AA19,2)+(POWER(H19/$H$20-fitSyst_Inclusive!F19/fitSyst_Inclusive!$F$20,2)+POWER(H19/$H$20-fitSyst_Inclusive!I19/fitSyst_Inclusive!$I$20,2)+POWER(H19/$H$20-fitSyst_Inclusive!L19/fitSyst_Inclusive!$L$20,2)+POWER(H19/$H$20-trgBiassing!F19/trgBiassing!$F$20,2)+POWER(H19/$H$20-trgBiassing!M19/trgBiassing!$M$20,2)+POWER(H19/$H$20-epSystematic!F19/epSystematic!$F$20,2)+POWER(H19/$H$20-zVtx_cut_10cm!F19/zVtx_cut_10cm!$F$20,2))/(7*POWER(PI()/8,2)))</f>
        <v>4.0025939871037926E-2</v>
      </c>
      <c r="K19" s="83"/>
      <c r="L19" s="111"/>
      <c r="M19" s="111"/>
      <c r="N19" s="111"/>
      <c r="O19" s="111"/>
      <c r="P19" s="111"/>
      <c r="Q19" s="112"/>
      <c r="R19" s="112"/>
      <c r="S19" s="111"/>
      <c r="T19" s="111"/>
      <c r="U19" s="67">
        <v>0.26064300000000001</v>
      </c>
      <c r="V19" s="67">
        <v>2.5116300000000001E-2</v>
      </c>
      <c r="X19" s="3">
        <f t="shared" si="4"/>
        <v>0.60689994033121586</v>
      </c>
      <c r="Y19" s="3">
        <f t="shared" si="5"/>
        <v>0.57667762582356596</v>
      </c>
      <c r="Z19" s="3">
        <f t="shared" si="2"/>
        <v>3.7854148650546836E-2</v>
      </c>
      <c r="AA19" s="3">
        <f t="shared" si="3"/>
        <v>3.7051602409161652E-2</v>
      </c>
    </row>
    <row r="20" spans="1:27">
      <c r="A20" s="113"/>
      <c r="B20" s="113"/>
      <c r="C20" s="111"/>
      <c r="D20" s="80"/>
      <c r="E20" s="82">
        <f xml:space="preserve"> SUM(E16:E19)</f>
        <v>1260.48</v>
      </c>
      <c r="F20" s="82">
        <f xml:space="preserve"> SQRT(F16*F16+F17*F17+F18*F18+F19*F19)</f>
        <v>38.681103733735419</v>
      </c>
      <c r="G20" s="73"/>
      <c r="H20" s="82">
        <f xml:space="preserve"> SUM(H16:H19)</f>
        <v>1235.0129999999999</v>
      </c>
      <c r="I20" s="82">
        <f xml:space="preserve"> SQRT(I16*I16+I17*I17+I18*I18+I19*I19)</f>
        <v>37.674560056090904</v>
      </c>
      <c r="J20" s="73"/>
      <c r="K20" s="82"/>
      <c r="L20" s="92"/>
      <c r="M20" s="92"/>
      <c r="N20" s="92"/>
      <c r="O20" s="72"/>
      <c r="P20" s="72"/>
      <c r="Q20" s="109"/>
      <c r="R20" s="109"/>
      <c r="S20" s="72"/>
      <c r="T20" s="72"/>
      <c r="U20" s="72"/>
      <c r="V20" s="72"/>
      <c r="X20" s="3"/>
      <c r="Y20" s="3"/>
      <c r="Z20" s="3"/>
      <c r="AA20" s="3"/>
    </row>
    <row r="21" spans="1:27">
      <c r="A21" s="113"/>
      <c r="B21" s="113"/>
      <c r="C21" s="115" t="s">
        <v>56</v>
      </c>
      <c r="D21" s="85" t="s">
        <v>51</v>
      </c>
      <c r="E21" s="67">
        <v>1227.1400000000001</v>
      </c>
      <c r="F21" s="67">
        <v>40.649799999999999</v>
      </c>
      <c r="G21" s="87"/>
      <c r="H21" s="67">
        <v>1092.17</v>
      </c>
      <c r="I21" s="67">
        <v>38.196100000000001</v>
      </c>
      <c r="J21" s="87"/>
      <c r="L21" s="90"/>
      <c r="M21" s="90"/>
      <c r="N21" s="90"/>
      <c r="Q21" s="110"/>
      <c r="R21" s="110"/>
      <c r="U21" s="67">
        <v>0.248997</v>
      </c>
      <c r="V21" s="67">
        <v>1.3096200000000001E-2</v>
      </c>
      <c r="X21" s="3"/>
      <c r="Y21" s="3"/>
      <c r="Z21" s="3"/>
      <c r="AA21" s="3"/>
    </row>
    <row r="22" spans="1:27">
      <c r="A22" s="113"/>
      <c r="B22" s="113"/>
      <c r="C22" s="115"/>
      <c r="D22" s="85" t="s">
        <v>49</v>
      </c>
      <c r="E22" s="67">
        <v>326.428</v>
      </c>
      <c r="F22" s="67">
        <v>20.9818</v>
      </c>
      <c r="G22" s="87">
        <f>SQRT(POWER(Z22,2)+(POWER(E22/$E$26-fitSyst_Inclusive!E22/fitSyst_Inclusive!$E$26,2)+POWER(E22/$E$26-fitSyst_Inclusive!H22/fitSyst_Inclusive!$H$26,2)+POWER(E22/$E$26-fitSyst_Inclusive!K22/fitSyst_Inclusive!$K$26,2)+POWER(E22/$E$26-trgBiassing!E22/trgBiassing!$E$26,2)+POWER(E22/$E$26-trgBiassing!L22/trgBiassing!$L$26,2)+POWER(E22/$E$26-epSystematic!E22/epSystematic!$E$26,2)+POWER(E22/$E$26-zVtx_cut_10cm!E22/zVtx_cut_10cm!$E$26,2))/(7*POWER(PI()/8,2)))</f>
        <v>5.0477188834243507E-2</v>
      </c>
      <c r="H22" s="67">
        <v>323.959</v>
      </c>
      <c r="I22" s="67">
        <v>20.109500000000001</v>
      </c>
      <c r="J22" s="87">
        <f>SQRT(POWER(AA22,2)+(POWER(H22/$H$26-fitSyst_Inclusive!F22/fitSyst_Inclusive!$F$26,2)+POWER(H22/$H$26-fitSyst_Inclusive!I22/fitSyst_Inclusive!$I$26,2)+POWER(H22/$H$26-fitSyst_Inclusive!L22/fitSyst_Inclusive!$L$26,2)+POWER(H22/$H$26-trgBiassing!F22/trgBiassing!$F$26,2)+POWER(H22/$H$26-trgBiassing!M22/trgBiassing!$M$26,2)+POWER(H22/$H$26-epSystematic!F22/epSystematic!$F$26,2)+POWER(H22/$H$26-zVtx_cut_10cm!F22/zVtx_cut_10cm!$F$26,2))/(7*POWER(PI()/8,2)))</f>
        <v>6.2680895485144175E-2</v>
      </c>
      <c r="L22" s="111">
        <v>5.3129299999999997E-2</v>
      </c>
      <c r="M22" s="111">
        <v>2.27861E-2</v>
      </c>
      <c r="N22" s="111">
        <v>5.6266099999999999E-2</v>
      </c>
      <c r="O22" s="111">
        <v>2.43453E-2</v>
      </c>
      <c r="Q22" s="112">
        <f xml:space="preserve"> (L22/ep_CorrectionFactors!H22+N22/ep_CorrectionFactors!M22)/2</f>
        <v>6.70263580042538E-2</v>
      </c>
      <c r="R22" s="112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2.0430234571311046E-2</v>
      </c>
      <c r="U22" s="67">
        <v>0.27051700000000001</v>
      </c>
      <c r="V22" s="67">
        <v>2.46368E-2</v>
      </c>
      <c r="X22" s="3">
        <f xml:space="preserve"> E22/($E$26*PI()/8)</f>
        <v>0.67880988586707969</v>
      </c>
      <c r="Y22" s="3">
        <f xml:space="preserve"> H22/($H$26*PI()/8)</f>
        <v>0.75503689298181509</v>
      </c>
      <c r="Z22" s="3">
        <f t="shared" si="2"/>
        <v>4.3631836923566279E-2</v>
      </c>
      <c r="AA22" s="3">
        <f t="shared" si="3"/>
        <v>4.6868320989439438E-2</v>
      </c>
    </row>
    <row r="23" spans="1:27">
      <c r="A23" s="113"/>
      <c r="B23" s="113"/>
      <c r="C23" s="115"/>
      <c r="D23" s="85" t="s">
        <v>50</v>
      </c>
      <c r="E23" s="67">
        <v>324.36599999999999</v>
      </c>
      <c r="F23" s="67">
        <v>20.511199999999999</v>
      </c>
      <c r="G23" s="87">
        <f>SQRT(POWER(Z23,2)+(POWER(E23/$E$26-fitSyst_Inclusive!E23/fitSyst_Inclusive!$E$26,2)+POWER(E23/$E$26-fitSyst_Inclusive!H23/fitSyst_Inclusive!$H$26,2)+POWER(E23/$E$26-fitSyst_Inclusive!K23/fitSyst_Inclusive!$K$26,2)+POWER(E23/$E$26-trgBiassing!E23/trgBiassing!$E$26,2)+POWER(E23/$E$26-trgBiassing!L23/trgBiassing!$L$26,2)+POWER(E23/$E$26-epSystematic!E23/epSystematic!$E$26,2)+POWER(E23/$E$26-zVtx_cut_10cm!E23/zVtx_cut_10cm!$E$26,2))/(7*POWER(PI()/8,2)))</f>
        <v>4.5944947267890397E-2</v>
      </c>
      <c r="H23" s="67">
        <v>261.613</v>
      </c>
      <c r="I23" s="67">
        <v>18.221699999999998</v>
      </c>
      <c r="J23" s="87">
        <f>SQRT(POWER(AA23,2)+(POWER(H23/$H$26-fitSyst_Inclusive!F23/fitSyst_Inclusive!$F$26,2)+POWER(H23/$H$26-fitSyst_Inclusive!I23/fitSyst_Inclusive!$I$26,2)+POWER(H23/$H$26-fitSyst_Inclusive!L23/fitSyst_Inclusive!$L$26,2)+POWER(H23/$H$26-trgBiassing!F23/trgBiassing!$F$26,2)+POWER(H23/$H$26-trgBiassing!M23/trgBiassing!$M$26,2)+POWER(H23/$H$26-epSystematic!F23/epSystematic!$F$26,2)+POWER(H23/$H$26-zVtx_cut_10cm!F23/zVtx_cut_10cm!$F$26,2))/(7*POWER(PI()/8,2)))</f>
        <v>4.4446977881070431E-2</v>
      </c>
      <c r="L23" s="111"/>
      <c r="M23" s="111"/>
      <c r="N23" s="111"/>
      <c r="O23" s="111"/>
      <c r="Q23" s="112"/>
      <c r="R23" s="112"/>
      <c r="U23" s="67">
        <v>0.22556699999999999</v>
      </c>
      <c r="V23" s="67">
        <v>2.43266E-2</v>
      </c>
      <c r="X23" s="3">
        <f t="shared" ref="X23:X25" si="6" xml:space="preserve"> E23/($E$26*PI()/8)</f>
        <v>0.67452193880169953</v>
      </c>
      <c r="Y23" s="3">
        <f t="shared" ref="Y23:Y25" si="7" xml:space="preserve"> H23/($H$26*PI()/8)</f>
        <v>0.60972983211965581</v>
      </c>
      <c r="Z23" s="3">
        <f t="shared" si="2"/>
        <v>4.2653220100594448E-2</v>
      </c>
      <c r="AA23" s="3">
        <f t="shared" si="3"/>
        <v>4.2468509141115815E-2</v>
      </c>
    </row>
    <row r="24" spans="1:27">
      <c r="A24" s="113"/>
      <c r="B24" s="113"/>
      <c r="C24" s="115"/>
      <c r="D24" s="84" t="s">
        <v>52</v>
      </c>
      <c r="E24" s="67">
        <v>308.90300000000002</v>
      </c>
      <c r="F24" s="67">
        <v>19.871400000000001</v>
      </c>
      <c r="G24" s="87">
        <f>SQRT(POWER(Z24,2)+(POWER(E24/$E$26-fitSyst_Inclusive!E24/fitSyst_Inclusive!$E$26,2)+POWER(E24/$E$26-fitSyst_Inclusive!H24/fitSyst_Inclusive!$H$26,2)+POWER(E24/$E$26-fitSyst_Inclusive!K24/fitSyst_Inclusive!$K$26,2)+POWER(E24/$E$26-trgBiassing!E24/trgBiassing!$E$26,2)+POWER(E24/$E$26-trgBiassing!L24/trgBiassing!$L$26,2)+POWER(E24/$E$26-epSystematic!E24/epSystematic!$E$26,2)+POWER(E24/$E$26-zVtx_cut_10cm!E24/zVtx_cut_10cm!$E$26,2))/(7*POWER(PI()/8,2)))</f>
        <v>4.7142912953466731E-2</v>
      </c>
      <c r="H24" s="67">
        <v>248.24</v>
      </c>
      <c r="I24" s="67">
        <v>17.754999999999999</v>
      </c>
      <c r="J24" s="87">
        <f>SQRT(POWER(AA24,2)+(POWER(H24/$H$26-fitSyst_Inclusive!F24/fitSyst_Inclusive!$F$26,2)+POWER(H24/$H$26-fitSyst_Inclusive!I24/fitSyst_Inclusive!$I$26,2)+POWER(H24/$H$26-fitSyst_Inclusive!L24/fitSyst_Inclusive!$L$26,2)+POWER(H24/$H$26-trgBiassing!F24/trgBiassing!$F$26,2)+POWER(H24/$H$26-trgBiassing!M24/trgBiassing!$M$26,2)+POWER(H24/$H$26-epSystematic!F24/epSystematic!$F$26,2)+POWER(H24/$H$26-zVtx_cut_10cm!F24/zVtx_cut_10cm!$F$26,2))/(7*POWER(PI()/8,2)))</f>
        <v>4.8576077267823314E-2</v>
      </c>
      <c r="L24" s="111"/>
      <c r="M24" s="111"/>
      <c r="N24" s="111"/>
      <c r="O24" s="111"/>
      <c r="Q24" s="112"/>
      <c r="R24" s="112"/>
      <c r="U24" s="67">
        <v>0.236898</v>
      </c>
      <c r="V24" s="67">
        <v>2.6208200000000001E-2</v>
      </c>
      <c r="X24" s="3">
        <f t="shared" si="6"/>
        <v>0.64236649482887054</v>
      </c>
      <c r="Y24" s="3">
        <f t="shared" si="7"/>
        <v>0.57856197331701165</v>
      </c>
      <c r="Z24" s="3">
        <f t="shared" si="2"/>
        <v>4.1322750395245161E-2</v>
      </c>
      <c r="AA24" s="3">
        <f t="shared" si="3"/>
        <v>4.1380792121509594E-2</v>
      </c>
    </row>
    <row r="25" spans="1:27">
      <c r="A25" s="113"/>
      <c r="B25" s="113"/>
      <c r="C25" s="115"/>
      <c r="D25" s="84" t="s">
        <v>53</v>
      </c>
      <c r="E25" s="67">
        <v>264.86099999999999</v>
      </c>
      <c r="F25" s="67">
        <v>18.572399999999998</v>
      </c>
      <c r="G25" s="87">
        <f>SQRT(POWER(Z25,2)+(POWER(E25/$E$26-fitSyst_Inclusive!E25/fitSyst_Inclusive!$E$26,2)+POWER(E25/$E$26-fitSyst_Inclusive!H25/fitSyst_Inclusive!$H$26,2)+POWER(E25/$E$26-fitSyst_Inclusive!K25/fitSyst_Inclusive!$K$26,2)+POWER(E25/$E$26-trgBiassing!E25/trgBiassing!$E$26,2)+POWER(E25/$E$26-trgBiassing!L25/trgBiassing!$L$26,2)+POWER(E25/$E$26-epSystematic!E25/epSystematic!$E$26,2)+POWER(E25/$E$26-zVtx_cut_10cm!E25/zVtx_cut_10cm!$E$26,2))/(7*POWER(PI()/8,2)))</f>
        <v>4.8959923495106042E-2</v>
      </c>
      <c r="H25" s="67">
        <v>258.79000000000002</v>
      </c>
      <c r="I25" s="67">
        <v>17.961099999999998</v>
      </c>
      <c r="J25" s="87">
        <f>SQRT(POWER(AA25,2)+(POWER(H25/$H$26-fitSyst_Inclusive!F25/fitSyst_Inclusive!$F$26,2)+POWER(H25/$H$26-fitSyst_Inclusive!I25/fitSyst_Inclusive!$I$26,2)+POWER(H25/$H$26-fitSyst_Inclusive!L25/fitSyst_Inclusive!$L$26,2)+POWER(H25/$H$26-trgBiassing!F25/trgBiassing!$F$26,2)+POWER(H25/$H$26-trgBiassing!M25/trgBiassing!$M$26,2)+POWER(H25/$H$26-epSystematic!F25/epSystematic!$F$26,2)+POWER(H25/$H$26-zVtx_cut_10cm!F25/zVtx_cut_10cm!$F$26,2))/(7*POWER(PI()/8,2)))</f>
        <v>4.6722535950048889E-2</v>
      </c>
      <c r="L25" s="111"/>
      <c r="M25" s="111"/>
      <c r="N25" s="111"/>
      <c r="O25" s="111"/>
      <c r="Q25" s="112"/>
      <c r="R25" s="112"/>
      <c r="U25" s="67">
        <v>0.25096200000000002</v>
      </c>
      <c r="V25" s="67">
        <v>2.9690899999999999E-2</v>
      </c>
      <c r="X25" s="3">
        <f t="shared" si="6"/>
        <v>0.55078076997267567</v>
      </c>
      <c r="Y25" s="3">
        <f t="shared" si="7"/>
        <v>0.60315039105184276</v>
      </c>
      <c r="Z25" s="3">
        <f t="shared" si="2"/>
        <v>3.8621468514581307E-2</v>
      </c>
      <c r="AA25" s="3">
        <f t="shared" si="3"/>
        <v>4.1861140263229846E-2</v>
      </c>
    </row>
    <row r="26" spans="1:27">
      <c r="A26" s="113"/>
      <c r="B26" s="113"/>
      <c r="C26" s="115"/>
      <c r="D26" s="80"/>
      <c r="E26" s="72">
        <f xml:space="preserve"> SUM(E22:E25)</f>
        <v>1224.558</v>
      </c>
      <c r="F26" s="82">
        <f xml:space="preserve"> SQRT(F22*F22+F23*F23+F24*F24+F25*F25)</f>
        <v>40.009396851239835</v>
      </c>
      <c r="G26" s="73"/>
      <c r="H26" s="72">
        <f xml:space="preserve"> SUM(H22:H25)</f>
        <v>1092.6020000000001</v>
      </c>
      <c r="I26" s="82">
        <f xml:space="preserve"> SQRT(I22*I22+I23*I23+I24*I24+I25*I25)</f>
        <v>37.071059862782448</v>
      </c>
      <c r="J26" s="73"/>
      <c r="K26" s="72"/>
      <c r="L26" s="92"/>
      <c r="M26" s="92"/>
      <c r="N26" s="92"/>
      <c r="O26" s="72"/>
      <c r="P26" s="72"/>
      <c r="Q26" s="109"/>
      <c r="R26" s="109"/>
      <c r="S26" s="72"/>
      <c r="T26" s="72"/>
      <c r="U26" s="72"/>
      <c r="V26" s="72"/>
      <c r="X26" s="3"/>
      <c r="Y26" s="3"/>
      <c r="Z26" s="3"/>
      <c r="AA26" s="3"/>
    </row>
    <row r="27" spans="1:27">
      <c r="A27" s="113"/>
      <c r="B27" s="113"/>
      <c r="C27" s="116" t="s">
        <v>57</v>
      </c>
      <c r="D27" s="85" t="s">
        <v>51</v>
      </c>
      <c r="E27" s="67">
        <v>900.91300000000001</v>
      </c>
      <c r="F27" s="67">
        <v>33.863199999999999</v>
      </c>
      <c r="G27" s="87"/>
      <c r="H27" s="67">
        <v>874.17700000000002</v>
      </c>
      <c r="I27" s="67">
        <v>32.836100000000002</v>
      </c>
      <c r="J27" s="87"/>
      <c r="L27" s="90"/>
      <c r="M27" s="90"/>
      <c r="N27" s="90"/>
      <c r="Q27" s="110"/>
      <c r="R27" s="110"/>
      <c r="U27" s="67">
        <v>0.23571</v>
      </c>
      <c r="V27" s="67">
        <v>1.41744E-2</v>
      </c>
      <c r="X27" s="3"/>
      <c r="Y27" s="3"/>
      <c r="Z27" s="3"/>
      <c r="AA27" s="3"/>
    </row>
    <row r="28" spans="1:27">
      <c r="A28" s="113"/>
      <c r="B28" s="113"/>
      <c r="C28" s="116"/>
      <c r="D28" s="85" t="s">
        <v>49</v>
      </c>
      <c r="E28" s="67">
        <v>271.31299999999999</v>
      </c>
      <c r="F28" s="67">
        <v>18.3978</v>
      </c>
      <c r="G28" s="87">
        <f>SQRT(POWER(Z28,2)+(POWER(E28/$E$32-fitSyst_Inclusive!E28/fitSyst_Inclusive!$E$32,2)+POWER(E28/$E$32-fitSyst_Inclusive!H28/fitSyst_Inclusive!$H$32,2)+POWER(E28/$E$32-fitSyst_Inclusive!K28/fitSyst_Inclusive!$K$32,2)+POWER(E28/$E$32-trgBiassing!E28/trgBiassing!$E$32,2)+POWER(E28/$E$32-trgBiassing!L28/trgBiassing!$L$32,2)+POWER(E28/$E$32-epSystematic!E28/epSystematic!$E$32,2)+POWER(E28/$E$32-zVtx_cut_10cm!E28/zVtx_cut_10cm!$E$32,2))/(7*POWER(PI()/8,2)))</f>
        <v>5.376498922311744E-2</v>
      </c>
      <c r="H28" s="67">
        <v>245.35900000000001</v>
      </c>
      <c r="I28" s="67">
        <v>17.270399999999999</v>
      </c>
      <c r="J28" s="87">
        <f>SQRT(POWER(AA28,2)+(POWER(H28/$H$32-fitSyst_Inclusive!F28/fitSyst_Inclusive!$F$32,2)+POWER(H28/$H$32-fitSyst_Inclusive!I28/fitSyst_Inclusive!$I$32,2)+POWER(H28/$H$32-fitSyst_Inclusive!L28/fitSyst_Inclusive!$L$32,2)+POWER(H28/$H$32-trgBiassing!F28/trgBiassing!$F$32,2)+POWER(H28/$H$32-trgBiassing!M28/trgBiassing!$M$32,2)+POWER(H28/$H$32-epSystematic!F28/epSystematic!$F$32,2)+POWER(H28/$H$32-zVtx_cut_10cm!F28/zVtx_cut_10cm!$F$32,2))/(7*POWER(PI()/8,2)))</f>
        <v>5.491277429367547E-2</v>
      </c>
      <c r="L28" s="111">
        <v>5.9188400000000002E-2</v>
      </c>
      <c r="M28" s="111">
        <v>2.6604599999999999E-2</v>
      </c>
      <c r="N28" s="111">
        <v>6.5641900000000003E-2</v>
      </c>
      <c r="O28" s="111">
        <v>2.6258699999999999E-2</v>
      </c>
      <c r="Q28" s="112">
        <f xml:space="preserve"> (L28/ep_CorrectionFactors!H23+N28/ep_CorrectionFactors!M23)/2</f>
        <v>7.443765529331331E-2</v>
      </c>
      <c r="R28" s="112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2.2288756766138295E-2</v>
      </c>
      <c r="U28" s="67">
        <v>0.175651</v>
      </c>
      <c r="V28" s="67">
        <v>2.4074600000000002E-2</v>
      </c>
      <c r="X28" s="3">
        <f xml:space="preserve"> E28/($E$32*PI()/8)</f>
        <v>0.77053284440012626</v>
      </c>
      <c r="Y28" s="3">
        <f xml:space="preserve"> H28/($H$32*PI()/8)</f>
        <v>0.71670870350765359</v>
      </c>
      <c r="Z28" s="3">
        <f t="shared" si="2"/>
        <v>5.2250018114519556E-2</v>
      </c>
      <c r="AA28" s="3">
        <f t="shared" si="3"/>
        <v>5.0447898764906032E-2</v>
      </c>
    </row>
    <row r="29" spans="1:27">
      <c r="A29" s="113"/>
      <c r="B29" s="113"/>
      <c r="C29" s="116"/>
      <c r="D29" s="85" t="s">
        <v>50</v>
      </c>
      <c r="E29" s="67">
        <v>204.619</v>
      </c>
      <c r="F29" s="67">
        <v>16.218599999999999</v>
      </c>
      <c r="G29" s="87">
        <f>SQRT(POWER(Z29,2)+(POWER(E29/$E$32-fitSyst_Inclusive!E29/fitSyst_Inclusive!$E$32,2)+POWER(E29/$E$32-fitSyst_Inclusive!H29/fitSyst_Inclusive!$H$32,2)+POWER(E29/$E$32-fitSyst_Inclusive!K29/fitSyst_Inclusive!$K$32,2)+POWER(E29/$E$32-trgBiassing!E29/trgBiassing!$E$32,2)+POWER(E29/$E$32-trgBiassing!L29/trgBiassing!$L$32,2)+POWER(E29/$E$32-epSystematic!E29/epSystematic!$E$32,2)+POWER(E29/$E$32-zVtx_cut_10cm!E29/zVtx_cut_10cm!$E$32,2))/(7*POWER(PI()/8,2)))</f>
        <v>5.4262177919049963E-2</v>
      </c>
      <c r="H29" s="67">
        <v>230.03299999999999</v>
      </c>
      <c r="I29" s="67">
        <v>16.5974</v>
      </c>
      <c r="J29" s="87">
        <f>SQRT(POWER(AA29,2)+(POWER(H29/$H$32-fitSyst_Inclusive!F29/fitSyst_Inclusive!$F$32,2)+POWER(H29/$H$32-fitSyst_Inclusive!I29/fitSyst_Inclusive!$I$32,2)+POWER(H29/$H$32-fitSyst_Inclusive!L29/fitSyst_Inclusive!$L$32,2)+POWER(H29/$H$32-trgBiassing!F29/trgBiassing!$F$32,2)+POWER(H29/$H$32-trgBiassing!M29/trgBiassing!$M$32,2)+POWER(H29/$H$32-epSystematic!F29/epSystematic!$F$32,2)+POWER(H29/$H$32-zVtx_cut_10cm!F29/zVtx_cut_10cm!$F$32,2))/(7*POWER(PI()/8,2)))</f>
        <v>5.0497308621412218E-2</v>
      </c>
      <c r="L29" s="111"/>
      <c r="M29" s="111"/>
      <c r="N29" s="111"/>
      <c r="O29" s="111"/>
      <c r="Q29" s="112"/>
      <c r="R29" s="112"/>
      <c r="U29" s="67">
        <v>0.234462</v>
      </c>
      <c r="V29" s="67">
        <v>2.9460500000000001E-2</v>
      </c>
      <c r="X29" s="3">
        <f t="shared" ref="X29:X31" si="8" xml:space="preserve"> E29/($E$32*PI()/8)</f>
        <v>0.58112091970642554</v>
      </c>
      <c r="Y29" s="3">
        <f t="shared" ref="Y29:Y31" si="9" xml:space="preserve"> H29/($H$32*PI()/8)</f>
        <v>0.67194051652466824</v>
      </c>
      <c r="Z29" s="3">
        <f t="shared" si="2"/>
        <v>4.6061058593535459E-2</v>
      </c>
      <c r="AA29" s="3">
        <f t="shared" si="3"/>
        <v>4.8482024444173356E-2</v>
      </c>
    </row>
    <row r="30" spans="1:27">
      <c r="A30" s="113"/>
      <c r="B30" s="113"/>
      <c r="C30" s="116"/>
      <c r="D30" s="84" t="s">
        <v>52</v>
      </c>
      <c r="E30" s="67">
        <v>217.31800000000001</v>
      </c>
      <c r="F30" s="67">
        <v>16.4284</v>
      </c>
      <c r="G30" s="87">
        <f>SQRT(POWER(Z30,2)+(POWER(E30/$E$32-fitSyst_Inclusive!E30/fitSyst_Inclusive!$E$32,2)+POWER(E30/$E$32-fitSyst_Inclusive!H30/fitSyst_Inclusive!$H$32,2)+POWER(E30/$E$32-fitSyst_Inclusive!K30/fitSyst_Inclusive!$K$32,2)+POWER(E30/$E$32-trgBiassing!E30/trgBiassing!$E$32,2)+POWER(E30/$E$32-trgBiassing!L30/trgBiassing!$L$32,2)+POWER(E30/$E$32-epSystematic!E30/epSystematic!$E$32,2)+POWER(E30/$E$32-zVtx_cut_10cm!E30/zVtx_cut_10cm!$E$32,2))/(7*POWER(PI()/8,2)))</f>
        <v>4.7197896103710002E-2</v>
      </c>
      <c r="H30" s="67">
        <v>201.494</v>
      </c>
      <c r="I30" s="67">
        <v>15.554</v>
      </c>
      <c r="J30" s="87">
        <f>SQRT(POWER(AA30,2)+(POWER(H30/$H$32-fitSyst_Inclusive!F30/fitSyst_Inclusive!$F$32,2)+POWER(H30/$H$32-fitSyst_Inclusive!I30/fitSyst_Inclusive!$I$32,2)+POWER(H30/$H$32-fitSyst_Inclusive!L30/fitSyst_Inclusive!$L$32,2)+POWER(H30/$H$32-trgBiassing!F30/trgBiassing!$F$32,2)+POWER(H30/$H$32-trgBiassing!M30/trgBiassing!$M$32,2)+POWER(H30/$H$32-epSystematic!F30/epSystematic!$F$32,2)+POWER(H30/$H$32-zVtx_cut_10cm!F30/zVtx_cut_10cm!$F$32,2))/(7*POWER(PI()/8,2)))</f>
        <v>4.7792474740732491E-2</v>
      </c>
      <c r="L30" s="111"/>
      <c r="M30" s="111"/>
      <c r="N30" s="111"/>
      <c r="O30" s="111"/>
      <c r="Q30" s="112"/>
      <c r="R30" s="112"/>
      <c r="U30" s="67">
        <v>0.30035600000000001</v>
      </c>
      <c r="V30" s="67">
        <v>2.9315000000000001E-2</v>
      </c>
      <c r="X30" s="3">
        <f t="shared" si="8"/>
        <v>0.61718626339079452</v>
      </c>
      <c r="Y30" s="3">
        <f t="shared" si="9"/>
        <v>0.58857634529229064</v>
      </c>
      <c r="Z30" s="3">
        <f t="shared" si="2"/>
        <v>4.665689362818233E-2</v>
      </c>
      <c r="AA30" s="3">
        <f t="shared" si="3"/>
        <v>4.5434188981688231E-2</v>
      </c>
    </row>
    <row r="31" spans="1:27">
      <c r="A31" s="113"/>
      <c r="B31" s="113"/>
      <c r="C31" s="116"/>
      <c r="D31" s="84" t="s">
        <v>53</v>
      </c>
      <c r="E31" s="67">
        <v>203.393</v>
      </c>
      <c r="F31" s="67">
        <v>15.805099999999999</v>
      </c>
      <c r="G31" s="87">
        <f>SQRT(POWER(Z31,2)+(POWER(E31/$E$32-fitSyst_Inclusive!E31/fitSyst_Inclusive!$E$32,2)+POWER(E31/$E$32-fitSyst_Inclusive!H31/fitSyst_Inclusive!$H$32,2)+POWER(E31/$E$32-fitSyst_Inclusive!K31/fitSyst_Inclusive!$K$32,2)+POWER(E31/$E$32-trgBiassing!E31/trgBiassing!$E$32,2)+POWER(E31/$E$32-trgBiassing!L31/trgBiassing!$L$32,2)+POWER(E31/$E$32-epSystematic!E31/epSystematic!$E$32,2)+POWER(E31/$E$32-zVtx_cut_10cm!E31/zVtx_cut_10cm!$E$32,2))/(7*POWER(PI()/8,2)))</f>
        <v>5.9324034975655561E-2</v>
      </c>
      <c r="H31" s="67">
        <v>194.87899999999999</v>
      </c>
      <c r="I31" s="67">
        <v>15.3475</v>
      </c>
      <c r="J31" s="87">
        <f>SQRT(POWER(AA31,2)+(POWER(H31/$H$32-fitSyst_Inclusive!F31/fitSyst_Inclusive!$F$32,2)+POWER(H31/$H$32-fitSyst_Inclusive!I31/fitSyst_Inclusive!$I$32,2)+POWER(H31/$H$32-fitSyst_Inclusive!L31/fitSyst_Inclusive!$L$32,2)+POWER(H31/$H$32-trgBiassing!F31/trgBiassing!$F$32,2)+POWER(H31/$H$32-trgBiassing!M31/trgBiassing!$M$32,2)+POWER(H31/$H$32-epSystematic!F31/epSystematic!$F$32,2)+POWER(H31/$H$32-zVtx_cut_10cm!F31/zVtx_cut_10cm!$F$32,2))/(7*POWER(PI()/8,2)))</f>
        <v>4.5605037392808745E-2</v>
      </c>
      <c r="L31" s="111"/>
      <c r="M31" s="111"/>
      <c r="N31" s="111"/>
      <c r="O31" s="111"/>
      <c r="Q31" s="112"/>
      <c r="R31" s="112"/>
      <c r="U31" s="67">
        <v>0.21670800000000001</v>
      </c>
      <c r="V31" s="67">
        <v>3.1391099999999998E-2</v>
      </c>
      <c r="X31" s="3">
        <f t="shared" si="8"/>
        <v>0.5776390619729791</v>
      </c>
      <c r="Y31" s="3">
        <f t="shared" si="9"/>
        <v>0.56925352414571306</v>
      </c>
      <c r="Z31" s="3">
        <f t="shared" si="2"/>
        <v>4.4886712612475017E-2</v>
      </c>
      <c r="AA31" s="3">
        <f t="shared" si="3"/>
        <v>4.4830989803038464E-2</v>
      </c>
    </row>
    <row r="32" spans="1:27">
      <c r="A32" s="113"/>
      <c r="B32" s="113"/>
      <c r="C32" s="116"/>
      <c r="D32" s="80"/>
      <c r="E32" s="72">
        <f xml:space="preserve"> SUM(E28:E31)</f>
        <v>896.64300000000003</v>
      </c>
      <c r="F32" s="82">
        <f xml:space="preserve"> SQRT(F28*F28+F29*F29+F30*F30+F31*F31)</f>
        <v>33.484556789212547</v>
      </c>
      <c r="G32" s="73"/>
      <c r="H32" s="72">
        <f xml:space="preserve"> SUM(H28:H31)</f>
        <v>871.76499999999999</v>
      </c>
      <c r="I32" s="82">
        <f xml:space="preserve"> SQRT(I28*I28+I29*I29+I30*I30+I31*I31)</f>
        <v>32.42241624509191</v>
      </c>
      <c r="J32" s="73"/>
      <c r="K32" s="72"/>
      <c r="L32" s="92"/>
      <c r="M32" s="92"/>
      <c r="N32" s="92"/>
      <c r="O32" s="72"/>
      <c r="P32" s="72"/>
      <c r="Q32" s="109"/>
      <c r="R32" s="109"/>
      <c r="S32" s="72"/>
      <c r="T32" s="72"/>
      <c r="U32" s="72"/>
      <c r="V32" s="72"/>
      <c r="X32" s="3"/>
      <c r="Y32" s="3"/>
      <c r="Z32" s="3"/>
      <c r="AA32" s="3"/>
    </row>
    <row r="33" spans="1:27">
      <c r="A33" s="117" t="s">
        <v>55</v>
      </c>
      <c r="B33" s="117" t="s">
        <v>37</v>
      </c>
      <c r="C33" s="118" t="s">
        <v>17</v>
      </c>
      <c r="D33" s="85" t="s">
        <v>51</v>
      </c>
      <c r="E33" s="93">
        <v>1115.46</v>
      </c>
      <c r="F33" s="93">
        <v>39.184199999999997</v>
      </c>
      <c r="G33" s="87"/>
      <c r="H33" s="93">
        <v>1095.23</v>
      </c>
      <c r="I33" s="93">
        <v>39.81</v>
      </c>
      <c r="J33" s="87"/>
      <c r="Q33" s="110"/>
      <c r="R33" s="110"/>
      <c r="U33" s="93">
        <v>0.188059</v>
      </c>
      <c r="V33" s="93">
        <v>1.2644300000000001E-2</v>
      </c>
      <c r="X33" s="3"/>
      <c r="Y33" s="3"/>
      <c r="Z33" s="3"/>
      <c r="AA33" s="3"/>
    </row>
    <row r="34" spans="1:27">
      <c r="A34" s="117"/>
      <c r="B34" s="117"/>
      <c r="C34" s="118"/>
      <c r="D34" s="85" t="s">
        <v>49</v>
      </c>
      <c r="E34" s="93">
        <v>310.84899999999999</v>
      </c>
      <c r="F34" s="93">
        <v>20.7864</v>
      </c>
      <c r="G34" s="87">
        <f>SQRT(POWER(Z34,2)+(POWER(E34/$E$38-fitSyst_Inclusive!E34/fitSyst_Inclusive!$E$38,2)+POWER(E34/$E$38-fitSyst_Inclusive!H34/fitSyst_Inclusive!$H$38,2)+POWER(E34/$E$38-fitSyst_Inclusive!K34/fitSyst_Inclusive!$K$38,2)+POWER(E34/$E$38-trgBiassing!E34/trgBiassing!$E$38,2)+POWER(E34/$E$38-trgBiassing!L34/trgBiassing!$L$38,2)+POWER(E34/$E$38-epSystematic!E34/epSystematic!$E$38,2)+POWER(E34/$E$38-zVtx_cut_10cm!E34/zVtx_cut_10cm!$E$38,2))/(7*POWER(PI()/8,2)))</f>
        <v>6.605488883264056E-2</v>
      </c>
      <c r="H34" s="93">
        <v>316.387</v>
      </c>
      <c r="I34" s="93">
        <v>20.4907</v>
      </c>
      <c r="J34" s="87">
        <f>SQRT(POWER(AA34,2)+(POWER(H34/$H$38-fitSyst_Inclusive!F34/fitSyst_Inclusive!$F$38,2)+POWER(H34/$H$38-fitSyst_Inclusive!I34/fitSyst_Inclusive!$I$38,2)+POWER(H34/$H$38-fitSyst_Inclusive!L34/fitSyst_Inclusive!$L$38,2)+POWER(H34/$H$38-trgBiassing!F34/trgBiassing!$F$38,2)+POWER(H34/$H$38-trgBiassing!M34/trgBiassing!$M$38,2)+POWER(H34/$H$38-epSystematic!F34/epSystematic!$F$38,2)+POWER(H34/$H$38-zVtx_cut_10cm!F34/zVtx_cut_10cm!$F$38,2))/(7*POWER(PI()/8,2)))</f>
        <v>6.9596478512290436E-2</v>
      </c>
      <c r="L34" s="111">
        <v>4.7276800000000001E-2</v>
      </c>
      <c r="M34" s="111">
        <v>2.4670500000000001E-2</v>
      </c>
      <c r="N34" s="111">
        <v>7.0368899999999998E-2</v>
      </c>
      <c r="O34" s="111">
        <v>2.45661E-2</v>
      </c>
      <c r="Q34" s="112">
        <f xml:space="preserve"> (L34/ep_CorrectionFactors!H18+N34/ep_CorrectionFactors!M18)/2</f>
        <v>7.50048692855146E-2</v>
      </c>
      <c r="R34" s="112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2.2195100454195437E-2</v>
      </c>
      <c r="U34" s="93">
        <v>0.164053</v>
      </c>
      <c r="V34" s="93">
        <v>2.2384100000000001E-2</v>
      </c>
      <c r="X34" s="3">
        <f xml:space="preserve"> E34/($E$38*PI()/8)</f>
        <v>0.71441314446716309</v>
      </c>
      <c r="Y34" s="3">
        <f xml:space="preserve"> H34/($H$38*PI()/8)</f>
        <v>0.73585160056101584</v>
      </c>
      <c r="Z34" s="3">
        <f t="shared" si="2"/>
        <v>4.7772640047586579E-2</v>
      </c>
      <c r="AA34" s="3">
        <f t="shared" si="3"/>
        <v>4.7657186899637494E-2</v>
      </c>
    </row>
    <row r="35" spans="1:27">
      <c r="A35" s="117"/>
      <c r="B35" s="117"/>
      <c r="C35" s="118"/>
      <c r="D35" s="85" t="s">
        <v>50</v>
      </c>
      <c r="E35" s="93">
        <v>269.27699999999999</v>
      </c>
      <c r="F35" s="93">
        <v>19.116399999999999</v>
      </c>
      <c r="G35" s="87">
        <f>SQRT(POWER(Z35,2)+(POWER(E35/$E$38-fitSyst_Inclusive!E35/fitSyst_Inclusive!$E$38,2)+POWER(E35/$E$38-fitSyst_Inclusive!H35/fitSyst_Inclusive!$H$38,2)+POWER(E35/$E$38-fitSyst_Inclusive!K35/fitSyst_Inclusive!$K$38,2)+POWER(E35/$E$38-trgBiassing!E35/trgBiassing!$E$38,2)+POWER(E35/$E$38-trgBiassing!L35/trgBiassing!$L$38,2)+POWER(E35/$E$38-epSystematic!E35/epSystematic!$E$38,2)+POWER(E35/$E$38-zVtx_cut_10cm!E35/zVtx_cut_10cm!$E$38,2))/(7*POWER(PI()/8,2)))</f>
        <v>4.5889237238962363E-2</v>
      </c>
      <c r="H35" s="93">
        <v>285.53399999999999</v>
      </c>
      <c r="I35" s="93">
        <v>19.367100000000001</v>
      </c>
      <c r="J35" s="87">
        <f>SQRT(POWER(AA35,2)+(POWER(H35/$H$38-fitSyst_Inclusive!F35/fitSyst_Inclusive!$F$38,2)+POWER(H35/$H$38-fitSyst_Inclusive!I35/fitSyst_Inclusive!$I$38,2)+POWER(H35/$H$38-fitSyst_Inclusive!L35/fitSyst_Inclusive!$L$38,2)+POWER(H35/$H$38-trgBiassing!F35/trgBiassing!$F$38,2)+POWER(H35/$H$38-trgBiassing!M35/trgBiassing!$M$38,2)+POWER(H35/$H$38-epSystematic!F35/epSystematic!$F$38,2)+POWER(H35/$H$38-zVtx_cut_10cm!F35/zVtx_cut_10cm!$F$38,2))/(7*POWER(PI()/8,2)))</f>
        <v>4.82127224905766E-2</v>
      </c>
      <c r="L35" s="111"/>
      <c r="M35" s="111"/>
      <c r="N35" s="111"/>
      <c r="O35" s="111"/>
      <c r="Q35" s="112"/>
      <c r="R35" s="112"/>
      <c r="U35" s="93">
        <v>0.16914899999999999</v>
      </c>
      <c r="V35" s="93">
        <v>2.4127800000000001E-2</v>
      </c>
      <c r="X35" s="3">
        <f t="shared" ref="X35:X37" si="10" xml:space="preserve"> E35/($E$38*PI()/8)</f>
        <v>0.6188697029833915</v>
      </c>
      <c r="Y35" s="3">
        <f t="shared" ref="Y35:Y37" si="11" xml:space="preserve"> H35/($H$38*PI()/8)</f>
        <v>0.66409381837619463</v>
      </c>
      <c r="Z35" s="3">
        <f t="shared" si="2"/>
        <v>4.393453874676153E-2</v>
      </c>
      <c r="AA35" s="3">
        <f t="shared" si="3"/>
        <v>4.5043922579705395E-2</v>
      </c>
    </row>
    <row r="36" spans="1:27">
      <c r="A36" s="117"/>
      <c r="B36" s="117"/>
      <c r="C36" s="118"/>
      <c r="D36" s="84" t="s">
        <v>52</v>
      </c>
      <c r="E36" s="93">
        <v>278.98</v>
      </c>
      <c r="F36" s="93">
        <v>18.878499999999999</v>
      </c>
      <c r="G36" s="87">
        <f>SQRT(POWER(Z36,2)+(POWER(E36/$E$38-fitSyst_Inclusive!E36/fitSyst_Inclusive!$E$38,2)+POWER(E36/$E$38-fitSyst_Inclusive!H36/fitSyst_Inclusive!$H$38,2)+POWER(E36/$E$38-fitSyst_Inclusive!K36/fitSyst_Inclusive!$K$38,2)+POWER(E36/$E$38-trgBiassing!E36/trgBiassing!$E$38,2)+POWER(E36/$E$38-trgBiassing!L36/trgBiassing!$L$38,2)+POWER(E36/$E$38-epSystematic!E36/epSystematic!$E$38,2)+POWER(E36/$E$38-zVtx_cut_10cm!E36/zVtx_cut_10cm!$E$38,2))/(7*POWER(PI()/8,2)))</f>
        <v>4.5189288909844895E-2</v>
      </c>
      <c r="H36" s="93">
        <v>244.50899999999999</v>
      </c>
      <c r="I36" s="93">
        <v>17.988499999999998</v>
      </c>
      <c r="J36" s="87">
        <f>SQRT(POWER(AA36,2)+(POWER(H36/$H$38-fitSyst_Inclusive!F36/fitSyst_Inclusive!$F$38,2)+POWER(H36/$H$38-fitSyst_Inclusive!I36/fitSyst_Inclusive!$I$38,2)+POWER(H36/$H$38-fitSyst_Inclusive!L36/fitSyst_Inclusive!$L$38,2)+POWER(H36/$H$38-trgBiassing!F36/trgBiassing!$F$38,2)+POWER(H36/$H$38-trgBiassing!M36/trgBiassing!$M$38,2)+POWER(H36/$H$38-epSystematic!F36/epSystematic!$F$38,2)+POWER(H36/$H$38-zVtx_cut_10cm!F36/zVtx_cut_10cm!$F$38,2))/(7*POWER(PI()/8,2)))</f>
        <v>7.4089741577608698E-2</v>
      </c>
      <c r="L36" s="111"/>
      <c r="M36" s="111"/>
      <c r="N36" s="111"/>
      <c r="O36" s="111"/>
      <c r="Q36" s="112"/>
      <c r="R36" s="112"/>
      <c r="U36" s="93">
        <v>0.20449000000000001</v>
      </c>
      <c r="V36" s="93">
        <v>2.5999499999999998E-2</v>
      </c>
      <c r="X36" s="3">
        <f t="shared" si="10"/>
        <v>0.64116976102046064</v>
      </c>
      <c r="Y36" s="3">
        <f t="shared" si="11"/>
        <v>0.56867803987386789</v>
      </c>
      <c r="Z36" s="3">
        <f t="shared" si="2"/>
        <v>4.3387781681212864E-2</v>
      </c>
      <c r="AA36" s="3">
        <f t="shared" si="3"/>
        <v>4.1837580294676567E-2</v>
      </c>
    </row>
    <row r="37" spans="1:27">
      <c r="A37" s="117"/>
      <c r="B37" s="117"/>
      <c r="C37" s="118"/>
      <c r="D37" s="84" t="s">
        <v>53</v>
      </c>
      <c r="E37" s="93">
        <v>248.89500000000001</v>
      </c>
      <c r="F37" s="93">
        <v>18.210699999999999</v>
      </c>
      <c r="G37" s="87">
        <f>SQRT(POWER(Z37,2)+(POWER(E37/$E$38-fitSyst_Inclusive!E37/fitSyst_Inclusive!$E$38,2)+POWER(E37/$E$38-fitSyst_Inclusive!H37/fitSyst_Inclusive!$H$38,2)+POWER(E37/$E$38-fitSyst_Inclusive!K37/fitSyst_Inclusive!$K$38,2)+POWER(E37/$E$38-trgBiassing!E37/trgBiassing!$E$38,2)+POWER(E37/$E$38-trgBiassing!L37/trgBiassing!$L$38,2)+POWER(E37/$E$38-epSystematic!E37/epSystematic!$E$38,2)+POWER(E37/$E$38-zVtx_cut_10cm!E37/zVtx_cut_10cm!$E$38,2))/(7*POWER(PI()/8,2)))</f>
        <v>7.3810005999360231E-2</v>
      </c>
      <c r="H37" s="93">
        <v>248.45500000000001</v>
      </c>
      <c r="I37" s="93">
        <v>17.921800000000001</v>
      </c>
      <c r="J37" s="87">
        <f>SQRT(POWER(AA37,2)+(POWER(H37/$H$38-fitSyst_Inclusive!F37/fitSyst_Inclusive!$F$38,2)+POWER(H37/$H$38-fitSyst_Inclusive!I37/fitSyst_Inclusive!$I$38,2)+POWER(H37/$H$38-fitSyst_Inclusive!L37/fitSyst_Inclusive!$L$38,2)+POWER(H37/$H$38-trgBiassing!F37/trgBiassing!$F$38,2)+POWER(H37/$H$38-trgBiassing!M37/trgBiassing!$M$38,2)+POWER(H37/$H$38-epSystematic!F37/epSystematic!$F$38,2)+POWER(H37/$H$38-zVtx_cut_10cm!F37/zVtx_cut_10cm!$F$38,2))/(7*POWER(PI()/8,2)))</f>
        <v>4.2466968638943468E-2</v>
      </c>
      <c r="L37" s="111"/>
      <c r="M37" s="111"/>
      <c r="N37" s="111"/>
      <c r="O37" s="111"/>
      <c r="Q37" s="112"/>
      <c r="R37" s="112"/>
      <c r="U37" s="93">
        <v>0.22617999999999999</v>
      </c>
      <c r="V37" s="93">
        <v>2.9247100000000002E-2</v>
      </c>
      <c r="X37" s="3">
        <f t="shared" si="10"/>
        <v>0.57202648099931019</v>
      </c>
      <c r="Y37" s="3">
        <f t="shared" si="11"/>
        <v>0.57785563065924705</v>
      </c>
      <c r="Z37" s="3">
        <f t="shared" si="2"/>
        <v>4.1853000813733249E-2</v>
      </c>
      <c r="AA37" s="3">
        <f t="shared" si="3"/>
        <v>4.168244970537479E-2</v>
      </c>
    </row>
    <row r="38" spans="1:27">
      <c r="A38" s="117"/>
      <c r="B38" s="117"/>
      <c r="C38" s="118"/>
      <c r="D38" s="80"/>
      <c r="E38" s="72">
        <f xml:space="preserve"> SUM(E34:E37)</f>
        <v>1108.001</v>
      </c>
      <c r="F38" s="82">
        <f xml:space="preserve"> SQRT(F34*F34+F35*F35+F36*F36+F37*F37)</f>
        <v>38.542684528454942</v>
      </c>
      <c r="G38" s="73"/>
      <c r="H38" s="72">
        <f xml:space="preserve"> SUM(H34:H37)</f>
        <v>1094.885</v>
      </c>
      <c r="I38" s="82">
        <f xml:space="preserve"> SQRT(I34*I34+I35*I35+I36*I36+I37*I37)</f>
        <v>37.943779416262686</v>
      </c>
      <c r="J38" s="73"/>
      <c r="K38" s="72"/>
      <c r="L38" s="72"/>
      <c r="M38" s="72"/>
      <c r="N38" s="72"/>
      <c r="O38" s="72"/>
      <c r="P38" s="72"/>
      <c r="Q38" s="109"/>
      <c r="R38" s="109"/>
      <c r="S38" s="72"/>
      <c r="T38" s="72"/>
      <c r="U38" s="72"/>
      <c r="V38" s="72"/>
      <c r="X38" s="3"/>
      <c r="Y38" s="3"/>
      <c r="Z38" s="3"/>
      <c r="AA38" s="3"/>
    </row>
    <row r="39" spans="1:27">
      <c r="A39" s="117"/>
      <c r="B39" s="117" t="s">
        <v>76</v>
      </c>
      <c r="C39" s="118"/>
      <c r="D39" s="84" t="s">
        <v>51</v>
      </c>
      <c r="E39" s="93">
        <v>1104.5</v>
      </c>
      <c r="F39" s="93">
        <v>37.499499999999998</v>
      </c>
      <c r="G39" s="87"/>
      <c r="H39" s="93">
        <v>996.16200000000003</v>
      </c>
      <c r="I39" s="93">
        <v>34.216299999999997</v>
      </c>
      <c r="J39" s="87"/>
      <c r="Q39" s="110"/>
      <c r="R39" s="110"/>
      <c r="U39" s="93">
        <v>0.22628000000000001</v>
      </c>
      <c r="V39" s="93">
        <v>1.3347400000000001E-2</v>
      </c>
      <c r="X39" s="3"/>
      <c r="Y39" s="3"/>
      <c r="Z39" s="3"/>
      <c r="AA39" s="3"/>
    </row>
    <row r="40" spans="1:27">
      <c r="A40" s="117"/>
      <c r="B40" s="117"/>
      <c r="C40" s="118"/>
      <c r="D40" s="85" t="s">
        <v>49</v>
      </c>
      <c r="E40" s="93">
        <v>313.81400000000002</v>
      </c>
      <c r="F40" s="93">
        <v>19.828199999999999</v>
      </c>
      <c r="G40" s="87">
        <f>SQRT(POWER(Z40,2)+(POWER(E40/$E$44-fitSyst_Inclusive!E40/fitSyst_Inclusive!$E$44,2)+POWER(E40/$E$44-fitSyst_Inclusive!H40/fitSyst_Inclusive!$H$44,2)+POWER(E40/$E$44-fitSyst_Inclusive!K40/fitSyst_Inclusive!$K$44,2)+POWER(E40/$E$44-trgBiassing!E40/trgBiassing!$E$44,2)+POWER(E40/$E$44-trgBiassing!L40/trgBiassing!$L$44,2)+POWER(E40/$E$44-epSystematic!E40/epSystematic!$E$44,2)+POWER(E40/$E$44-zVtx_cut_10cm!E40/zVtx_cut_10cm!$E$44,2))/(7*POWER(PI()/8,2)))</f>
        <v>4.8307012357025739E-2</v>
      </c>
      <c r="H40" s="93">
        <v>289.459</v>
      </c>
      <c r="I40" s="93">
        <v>18.408200000000001</v>
      </c>
      <c r="J40" s="87">
        <f>SQRT(POWER(AA40,2)+(POWER(H40/$H$44-fitSyst_Inclusive!F40/fitSyst_Inclusive!$F$44,2)+POWER(H40/$H$44-fitSyst_Inclusive!I40/fitSyst_Inclusive!$I$44,2)+POWER(H40/$H$44-fitSyst_Inclusive!L40/fitSyst_Inclusive!$L$44,2)+POWER(H40/$H$44-trgBiassing!F40/trgBiassing!$F$44,2)+POWER(H40/$H$44-trgBiassing!M40/trgBiassing!$M$44,2)+POWER(H40/$H$44-epSystematic!F40/epSystematic!$F$44,2)+POWER(H40/$H$44-zVtx_cut_10cm!F40/zVtx_cut_10cm!$F$44,2))/(7*POWER(PI()/8,2)))</f>
        <v>5.0858029972648967E-2</v>
      </c>
      <c r="L40" s="111">
        <v>8.53883E-2</v>
      </c>
      <c r="M40" s="111">
        <v>2.3232200000000001E-2</v>
      </c>
      <c r="N40" s="111">
        <v>7.1889900000000007E-2</v>
      </c>
      <c r="O40" s="111">
        <v>2.4604899999999999E-2</v>
      </c>
      <c r="Q40" s="112">
        <f xml:space="preserve"> (L40/ep_CorrectionFactors!H18+N40/ep_CorrectionFactors!M18)/2</f>
        <v>0.10026235222495483</v>
      </c>
      <c r="R40" s="112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2.1573572553017145E-2</v>
      </c>
      <c r="U40" s="93">
        <v>0.20146700000000001</v>
      </c>
      <c r="V40" s="93">
        <v>2.4004600000000001E-2</v>
      </c>
      <c r="X40" s="3">
        <f xml:space="preserve"> E40/($E$44*PI()/8)</f>
        <v>0.72673573006170478</v>
      </c>
      <c r="Y40" s="3">
        <f xml:space="preserve"> H40/($H$44*PI()/8)</f>
        <v>0.74654735443465259</v>
      </c>
      <c r="Z40" s="3">
        <f t="shared" si="2"/>
        <v>4.5918478470716707E-2</v>
      </c>
      <c r="AA40" s="3">
        <f t="shared" si="3"/>
        <v>4.7476820585657976E-2</v>
      </c>
    </row>
    <row r="41" spans="1:27">
      <c r="A41" s="117"/>
      <c r="B41" s="117"/>
      <c r="C41" s="118"/>
      <c r="D41" s="85" t="s">
        <v>50</v>
      </c>
      <c r="E41" s="93">
        <v>293.327</v>
      </c>
      <c r="F41" s="93">
        <v>19.246400000000001</v>
      </c>
      <c r="G41" s="87">
        <f>SQRT(POWER(Z41,2)+(POWER(E41/$E$44-fitSyst_Inclusive!E41/fitSyst_Inclusive!$E$44,2)+POWER(E41/$E$44-fitSyst_Inclusive!H41/fitSyst_Inclusive!$H$44,2)+POWER(E41/$E$44-fitSyst_Inclusive!K41/fitSyst_Inclusive!$K$44,2)+POWER(E41/$E$44-trgBiassing!E41/trgBiassing!$E$44,2)+POWER(E41/$E$44-trgBiassing!L41/trgBiassing!$L$44,2)+POWER(E41/$E$44-epSystematic!E41/epSystematic!$E$44,2)+POWER(E41/$E$44-zVtx_cut_10cm!E41/zVtx_cut_10cm!$E$44,2))/(7*POWER(PI()/8,2)))</f>
        <v>4.8178869368504462E-2</v>
      </c>
      <c r="H41" s="93">
        <v>257.02699999999999</v>
      </c>
      <c r="I41" s="93">
        <v>17.224900000000002</v>
      </c>
      <c r="J41" s="87">
        <f>SQRT(POWER(AA41,2)+(POWER(H41/$H$44-fitSyst_Inclusive!F41/fitSyst_Inclusive!$F$44,2)+POWER(H41/$H$44-fitSyst_Inclusive!I41/fitSyst_Inclusive!$I$44,2)+POWER(H41/$H$44-fitSyst_Inclusive!L41/fitSyst_Inclusive!$L$44,2)+POWER(H41/$H$44-trgBiassing!F41/trgBiassing!$F$44,2)+POWER(H41/$H$44-trgBiassing!M41/trgBiassing!$M$44,2)+POWER(H41/$H$44-epSystematic!F41/epSystematic!$F$44,2)+POWER(H41/$H$44-zVtx_cut_10cm!F41/zVtx_cut_10cm!$F$44,2))/(7*POWER(PI()/8,2)))</f>
        <v>4.6444170942656522E-2</v>
      </c>
      <c r="L41" s="111"/>
      <c r="M41" s="111"/>
      <c r="N41" s="111"/>
      <c r="O41" s="111"/>
      <c r="Q41" s="112"/>
      <c r="R41" s="112"/>
      <c r="U41" s="93">
        <v>0.233436</v>
      </c>
      <c r="V41" s="93">
        <v>2.6683499999999999E-2</v>
      </c>
      <c r="X41" s="3">
        <f t="shared" ref="X41:X43" si="12" xml:space="preserve"> E41/($E$44*PI()/8)</f>
        <v>0.67929159148989415</v>
      </c>
      <c r="Y41" s="3">
        <f t="shared" ref="Y41:Y43" si="13" xml:space="preserve"> H41/($H$44*PI()/8)</f>
        <v>0.66290157455209697</v>
      </c>
      <c r="Z41" s="3">
        <f t="shared" si="2"/>
        <v>4.4571136262434419E-2</v>
      </c>
      <c r="AA41" s="3">
        <f t="shared" si="3"/>
        <v>4.4424956644642064E-2</v>
      </c>
    </row>
    <row r="42" spans="1:27">
      <c r="A42" s="117"/>
      <c r="B42" s="117"/>
      <c r="C42" s="118"/>
      <c r="D42" s="84" t="s">
        <v>52</v>
      </c>
      <c r="E42" s="93">
        <v>267.53199999999998</v>
      </c>
      <c r="F42" s="93">
        <v>18.210999999999999</v>
      </c>
      <c r="G42" s="87">
        <f>SQRT(POWER(Z42,2)+(POWER(E42/$E$44-fitSyst_Inclusive!E42/fitSyst_Inclusive!$E$44,2)+POWER(E42/$E$44-fitSyst_Inclusive!H42/fitSyst_Inclusive!$H$44,2)+POWER(E42/$E$44-fitSyst_Inclusive!K42/fitSyst_Inclusive!$K$44,2)+POWER(E42/$E$44-trgBiassing!E42/trgBiassing!$E$44,2)+POWER(E42/$E$44-trgBiassing!L42/trgBiassing!$L$44,2)+POWER(E42/$E$44-epSystematic!E42/epSystematic!$E$44,2)+POWER(E42/$E$44-zVtx_cut_10cm!E42/zVtx_cut_10cm!$E$44,2))/(7*POWER(PI()/8,2)))</f>
        <v>4.542782065226831E-2</v>
      </c>
      <c r="H42" s="93">
        <v>209.61799999999999</v>
      </c>
      <c r="I42" s="93">
        <v>15.6914</v>
      </c>
      <c r="J42" s="87">
        <f>SQRT(POWER(AA42,2)+(POWER(H42/$H$44-fitSyst_Inclusive!F42/fitSyst_Inclusive!$F$44,2)+POWER(H42/$H$44-fitSyst_Inclusive!I42/fitSyst_Inclusive!$I$44,2)+POWER(H42/$H$44-fitSyst_Inclusive!L42/fitSyst_Inclusive!$L$44,2)+POWER(H42/$H$44-trgBiassing!F42/trgBiassing!$F$44,2)+POWER(H42/$H$44-trgBiassing!M42/trgBiassing!$M$44,2)+POWER(H42/$H$44-epSystematic!F42/epSystematic!$F$44,2)+POWER(H42/$H$44-zVtx_cut_10cm!F42/zVtx_cut_10cm!$F$44,2))/(7*POWER(PI()/8,2)))</f>
        <v>4.1930716494784373E-2</v>
      </c>
      <c r="L42" s="111"/>
      <c r="M42" s="111"/>
      <c r="N42" s="111"/>
      <c r="O42" s="111"/>
      <c r="Q42" s="112"/>
      <c r="R42" s="112"/>
      <c r="U42" s="93">
        <v>0.24581600000000001</v>
      </c>
      <c r="V42" s="93">
        <v>2.72616E-2</v>
      </c>
      <c r="X42" s="3">
        <f t="shared" si="12"/>
        <v>0.61955509739803827</v>
      </c>
      <c r="Y42" s="3">
        <f t="shared" si="13"/>
        <v>0.54062842524116717</v>
      </c>
      <c r="Z42" s="3">
        <f t="shared" si="2"/>
        <v>4.2173339558317043E-2</v>
      </c>
      <c r="AA42" s="3">
        <f t="shared" si="3"/>
        <v>4.0469887470681198E-2</v>
      </c>
    </row>
    <row r="43" spans="1:27">
      <c r="A43" s="117"/>
      <c r="B43" s="117"/>
      <c r="C43" s="118"/>
      <c r="D43" s="84" t="s">
        <v>53</v>
      </c>
      <c r="E43" s="93">
        <v>224.93</v>
      </c>
      <c r="F43" s="93">
        <v>16.558299999999999</v>
      </c>
      <c r="G43" s="87">
        <f>SQRT(POWER(Z43,2)+(POWER(E43/$E$44-fitSyst_Inclusive!E43/fitSyst_Inclusive!$E$44,2)+POWER(E43/$E$44-fitSyst_Inclusive!H43/fitSyst_Inclusive!$H$44,2)+POWER(E43/$E$44-fitSyst_Inclusive!K43/fitSyst_Inclusive!$K$44,2)+POWER(E43/$E$44-trgBiassing!E43/trgBiassing!$E$44,2)+POWER(E43/$E$44-trgBiassing!L43/trgBiassing!$L$44,2)+POWER(E43/$E$44-epSystematic!E43/epSystematic!$E$44,2)+POWER(E43/$E$44-zVtx_cut_10cm!E43/zVtx_cut_10cm!$E$44,2))/(7*POWER(PI()/8,2)))</f>
        <v>4.7615154602296907E-2</v>
      </c>
      <c r="H43" s="93">
        <v>231.24299999999999</v>
      </c>
      <c r="I43" s="93">
        <v>16.402000000000001</v>
      </c>
      <c r="J43" s="87">
        <f>SQRT(POWER(AA43,2)+(POWER(H43/$H$44-fitSyst_Inclusive!F43/fitSyst_Inclusive!$F$44,2)+POWER(H43/$H$44-fitSyst_Inclusive!I43/fitSyst_Inclusive!$I$44,2)+POWER(H43/$H$44-fitSyst_Inclusive!L43/fitSyst_Inclusive!$L$44,2)+POWER(H43/$H$44-trgBiassing!F43/trgBiassing!$F$44,2)+POWER(H43/$H$44-trgBiassing!M43/trgBiassing!$M$44,2)+POWER(H43/$H$44-epSystematic!F43/epSystematic!$F$44,2)+POWER(H43/$H$44-zVtx_cut_10cm!F43/zVtx_cut_10cm!$F$44,2))/(7*POWER(PI()/8,2)))</f>
        <v>4.3354136286304509E-2</v>
      </c>
      <c r="L43" s="111"/>
      <c r="M43" s="111"/>
      <c r="N43" s="111"/>
      <c r="O43" s="111"/>
      <c r="Q43" s="112"/>
      <c r="R43" s="112"/>
      <c r="U43" s="93">
        <v>0.24069199999999999</v>
      </c>
      <c r="V43" s="93">
        <v>2.9741799999999999E-2</v>
      </c>
      <c r="X43" s="3">
        <f t="shared" si="12"/>
        <v>0.52089667052068822</v>
      </c>
      <c r="Y43" s="3">
        <f t="shared" si="13"/>
        <v>0.59640173524240869</v>
      </c>
      <c r="Z43" s="3">
        <f t="shared" si="2"/>
        <v>3.8345989149880896E-2</v>
      </c>
      <c r="AA43" s="3">
        <f t="shared" si="3"/>
        <v>4.2302604885103498E-2</v>
      </c>
    </row>
    <row r="44" spans="1:27">
      <c r="A44" s="117"/>
      <c r="B44" s="117"/>
      <c r="C44" s="118"/>
      <c r="D44" s="80"/>
      <c r="E44" s="72">
        <f xml:space="preserve"> SUM(E40:E43)</f>
        <v>1099.6030000000001</v>
      </c>
      <c r="F44" s="82">
        <f xml:space="preserve"> SQRT(F40*F40+F41*F41+F42*F42+F43*F43)</f>
        <v>37.005394851156495</v>
      </c>
      <c r="G44" s="73"/>
      <c r="H44" s="72">
        <f xml:space="preserve"> SUM(H40:H43)</f>
        <v>987.34699999999998</v>
      </c>
      <c r="I44" s="72">
        <v>44.640023489999997</v>
      </c>
      <c r="J44" s="73"/>
      <c r="K44" s="72"/>
      <c r="L44" s="72"/>
      <c r="M44" s="72"/>
      <c r="N44" s="72"/>
      <c r="O44" s="72"/>
      <c r="P44" s="72"/>
      <c r="Q44" s="109"/>
      <c r="R44" s="109"/>
      <c r="S44" s="72"/>
      <c r="T44" s="72"/>
      <c r="U44" s="72"/>
      <c r="V44" s="72"/>
      <c r="X44" s="3"/>
      <c r="Y44" s="3"/>
      <c r="Z44" s="3"/>
      <c r="AA44" s="3"/>
    </row>
    <row r="45" spans="1:27">
      <c r="A45" s="117"/>
      <c r="B45" s="117" t="s">
        <v>77</v>
      </c>
      <c r="C45" s="118"/>
      <c r="D45" s="84" t="s">
        <v>51</v>
      </c>
      <c r="E45" s="93">
        <v>1181.45</v>
      </c>
      <c r="F45" s="93">
        <v>37.344299999999997</v>
      </c>
      <c r="G45" s="87"/>
      <c r="H45" s="93">
        <v>1080.27</v>
      </c>
      <c r="I45" s="93">
        <v>34.856299999999997</v>
      </c>
      <c r="J45" s="87"/>
      <c r="Q45" s="110"/>
      <c r="R45" s="110"/>
      <c r="U45" s="93">
        <v>0.28964899999999999</v>
      </c>
      <c r="V45" s="93">
        <v>1.0388E-2</v>
      </c>
      <c r="X45" s="3"/>
      <c r="Y45" s="3"/>
      <c r="Z45" s="3"/>
      <c r="AA45" s="3"/>
    </row>
    <row r="46" spans="1:27">
      <c r="A46" s="117"/>
      <c r="B46" s="117"/>
      <c r="C46" s="118"/>
      <c r="D46" s="85" t="s">
        <v>49</v>
      </c>
      <c r="E46" s="93">
        <v>285</v>
      </c>
      <c r="F46" s="93">
        <v>18.162400000000002</v>
      </c>
      <c r="G46" s="87">
        <f>SQRT(POWER(Z46,2)+(POWER(E46/$E$50-fitSyst_Inclusive!E46/fitSyst_Inclusive!$E$50,2)+POWER(E46/$E$50-fitSyst_Inclusive!H46/fitSyst_Inclusive!$H$50,2)+POWER(E46/$E$50-fitSyst_Inclusive!K46/fitSyst_Inclusive!$K$50,2)+POWER(E46/$E$50-trgBiassing!E46/trgBiassing!$E$50,2)+POWER(E46/$E$50-trgBiassing!L46/trgBiassing!$L$50,2)+POWER(E46/$E$50-epSystematic!E46/epSystematic!$E$50,2)+POWER(E46/$E$50-zVtx_cut_10cm!E46/zVtx_cut_10cm!$E$50,2))/(7*POWER(PI()/8,2)))</f>
        <v>4.0261587797152172E-2</v>
      </c>
      <c r="H46" s="93">
        <v>315.76299999999998</v>
      </c>
      <c r="I46" s="93">
        <v>18.549299999999999</v>
      </c>
      <c r="J46" s="87">
        <f>SQRT(POWER(AA46,2)+(POWER(H46/$H$50-fitSyst_Inclusive!F46/fitSyst_Inclusive!$F$50,2)+POWER(H46/$H$50-fitSyst_Inclusive!I46/fitSyst_Inclusive!$I$50,2)+POWER(H46/$H$50-fitSyst_Inclusive!L46/fitSyst_Inclusive!$L$50,2)+POWER(H46/$H$50-trgBiassing!F46/trgBiassing!$F$50,2)+POWER(H46/$H$50-trgBiassing!M46/trgBiassing!$M$50,2)+POWER(H46/$H$50-epSystematic!F46/epSystematic!$F$50,2)+POWER(H46/$H$50-zVtx_cut_10cm!F46/zVtx_cut_10cm!$F$50,2))/(7*POWER(PI()/8,2)))</f>
        <v>5.1103256194844598E-2</v>
      </c>
      <c r="L46" s="119">
        <v>1.07308E-2</v>
      </c>
      <c r="M46" s="111">
        <v>2.2285800000000001E-2</v>
      </c>
      <c r="N46" s="111">
        <v>5.7409099999999998E-2</v>
      </c>
      <c r="O46" s="111">
        <v>2.3145800000000001E-2</v>
      </c>
      <c r="Q46" s="112">
        <f xml:space="preserve"> (L46/ep_CorrectionFactors!H18+N46/ep_CorrectionFactors!M18)/2</f>
        <v>4.3450140234018386E-2</v>
      </c>
      <c r="R46" s="112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2.0483777887866143E-2</v>
      </c>
      <c r="U46" s="93">
        <v>0.30506699999999998</v>
      </c>
      <c r="V46" s="93">
        <v>2.0329099999999999E-2</v>
      </c>
      <c r="X46" s="3">
        <f xml:space="preserve"> E46/($E$50*PI()/8)</f>
        <v>0.62545162045014013</v>
      </c>
      <c r="Y46" s="3">
        <f xml:space="preserve"> H46/($H$50*PI()/8)</f>
        <v>0.76454831862405004</v>
      </c>
      <c r="Z46" s="3">
        <f t="shared" si="2"/>
        <v>3.9858605302679387E-2</v>
      </c>
      <c r="AA46" s="3">
        <f t="shared" si="3"/>
        <v>4.4912912933602389E-2</v>
      </c>
    </row>
    <row r="47" spans="1:27">
      <c r="A47" s="117"/>
      <c r="B47" s="117"/>
      <c r="C47" s="118"/>
      <c r="D47" s="85" t="s">
        <v>50</v>
      </c>
      <c r="E47" s="93">
        <v>315.85700000000003</v>
      </c>
      <c r="F47" s="93">
        <v>19.134699999999999</v>
      </c>
      <c r="G47" s="87">
        <f>SQRT(POWER(Z47,2)+(POWER(E47/$E$50-fitSyst_Inclusive!E47/fitSyst_Inclusive!$E$50,2)+POWER(E47/$E$50-fitSyst_Inclusive!H47/fitSyst_Inclusive!$H$50,2)+POWER(E47/$E$50-fitSyst_Inclusive!K47/fitSyst_Inclusive!$K$50,2)+POWER(E47/$E$50-trgBiassing!E47/trgBiassing!$E$50,2)+POWER(E47/$E$50-trgBiassing!L47/trgBiassing!$L$50,2)+POWER(E47/$E$50-epSystematic!E47/epSystematic!$E$50,2)+POWER(E47/$E$50-zVtx_cut_10cm!E47/zVtx_cut_10cm!$E$50,2))/(7*POWER(PI()/8,2)))</f>
        <v>4.2439801024464235E-2</v>
      </c>
      <c r="H47" s="93">
        <v>239.34</v>
      </c>
      <c r="I47" s="93">
        <v>16.323799999999999</v>
      </c>
      <c r="J47" s="87">
        <f>SQRT(POWER(AA47,2)+(POWER(H47/$H$50-fitSyst_Inclusive!F47/fitSyst_Inclusive!$F$50,2)+POWER(H47/$H$50-fitSyst_Inclusive!I47/fitSyst_Inclusive!$I$50,2)+POWER(H47/$H$50-fitSyst_Inclusive!L47/fitSyst_Inclusive!$L$50,2)+POWER(H47/$H$50-trgBiassing!F47/trgBiassing!$F$50,2)+POWER(H47/$H$50-trgBiassing!M47/trgBiassing!$M$50,2)+POWER(H47/$H$50-epSystematic!F47/epSystematic!$F$50,2)+POWER(H47/$H$50-zVtx_cut_10cm!F47/zVtx_cut_10cm!$F$50,2))/(7*POWER(PI()/8,2)))</f>
        <v>4.5197451020240413E-2</v>
      </c>
      <c r="L47" s="111"/>
      <c r="M47" s="111"/>
      <c r="N47" s="111"/>
      <c r="O47" s="111"/>
      <c r="Q47" s="112"/>
      <c r="R47" s="112"/>
      <c r="U47" s="93">
        <v>0.26907900000000001</v>
      </c>
      <c r="V47" s="93">
        <v>2.06684E-2</v>
      </c>
      <c r="X47" s="3">
        <f t="shared" ref="X47:X49" si="14" xml:space="preserve"> E47/($E$50*PI()/8)</f>
        <v>0.69316937712463123</v>
      </c>
      <c r="Y47" s="3">
        <f t="shared" ref="Y47:Y49" si="15" xml:space="preserve"> H47/($H$50*PI()/8)</f>
        <v>0.57950739820523667</v>
      </c>
      <c r="Z47" s="3">
        <f t="shared" si="2"/>
        <v>4.1992382883604538E-2</v>
      </c>
      <c r="AA47" s="3">
        <f t="shared" si="3"/>
        <v>3.9524370630996244E-2</v>
      </c>
    </row>
    <row r="48" spans="1:27">
      <c r="A48" s="117"/>
      <c r="B48" s="117"/>
      <c r="C48" s="118"/>
      <c r="D48" s="84" t="s">
        <v>52</v>
      </c>
      <c r="E48" s="93">
        <v>268.80900000000003</v>
      </c>
      <c r="F48" s="93">
        <v>17.6815</v>
      </c>
      <c r="G48" s="87">
        <f>SQRT(POWER(Z48,2)+(POWER(E48/$E$50-fitSyst_Inclusive!E48/fitSyst_Inclusive!$E$50,2)+POWER(E48/$E$50-fitSyst_Inclusive!H48/fitSyst_Inclusive!$H$50,2)+POWER(E48/$E$50-fitSyst_Inclusive!K48/fitSyst_Inclusive!$K$50,2)+POWER(E48/$E$50-trgBiassing!E48/trgBiassing!$E$50,2)+POWER(E48/$E$50-trgBiassing!L48/trgBiassing!$L$50,2)+POWER(E48/$E$50-epSystematic!E48/epSystematic!$E$50,2)+POWER(E48/$E$50-zVtx_cut_10cm!E48/zVtx_cut_10cm!$E$50,2))/(7*POWER(PI()/8,2)))</f>
        <v>3.9616275528734507E-2</v>
      </c>
      <c r="H48" s="93">
        <v>260.255</v>
      </c>
      <c r="I48" s="93">
        <v>16.930199999999999</v>
      </c>
      <c r="J48" s="87">
        <f>SQRT(POWER(AA48,2)+(POWER(H48/$H$50-fitSyst_Inclusive!F48/fitSyst_Inclusive!$F$50,2)+POWER(H48/$H$50-fitSyst_Inclusive!I48/fitSyst_Inclusive!$I$50,2)+POWER(H48/$H$50-fitSyst_Inclusive!L48/fitSyst_Inclusive!$L$50,2)+POWER(H48/$H$50-trgBiassing!F48/trgBiassing!$F$50,2)+POWER(H48/$H$50-trgBiassing!M48/trgBiassing!$M$50,2)+POWER(H48/$H$50-epSystematic!F48/epSystematic!$F$50,2)+POWER(H48/$H$50-zVtx_cut_10cm!F48/zVtx_cut_10cm!$F$50,2))/(7*POWER(PI()/8,2)))</f>
        <v>4.4559700986738053E-2</v>
      </c>
      <c r="L48" s="111"/>
      <c r="M48" s="111"/>
      <c r="N48" s="111"/>
      <c r="O48" s="111"/>
      <c r="Q48" s="112"/>
      <c r="R48" s="112"/>
      <c r="U48" s="93">
        <v>0.297176</v>
      </c>
      <c r="V48" s="93">
        <v>2.1836899999999999E-2</v>
      </c>
      <c r="X48" s="3">
        <f t="shared" si="14"/>
        <v>0.58991938470730432</v>
      </c>
      <c r="Y48" s="3">
        <f t="shared" si="15"/>
        <v>0.63014831586823716</v>
      </c>
      <c r="Z48" s="3">
        <f t="shared" si="2"/>
        <v>3.8803237989435621E-2</v>
      </c>
      <c r="AA48" s="3">
        <f t="shared" si="3"/>
        <v>4.0992630371414297E-2</v>
      </c>
    </row>
    <row r="49" spans="1:27">
      <c r="A49" s="117"/>
      <c r="B49" s="117"/>
      <c r="C49" s="118"/>
      <c r="D49" s="84" t="s">
        <v>53</v>
      </c>
      <c r="E49" s="93">
        <v>290.69</v>
      </c>
      <c r="F49" s="93">
        <v>18.357700000000001</v>
      </c>
      <c r="G49" s="87">
        <f>SQRT(POWER(Z49,2)+(POWER(E49/$E$50-fitSyst_Inclusive!E49/fitSyst_Inclusive!$E$50,2)+POWER(E49/$E$50-fitSyst_Inclusive!H49/fitSyst_Inclusive!$H$50,2)+POWER(E49/$E$50-fitSyst_Inclusive!K49/fitSyst_Inclusive!$K$50,2)+POWER(E49/$E$50-trgBiassing!E49/trgBiassing!$E$50,2)+POWER(E49/$E$50-trgBiassing!L49/trgBiassing!$L$50,2)+POWER(E49/$E$50-epSystematic!E49/epSystematic!$E$50,2)+POWER(E49/$E$50-zVtx_cut_10cm!E49/zVtx_cut_10cm!$E$50,2))/(7*POWER(PI()/8,2)))</f>
        <v>4.1060272785082542E-2</v>
      </c>
      <c r="H49" s="93">
        <v>236.35300000000001</v>
      </c>
      <c r="I49" s="93">
        <v>16.331499999999998</v>
      </c>
      <c r="J49" s="87">
        <f>SQRT(POWER(AA49,2)+(POWER(H49/$H$50-fitSyst_Inclusive!F49/fitSyst_Inclusive!$F$50,2)+POWER(H49/$H$50-fitSyst_Inclusive!I49/fitSyst_Inclusive!$I$50,2)+POWER(H49/$H$50-fitSyst_Inclusive!L49/fitSyst_Inclusive!$L$50,2)+POWER(H49/$H$50-trgBiassing!F49/trgBiassing!$F$50,2)+POWER(H49/$H$50-trgBiassing!M49/trgBiassing!$M$50,2)+POWER(H49/$H$50-epSystematic!F49/epSystematic!$F$50,2)+POWER(H49/$H$50-zVtx_cut_10cm!F49/zVtx_cut_10cm!$F$50,2))/(7*POWER(PI()/8,2)))</f>
        <v>4.2002767336789544E-2</v>
      </c>
      <c r="L49" s="111"/>
      <c r="M49" s="111"/>
      <c r="N49" s="111"/>
      <c r="O49" s="111"/>
      <c r="Q49" s="112"/>
      <c r="R49" s="112"/>
      <c r="U49" s="93">
        <v>0.28903000000000001</v>
      </c>
      <c r="V49" s="93">
        <v>2.1288700000000001E-2</v>
      </c>
      <c r="X49" s="3">
        <f t="shared" si="14"/>
        <v>0.63793870718824985</v>
      </c>
      <c r="Y49" s="3">
        <f t="shared" si="15"/>
        <v>0.57227505677280155</v>
      </c>
      <c r="Z49" s="3">
        <f t="shared" si="2"/>
        <v>4.0287204255219429E-2</v>
      </c>
      <c r="AA49" s="3">
        <f t="shared" si="3"/>
        <v>3.9543014430470556E-2</v>
      </c>
    </row>
    <row r="50" spans="1:27">
      <c r="A50" s="117"/>
      <c r="B50" s="117"/>
      <c r="C50" s="118"/>
      <c r="D50" s="80"/>
      <c r="E50" s="72">
        <f xml:space="preserve"> SUM(E46:E49)</f>
        <v>1160.356</v>
      </c>
      <c r="F50" s="47">
        <v>44.640023489999997</v>
      </c>
      <c r="G50" s="73"/>
      <c r="H50" s="72">
        <f xml:space="preserve"> SUM(H46:H49)</f>
        <v>1051.711</v>
      </c>
      <c r="I50" s="47">
        <v>44.640023489999997</v>
      </c>
      <c r="J50" s="73"/>
      <c r="K50" s="72"/>
      <c r="L50" s="72"/>
      <c r="M50" s="72"/>
      <c r="N50" s="72"/>
      <c r="O50" s="72"/>
      <c r="P50" s="72"/>
      <c r="Q50" s="109"/>
      <c r="R50" s="109"/>
      <c r="S50" s="72"/>
      <c r="T50" s="72"/>
      <c r="U50" s="72"/>
      <c r="V50" s="72"/>
      <c r="X50" s="3"/>
      <c r="Y50" s="3"/>
      <c r="Z50" s="3"/>
      <c r="AA50" s="3"/>
    </row>
    <row r="51" spans="1:27">
      <c r="A51" s="117"/>
      <c r="B51" s="117" t="s">
        <v>78</v>
      </c>
      <c r="C51" s="118"/>
      <c r="D51" s="84" t="s">
        <v>51</v>
      </c>
      <c r="G51" s="87"/>
      <c r="J51" s="87"/>
      <c r="Q51" s="110"/>
      <c r="R51" s="110"/>
      <c r="X51" s="3"/>
      <c r="Y51" s="3"/>
      <c r="Z51" s="3"/>
      <c r="AA51" s="3"/>
    </row>
    <row r="52" spans="1:27">
      <c r="A52" s="117"/>
      <c r="B52" s="117"/>
      <c r="C52" s="118"/>
      <c r="D52" s="85" t="s">
        <v>49</v>
      </c>
      <c r="G52" s="87"/>
      <c r="J52" s="87"/>
      <c r="L52" s="111"/>
      <c r="M52" s="111"/>
      <c r="N52" s="111"/>
      <c r="O52" s="111"/>
      <c r="Q52" s="112"/>
      <c r="R52" s="112"/>
      <c r="X52" s="3"/>
      <c r="Y52" s="3"/>
      <c r="Z52" s="3"/>
      <c r="AA52" s="3"/>
    </row>
    <row r="53" spans="1:27">
      <c r="A53" s="117"/>
      <c r="B53" s="117"/>
      <c r="C53" s="118"/>
      <c r="D53" s="85" t="s">
        <v>50</v>
      </c>
      <c r="G53" s="87"/>
      <c r="J53" s="87"/>
      <c r="L53" s="111"/>
      <c r="M53" s="111"/>
      <c r="N53" s="111"/>
      <c r="O53" s="111"/>
      <c r="Q53" s="112"/>
      <c r="R53" s="112"/>
      <c r="X53" s="3"/>
      <c r="Y53" s="3"/>
      <c r="Z53" s="3"/>
      <c r="AA53" s="3"/>
    </row>
    <row r="54" spans="1:27">
      <c r="A54" s="117"/>
      <c r="B54" s="117"/>
      <c r="C54" s="118"/>
      <c r="D54" s="84" t="s">
        <v>52</v>
      </c>
      <c r="G54" s="87"/>
      <c r="J54" s="87"/>
      <c r="L54" s="111"/>
      <c r="M54" s="111"/>
      <c r="N54" s="111"/>
      <c r="O54" s="111"/>
      <c r="Q54" s="112"/>
      <c r="R54" s="112"/>
      <c r="X54" s="3"/>
      <c r="Y54" s="3"/>
      <c r="Z54" s="3"/>
      <c r="AA54" s="3"/>
    </row>
    <row r="55" spans="1:27">
      <c r="A55" s="117"/>
      <c r="B55" s="117"/>
      <c r="C55" s="118"/>
      <c r="D55" s="84" t="s">
        <v>53</v>
      </c>
      <c r="G55" s="87"/>
      <c r="J55" s="87"/>
      <c r="L55" s="111"/>
      <c r="M55" s="111"/>
      <c r="N55" s="111"/>
      <c r="O55" s="111"/>
      <c r="Q55" s="112"/>
      <c r="R55" s="112"/>
      <c r="X55" s="3"/>
      <c r="Y55" s="3"/>
      <c r="Z55" s="3"/>
      <c r="AA55" s="3"/>
    </row>
    <row r="56" spans="1:27">
      <c r="A56" s="117"/>
      <c r="B56" s="117"/>
      <c r="C56" s="118"/>
      <c r="D56" s="80"/>
      <c r="E56" s="72"/>
      <c r="F56" s="72"/>
      <c r="G56" s="87"/>
      <c r="H56" s="72"/>
      <c r="I56" s="72"/>
      <c r="J56" s="87"/>
      <c r="K56" s="72"/>
      <c r="L56" s="72"/>
      <c r="M56" s="72"/>
      <c r="N56" s="72"/>
      <c r="O56" s="72"/>
      <c r="P56" s="72"/>
      <c r="Q56" s="109"/>
      <c r="R56" s="109"/>
      <c r="S56" s="72"/>
      <c r="T56" s="72"/>
      <c r="U56" s="72"/>
      <c r="V56" s="72"/>
      <c r="X56" s="3"/>
      <c r="Y56" s="3"/>
      <c r="Z56" s="3"/>
      <c r="AA56" s="3"/>
    </row>
    <row r="57" spans="1:27">
      <c r="A57" s="117"/>
      <c r="B57" s="117" t="s">
        <v>79</v>
      </c>
      <c r="C57" s="118"/>
      <c r="D57" s="84" t="s">
        <v>51</v>
      </c>
      <c r="G57" s="87"/>
      <c r="J57" s="87"/>
      <c r="Q57" s="110"/>
      <c r="R57" s="110"/>
      <c r="X57" s="3"/>
      <c r="Y57" s="3"/>
      <c r="Z57" s="3"/>
      <c r="AA57" s="3"/>
    </row>
    <row r="58" spans="1:27">
      <c r="A58" s="117"/>
      <c r="B58" s="117"/>
      <c r="C58" s="118"/>
      <c r="D58" s="85" t="s">
        <v>49</v>
      </c>
      <c r="G58" s="87"/>
      <c r="J58" s="87"/>
      <c r="L58" s="111"/>
      <c r="M58" s="111"/>
      <c r="N58" s="111"/>
      <c r="O58" s="111"/>
      <c r="Q58" s="112"/>
      <c r="R58" s="112"/>
      <c r="X58" s="3"/>
      <c r="Y58" s="3"/>
      <c r="Z58" s="3"/>
      <c r="AA58" s="3"/>
    </row>
    <row r="59" spans="1:27">
      <c r="A59" s="117"/>
      <c r="B59" s="117"/>
      <c r="C59" s="118"/>
      <c r="D59" s="85" t="s">
        <v>50</v>
      </c>
      <c r="G59" s="87"/>
      <c r="J59" s="87"/>
      <c r="L59" s="111"/>
      <c r="M59" s="111"/>
      <c r="N59" s="111"/>
      <c r="O59" s="111"/>
      <c r="Q59" s="112"/>
      <c r="R59" s="112"/>
      <c r="X59" s="3"/>
      <c r="Y59" s="3"/>
      <c r="Z59" s="3"/>
      <c r="AA59" s="3"/>
    </row>
    <row r="60" spans="1:27">
      <c r="A60" s="117"/>
      <c r="B60" s="117"/>
      <c r="C60" s="118"/>
      <c r="D60" s="84" t="s">
        <v>52</v>
      </c>
      <c r="G60" s="87"/>
      <c r="J60" s="87"/>
      <c r="L60" s="111"/>
      <c r="M60" s="111"/>
      <c r="N60" s="111"/>
      <c r="O60" s="111"/>
      <c r="Q60" s="112"/>
      <c r="R60" s="112"/>
      <c r="X60" s="3"/>
      <c r="Y60" s="3"/>
      <c r="Z60" s="3"/>
      <c r="AA60" s="3"/>
    </row>
    <row r="61" spans="1:27">
      <c r="A61" s="117"/>
      <c r="B61" s="117"/>
      <c r="C61" s="118"/>
      <c r="D61" s="84" t="s">
        <v>53</v>
      </c>
      <c r="G61" s="87"/>
      <c r="J61" s="87"/>
      <c r="L61" s="111"/>
      <c r="M61" s="111"/>
      <c r="N61" s="111"/>
      <c r="O61" s="111"/>
      <c r="Q61" s="112"/>
      <c r="R61" s="112"/>
      <c r="X61" s="3"/>
      <c r="Y61" s="3"/>
      <c r="Z61" s="3"/>
      <c r="AA61" s="3"/>
    </row>
    <row r="62" spans="1:27">
      <c r="A62" s="117"/>
      <c r="B62" s="117"/>
      <c r="C62" s="118"/>
      <c r="D62" s="80"/>
      <c r="E62" s="72">
        <f xml:space="preserve"> SUM(E58:E61)</f>
        <v>0</v>
      </c>
      <c r="F62" s="72"/>
      <c r="G62" s="73"/>
      <c r="H62" s="72">
        <f xml:space="preserve"> SUM(H58:H61)</f>
        <v>0</v>
      </c>
      <c r="I62" s="72"/>
      <c r="J62" s="73"/>
      <c r="K62" s="72"/>
      <c r="L62" s="72"/>
      <c r="M62" s="72"/>
      <c r="N62" s="72"/>
      <c r="O62" s="72"/>
      <c r="P62" s="72"/>
      <c r="Q62" s="109"/>
      <c r="R62" s="109"/>
      <c r="S62" s="72"/>
      <c r="T62" s="72"/>
      <c r="U62" s="72"/>
      <c r="V62" s="72"/>
      <c r="X62" s="3"/>
      <c r="Y62" s="3"/>
      <c r="Z62" s="3"/>
      <c r="AA62" s="3"/>
    </row>
    <row r="63" spans="1:27">
      <c r="A63" s="117" t="s">
        <v>80</v>
      </c>
      <c r="B63" s="117" t="s">
        <v>79</v>
      </c>
      <c r="C63" s="117" t="s">
        <v>17</v>
      </c>
      <c r="D63" s="84" t="s">
        <v>51</v>
      </c>
      <c r="E63" s="64">
        <v>1723.42</v>
      </c>
      <c r="F63" s="64">
        <v>45.947800000000001</v>
      </c>
      <c r="G63" s="87"/>
      <c r="H63" s="64">
        <v>1521.6</v>
      </c>
      <c r="I63" s="64">
        <v>42.286099999999998</v>
      </c>
      <c r="J63" s="87"/>
      <c r="Q63" s="110"/>
      <c r="R63" s="110"/>
      <c r="U63" s="64">
        <v>0.26040799999999997</v>
      </c>
      <c r="V63" s="64">
        <v>1.05126E-2</v>
      </c>
      <c r="X63" s="3"/>
      <c r="Y63" s="3"/>
      <c r="Z63" s="3"/>
      <c r="AA63" s="3"/>
    </row>
    <row r="64" spans="1:27">
      <c r="A64" s="117"/>
      <c r="B64" s="117"/>
      <c r="C64" s="117"/>
      <c r="D64" s="85" t="s">
        <v>49</v>
      </c>
      <c r="E64" s="64">
        <v>455.036</v>
      </c>
      <c r="F64" s="64">
        <v>23.256799999999998</v>
      </c>
      <c r="G64" s="87">
        <f>SQRT(POWER(Z64,2)+(POWER(E64/$E$68-fitSyst_Inclusive!E64/fitSyst_Inclusive!$E$68,2)+POWER(E64/$E$68-fitSyst_Inclusive!H64/fitSyst_Inclusive!$H$68,2)+POWER(E64/$E$68-fitSyst_Inclusive!K64/fitSyst_Inclusive!$K$68,2)+POWER(E64/$E$68-trgBiassing!E64/trgBiassing!$E$68,2)+POWER(E64/$E$68-trgBiassing!L64/trgBiassing!$L$68,2)+POWER(E64/$E$68-epSystematic!E64/epSystematic!$E$68,2)+POWER(E64/$E$68-zVtx_cut_10cm!E64/zVtx_cut_10cm!$E$68,2))/(7*POWER(PI()/8,2)))</f>
        <v>3.7159742281448166E-2</v>
      </c>
      <c r="H64" s="64">
        <v>441.99400000000003</v>
      </c>
      <c r="I64" s="64">
        <v>22.476299999999998</v>
      </c>
      <c r="J64" s="87">
        <f>SQRT(POWER(AA64,2)+(POWER(H64/$H$68-fitSyst_Inclusive!F64/fitSyst_Inclusive!$F$68,2)+POWER(H64/$H$68-fitSyst_Inclusive!I64/fitSyst_Inclusive!$I$68,2)+POWER(H64/$H$68-fitSyst_Inclusive!L64/fitSyst_Inclusive!$L$68,2)+POWER(H64/$H$68-trgBiassing!F64/trgBiassing!$F$68,2)+POWER(H64/$H$68-trgBiassing!M64/trgBiassing!$M$68,2)+POWER(H64/$H$68-epSystematic!F64/epSystematic!$F$68,2)+POWER(H64/$H$68-zVtx_cut_10cm!F64/zVtx_cut_10cm!$F$68,2))/(7*POWER(PI()/8,2)))</f>
        <v>4.0673127532726776E-2</v>
      </c>
      <c r="L64" s="111">
        <v>3.9405900000000001E-2</v>
      </c>
      <c r="M64" s="111">
        <v>1.8771599999999999E-2</v>
      </c>
      <c r="N64" s="111">
        <v>7.2301099999999993E-2</v>
      </c>
      <c r="O64" s="111">
        <v>1.94866E-2</v>
      </c>
      <c r="Q64" s="112">
        <f xml:space="preserve"> (L64/ep_CorrectionFactors!H18+N64/ep_CorrectionFactors!M18)/2</f>
        <v>7.1221172168530258E-2</v>
      </c>
      <c r="R64" s="112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1.7249459041077577E-2</v>
      </c>
      <c r="U64" s="64">
        <v>0.262959</v>
      </c>
      <c r="V64" s="64">
        <v>1.9956399999999999E-2</v>
      </c>
      <c r="X64" s="3">
        <f xml:space="preserve"> E64/($E$68*PI()/8)</f>
        <v>0.68011451203070594</v>
      </c>
      <c r="Y64" s="3">
        <f xml:space="preserve"> H64/($H$68*PI()/8)</f>
        <v>0.74328663634909686</v>
      </c>
      <c r="Z64" s="3">
        <f t="shared" si="2"/>
        <v>3.4760518252172842E-2</v>
      </c>
      <c r="AA64" s="3">
        <f t="shared" si="3"/>
        <v>3.7797647534973791E-2</v>
      </c>
    </row>
    <row r="65" spans="1:27">
      <c r="A65" s="117"/>
      <c r="B65" s="117"/>
      <c r="C65" s="117"/>
      <c r="D65" s="85" t="s">
        <v>50</v>
      </c>
      <c r="E65" s="64">
        <v>444.923</v>
      </c>
      <c r="F65" s="64">
        <v>23.370200000000001</v>
      </c>
      <c r="G65" s="87">
        <f>SQRT(POWER(Z65,2)+(POWER(E65/$E$68-fitSyst_Inclusive!E65/fitSyst_Inclusive!$E$68,2)+POWER(E65/$E$68-fitSyst_Inclusive!H65/fitSyst_Inclusive!$H$68,2)+POWER(E65/$E$68-fitSyst_Inclusive!K65/fitSyst_Inclusive!$K$68,2)+POWER(E65/$E$68-trgBiassing!E65/trgBiassing!$E$68,2)+POWER(E65/$E$68-trgBiassing!L65/trgBiassing!$L$68,2)+POWER(E65/$E$68-epSystematic!E65/epSystematic!$E$68,2)+POWER(E65/$E$68-zVtx_cut_10cm!E65/zVtx_cut_10cm!$E$68,2))/(7*POWER(PI()/8,2)))</f>
        <v>3.6888067303217635E-2</v>
      </c>
      <c r="H65" s="64">
        <v>386.93799999999999</v>
      </c>
      <c r="I65" s="64">
        <v>20.988199999999999</v>
      </c>
      <c r="J65" s="87">
        <f>SQRT(POWER(AA65,2)+(POWER(H65/$H$68-fitSyst_Inclusive!F65/fitSyst_Inclusive!$F$68,2)+POWER(H65/$H$68-fitSyst_Inclusive!I65/fitSyst_Inclusive!$I$68,2)+POWER(H65/$H$68-fitSyst_Inclusive!L65/fitSyst_Inclusive!$L$68,2)+POWER(H65/$H$68-trgBiassing!F65/trgBiassing!$F$68,2)+POWER(H65/$H$68-trgBiassing!M65/trgBiassing!$M$68,2)+POWER(H65/$H$68-epSystematic!F65/epSystematic!$F$68,2)+POWER(H65/$H$68-zVtx_cut_10cm!F65/zVtx_cut_10cm!$F$68,2))/(7*POWER(PI()/8,2)))</f>
        <v>3.5639121720242285E-2</v>
      </c>
      <c r="L65" s="111"/>
      <c r="M65" s="111"/>
      <c r="N65" s="111"/>
      <c r="O65" s="111"/>
      <c r="Q65" s="112"/>
      <c r="R65" s="112"/>
      <c r="U65" s="64">
        <v>0.23635700000000001</v>
      </c>
      <c r="V65" s="64">
        <v>1.9738100000000001E-2</v>
      </c>
      <c r="X65" s="3">
        <f t="shared" ref="X65:X67" si="16" xml:space="preserve"> E65/($E$68*PI()/8)</f>
        <v>0.66499922871209705</v>
      </c>
      <c r="Y65" s="3">
        <f t="shared" ref="Y65:Y67" si="17" xml:space="preserve"> H65/($H$68*PI()/8)</f>
        <v>0.65070078891488758</v>
      </c>
      <c r="Z65" s="3">
        <f t="shared" si="2"/>
        <v>3.4930010304811056E-2</v>
      </c>
      <c r="AA65" s="3">
        <f t="shared" si="3"/>
        <v>3.5295159167369042E-2</v>
      </c>
    </row>
    <row r="66" spans="1:27">
      <c r="A66" s="117"/>
      <c r="B66" s="117"/>
      <c r="C66" s="117"/>
      <c r="D66" s="84" t="s">
        <v>52</v>
      </c>
      <c r="E66" s="64">
        <v>404.89499999999998</v>
      </c>
      <c r="F66" s="64">
        <v>21.8917</v>
      </c>
      <c r="G66" s="87">
        <f>SQRT(POWER(Z66,2)+(POWER(E66/$E$68-fitSyst_Inclusive!E66/fitSyst_Inclusive!$E$68,2)+POWER(E66/$E$68-fitSyst_Inclusive!H66/fitSyst_Inclusive!$H$68,2)+POWER(E66/$E$68-fitSyst_Inclusive!K66/fitSyst_Inclusive!$K$68,2)+POWER(E66/$E$68-trgBiassing!E66/trgBiassing!$E$68,2)+POWER(E66/$E$68-trgBiassing!L66/trgBiassing!$L$68,2)+POWER(E66/$E$68-epSystematic!E66/epSystematic!$E$68,2)+POWER(E66/$E$68-zVtx_cut_10cm!E66/zVtx_cut_10cm!$E$68,2))/(7*POWER(PI()/8,2)))</f>
        <v>3.7464497174417903E-2</v>
      </c>
      <c r="H66" s="64">
        <v>348.29700000000003</v>
      </c>
      <c r="I66" s="64">
        <v>19.9238</v>
      </c>
      <c r="J66" s="87">
        <f>SQRT(POWER(AA66,2)+(POWER(H66/$H$68-fitSyst_Inclusive!F66/fitSyst_Inclusive!$F$68,2)+POWER(H66/$H$68-fitSyst_Inclusive!I66/fitSyst_Inclusive!$I$68,2)+POWER(H66/$H$68-fitSyst_Inclusive!L66/fitSyst_Inclusive!$L$68,2)+POWER(H66/$H$68-trgBiassing!F66/trgBiassing!$F$68,2)+POWER(H66/$H$68-trgBiassing!M66/trgBiassing!$M$68,2)+POWER(H66/$H$68-epSystematic!F66/epSystematic!$F$68,2)+POWER(H66/$H$68-zVtx_cut_10cm!F66/zVtx_cut_10cm!$F$68,2))/(7*POWER(PI()/8,2)))</f>
        <v>3.622147117717784E-2</v>
      </c>
      <c r="L66" s="111"/>
      <c r="M66" s="111"/>
      <c r="N66" s="111"/>
      <c r="O66" s="111"/>
      <c r="Q66" s="112"/>
      <c r="R66" s="112"/>
      <c r="U66" s="64">
        <v>0.29721500000000001</v>
      </c>
      <c r="V66" s="64">
        <v>2.2252999999999998E-2</v>
      </c>
      <c r="X66" s="3">
        <f t="shared" si="16"/>
        <v>0.60517182233641442</v>
      </c>
      <c r="Y66" s="3">
        <f t="shared" si="17"/>
        <v>0.58571950203052847</v>
      </c>
      <c r="Z66" s="3">
        <f t="shared" si="2"/>
        <v>3.2720186673192021E-2</v>
      </c>
      <c r="AA66" s="3">
        <f t="shared" si="3"/>
        <v>3.3505193023643159E-2</v>
      </c>
    </row>
    <row r="67" spans="1:27">
      <c r="A67" s="117"/>
      <c r="B67" s="117"/>
      <c r="C67" s="117"/>
      <c r="D67" s="84" t="s">
        <v>53</v>
      </c>
      <c r="E67" s="64">
        <v>398.88799999999998</v>
      </c>
      <c r="F67" s="64">
        <v>21.982500000000002</v>
      </c>
      <c r="G67" s="87">
        <f>SQRT(POWER(Z67,2)+(POWER(E67/$E$68-fitSyst_Inclusive!E67/fitSyst_Inclusive!$E$68,2)+POWER(E67/$E$68-fitSyst_Inclusive!H67/fitSyst_Inclusive!$H$68,2)+POWER(E67/$E$68-fitSyst_Inclusive!K67/fitSyst_Inclusive!$K$68,2)+POWER(E67/$E$68-trgBiassing!E67/trgBiassing!$E$68,2)+POWER(E67/$E$68-trgBiassing!L67/trgBiassing!$L$68,2)+POWER(E67/$E$68-epSystematic!E67/epSystematic!$E$68,2)+POWER(E67/$E$68-zVtx_cut_10cm!E67/zVtx_cut_10cm!$E$68,2))/(7*POWER(PI()/8,2)))</f>
        <v>3.6740235024503382E-2</v>
      </c>
      <c r="H67" s="64">
        <v>337.03</v>
      </c>
      <c r="I67" s="64">
        <v>19.681100000000001</v>
      </c>
      <c r="J67" s="87">
        <f>SQRT(POWER(AA67,2)+(POWER(H67/$H$68-fitSyst_Inclusive!F67/fitSyst_Inclusive!$F$68,2)+POWER(H67/$H$68-fitSyst_Inclusive!I67/fitSyst_Inclusive!$I$68,2)+POWER(H67/$H$68-fitSyst_Inclusive!L67/fitSyst_Inclusive!$L$68,2)+POWER(H67/$H$68-trgBiassing!F67/trgBiassing!$F$68,2)+POWER(H67/$H$68-trgBiassing!M67/trgBiassing!$M$68,2)+POWER(H67/$H$68-epSystematic!F67/epSystematic!$F$68,2)+POWER(H67/$H$68-zVtx_cut_10cm!F67/zVtx_cut_10cm!$F$68,2))/(7*POWER(PI()/8,2)))</f>
        <v>3.3238793273579599E-2</v>
      </c>
      <c r="L67" s="111"/>
      <c r="M67" s="111"/>
      <c r="N67" s="111"/>
      <c r="O67" s="111"/>
      <c r="Q67" s="112"/>
      <c r="R67" s="112"/>
      <c r="U67" s="64">
        <v>0.25709100000000001</v>
      </c>
      <c r="V67" s="64">
        <v>2.28463E-2</v>
      </c>
      <c r="X67" s="3">
        <f t="shared" si="16"/>
        <v>0.59619352639110801</v>
      </c>
      <c r="Y67" s="3">
        <f t="shared" si="17"/>
        <v>0.5667721621758125</v>
      </c>
      <c r="Z67" s="3">
        <f t="shared" si="2"/>
        <v>3.2855899886415567E-2</v>
      </c>
      <c r="AA67" s="3">
        <f t="shared" si="3"/>
        <v>3.3097052490871394E-2</v>
      </c>
    </row>
    <row r="68" spans="1:27">
      <c r="A68" s="117"/>
      <c r="B68" s="117"/>
      <c r="C68" s="117"/>
      <c r="D68" s="80"/>
      <c r="E68" s="72">
        <f xml:space="preserve"> SUM(E64:E67)</f>
        <v>1703.742</v>
      </c>
      <c r="F68" s="47">
        <v>44.640023489999997</v>
      </c>
      <c r="G68" s="73"/>
      <c r="H68" s="72">
        <f xml:space="preserve"> SUM(H64:H67)</f>
        <v>1514.259</v>
      </c>
      <c r="I68" s="47">
        <v>44.640023489999997</v>
      </c>
      <c r="J68" s="73"/>
      <c r="K68" s="72"/>
      <c r="L68" s="72"/>
      <c r="M68" s="72"/>
      <c r="N68" s="72"/>
      <c r="O68" s="72"/>
      <c r="P68" s="72"/>
      <c r="Q68" s="109"/>
      <c r="R68" s="109"/>
      <c r="S68" s="72"/>
      <c r="T68" s="72"/>
      <c r="U68" s="72"/>
      <c r="V68" s="72"/>
      <c r="X68" s="3"/>
      <c r="Y68" s="3"/>
      <c r="Z68" s="3"/>
      <c r="AA68" s="3"/>
    </row>
    <row r="69" spans="1:27">
      <c r="A69" s="117" t="s">
        <v>82</v>
      </c>
      <c r="B69" s="117" t="s">
        <v>79</v>
      </c>
      <c r="C69" s="117" t="s">
        <v>17</v>
      </c>
      <c r="D69" s="84" t="s">
        <v>51</v>
      </c>
      <c r="E69" s="64">
        <v>869.03499999999997</v>
      </c>
      <c r="F69" s="64">
        <v>36.441800000000001</v>
      </c>
      <c r="G69" s="87"/>
      <c r="H69" s="64">
        <v>823.77499999999998</v>
      </c>
      <c r="I69" s="64">
        <v>33.247500000000002</v>
      </c>
      <c r="J69" s="87"/>
      <c r="Q69" s="110"/>
      <c r="R69" s="110"/>
      <c r="U69" s="64">
        <v>0.20730599999999999</v>
      </c>
      <c r="V69" s="64">
        <v>1.51877E-2</v>
      </c>
      <c r="X69" s="3"/>
      <c r="Y69" s="3"/>
      <c r="Z69" s="3"/>
      <c r="AA69" s="3"/>
    </row>
    <row r="70" spans="1:27">
      <c r="A70" s="117"/>
      <c r="B70" s="117"/>
      <c r="C70" s="117"/>
      <c r="D70" s="85" t="s">
        <v>49</v>
      </c>
      <c r="E70" s="64">
        <v>225.13</v>
      </c>
      <c r="F70" s="64">
        <v>18.725300000000001</v>
      </c>
      <c r="G70" s="87">
        <f>SQRT(POWER(Z70,2)+(POWER(E70/$E$74-fitSyst_Inclusive!E70/fitSyst_Inclusive!$E$74,2)+POWER(E70/$E$74-fitSyst_Inclusive!H70/fitSyst_Inclusive!$H$74,2)+POWER(E70/$E$74-fitSyst_Inclusive!K70/fitSyst_Inclusive!$K$74,2)+POWER(E70/$E$74-trgBiassing!E70/trgBiassing!$E$74,2)+POWER(E70/$E$74-trgBiassing!L70/trgBiassing!$L$74,2)+POWER(E70/$E$74-epSystematic!E70/epSystematic!$E$74,2)+POWER(E70/$E$74-zVtx_cut_10cm!E70/zVtx_cut_10cm!$E$74,2))/(7*POWER(PI()/8,2)))</f>
        <v>6.9213933479133349E-2</v>
      </c>
      <c r="H70" s="64">
        <v>263.637</v>
      </c>
      <c r="I70" s="64">
        <v>17.9252</v>
      </c>
      <c r="J70" s="87">
        <f>SQRT(POWER(AA70,2)+(POWER(H70/$H$74-fitSyst_Inclusive!F70/fitSyst_Inclusive!$F$74,2)+POWER(H70/$H$74-fitSyst_Inclusive!I70/fitSyst_Inclusive!$I$74,2)+POWER(H70/$H$74-fitSyst_Inclusive!L70/fitSyst_Inclusive!$L$74,2)+POWER(H70/$H$74-trgBiassing!F70/trgBiassing!$F$74,2)+POWER(H70/$H$74-trgBiassing!M70/trgBiassing!$M$74,2)+POWER(H70/$H$74-epSystematic!F70/epSystematic!$F$74,2)+POWER(H70/$H$74-zVtx_cut_10cm!F70/zVtx_cut_10cm!$F$74,2))/(7*POWER(PI()/8,2)))</f>
        <v>5.9558469533340978E-2</v>
      </c>
      <c r="L70" s="111">
        <v>4.2582700000000001E-2</v>
      </c>
      <c r="M70" s="111">
        <v>2.8864399999999998E-2</v>
      </c>
      <c r="N70" s="111">
        <v>8.2800100000000001E-2</v>
      </c>
      <c r="O70" s="111">
        <v>2.7916199999999999E-2</v>
      </c>
      <c r="Q70" s="112">
        <f xml:space="preserve"> (L70/ep_CorrectionFactors!H18+N70/ep_CorrectionFactors!M18)/2</f>
        <v>7.9941224231087696E-2</v>
      </c>
      <c r="R70" s="112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2.5599057041403157E-2</v>
      </c>
      <c r="U70" s="64">
        <v>0.17543600000000001</v>
      </c>
      <c r="V70" s="64">
        <v>2.6065600000000001E-2</v>
      </c>
      <c r="X70" s="3">
        <f xml:space="preserve"> E70/($E$74*PI()/8)</f>
        <v>0.66779210493434282</v>
      </c>
      <c r="Y70" s="3">
        <f xml:space="preserve"> H70/($H$74*PI()/8)</f>
        <v>0.81809221727696013</v>
      </c>
      <c r="Z70" s="3">
        <f t="shared" ref="Z70:Z85" si="18" xml:space="preserve"> X70*F70/E70</f>
        <v>5.5543941289597339E-2</v>
      </c>
      <c r="AA70" s="3">
        <f t="shared" ref="AA70:AA85" si="19" xml:space="preserve"> Y70*I70/H70</f>
        <v>5.5623704613286321E-2</v>
      </c>
    </row>
    <row r="71" spans="1:27">
      <c r="A71" s="117"/>
      <c r="B71" s="117"/>
      <c r="C71" s="117"/>
      <c r="D71" s="85" t="s">
        <v>50</v>
      </c>
      <c r="E71" s="64">
        <v>229.64</v>
      </c>
      <c r="F71" s="64">
        <v>18.2864</v>
      </c>
      <c r="G71" s="87">
        <f>SQRT(POWER(Z71,2)+(POWER(E71/$E$74-fitSyst_Inclusive!E71/fitSyst_Inclusive!$E$74,2)+POWER(E71/$E$74-fitSyst_Inclusive!H71/fitSyst_Inclusive!$H$74,2)+POWER(E71/$E$74-fitSyst_Inclusive!K71/fitSyst_Inclusive!$K$74,2)+POWER(E71/$E$74-trgBiassing!E71/trgBiassing!$E$74,2)+POWER(E71/$E$74-trgBiassing!L71/trgBiassing!$L$74,2)+POWER(E71/$E$74-epSystematic!E71/epSystematic!$E$74,2)+POWER(E71/$E$74-zVtx_cut_10cm!E71/zVtx_cut_10cm!$E$74,2))/(7*POWER(PI()/8,2)))</f>
        <v>6.1911964619174802E-2</v>
      </c>
      <c r="H71" s="64">
        <v>186.911</v>
      </c>
      <c r="I71" s="64">
        <v>15.151899999999999</v>
      </c>
      <c r="J71" s="87">
        <f>SQRT(POWER(AA71,2)+(POWER(H71/$H$74-fitSyst_Inclusive!F71/fitSyst_Inclusive!$F$74,2)+POWER(H71/$H$74-fitSyst_Inclusive!I71/fitSyst_Inclusive!$I$74,2)+POWER(H71/$H$74-fitSyst_Inclusive!L71/fitSyst_Inclusive!$L$74,2)+POWER(H71/$H$74-trgBiassing!F71/trgBiassing!$F$74,2)+POWER(H71/$H$74-trgBiassing!M71/trgBiassing!$M$74,2)+POWER(H71/$H$74-epSystematic!F71/epSystematic!$F$74,2)+POWER(H71/$H$74-zVtx_cut_10cm!F71/zVtx_cut_10cm!$F$74,2))/(7*POWER(PI()/8,2)))</f>
        <v>4.8618938362085508E-2</v>
      </c>
      <c r="L71" s="111"/>
      <c r="M71" s="111"/>
      <c r="N71" s="111"/>
      <c r="O71" s="111"/>
      <c r="Q71" s="112"/>
      <c r="R71" s="112"/>
      <c r="U71" s="64">
        <v>0.23035700000000001</v>
      </c>
      <c r="V71" s="64">
        <v>3.1875300000000002E-2</v>
      </c>
      <c r="X71" s="3">
        <f t="shared" ref="X71:X73" si="20" xml:space="preserve"> E71/($E$74*PI()/8)</f>
        <v>0.68116989729099842</v>
      </c>
      <c r="Y71" s="3">
        <f t="shared" ref="Y71:Y73" si="21" xml:space="preserve"> H71/($H$74*PI()/8)</f>
        <v>0.58000369608004154</v>
      </c>
      <c r="Z71" s="3">
        <f t="shared" si="18"/>
        <v>5.4242053691961833E-2</v>
      </c>
      <c r="AA71" s="3">
        <f t="shared" si="19"/>
        <v>4.7017874831525065E-2</v>
      </c>
    </row>
    <row r="72" spans="1:27">
      <c r="A72" s="117"/>
      <c r="B72" s="117"/>
      <c r="C72" s="117"/>
      <c r="D72" s="84" t="s">
        <v>52</v>
      </c>
      <c r="E72" s="64">
        <v>208.55600000000001</v>
      </c>
      <c r="F72" s="64">
        <v>17.4038</v>
      </c>
      <c r="G72" s="87">
        <f>SQRT(POWER(Z72,2)+(POWER(E72/$E$74-fitSyst_Inclusive!E72/fitSyst_Inclusive!$E$74,2)+POWER(E72/$E$74-fitSyst_Inclusive!H72/fitSyst_Inclusive!$H$74,2)+POWER(E72/$E$74-fitSyst_Inclusive!K72/fitSyst_Inclusive!$K$74,2)+POWER(E72/$E$74-trgBiassing!E72/trgBiassing!$E$74,2)+POWER(E72/$E$74-trgBiassing!L72/trgBiassing!$L$74,2)+POWER(E72/$E$74-epSystematic!E72/epSystematic!$E$74,2)+POWER(E72/$E$74-zVtx_cut_10cm!E72/zVtx_cut_10cm!$E$74,2))/(7*POWER(PI()/8,2)))</f>
        <v>5.8595833340469777E-2</v>
      </c>
      <c r="H72" s="64">
        <v>188.27600000000001</v>
      </c>
      <c r="I72" s="64">
        <v>15.3613</v>
      </c>
      <c r="J72" s="87">
        <f>SQRT(POWER(AA72,2)+(POWER(H72/$H$74-fitSyst_Inclusive!F72/fitSyst_Inclusive!$F$74,2)+POWER(H72/$H$74-fitSyst_Inclusive!I72/fitSyst_Inclusive!$I$74,2)+POWER(H72/$H$74-fitSyst_Inclusive!L72/fitSyst_Inclusive!$L$74,2)+POWER(H72/$H$74-trgBiassing!F72/trgBiassing!$F$74,2)+POWER(H72/$H$74-trgBiassing!M72/trgBiassing!$M$74,2)+POWER(H72/$H$74-epSystematic!F72/epSystematic!$F$74,2)+POWER(H72/$H$74-zVtx_cut_10cm!F72/zVtx_cut_10cm!$F$74,2))/(7*POWER(PI()/8,2)))</f>
        <v>5.5993583460418703E-2</v>
      </c>
      <c r="L72" s="111"/>
      <c r="M72" s="111"/>
      <c r="N72" s="111"/>
      <c r="O72" s="111"/>
      <c r="Q72" s="112"/>
      <c r="R72" s="112"/>
      <c r="U72" s="64">
        <v>0.19790099999999999</v>
      </c>
      <c r="V72" s="64">
        <v>3.1360300000000001E-2</v>
      </c>
      <c r="X72" s="3">
        <f t="shared" si="20"/>
        <v>0.61862945958640259</v>
      </c>
      <c r="Y72" s="3">
        <f t="shared" si="21"/>
        <v>0.58423942883600166</v>
      </c>
      <c r="Z72" s="3">
        <f t="shared" si="18"/>
        <v>5.1624040491521861E-2</v>
      </c>
      <c r="AA72" s="3">
        <f t="shared" si="19"/>
        <v>4.7667664164197626E-2</v>
      </c>
    </row>
    <row r="73" spans="1:27">
      <c r="A73" s="117"/>
      <c r="B73" s="117"/>
      <c r="C73" s="117"/>
      <c r="D73" s="84" t="s">
        <v>53</v>
      </c>
      <c r="E73" s="64">
        <v>195.15799999999999</v>
      </c>
      <c r="F73" s="64">
        <v>16.438099999999999</v>
      </c>
      <c r="G73" s="87">
        <f>SQRT(POWER(Z73,2)+(POWER(E73/$E$74-fitSyst_Inclusive!E73/fitSyst_Inclusive!$E$74,2)+POWER(E73/$E$74-fitSyst_Inclusive!H73/fitSyst_Inclusive!$H$74,2)+POWER(E73/$E$74-fitSyst_Inclusive!K73/fitSyst_Inclusive!$K$74,2)+POWER(E73/$E$74-trgBiassing!E73/trgBiassing!$E$74,2)+POWER(E73/$E$74-trgBiassing!L73/trgBiassing!$L$74,2)+POWER(E73/$E$74-epSystematic!E73/epSystematic!$E$74,2)+POWER(E73/$E$74-zVtx_cut_10cm!E73/zVtx_cut_10cm!$E$74,2))/(7*POWER(PI()/8,2)))</f>
        <v>6.4405754520888356E-2</v>
      </c>
      <c r="H73" s="64">
        <v>181.8</v>
      </c>
      <c r="I73" s="64">
        <v>15.1853</v>
      </c>
      <c r="J73" s="87">
        <f>SQRT(POWER(AA73,2)+(POWER(H73/$H$74-fitSyst_Inclusive!F73/fitSyst_Inclusive!$F$74,2)+POWER(H73/$H$74-fitSyst_Inclusive!I73/fitSyst_Inclusive!$I$74,2)+POWER(H73/$H$74-fitSyst_Inclusive!L73/fitSyst_Inclusive!$L$74,2)+POWER(H73/$H$74-trgBiassing!F73/trgBiassing!$F$74,2)+POWER(H73/$H$74-trgBiassing!M73/trgBiassing!$M$74,2)+POWER(H73/$H$74-epSystematic!F73/epSystematic!$F$74,2)+POWER(H73/$H$74-zVtx_cut_10cm!F73/zVtx_cut_10cm!$F$74,2))/(7*POWER(PI()/8,2)))</f>
        <v>4.9017728513158366E-2</v>
      </c>
      <c r="L73" s="111"/>
      <c r="M73" s="111"/>
      <c r="N73" s="111"/>
      <c r="O73" s="111"/>
      <c r="Q73" s="112"/>
      <c r="R73" s="112"/>
      <c r="U73" s="64">
        <v>0.22900599999999999</v>
      </c>
      <c r="V73" s="64">
        <v>3.2966099999999998E-2</v>
      </c>
      <c r="X73" s="3">
        <f t="shared" si="20"/>
        <v>0.57888762765858159</v>
      </c>
      <c r="Y73" s="3">
        <f t="shared" si="21"/>
        <v>0.56414374727732208</v>
      </c>
      <c r="Z73" s="3">
        <f t="shared" si="18"/>
        <v>4.8759531826594503E-2</v>
      </c>
      <c r="AA73" s="3">
        <f t="shared" si="19"/>
        <v>4.7121518402256979E-2</v>
      </c>
    </row>
    <row r="74" spans="1:27">
      <c r="A74" s="117"/>
      <c r="B74" s="117"/>
      <c r="C74" s="117"/>
      <c r="D74" s="80"/>
      <c r="E74" s="72">
        <f xml:space="preserve"> SUM(E70:E73)</f>
        <v>858.48400000000004</v>
      </c>
      <c r="F74" s="47">
        <v>44.640023489999997</v>
      </c>
      <c r="G74" s="73"/>
      <c r="H74" s="72">
        <f xml:space="preserve"> SUM(H70:H73)</f>
        <v>820.62400000000002</v>
      </c>
      <c r="I74" s="47">
        <v>44.640023489999997</v>
      </c>
      <c r="J74" s="73"/>
      <c r="K74" s="72"/>
      <c r="L74" s="72"/>
      <c r="M74" s="72"/>
      <c r="N74" s="72"/>
      <c r="O74" s="72"/>
      <c r="P74" s="72"/>
      <c r="Q74" s="109"/>
      <c r="R74" s="109"/>
      <c r="S74" s="72"/>
      <c r="T74" s="72"/>
      <c r="U74" s="72"/>
      <c r="V74" s="72"/>
      <c r="X74" s="3"/>
      <c r="Y74" s="3"/>
      <c r="Z74" s="3"/>
      <c r="AA74" s="3"/>
    </row>
    <row r="75" spans="1:27">
      <c r="A75" s="117" t="s">
        <v>81</v>
      </c>
      <c r="B75" s="117" t="s">
        <v>83</v>
      </c>
      <c r="C75" s="117" t="s">
        <v>17</v>
      </c>
      <c r="D75" s="84" t="s">
        <v>51</v>
      </c>
      <c r="E75" s="64">
        <v>1647.77</v>
      </c>
      <c r="F75" s="64">
        <v>59.987499999999997</v>
      </c>
      <c r="G75" s="87"/>
      <c r="H75" s="64">
        <v>2526.9</v>
      </c>
      <c r="I75" s="64">
        <v>171.708</v>
      </c>
      <c r="J75" s="87"/>
      <c r="Q75" s="110"/>
      <c r="R75" s="110"/>
      <c r="U75" s="64">
        <v>0.121017</v>
      </c>
      <c r="V75" s="64">
        <v>1.1499000000000001E-2</v>
      </c>
      <c r="X75" s="3"/>
      <c r="Y75" s="3"/>
      <c r="Z75" s="3"/>
      <c r="AA75" s="3"/>
    </row>
    <row r="76" spans="1:27">
      <c r="A76" s="117"/>
      <c r="B76" s="117"/>
      <c r="C76" s="117"/>
      <c r="D76" s="85" t="s">
        <v>49</v>
      </c>
      <c r="E76" s="64">
        <v>451.73700000000002</v>
      </c>
      <c r="F76" s="64">
        <v>30.604299999999999</v>
      </c>
      <c r="G76" s="87">
        <f>SQRT(POWER(Z76,2)+(POWER(E76/$E$80-fitSyst_Inclusive!E76/fitSyst_Inclusive!$E$80,2)+POWER(E76/$E$80-fitSyst_Inclusive!H76/fitSyst_Inclusive!$H$80,2)+POWER(E76/$E$80-fitSyst_Inclusive!K76/fitSyst_Inclusive!$K$80,2)+POWER(E76/$E$80-trgBiassing!E76/trgBiassing!$E$80,2)+POWER(E76/$E$80-trgBiassing!L76/trgBiassing!$L$80,2)+POWER(E76/$E$80-epSystematic!E76/epSystematic!$E$80,2)+POWER(E76/$E$80-zVtx_cut_10cm!E76/zVtx_cut_10cm!$E$80,2))/(7*POWER(PI()/8,2)))</f>
        <v>4.8480297968817872E-2</v>
      </c>
      <c r="H76" s="64">
        <v>655.58199999999999</v>
      </c>
      <c r="I76" s="64">
        <v>43.012099999999997</v>
      </c>
      <c r="J76" s="87">
        <f>SQRT(POWER(AA76,2)+(POWER(H76/$H$80-fitSyst_Inclusive!F76/fitSyst_Inclusive!$F$80,2)+POWER(H76/$H$80-fitSyst_Inclusive!I76/fitSyst_Inclusive!$I$80,2)+POWER(H76/$H$80-fitSyst_Inclusive!L76/fitSyst_Inclusive!$L$80,2)+POWER(H76/$H$80-trgBiassing!F76/trgBiassing!$F$80,2)+POWER(H76/$H$80-trgBiassing!M76/trgBiassing!$M$80,2)+POWER(H76/$H$80-epSystematic!F76/epSystematic!$F$80,2)+POWER(H76/$H$80-zVtx_cut_10cm!F76/zVtx_cut_10cm!$F$80,2))/(7*POWER(PI()/8,2)))</f>
        <v>8.2654539675082614E-2</v>
      </c>
      <c r="L76" s="111">
        <v>2.5040400000000001E-2</v>
      </c>
      <c r="M76" s="111">
        <v>2.5074200000000001E-2</v>
      </c>
      <c r="N76" s="111">
        <v>1.96642E-2</v>
      </c>
      <c r="O76" s="111">
        <v>2.3217700000000001E-2</v>
      </c>
      <c r="Q76" s="112">
        <f xml:space="preserve"> (L76/ep_CorrectionFactors!H18+N76/ep_CorrectionFactors!M18)/2</f>
        <v>2.8498119041236787E-2</v>
      </c>
      <c r="R76" s="112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2.1784666579369654E-2</v>
      </c>
      <c r="U76" s="64">
        <v>8.5732500000000003E-2</v>
      </c>
      <c r="V76" s="64">
        <v>1.98587E-2</v>
      </c>
      <c r="X76" s="3">
        <f xml:space="preserve"> E76/($E$80*PI()/8)</f>
        <v>0.69785810016474092</v>
      </c>
      <c r="Y76" s="3">
        <f xml:space="preserve"> H76/($H$80*PI()/8)</f>
        <v>0.66049930126520606</v>
      </c>
      <c r="Z76" s="3">
        <f t="shared" si="18"/>
        <v>4.7278524129906963E-2</v>
      </c>
      <c r="AA76" s="3">
        <f t="shared" si="19"/>
        <v>4.3334719372937584E-2</v>
      </c>
    </row>
    <row r="77" spans="1:27">
      <c r="A77" s="117"/>
      <c r="B77" s="117"/>
      <c r="C77" s="117"/>
      <c r="D77" s="85" t="s">
        <v>50</v>
      </c>
      <c r="E77" s="64">
        <v>403.49299999999999</v>
      </c>
      <c r="F77" s="64">
        <v>29.544599999999999</v>
      </c>
      <c r="G77" s="87">
        <f>SQRT(POWER(Z77,2)+(POWER(E77/$E$80-fitSyst_Inclusive!E77/fitSyst_Inclusive!$E$80,2)+POWER(E77/$E$80-fitSyst_Inclusive!H77/fitSyst_Inclusive!$H$80,2)+POWER(E77/$E$80-fitSyst_Inclusive!K77/fitSyst_Inclusive!$K$80,2)+POWER(E77/$E$80-trgBiassing!E77/trgBiassing!$E$80,2)+POWER(E77/$E$80-trgBiassing!L77/trgBiassing!$L$80,2)+POWER(E77/$E$80-epSystematic!E77/epSystematic!$E$80,2)+POWER(E77/$E$80-zVtx_cut_10cm!E77/zVtx_cut_10cm!$E$80,2))/(7*POWER(PI()/8,2)))</f>
        <v>4.6344553842475975E-2</v>
      </c>
      <c r="H77" s="64">
        <v>646.95399999999995</v>
      </c>
      <c r="I77" s="64">
        <v>42.249000000000002</v>
      </c>
      <c r="J77" s="87">
        <f>SQRT(POWER(AA77,2)+(POWER(H77/$H$80-fitSyst_Inclusive!F77/fitSyst_Inclusive!$F$80,2)+POWER(H77/$H$80-fitSyst_Inclusive!I77/fitSyst_Inclusive!$I$80,2)+POWER(H77/$H$80-fitSyst_Inclusive!L77/fitSyst_Inclusive!$L$80,2)+POWER(H77/$H$80-trgBiassing!F77/trgBiassing!$F$80,2)+POWER(H77/$H$80-trgBiassing!M77/trgBiassing!$M$80,2)+POWER(H77/$H$80-epSystematic!F77/epSystematic!$F$80,2)+POWER(H77/$H$80-zVtx_cut_10cm!F77/zVtx_cut_10cm!$F$80,2))/(7*POWER(PI()/8,2)))</f>
        <v>5.0286662352637609E-2</v>
      </c>
      <c r="L77" s="111"/>
      <c r="M77" s="111"/>
      <c r="N77" s="111"/>
      <c r="O77" s="111"/>
      <c r="Q77" s="112"/>
      <c r="R77" s="112"/>
      <c r="U77" s="64">
        <v>0.16781299999999999</v>
      </c>
      <c r="V77" s="64">
        <v>2.5153600000000002E-2</v>
      </c>
      <c r="X77" s="3">
        <f t="shared" ref="X77:X79" si="22" xml:space="preserve"> E77/($E$80*PI()/8)</f>
        <v>0.62332919023629185</v>
      </c>
      <c r="Y77" s="3">
        <f t="shared" ref="Y77:Y79" si="23" xml:space="preserve"> H77/($H$80*PI()/8)</f>
        <v>0.65180658552359594</v>
      </c>
      <c r="Z77" s="3">
        <f t="shared" si="18"/>
        <v>4.5641464892464428E-2</v>
      </c>
      <c r="AA77" s="3">
        <f t="shared" si="19"/>
        <v>4.2565895615123195E-2</v>
      </c>
    </row>
    <row r="78" spans="1:27">
      <c r="A78" s="117"/>
      <c r="B78" s="117"/>
      <c r="C78" s="117"/>
      <c r="D78" s="84" t="s">
        <v>52</v>
      </c>
      <c r="E78" s="64">
        <v>377.96</v>
      </c>
      <c r="F78" s="64">
        <v>28.024699999999999</v>
      </c>
      <c r="G78" s="87">
        <f>SQRT(POWER(Z78,2)+(POWER(E78/$E$80-fitSyst_Inclusive!E78/fitSyst_Inclusive!$E$80,2)+POWER(E78/$E$80-fitSyst_Inclusive!H78/fitSyst_Inclusive!$H$80,2)+POWER(E78/$E$80-fitSyst_Inclusive!K78/fitSyst_Inclusive!$K$80,2)+POWER(E78/$E$80-trgBiassing!E78/trgBiassing!$E$80,2)+POWER(E78/$E$80-trgBiassing!L78/trgBiassing!$L$80,2)+POWER(E78/$E$80-epSystematic!E78/epSystematic!$E$80,2)+POWER(E78/$E$80-zVtx_cut_10cm!E78/zVtx_cut_10cm!$E$80,2))/(7*POWER(PI()/8,2)))</f>
        <v>4.7889667691421264E-2</v>
      </c>
      <c r="H78" s="64">
        <v>607.125</v>
      </c>
      <c r="I78" s="64">
        <v>40.476599999999998</v>
      </c>
      <c r="J78" s="87">
        <f>SQRT(POWER(AA78,2)+(POWER(H78/$H$80-fitSyst_Inclusive!F78/fitSyst_Inclusive!$F$80,2)+POWER(H78/$H$80-fitSyst_Inclusive!I78/fitSyst_Inclusive!$I$80,2)+POWER(H78/$H$80-fitSyst_Inclusive!L78/fitSyst_Inclusive!$L$80,2)+POWER(H78/$H$80-trgBiassing!F78/trgBiassing!$F$80,2)+POWER(H78/$H$80-trgBiassing!M78/trgBiassing!$M$80,2)+POWER(H78/$H$80-epSystematic!F78/epSystematic!$F$80,2)+POWER(H78/$H$80-zVtx_cut_10cm!F78/zVtx_cut_10cm!$F$80,2))/(7*POWER(PI()/8,2)))</f>
        <v>5.3262265393165177E-2</v>
      </c>
      <c r="L78" s="111"/>
      <c r="M78" s="111"/>
      <c r="N78" s="111"/>
      <c r="O78" s="111"/>
      <c r="Q78" s="112"/>
      <c r="R78" s="112"/>
      <c r="U78" s="64">
        <v>0.117185</v>
      </c>
      <c r="V78" s="64">
        <v>2.3757899999999998E-2</v>
      </c>
      <c r="X78" s="3">
        <f t="shared" si="22"/>
        <v>0.58388497629874336</v>
      </c>
      <c r="Y78" s="3">
        <f t="shared" si="23"/>
        <v>0.61167884151889196</v>
      </c>
      <c r="Z78" s="3">
        <f t="shared" si="18"/>
        <v>4.3293473635515382E-2</v>
      </c>
      <c r="AA78" s="3">
        <f t="shared" si="19"/>
        <v>4.078020143565754E-2</v>
      </c>
    </row>
    <row r="79" spans="1:27">
      <c r="A79" s="117"/>
      <c r="B79" s="117"/>
      <c r="C79" s="117"/>
      <c r="D79" s="84" t="s">
        <v>53</v>
      </c>
      <c r="E79" s="64">
        <v>415.19499999999999</v>
      </c>
      <c r="F79" s="64">
        <v>28.1296</v>
      </c>
      <c r="G79" s="87">
        <f>SQRT(POWER(Z79,2)+(POWER(E79/$E$80-fitSyst_Inclusive!E79/fitSyst_Inclusive!$E$80,2)+POWER(E79/$E$80-fitSyst_Inclusive!H79/fitSyst_Inclusive!$H$80,2)+POWER(E79/$E$80-fitSyst_Inclusive!K79/fitSyst_Inclusive!$K$80,2)+POWER(E79/$E$80-trgBiassing!E79/trgBiassing!$E$80,2)+POWER(E79/$E$80-trgBiassing!L79/trgBiassing!$L$80,2)+POWER(E79/$E$80-epSystematic!E79/epSystematic!$E$80,2)+POWER(E79/$E$80-zVtx_cut_10cm!E79/zVtx_cut_10cm!$E$80,2))/(7*POWER(PI()/8,2)))</f>
        <v>4.6532705231497079E-2</v>
      </c>
      <c r="H79" s="64">
        <v>617.86</v>
      </c>
      <c r="I79" s="64">
        <v>40.227899999999998</v>
      </c>
      <c r="J79" s="87">
        <f>SQRT(POWER(AA79,2)+(POWER(H79/$H$80-fitSyst_Inclusive!F79/fitSyst_Inclusive!$F$80,2)+POWER(H79/$H$80-fitSyst_Inclusive!I79/fitSyst_Inclusive!$I$80,2)+POWER(H79/$H$80-fitSyst_Inclusive!L79/fitSyst_Inclusive!$L$80,2)+POWER(H79/$H$80-trgBiassing!F79/trgBiassing!$F$80,2)+POWER(H79/$H$80-trgBiassing!M79/trgBiassing!$M$80,2)+POWER(H79/$H$80-epSystematic!F79/epSystematic!$F$80,2)+POWER(H79/$H$80-zVtx_cut_10cm!F79/zVtx_cut_10cm!$F$80,2))/(7*POWER(PI()/8,2)))</f>
        <v>4.9225639631479134E-2</v>
      </c>
      <c r="L79" s="111"/>
      <c r="M79" s="111"/>
      <c r="N79" s="111"/>
      <c r="O79" s="111"/>
      <c r="Q79" s="112"/>
      <c r="R79" s="112"/>
      <c r="U79" s="64">
        <v>0.10270899999999999</v>
      </c>
      <c r="V79" s="64">
        <v>2.09984E-2</v>
      </c>
      <c r="X79" s="3">
        <f t="shared" si="22"/>
        <v>0.64140682277054917</v>
      </c>
      <c r="Y79" s="3">
        <f t="shared" si="23"/>
        <v>0.62249436116263135</v>
      </c>
      <c r="Z79" s="3">
        <f t="shared" si="18"/>
        <v>4.3455526588245134E-2</v>
      </c>
      <c r="AA79" s="3">
        <f t="shared" si="19"/>
        <v>4.0529636020157016E-2</v>
      </c>
    </row>
    <row r="80" spans="1:27">
      <c r="A80" s="117"/>
      <c r="B80" s="117"/>
      <c r="C80" s="117"/>
      <c r="D80" s="80"/>
      <c r="E80" s="72">
        <f xml:space="preserve"> SUM(E76:E79)</f>
        <v>1648.385</v>
      </c>
      <c r="F80" s="47">
        <v>44.640023489999997</v>
      </c>
      <c r="G80" s="73"/>
      <c r="H80" s="72">
        <f xml:space="preserve"> SUM(H76:H79)</f>
        <v>2527.5210000000002</v>
      </c>
      <c r="I80" s="47">
        <v>44.640023489999997</v>
      </c>
      <c r="J80" s="73"/>
      <c r="K80" s="72"/>
      <c r="L80" s="72"/>
      <c r="M80" s="72"/>
      <c r="N80" s="72"/>
      <c r="O80" s="72"/>
      <c r="P80" s="72"/>
      <c r="Q80" s="109"/>
      <c r="R80" s="109"/>
      <c r="S80" s="72"/>
      <c r="T80" s="72"/>
      <c r="U80" s="72"/>
      <c r="V80" s="72"/>
      <c r="X80" s="3"/>
      <c r="Y80" s="3"/>
      <c r="Z80" s="3"/>
      <c r="AA80" s="3"/>
    </row>
    <row r="81" spans="1:27">
      <c r="A81" s="117"/>
      <c r="B81" s="117" t="s">
        <v>79</v>
      </c>
      <c r="C81" s="117" t="s">
        <v>17</v>
      </c>
      <c r="D81" s="84" t="s">
        <v>51</v>
      </c>
      <c r="E81" s="64">
        <v>955.73900000000003</v>
      </c>
      <c r="F81" s="64">
        <v>33.724800000000002</v>
      </c>
      <c r="G81" s="87"/>
      <c r="H81" s="64">
        <v>880.42200000000003</v>
      </c>
      <c r="I81" s="64">
        <v>34.152900000000002</v>
      </c>
      <c r="J81" s="87"/>
      <c r="Q81" s="110"/>
      <c r="R81" s="110"/>
      <c r="U81" s="64">
        <v>0.202377</v>
      </c>
      <c r="V81" s="64">
        <v>1.4241500000000001E-2</v>
      </c>
      <c r="X81" s="3"/>
      <c r="Y81" s="3"/>
      <c r="Z81" s="3"/>
      <c r="AA81" s="3"/>
    </row>
    <row r="82" spans="1:27">
      <c r="A82" s="117"/>
      <c r="B82" s="117"/>
      <c r="C82" s="117"/>
      <c r="D82" s="85" t="s">
        <v>49</v>
      </c>
      <c r="E82" s="64">
        <v>275.77600000000001</v>
      </c>
      <c r="F82" s="64">
        <v>19.673400000000001</v>
      </c>
      <c r="G82" s="87">
        <f>SQRT(POWER(Z82,2)+(POWER(E82/$E$86-fitSyst_Inclusive!E82/fitSyst_Inclusive!$E$86,2)+POWER(E82/$E$86-fitSyst_Inclusive!H82/fitSyst_Inclusive!$H$86,2)+POWER(E82/$E$86-fitSyst_Inclusive!K82/fitSyst_Inclusive!$K$86,2)+POWER(E82/$E$86-trgBiassing!E82/trgBiassing!$E$86,2)+POWER(E82/$E$86-trgBiassing!L82/trgBiassing!$L$86,2)+POWER(E82/$E$86-epSystematic!E82/epSystematic!$E$86,2)+POWER(E82/$E$86-zVtx_cut_10cm!E82/zVtx_cut_10cm!$E$86,2))/(7*POWER(PI()/8,2)))</f>
        <v>5.7625763436294102E-2</v>
      </c>
      <c r="H82" s="64">
        <v>238.822</v>
      </c>
      <c r="I82" s="64">
        <v>17.9648</v>
      </c>
      <c r="J82" s="87">
        <f>SQRT(POWER(AA82,2)+(POWER(H82/$H$86-fitSyst_Inclusive!F82/fitSyst_Inclusive!$F$86,2)+POWER(H82/$H$86-fitSyst_Inclusive!I82/fitSyst_Inclusive!$I$86,2)+POWER(H82/$H$86-fitSyst_Inclusive!L82/fitSyst_Inclusive!$L$86,2)+POWER(H82/$H$86-trgBiassing!F82/trgBiassing!$F$86,2)+POWER(H82/$H$86-trgBiassing!M82/trgBiassing!$M$86,2)+POWER(H82/$H$86-epSystematic!F82/epSystematic!$F$86,2)+POWER(H82/$H$86-zVtx_cut_10cm!F82/zVtx_cut_10cm!$F$86,2))/(7*POWER(PI()/8,2)))</f>
        <v>6.6601757805566639E-2</v>
      </c>
      <c r="L82" s="111">
        <v>6.1346699999999997E-2</v>
      </c>
      <c r="M82" s="111">
        <v>2.65671E-2</v>
      </c>
      <c r="N82" s="111">
        <v>3.8789799999999999E-2</v>
      </c>
      <c r="O82" s="111">
        <v>2.7592999999999999E-2</v>
      </c>
      <c r="Q82" s="112">
        <f xml:space="preserve"> (L82/ep_CorrectionFactors!H18+N82/ep_CorrectionFactors!M18)/2</f>
        <v>6.3832227106114803E-2</v>
      </c>
      <c r="R82" s="112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2.441921144583881E-2</v>
      </c>
      <c r="U82" s="64">
        <v>0.19911499999999999</v>
      </c>
      <c r="V82" s="64">
        <v>2.6323900000000001E-2</v>
      </c>
      <c r="X82" s="3">
        <f xml:space="preserve"> E82/($E$86*PI()/8)</f>
        <v>0.73445254467353271</v>
      </c>
      <c r="Y82" s="3">
        <f xml:space="preserve"> H82/($H$86*PI()/8)</f>
        <v>0.69277254621821327</v>
      </c>
      <c r="Z82" s="3">
        <f t="shared" si="18"/>
        <v>5.2394619881281468E-2</v>
      </c>
      <c r="AA82" s="3">
        <f t="shared" si="19"/>
        <v>5.2112117971966389E-2</v>
      </c>
    </row>
    <row r="83" spans="1:27">
      <c r="A83" s="117"/>
      <c r="B83" s="117"/>
      <c r="C83" s="117"/>
      <c r="D83" s="85" t="s">
        <v>50</v>
      </c>
      <c r="E83" s="64">
        <v>231.83799999999999</v>
      </c>
      <c r="F83" s="64">
        <v>17.639800000000001</v>
      </c>
      <c r="G83" s="87">
        <f>SQRT(POWER(Z83,2)+(POWER(E83/$E$86-fitSyst_Inclusive!E83/fitSyst_Inclusive!$E$86,2)+POWER(E83/$E$86-fitSyst_Inclusive!H83/fitSyst_Inclusive!$H$86,2)+POWER(E83/$E$86-fitSyst_Inclusive!K83/fitSyst_Inclusive!$K$86,2)+POWER(E83/$E$86-trgBiassing!E83/trgBiassing!$E$86,2)+POWER(E83/$E$86-trgBiassing!L83/trgBiassing!$L$86,2)+POWER(E83/$E$86-epSystematic!E83/epSystematic!$E$86,2)+POWER(E83/$E$86-zVtx_cut_10cm!E83/zVtx_cut_10cm!$E$86,2))/(7*POWER(PI()/8,2)))</f>
        <v>5.0192319430269035E-2</v>
      </c>
      <c r="H83" s="64">
        <v>228.667</v>
      </c>
      <c r="I83" s="64">
        <v>17.3185</v>
      </c>
      <c r="J83" s="87">
        <f>SQRT(POWER(AA83,2)+(POWER(H83/$H$86-fitSyst_Inclusive!F83/fitSyst_Inclusive!$F$86,2)+POWER(H83/$H$86-fitSyst_Inclusive!I83/fitSyst_Inclusive!$I$86,2)+POWER(H83/$H$86-fitSyst_Inclusive!L83/fitSyst_Inclusive!$L$86,2)+POWER(H83/$H$86-trgBiassing!F83/trgBiassing!$F$86,2)+POWER(H83/$H$86-trgBiassing!M83/trgBiassing!$M$86,2)+POWER(H83/$H$86-epSystematic!F83/epSystematic!$F$86,2)+POWER(H83/$H$86-zVtx_cut_10cm!F83/zVtx_cut_10cm!$F$86,2))/(7*POWER(PI()/8,2)))</f>
        <v>5.2271853147839283E-2</v>
      </c>
      <c r="L83" s="111"/>
      <c r="M83" s="111"/>
      <c r="N83" s="111"/>
      <c r="O83" s="111"/>
      <c r="Q83" s="112"/>
      <c r="R83" s="112"/>
      <c r="U83" s="64">
        <v>0.17042499999999999</v>
      </c>
      <c r="V83" s="64">
        <v>2.7852100000000001E-2</v>
      </c>
      <c r="X83" s="3">
        <f t="shared" ref="X83:X85" si="24" xml:space="preserve"> E83/($E$86*PI()/8)</f>
        <v>0.61743592282150173</v>
      </c>
      <c r="Y83" s="3">
        <f t="shared" ref="Y83:Y85" si="25" xml:space="preserve"> H83/($H$86*PI()/8)</f>
        <v>0.66331502050095958</v>
      </c>
      <c r="Z83" s="3">
        <f t="shared" si="18"/>
        <v>4.6978692843221245E-2</v>
      </c>
      <c r="AA83" s="3">
        <f t="shared" si="19"/>
        <v>5.0237337187026852E-2</v>
      </c>
    </row>
    <row r="84" spans="1:27">
      <c r="A84" s="117"/>
      <c r="B84" s="117"/>
      <c r="C84" s="117"/>
      <c r="D84" s="84" t="s">
        <v>52</v>
      </c>
      <c r="E84" s="64">
        <v>241.28200000000001</v>
      </c>
      <c r="F84" s="64">
        <v>17.977399999999999</v>
      </c>
      <c r="G84" s="87">
        <f>SQRT(POWER(Z84,2)+(POWER(E84/$E$86-fitSyst_Inclusive!E84/fitSyst_Inclusive!$E$86,2)+POWER(E84/$E$86-fitSyst_Inclusive!H84/fitSyst_Inclusive!$H$86,2)+POWER(E84/$E$86-fitSyst_Inclusive!K84/fitSyst_Inclusive!$K$86,2)+POWER(E84/$E$86-trgBiassing!E84/trgBiassing!$E$86,2)+POWER(E84/$E$86-trgBiassing!L84/trgBiassing!$L$86,2)+POWER(E84/$E$86-epSystematic!E84/epSystematic!$E$86,2)+POWER(E84/$E$86-zVtx_cut_10cm!E84/zVtx_cut_10cm!$E$86,2))/(7*POWER(PI()/8,2)))</f>
        <v>5.2094774971589479E-2</v>
      </c>
      <c r="H84" s="64">
        <v>194.43899999999999</v>
      </c>
      <c r="I84" s="64">
        <v>16.116099999999999</v>
      </c>
      <c r="J84" s="87">
        <f>SQRT(POWER(AA84,2)+(POWER(H84/$H$86-fitSyst_Inclusive!F84/fitSyst_Inclusive!$F$86,2)+POWER(H84/$H$86-fitSyst_Inclusive!I84/fitSyst_Inclusive!$I$86,2)+POWER(H84/$H$86-fitSyst_Inclusive!L84/fitSyst_Inclusive!$L$86,2)+POWER(H84/$H$86-trgBiassing!F84/trgBiassing!$F$86,2)+POWER(H84/$H$86-trgBiassing!M84/trgBiassing!$M$86,2)+POWER(H84/$H$86-epSystematic!F84/epSystematic!$F$86,2)+POWER(H84/$H$86-zVtx_cut_10cm!F84/zVtx_cut_10cm!$F$86,2))/(7*POWER(PI()/8,2)))</f>
        <v>5.4963246174550319E-2</v>
      </c>
      <c r="L84" s="111"/>
      <c r="M84" s="111"/>
      <c r="N84" s="111"/>
      <c r="O84" s="111"/>
      <c r="Q84" s="112"/>
      <c r="R84" s="112"/>
      <c r="U84" s="64">
        <v>0.20465800000000001</v>
      </c>
      <c r="V84" s="64">
        <v>2.8122299999999999E-2</v>
      </c>
      <c r="X84" s="3">
        <f t="shared" si="24"/>
        <v>0.64258738571855178</v>
      </c>
      <c r="Y84" s="3">
        <f t="shared" si="25"/>
        <v>0.56402676936849694</v>
      </c>
      <c r="Z84" s="3">
        <f t="shared" si="18"/>
        <v>4.7877796387698596E-2</v>
      </c>
      <c r="AA84" s="3">
        <f t="shared" si="19"/>
        <v>4.6749426904168577E-2</v>
      </c>
    </row>
    <row r="85" spans="1:27">
      <c r="A85" s="117"/>
      <c r="B85" s="117"/>
      <c r="C85" s="117"/>
      <c r="D85" s="84" t="s">
        <v>53</v>
      </c>
      <c r="E85" s="64">
        <v>207.26900000000001</v>
      </c>
      <c r="F85" s="64">
        <v>16.679400000000001</v>
      </c>
      <c r="G85" s="87">
        <f>SQRT(POWER(Z85,2)+(POWER(E85/$E$86-fitSyst_Inclusive!E85/fitSyst_Inclusive!$E$86,2)+POWER(E85/$E$86-fitSyst_Inclusive!H85/fitSyst_Inclusive!$H$86,2)+POWER(E85/$E$86-fitSyst_Inclusive!K85/fitSyst_Inclusive!$K$86,2)+POWER(E85/$E$86-trgBiassing!E85/trgBiassing!$E$86,2)+POWER(E85/$E$86-trgBiassing!L85/trgBiassing!$L$86,2)+POWER(E85/$E$86-epSystematic!E85/epSystematic!$E$86,2)+POWER(E85/$E$86-zVtx_cut_10cm!E85/zVtx_cut_10cm!$E$86,2))/(7*POWER(PI()/8,2)))</f>
        <v>5.1655806322917754E-2</v>
      </c>
      <c r="H85" s="64">
        <v>215.929</v>
      </c>
      <c r="I85" s="64">
        <v>16.552800000000001</v>
      </c>
      <c r="J85" s="87">
        <f>SQRT(POWER(AA85,2)+(POWER(H85/$H$86-fitSyst_Inclusive!F85/fitSyst_Inclusive!$F$86,2)+POWER(H85/$H$86-fitSyst_Inclusive!I85/fitSyst_Inclusive!$I$86,2)+POWER(H85/$H$86-fitSyst_Inclusive!L85/fitSyst_Inclusive!$L$86,2)+POWER(H85/$H$86-trgBiassing!F85/trgBiassing!$F$86,2)+POWER(H85/$H$86-trgBiassing!M85/trgBiassing!$M$86,2)+POWER(H85/$H$86-epSystematic!F85/epSystematic!$F$86,2)+POWER(H85/$H$86-zVtx_cut_10cm!F85/zVtx_cut_10cm!$F$86,2))/(7*POWER(PI()/8,2)))</f>
        <v>4.8614798448078866E-2</v>
      </c>
      <c r="L85" s="111"/>
      <c r="M85" s="111"/>
      <c r="N85" s="111"/>
      <c r="O85" s="111"/>
      <c r="Q85" s="112"/>
      <c r="R85" s="112"/>
      <c r="U85" s="64">
        <v>0.238874</v>
      </c>
      <c r="V85" s="64">
        <v>3.2054199999999998E-2</v>
      </c>
      <c r="X85" s="3">
        <f t="shared" si="24"/>
        <v>0.55200323625673897</v>
      </c>
      <c r="Y85" s="3">
        <f t="shared" si="25"/>
        <v>0.62636475338265563</v>
      </c>
      <c r="Z85" s="3">
        <f t="shared" si="18"/>
        <v>4.4420935011123958E-2</v>
      </c>
      <c r="AA85" s="3">
        <f t="shared" si="19"/>
        <v>4.8016202037671742E-2</v>
      </c>
    </row>
    <row r="86" spans="1:27">
      <c r="A86" s="117"/>
      <c r="B86" s="117"/>
      <c r="C86" s="117"/>
      <c r="D86" s="80"/>
      <c r="E86" s="72">
        <f xml:space="preserve"> SUM(E82:E85)</f>
        <v>956.16500000000008</v>
      </c>
      <c r="F86" s="47">
        <v>44.640023489999997</v>
      </c>
      <c r="G86" s="73"/>
      <c r="H86" s="72">
        <f xml:space="preserve"> SUM(H82:H85)</f>
        <v>877.85699999999997</v>
      </c>
      <c r="I86" s="47">
        <v>44.640023489999997</v>
      </c>
      <c r="J86" s="73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</row>
  </sheetData>
  <mergeCells count="118">
    <mergeCell ref="Q82:Q85"/>
    <mergeCell ref="R82:R85"/>
    <mergeCell ref="M28:M31"/>
    <mergeCell ref="O22:O25"/>
    <mergeCell ref="O28:O31"/>
    <mergeCell ref="Q64:Q67"/>
    <mergeCell ref="R64:R67"/>
    <mergeCell ref="Q70:Q73"/>
    <mergeCell ref="R70:R73"/>
    <mergeCell ref="Q76:Q79"/>
    <mergeCell ref="R76:R79"/>
    <mergeCell ref="Q34:Q37"/>
    <mergeCell ref="R34:R37"/>
    <mergeCell ref="Q40:Q43"/>
    <mergeCell ref="R40:R43"/>
    <mergeCell ref="L76:L79"/>
    <mergeCell ref="L82:L85"/>
    <mergeCell ref="M70:M73"/>
    <mergeCell ref="N70:N73"/>
    <mergeCell ref="O70:O73"/>
    <mergeCell ref="O76:O79"/>
    <mergeCell ref="M76:M79"/>
    <mergeCell ref="N76:N79"/>
    <mergeCell ref="M82:M85"/>
    <mergeCell ref="N82:N85"/>
    <mergeCell ref="O82:O85"/>
    <mergeCell ref="L64:L67"/>
    <mergeCell ref="M64:M67"/>
    <mergeCell ref="N64:N67"/>
    <mergeCell ref="O64:O67"/>
    <mergeCell ref="L70:L73"/>
    <mergeCell ref="R52:R55"/>
    <mergeCell ref="L58:L61"/>
    <mergeCell ref="M58:M61"/>
    <mergeCell ref="N58:N61"/>
    <mergeCell ref="O58:O61"/>
    <mergeCell ref="Q58:Q61"/>
    <mergeCell ref="R58:R61"/>
    <mergeCell ref="L52:L55"/>
    <mergeCell ref="M52:M55"/>
    <mergeCell ref="N52:N55"/>
    <mergeCell ref="O52:O55"/>
    <mergeCell ref="Q52:Q55"/>
    <mergeCell ref="R46:R49"/>
    <mergeCell ref="L34:L37"/>
    <mergeCell ref="M34:M37"/>
    <mergeCell ref="N34:N37"/>
    <mergeCell ref="O34:O37"/>
    <mergeCell ref="L40:L43"/>
    <mergeCell ref="M40:M43"/>
    <mergeCell ref="N40:N43"/>
    <mergeCell ref="O40:O43"/>
    <mergeCell ref="N4:N7"/>
    <mergeCell ref="N10:N13"/>
    <mergeCell ref="N16:N19"/>
    <mergeCell ref="N22:N25"/>
    <mergeCell ref="N28:N31"/>
    <mergeCell ref="O4:O7"/>
    <mergeCell ref="R4:R7"/>
    <mergeCell ref="Q10:Q13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L46:L49"/>
    <mergeCell ref="M46:M49"/>
    <mergeCell ref="N46:N49"/>
    <mergeCell ref="O46:O49"/>
    <mergeCell ref="Q46:Q49"/>
    <mergeCell ref="S4:S7"/>
    <mergeCell ref="T4:T7"/>
    <mergeCell ref="S10:S13"/>
    <mergeCell ref="T10:T13"/>
    <mergeCell ref="S16:S19"/>
    <mergeCell ref="T16:T19"/>
    <mergeCell ref="R22:R25"/>
    <mergeCell ref="Q28:Q31"/>
    <mergeCell ref="R28:R31"/>
    <mergeCell ref="O10:O13"/>
    <mergeCell ref="P10:P13"/>
    <mergeCell ref="A33:A62"/>
    <mergeCell ref="B33:B38"/>
    <mergeCell ref="C33:C62"/>
    <mergeCell ref="B39:B44"/>
    <mergeCell ref="B45:B50"/>
    <mergeCell ref="B51:B56"/>
    <mergeCell ref="B57:B62"/>
    <mergeCell ref="O16:O19"/>
    <mergeCell ref="P16:P19"/>
    <mergeCell ref="R10:R13"/>
    <mergeCell ref="Q16:Q19"/>
    <mergeCell ref="R16:R19"/>
    <mergeCell ref="B3:B32"/>
    <mergeCell ref="A3:A32"/>
    <mergeCell ref="L22:L25"/>
    <mergeCell ref="L28:L31"/>
    <mergeCell ref="Q4:Q7"/>
    <mergeCell ref="Q22:Q25"/>
    <mergeCell ref="C3:C8"/>
    <mergeCell ref="C9:C14"/>
    <mergeCell ref="C15:C20"/>
    <mergeCell ref="M4:M7"/>
    <mergeCell ref="M10:M13"/>
    <mergeCell ref="M16:M19"/>
    <mergeCell ref="M22:M25"/>
    <mergeCell ref="L4:L7"/>
    <mergeCell ref="L10:L13"/>
    <mergeCell ref="L16:L19"/>
    <mergeCell ref="C21:C26"/>
    <mergeCell ref="C27:C32"/>
    <mergeCell ref="P4:P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6"/>
  <sheetViews>
    <sheetView showRuler="0" topLeftCell="A36" workbookViewId="0">
      <pane xSplit="3" topLeftCell="D1" activePane="topRight" state="frozen"/>
      <selection activeCell="A2" sqref="A2"/>
      <selection pane="topRight" activeCell="G48" sqref="G48"/>
    </sheetView>
  </sheetViews>
  <sheetFormatPr baseColWidth="10" defaultRowHeight="18" x14ac:dyDescent="0"/>
  <cols>
    <col min="1" max="16384" width="10.83203125" style="46"/>
  </cols>
  <sheetData>
    <row r="2" spans="1:18">
      <c r="A2" s="3" t="s">
        <v>18</v>
      </c>
      <c r="B2" s="3" t="s">
        <v>19</v>
      </c>
      <c r="C2" s="3" t="s">
        <v>20</v>
      </c>
      <c r="D2" s="3" t="s">
        <v>48</v>
      </c>
      <c r="E2" s="85" t="s">
        <v>63</v>
      </c>
      <c r="F2" s="85" t="s">
        <v>64</v>
      </c>
      <c r="G2" s="85"/>
      <c r="H2" s="85"/>
      <c r="I2" s="85"/>
      <c r="J2" s="85"/>
    </row>
    <row r="3" spans="1:18">
      <c r="A3" s="113" t="s">
        <v>55</v>
      </c>
      <c r="B3" s="113" t="s">
        <v>25</v>
      </c>
      <c r="C3" s="113" t="s">
        <v>35</v>
      </c>
      <c r="D3" s="3" t="s">
        <v>51</v>
      </c>
      <c r="E3" s="67">
        <v>1299.0999999999999</v>
      </c>
      <c r="F3" s="67">
        <v>1150.5</v>
      </c>
      <c r="G3" s="83"/>
      <c r="H3" s="83"/>
      <c r="I3" s="83"/>
      <c r="J3" s="83"/>
    </row>
    <row r="4" spans="1:18">
      <c r="A4" s="113"/>
      <c r="B4" s="113"/>
      <c r="C4" s="113"/>
      <c r="D4" s="3" t="s">
        <v>49</v>
      </c>
      <c r="E4" s="67">
        <v>342.51600000000002</v>
      </c>
      <c r="F4" s="67">
        <v>318.50299999999999</v>
      </c>
      <c r="G4" s="83"/>
      <c r="H4" s="83"/>
      <c r="I4" s="83"/>
      <c r="J4" s="83"/>
    </row>
    <row r="5" spans="1:18">
      <c r="A5" s="113"/>
      <c r="B5" s="113"/>
      <c r="C5" s="113"/>
      <c r="D5" s="3" t="s">
        <v>50</v>
      </c>
      <c r="E5" s="67">
        <v>331.42599999999999</v>
      </c>
      <c r="F5" s="67">
        <v>282.39600000000002</v>
      </c>
      <c r="G5" s="83"/>
      <c r="H5" s="83"/>
      <c r="I5" s="83"/>
      <c r="J5" s="83"/>
    </row>
    <row r="6" spans="1:18">
      <c r="A6" s="113"/>
      <c r="B6" s="113"/>
      <c r="C6" s="113"/>
      <c r="D6" s="46" t="s">
        <v>52</v>
      </c>
      <c r="E6" s="67">
        <v>300.43</v>
      </c>
      <c r="F6" s="67">
        <v>285.51100000000002</v>
      </c>
      <c r="G6" s="83"/>
      <c r="H6" s="83"/>
      <c r="I6" s="83"/>
      <c r="J6" s="83"/>
    </row>
    <row r="7" spans="1:18">
      <c r="A7" s="113"/>
      <c r="B7" s="113"/>
      <c r="C7" s="113"/>
      <c r="D7" s="46" t="s">
        <v>53</v>
      </c>
      <c r="E7" s="67">
        <v>310.79199999999997</v>
      </c>
      <c r="F7" s="67">
        <v>263.42500000000001</v>
      </c>
      <c r="G7" s="83"/>
      <c r="H7" s="83"/>
      <c r="I7" s="83"/>
      <c r="J7" s="83"/>
    </row>
    <row r="8" spans="1:18">
      <c r="A8" s="113"/>
      <c r="B8" s="113"/>
      <c r="C8" s="113"/>
      <c r="D8" s="80"/>
      <c r="E8" s="80">
        <f xml:space="preserve"> SUM(E4:E7)</f>
        <v>1285.164</v>
      </c>
      <c r="F8" s="80">
        <f xml:space="preserve"> SUM(F4:F7)</f>
        <v>1149.835</v>
      </c>
      <c r="G8" s="80"/>
      <c r="H8" s="80"/>
      <c r="I8" s="94"/>
      <c r="J8" s="80"/>
      <c r="K8" s="80"/>
      <c r="L8" s="80"/>
      <c r="M8" s="84"/>
      <c r="N8" s="86"/>
      <c r="O8" s="84"/>
      <c r="P8" s="84"/>
      <c r="Q8" s="84"/>
      <c r="R8" s="84"/>
    </row>
    <row r="9" spans="1:18">
      <c r="A9" s="113"/>
      <c r="B9" s="113"/>
      <c r="C9" s="114" t="s">
        <v>2</v>
      </c>
      <c r="D9" s="3" t="s">
        <v>51</v>
      </c>
      <c r="E9" s="83">
        <v>1</v>
      </c>
      <c r="F9" s="83">
        <v>1</v>
      </c>
      <c r="G9" s="83"/>
      <c r="H9" s="83"/>
      <c r="I9" s="83"/>
      <c r="J9" s="83"/>
    </row>
    <row r="10" spans="1:18">
      <c r="A10" s="113"/>
      <c r="B10" s="113"/>
      <c r="C10" s="114"/>
      <c r="D10" s="3" t="s">
        <v>49</v>
      </c>
      <c r="E10" s="83">
        <v>1</v>
      </c>
      <c r="F10" s="83">
        <v>1</v>
      </c>
      <c r="G10" s="83"/>
      <c r="H10" s="83"/>
      <c r="I10" s="83"/>
      <c r="J10" s="83"/>
    </row>
    <row r="11" spans="1:18">
      <c r="A11" s="113"/>
      <c r="B11" s="113"/>
      <c r="C11" s="114"/>
      <c r="D11" s="3" t="s">
        <v>50</v>
      </c>
      <c r="E11" s="83">
        <v>1</v>
      </c>
      <c r="F11" s="83">
        <v>1</v>
      </c>
      <c r="G11" s="83"/>
      <c r="H11" s="83"/>
      <c r="I11" s="83"/>
      <c r="J11" s="83"/>
    </row>
    <row r="12" spans="1:18">
      <c r="A12" s="113"/>
      <c r="B12" s="113"/>
      <c r="C12" s="114"/>
      <c r="D12" s="46" t="s">
        <v>52</v>
      </c>
      <c r="E12" s="83">
        <v>1</v>
      </c>
      <c r="F12" s="83">
        <v>1</v>
      </c>
      <c r="G12" s="83"/>
      <c r="H12" s="83"/>
      <c r="I12" s="83"/>
      <c r="J12" s="83"/>
    </row>
    <row r="13" spans="1:18">
      <c r="A13" s="113"/>
      <c r="B13" s="113"/>
      <c r="C13" s="114"/>
      <c r="D13" s="46" t="s">
        <v>53</v>
      </c>
      <c r="E13" s="83">
        <v>1</v>
      </c>
      <c r="F13" s="83">
        <v>1</v>
      </c>
      <c r="G13" s="83"/>
      <c r="H13" s="83"/>
      <c r="I13" s="83"/>
      <c r="J13" s="83"/>
    </row>
    <row r="14" spans="1:18">
      <c r="A14" s="113"/>
      <c r="B14" s="113"/>
      <c r="C14" s="114"/>
      <c r="D14" s="80"/>
      <c r="E14" s="80"/>
      <c r="F14" s="80"/>
      <c r="G14" s="80"/>
      <c r="H14" s="80"/>
      <c r="I14" s="94"/>
      <c r="J14" s="80"/>
      <c r="K14" s="80"/>
      <c r="L14" s="80"/>
      <c r="M14" s="84"/>
      <c r="N14" s="86"/>
      <c r="O14" s="84"/>
      <c r="P14" s="84"/>
      <c r="Q14" s="84"/>
      <c r="R14" s="84"/>
    </row>
    <row r="15" spans="1:18">
      <c r="A15" s="113"/>
      <c r="B15" s="113"/>
      <c r="C15" s="111" t="s">
        <v>54</v>
      </c>
      <c r="D15" s="85" t="s">
        <v>51</v>
      </c>
      <c r="E15" s="67">
        <v>1116.95</v>
      </c>
      <c r="F15" s="67">
        <v>1074.68</v>
      </c>
      <c r="G15" s="83"/>
      <c r="H15" s="83"/>
      <c r="I15" s="83"/>
      <c r="J15" s="83"/>
    </row>
    <row r="16" spans="1:18">
      <c r="A16" s="113"/>
      <c r="B16" s="113"/>
      <c r="C16" s="111"/>
      <c r="D16" s="85" t="s">
        <v>49</v>
      </c>
      <c r="E16" s="67">
        <v>282.11900000000003</v>
      </c>
      <c r="F16" s="67">
        <v>324.03899999999999</v>
      </c>
      <c r="G16" s="83"/>
      <c r="H16" s="83"/>
      <c r="I16" s="83"/>
      <c r="J16" s="83"/>
    </row>
    <row r="17" spans="1:18">
      <c r="A17" s="113"/>
      <c r="B17" s="113"/>
      <c r="C17" s="111"/>
      <c r="D17" s="85" t="s">
        <v>50</v>
      </c>
      <c r="E17" s="67">
        <v>293.35000000000002</v>
      </c>
      <c r="F17" s="67">
        <v>272.00900000000001</v>
      </c>
      <c r="G17" s="83"/>
      <c r="H17" s="83"/>
      <c r="I17" s="83"/>
      <c r="J17" s="83"/>
    </row>
    <row r="18" spans="1:18">
      <c r="A18" s="113"/>
      <c r="B18" s="113"/>
      <c r="C18" s="111"/>
      <c r="D18" s="84" t="s">
        <v>52</v>
      </c>
      <c r="E18" s="67">
        <v>276.44200000000001</v>
      </c>
      <c r="F18" s="67">
        <v>238.244</v>
      </c>
      <c r="G18" s="83"/>
      <c r="H18" s="83"/>
      <c r="I18" s="83"/>
      <c r="J18" s="83"/>
    </row>
    <row r="19" spans="1:18">
      <c r="A19" s="113"/>
      <c r="B19" s="113"/>
      <c r="C19" s="111"/>
      <c r="D19" s="84" t="s">
        <v>53</v>
      </c>
      <c r="E19" s="67">
        <v>266.81299999999999</v>
      </c>
      <c r="F19" s="67">
        <v>240.75299999999999</v>
      </c>
      <c r="G19" s="83"/>
      <c r="H19" s="83"/>
      <c r="I19" s="83"/>
      <c r="J19" s="83"/>
    </row>
    <row r="20" spans="1:18">
      <c r="A20" s="113"/>
      <c r="B20" s="113"/>
      <c r="C20" s="111"/>
      <c r="D20" s="80"/>
      <c r="E20" s="80">
        <f xml:space="preserve"> SUM(E16:E19)</f>
        <v>1118.7240000000002</v>
      </c>
      <c r="F20" s="80">
        <f xml:space="preserve"> SUM(F16:F19)</f>
        <v>1075.0450000000001</v>
      </c>
      <c r="G20" s="80"/>
      <c r="H20" s="80"/>
      <c r="I20" s="94"/>
      <c r="J20" s="80"/>
      <c r="K20" s="80"/>
      <c r="L20" s="80"/>
      <c r="M20" s="84"/>
      <c r="N20" s="86"/>
      <c r="O20" s="84"/>
      <c r="P20" s="84"/>
      <c r="Q20" s="84"/>
      <c r="R20" s="84"/>
    </row>
    <row r="21" spans="1:18">
      <c r="A21" s="113"/>
      <c r="B21" s="113"/>
      <c r="C21" s="115" t="s">
        <v>56</v>
      </c>
      <c r="D21" s="85" t="s">
        <v>51</v>
      </c>
      <c r="E21" s="33">
        <v>1086.05</v>
      </c>
      <c r="F21" s="67">
        <v>957.89300000000003</v>
      </c>
    </row>
    <row r="22" spans="1:18">
      <c r="A22" s="113"/>
      <c r="B22" s="113"/>
      <c r="C22" s="115"/>
      <c r="D22" s="85" t="s">
        <v>49</v>
      </c>
      <c r="E22" s="67">
        <v>290.89100000000002</v>
      </c>
      <c r="F22" s="67">
        <v>274.52699999999999</v>
      </c>
    </row>
    <row r="23" spans="1:18">
      <c r="A23" s="113"/>
      <c r="B23" s="113"/>
      <c r="C23" s="115"/>
      <c r="D23" s="85" t="s">
        <v>50</v>
      </c>
      <c r="E23" s="67">
        <v>294.35300000000001</v>
      </c>
      <c r="F23" s="67">
        <v>237.08600000000001</v>
      </c>
    </row>
    <row r="24" spans="1:18">
      <c r="A24" s="113"/>
      <c r="B24" s="113"/>
      <c r="C24" s="115"/>
      <c r="D24" s="84" t="s">
        <v>52</v>
      </c>
      <c r="E24" s="67">
        <v>268.50099999999998</v>
      </c>
      <c r="F24" s="67">
        <v>220.21299999999999</v>
      </c>
    </row>
    <row r="25" spans="1:18">
      <c r="A25" s="113"/>
      <c r="B25" s="113"/>
      <c r="C25" s="115"/>
      <c r="D25" s="84" t="s">
        <v>53</v>
      </c>
      <c r="E25" s="67">
        <v>228.99</v>
      </c>
      <c r="F25" s="67">
        <v>226.53</v>
      </c>
    </row>
    <row r="26" spans="1:18">
      <c r="A26" s="113"/>
      <c r="B26" s="113"/>
      <c r="C26" s="115"/>
      <c r="D26" s="80"/>
      <c r="E26" s="80">
        <f xml:space="preserve"> SUM(E22:E25)</f>
        <v>1082.7350000000001</v>
      </c>
      <c r="F26" s="80">
        <f xml:space="preserve"> SUM(F22:F25)</f>
        <v>958.35599999999999</v>
      </c>
      <c r="G26" s="80"/>
      <c r="H26" s="80"/>
      <c r="I26" s="94"/>
      <c r="J26" s="80"/>
      <c r="K26" s="80"/>
      <c r="L26" s="80"/>
      <c r="M26" s="84"/>
      <c r="N26" s="86"/>
      <c r="O26" s="84"/>
      <c r="P26" s="84"/>
      <c r="Q26" s="84"/>
      <c r="R26" s="84"/>
    </row>
    <row r="27" spans="1:18">
      <c r="A27" s="113"/>
      <c r="B27" s="113"/>
      <c r="C27" s="116" t="s">
        <v>57</v>
      </c>
      <c r="D27" s="85" t="s">
        <v>51</v>
      </c>
      <c r="E27" s="67">
        <v>788.81700000000001</v>
      </c>
      <c r="F27" s="67">
        <v>741.24099999999999</v>
      </c>
    </row>
    <row r="28" spans="1:18">
      <c r="A28" s="113"/>
      <c r="B28" s="113"/>
      <c r="C28" s="116"/>
      <c r="D28" s="85" t="s">
        <v>49</v>
      </c>
      <c r="E28" s="67">
        <v>245.68299999999999</v>
      </c>
      <c r="F28" s="67">
        <v>206.86199999999999</v>
      </c>
    </row>
    <row r="29" spans="1:18">
      <c r="A29" s="113"/>
      <c r="B29" s="113"/>
      <c r="C29" s="116"/>
      <c r="D29" s="85" t="s">
        <v>50</v>
      </c>
      <c r="E29" s="67">
        <v>181.363</v>
      </c>
      <c r="F29" s="67">
        <v>193.762</v>
      </c>
    </row>
    <row r="30" spans="1:18">
      <c r="A30" s="113"/>
      <c r="B30" s="113"/>
      <c r="C30" s="116"/>
      <c r="D30" s="84" t="s">
        <v>52</v>
      </c>
      <c r="E30" s="67">
        <v>187.80199999999999</v>
      </c>
      <c r="F30" s="67">
        <v>170.352</v>
      </c>
    </row>
    <row r="31" spans="1:18">
      <c r="A31" s="113"/>
      <c r="B31" s="113"/>
      <c r="C31" s="116"/>
      <c r="D31" s="84" t="s">
        <v>53</v>
      </c>
      <c r="E31" s="67">
        <v>171.32300000000001</v>
      </c>
      <c r="F31" s="67">
        <v>168.90299999999999</v>
      </c>
    </row>
    <row r="32" spans="1:18">
      <c r="A32" s="113"/>
      <c r="B32" s="113"/>
      <c r="C32" s="116"/>
      <c r="D32" s="80"/>
      <c r="E32" s="80">
        <f xml:space="preserve"> SUM(E28:E31)</f>
        <v>786.17099999999994</v>
      </c>
      <c r="F32" s="80">
        <f xml:space="preserve"> SUM(F28:F31)</f>
        <v>739.87900000000002</v>
      </c>
      <c r="G32" s="80"/>
      <c r="H32" s="80"/>
      <c r="I32" s="94"/>
      <c r="J32" s="80"/>
      <c r="K32" s="80"/>
      <c r="L32" s="80"/>
      <c r="M32" s="84"/>
      <c r="N32" s="86"/>
      <c r="O32" s="84"/>
      <c r="P32" s="84"/>
      <c r="Q32" s="84"/>
      <c r="R32" s="84"/>
    </row>
    <row r="33" spans="1:18">
      <c r="A33" s="133" t="s">
        <v>55</v>
      </c>
      <c r="B33" s="133" t="s">
        <v>37</v>
      </c>
      <c r="C33" s="134" t="s">
        <v>17</v>
      </c>
      <c r="D33" s="84" t="s">
        <v>51</v>
      </c>
      <c r="E33" s="93">
        <v>998.56899999999996</v>
      </c>
      <c r="F33" s="93">
        <v>974.58799999999997</v>
      </c>
    </row>
    <row r="34" spans="1:18">
      <c r="A34" s="133"/>
      <c r="B34" s="133"/>
      <c r="C34" s="134"/>
      <c r="D34" s="85" t="s">
        <v>49</v>
      </c>
      <c r="E34" s="93">
        <v>279.35399999999998</v>
      </c>
      <c r="F34" s="93">
        <v>285.71499999999997</v>
      </c>
    </row>
    <row r="35" spans="1:18">
      <c r="A35" s="133"/>
      <c r="B35" s="133"/>
      <c r="C35" s="134"/>
      <c r="D35" s="85" t="s">
        <v>50</v>
      </c>
      <c r="E35" s="93">
        <v>247.22</v>
      </c>
      <c r="F35" s="93">
        <v>256.50700000000001</v>
      </c>
    </row>
    <row r="36" spans="1:18">
      <c r="A36" s="133"/>
      <c r="B36" s="133"/>
      <c r="C36" s="134"/>
      <c r="D36" s="84" t="s">
        <v>52</v>
      </c>
      <c r="E36" s="93">
        <v>253.107</v>
      </c>
      <c r="F36" s="93">
        <v>218.91200000000001</v>
      </c>
    </row>
    <row r="37" spans="1:18">
      <c r="A37" s="133"/>
      <c r="B37" s="133"/>
      <c r="C37" s="134"/>
      <c r="D37" s="84" t="s">
        <v>53</v>
      </c>
      <c r="E37" s="93">
        <v>212.09399999999999</v>
      </c>
      <c r="F37" s="93">
        <v>214.14699999999999</v>
      </c>
    </row>
    <row r="38" spans="1:18">
      <c r="A38" s="133"/>
      <c r="B38" s="133"/>
      <c r="C38" s="134"/>
      <c r="D38" s="80"/>
      <c r="E38" s="80">
        <f xml:space="preserve"> SUM(E34:E37)</f>
        <v>991.77499999999986</v>
      </c>
      <c r="F38" s="80">
        <f xml:space="preserve"> SUM(F34:F37)</f>
        <v>975.28099999999995</v>
      </c>
      <c r="G38" s="80"/>
      <c r="H38" s="80"/>
      <c r="I38" s="94"/>
      <c r="J38" s="80"/>
      <c r="K38" s="80"/>
      <c r="L38" s="80"/>
      <c r="M38" s="84"/>
      <c r="N38" s="86"/>
      <c r="O38" s="84"/>
      <c r="P38" s="84"/>
      <c r="Q38" s="84"/>
      <c r="R38" s="84"/>
    </row>
    <row r="39" spans="1:18">
      <c r="A39" s="133"/>
      <c r="B39" s="133" t="s">
        <v>76</v>
      </c>
      <c r="C39" s="134"/>
      <c r="D39" s="84" t="s">
        <v>51</v>
      </c>
      <c r="E39" s="93">
        <v>982.55899999999997</v>
      </c>
      <c r="F39" s="93">
        <v>847.02300000000002</v>
      </c>
    </row>
    <row r="40" spans="1:18">
      <c r="A40" s="133"/>
      <c r="B40" s="133"/>
      <c r="C40" s="134"/>
      <c r="D40" s="85" t="s">
        <v>49</v>
      </c>
      <c r="E40" s="93">
        <v>290.13</v>
      </c>
      <c r="F40" s="93">
        <v>231.976</v>
      </c>
    </row>
    <row r="41" spans="1:18">
      <c r="A41" s="133"/>
      <c r="B41" s="133"/>
      <c r="C41" s="134"/>
      <c r="D41" s="85" t="s">
        <v>50</v>
      </c>
      <c r="E41" s="93">
        <v>249.31399999999999</v>
      </c>
      <c r="F41" s="93">
        <v>226.001</v>
      </c>
    </row>
    <row r="42" spans="1:18">
      <c r="A42" s="133"/>
      <c r="B42" s="133"/>
      <c r="C42" s="134"/>
      <c r="D42" s="84" t="s">
        <v>52</v>
      </c>
      <c r="E42" s="93">
        <v>240.821</v>
      </c>
      <c r="F42" s="93">
        <v>181.43700000000001</v>
      </c>
    </row>
    <row r="43" spans="1:18">
      <c r="A43" s="133"/>
      <c r="B43" s="133"/>
      <c r="C43" s="134"/>
      <c r="D43" s="84" t="s">
        <v>53</v>
      </c>
      <c r="E43" s="93">
        <v>197.79300000000001</v>
      </c>
      <c r="F43" s="93">
        <v>198.85599999999999</v>
      </c>
    </row>
    <row r="44" spans="1:18">
      <c r="A44" s="133"/>
      <c r="B44" s="133"/>
      <c r="C44" s="134"/>
      <c r="D44" s="80"/>
      <c r="E44" s="80">
        <f xml:space="preserve"> SUM(E40:E43)</f>
        <v>978.05799999999999</v>
      </c>
      <c r="F44" s="80">
        <f xml:space="preserve"> SUM(F40:F43)</f>
        <v>838.27</v>
      </c>
      <c r="G44" s="80"/>
      <c r="H44" s="80"/>
      <c r="I44" s="94"/>
      <c r="J44" s="80"/>
      <c r="K44" s="80"/>
      <c r="L44" s="80"/>
      <c r="M44" s="84"/>
      <c r="N44" s="86"/>
      <c r="O44" s="84"/>
      <c r="P44" s="84"/>
      <c r="Q44" s="84"/>
      <c r="R44" s="84"/>
    </row>
    <row r="45" spans="1:18">
      <c r="A45" s="133"/>
      <c r="B45" s="133" t="s">
        <v>77</v>
      </c>
      <c r="C45" s="134"/>
      <c r="D45" s="84" t="s">
        <v>51</v>
      </c>
      <c r="E45" s="93">
        <v>991.70299999999997</v>
      </c>
      <c r="F45" s="93">
        <v>936.99099999999999</v>
      </c>
    </row>
    <row r="46" spans="1:18">
      <c r="A46" s="133"/>
      <c r="B46" s="133"/>
      <c r="C46" s="134"/>
      <c r="D46" s="85" t="s">
        <v>49</v>
      </c>
      <c r="E46" s="93">
        <v>239.87799999999999</v>
      </c>
      <c r="F46" s="93">
        <v>276.39600000000002</v>
      </c>
    </row>
    <row r="47" spans="1:18">
      <c r="A47" s="133"/>
      <c r="B47" s="133"/>
      <c r="C47" s="134"/>
      <c r="D47" s="85" t="s">
        <v>50</v>
      </c>
      <c r="E47" s="93">
        <v>263.84399999999999</v>
      </c>
      <c r="F47" s="93">
        <v>207.56899999999999</v>
      </c>
    </row>
    <row r="48" spans="1:18">
      <c r="A48" s="133"/>
      <c r="B48" s="133"/>
      <c r="C48" s="134"/>
      <c r="D48" s="84" t="s">
        <v>52</v>
      </c>
      <c r="E48" s="93">
        <v>222.08699999999999</v>
      </c>
      <c r="F48" s="93">
        <v>217.309</v>
      </c>
    </row>
    <row r="49" spans="1:18">
      <c r="A49" s="133"/>
      <c r="B49" s="133"/>
      <c r="C49" s="134"/>
      <c r="D49" s="84" t="s">
        <v>53</v>
      </c>
      <c r="E49" s="93">
        <v>244.49799999999999</v>
      </c>
      <c r="F49" s="93">
        <v>208.86799999999999</v>
      </c>
    </row>
    <row r="50" spans="1:18">
      <c r="A50" s="133"/>
      <c r="B50" s="133"/>
      <c r="C50" s="134"/>
      <c r="D50" s="80"/>
      <c r="E50" s="80">
        <f xml:space="preserve"> SUM(E46:E49)</f>
        <v>970.30700000000002</v>
      </c>
      <c r="F50" s="80">
        <f xml:space="preserve"> SUM(F46:F49)</f>
        <v>910.14200000000005</v>
      </c>
      <c r="G50" s="80"/>
      <c r="H50" s="80"/>
      <c r="I50" s="94"/>
      <c r="J50" s="80"/>
      <c r="K50" s="80"/>
      <c r="L50" s="80"/>
      <c r="M50" s="84"/>
      <c r="N50" s="86"/>
      <c r="O50" s="84"/>
      <c r="P50" s="84"/>
      <c r="Q50" s="84"/>
      <c r="R50" s="84"/>
    </row>
    <row r="51" spans="1:18">
      <c r="A51" s="133"/>
      <c r="B51" s="133" t="s">
        <v>78</v>
      </c>
      <c r="C51" s="134"/>
      <c r="D51" s="84" t="s">
        <v>51</v>
      </c>
    </row>
    <row r="52" spans="1:18">
      <c r="A52" s="133"/>
      <c r="B52" s="133"/>
      <c r="C52" s="134"/>
      <c r="D52" s="85" t="s">
        <v>49</v>
      </c>
    </row>
    <row r="53" spans="1:18">
      <c r="A53" s="133"/>
      <c r="B53" s="133"/>
      <c r="C53" s="134"/>
      <c r="D53" s="85" t="s">
        <v>50</v>
      </c>
    </row>
    <row r="54" spans="1:18">
      <c r="A54" s="133"/>
      <c r="B54" s="133"/>
      <c r="C54" s="134"/>
      <c r="D54" s="84" t="s">
        <v>52</v>
      </c>
    </row>
    <row r="55" spans="1:18">
      <c r="A55" s="133"/>
      <c r="B55" s="133"/>
      <c r="C55" s="134"/>
      <c r="D55" s="84" t="s">
        <v>53</v>
      </c>
    </row>
    <row r="56" spans="1:18">
      <c r="A56" s="133"/>
      <c r="B56" s="133"/>
      <c r="C56" s="134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/>
      <c r="M56" s="84"/>
      <c r="N56" s="86"/>
      <c r="O56" s="84"/>
      <c r="P56" s="84"/>
      <c r="Q56" s="84"/>
      <c r="R56" s="84"/>
    </row>
    <row r="57" spans="1:18">
      <c r="A57" s="133"/>
      <c r="B57" s="133" t="s">
        <v>79</v>
      </c>
      <c r="C57" s="134"/>
      <c r="D57" s="84" t="s">
        <v>51</v>
      </c>
    </row>
    <row r="58" spans="1:18">
      <c r="A58" s="133"/>
      <c r="B58" s="133"/>
      <c r="C58" s="134"/>
      <c r="D58" s="85" t="s">
        <v>49</v>
      </c>
    </row>
    <row r="59" spans="1:18">
      <c r="A59" s="133"/>
      <c r="B59" s="133"/>
      <c r="C59" s="134"/>
      <c r="D59" s="85" t="s">
        <v>50</v>
      </c>
    </row>
    <row r="60" spans="1:18">
      <c r="A60" s="133"/>
      <c r="B60" s="133"/>
      <c r="C60" s="134"/>
      <c r="D60" s="84" t="s">
        <v>52</v>
      </c>
    </row>
    <row r="61" spans="1:18">
      <c r="A61" s="133"/>
      <c r="B61" s="133"/>
      <c r="C61" s="134"/>
      <c r="D61" s="84" t="s">
        <v>53</v>
      </c>
    </row>
    <row r="62" spans="1:18">
      <c r="A62" s="133"/>
      <c r="B62" s="133"/>
      <c r="C62" s="134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/>
      <c r="M62" s="84"/>
      <c r="N62" s="86"/>
      <c r="O62" s="84"/>
      <c r="P62" s="84"/>
      <c r="Q62" s="84"/>
      <c r="R62" s="84"/>
    </row>
    <row r="63" spans="1:18">
      <c r="A63" s="133" t="s">
        <v>80</v>
      </c>
      <c r="B63" s="133" t="s">
        <v>79</v>
      </c>
      <c r="C63" s="133" t="s">
        <v>17</v>
      </c>
      <c r="D63" s="84" t="s">
        <v>51</v>
      </c>
      <c r="E63" s="64">
        <v>1443.23</v>
      </c>
      <c r="F63" s="64">
        <v>1304.1199999999999</v>
      </c>
    </row>
    <row r="64" spans="1:18">
      <c r="A64" s="133"/>
      <c r="B64" s="133"/>
      <c r="C64" s="133"/>
      <c r="D64" s="85" t="s">
        <v>49</v>
      </c>
      <c r="E64" s="64">
        <v>381.851</v>
      </c>
      <c r="F64" s="64">
        <v>377.47199999999998</v>
      </c>
    </row>
    <row r="65" spans="1:18">
      <c r="A65" s="133"/>
      <c r="B65" s="133"/>
      <c r="C65" s="133"/>
      <c r="D65" s="85" t="s">
        <v>50</v>
      </c>
      <c r="E65" s="64">
        <v>366.08699999999999</v>
      </c>
      <c r="F65" s="64">
        <v>336.173</v>
      </c>
    </row>
    <row r="66" spans="1:18">
      <c r="A66" s="133"/>
      <c r="B66" s="133"/>
      <c r="C66" s="133"/>
      <c r="D66" s="84" t="s">
        <v>52</v>
      </c>
      <c r="E66" s="64">
        <v>348.32499999999999</v>
      </c>
      <c r="F66" s="64">
        <v>296.10000000000002</v>
      </c>
    </row>
    <row r="67" spans="1:18">
      <c r="A67" s="133"/>
      <c r="B67" s="133"/>
      <c r="C67" s="133"/>
      <c r="D67" s="84" t="s">
        <v>53</v>
      </c>
      <c r="E67" s="64">
        <v>328.839</v>
      </c>
      <c r="F67" s="64">
        <v>290.71199999999999</v>
      </c>
    </row>
    <row r="68" spans="1:18">
      <c r="A68" s="133"/>
      <c r="B68" s="133"/>
      <c r="C68" s="133"/>
      <c r="D68" s="80"/>
      <c r="E68" s="80">
        <f xml:space="preserve"> SUM(E64:E67)</f>
        <v>1425.1019999999999</v>
      </c>
      <c r="F68" s="80">
        <f xml:space="preserve"> SUM(F64:F67)</f>
        <v>1300.4569999999999</v>
      </c>
      <c r="G68" s="80"/>
      <c r="H68" s="80"/>
      <c r="I68" s="94"/>
      <c r="J68" s="80"/>
      <c r="K68" s="80"/>
      <c r="L68" s="80"/>
      <c r="M68" s="84"/>
      <c r="N68" s="86"/>
      <c r="O68" s="84"/>
      <c r="P68" s="84"/>
      <c r="Q68" s="84"/>
      <c r="R68" s="84"/>
    </row>
    <row r="69" spans="1:18">
      <c r="A69" s="133" t="s">
        <v>82</v>
      </c>
      <c r="B69" s="133" t="s">
        <v>79</v>
      </c>
      <c r="C69" s="133" t="s">
        <v>17</v>
      </c>
      <c r="D69" s="84" t="s">
        <v>51</v>
      </c>
      <c r="E69" s="64">
        <v>726.58399999999995</v>
      </c>
      <c r="F69" s="64">
        <v>725.42200000000003</v>
      </c>
    </row>
    <row r="70" spans="1:18">
      <c r="A70" s="133"/>
      <c r="B70" s="133"/>
      <c r="C70" s="133"/>
      <c r="D70" s="85" t="s">
        <v>49</v>
      </c>
      <c r="E70" s="64">
        <v>185.697</v>
      </c>
      <c r="F70" s="64">
        <v>232.24799999999999</v>
      </c>
    </row>
    <row r="71" spans="1:18">
      <c r="A71" s="133"/>
      <c r="B71" s="133"/>
      <c r="C71" s="133"/>
      <c r="D71" s="85" t="s">
        <v>50</v>
      </c>
      <c r="E71" s="64">
        <v>196.91399999999999</v>
      </c>
      <c r="F71" s="64">
        <v>165.80699999999999</v>
      </c>
    </row>
    <row r="72" spans="1:18">
      <c r="A72" s="133"/>
      <c r="B72" s="133"/>
      <c r="C72" s="133"/>
      <c r="D72" s="84" t="s">
        <v>52</v>
      </c>
      <c r="E72" s="64">
        <v>167.75</v>
      </c>
      <c r="F72" s="64">
        <v>169.58099999999999</v>
      </c>
    </row>
    <row r="73" spans="1:18">
      <c r="A73" s="133"/>
      <c r="B73" s="133"/>
      <c r="C73" s="133"/>
      <c r="D73" s="84" t="s">
        <v>53</v>
      </c>
      <c r="E73" s="64">
        <v>166.999</v>
      </c>
      <c r="F73" s="64">
        <v>154.37700000000001</v>
      </c>
    </row>
    <row r="74" spans="1:18">
      <c r="A74" s="133"/>
      <c r="B74" s="133"/>
      <c r="C74" s="133"/>
      <c r="D74" s="80"/>
      <c r="E74" s="80">
        <f xml:space="preserve"> SUM(E70:E73)</f>
        <v>717.36</v>
      </c>
      <c r="F74" s="80">
        <f xml:space="preserve"> SUM(F70:F73)</f>
        <v>722.01299999999992</v>
      </c>
      <c r="G74" s="80"/>
      <c r="H74" s="80"/>
      <c r="I74" s="94"/>
      <c r="J74" s="80"/>
      <c r="K74" s="80"/>
      <c r="L74" s="80"/>
      <c r="M74" s="84"/>
      <c r="N74" s="86"/>
      <c r="O74" s="84"/>
      <c r="P74" s="84"/>
      <c r="Q74" s="84"/>
      <c r="R74" s="84"/>
    </row>
    <row r="75" spans="1:18">
      <c r="A75" s="133" t="s">
        <v>81</v>
      </c>
      <c r="B75" s="133" t="s">
        <v>83</v>
      </c>
      <c r="C75" s="133" t="s">
        <v>17</v>
      </c>
      <c r="D75" s="84" t="s">
        <v>51</v>
      </c>
      <c r="E75" s="64">
        <v>1481.89</v>
      </c>
      <c r="F75" s="64">
        <v>1497.19</v>
      </c>
    </row>
    <row r="76" spans="1:18">
      <c r="A76" s="133"/>
      <c r="B76" s="133"/>
      <c r="C76" s="133"/>
      <c r="D76" s="85" t="s">
        <v>49</v>
      </c>
      <c r="E76" s="64">
        <v>417.90800000000002</v>
      </c>
      <c r="F76" s="64">
        <v>429.62200000000001</v>
      </c>
    </row>
    <row r="77" spans="1:18">
      <c r="A77" s="133"/>
      <c r="B77" s="133"/>
      <c r="C77" s="133"/>
      <c r="D77" s="85" t="s">
        <v>50</v>
      </c>
      <c r="E77" s="64">
        <v>364.50200000000001</v>
      </c>
      <c r="F77" s="64">
        <v>358.15100000000001</v>
      </c>
    </row>
    <row r="78" spans="1:18">
      <c r="A78" s="133"/>
      <c r="B78" s="133"/>
      <c r="C78" s="133"/>
      <c r="D78" s="84" t="s">
        <v>52</v>
      </c>
      <c r="E78" s="64">
        <v>340.346</v>
      </c>
      <c r="F78" s="64">
        <v>362.32400000000001</v>
      </c>
    </row>
    <row r="79" spans="1:18">
      <c r="A79" s="133"/>
      <c r="B79" s="133"/>
      <c r="C79" s="133"/>
      <c r="D79" s="84" t="s">
        <v>53</v>
      </c>
      <c r="E79" s="64">
        <v>360.12200000000001</v>
      </c>
      <c r="F79" s="64">
        <v>346.95600000000002</v>
      </c>
    </row>
    <row r="80" spans="1:18">
      <c r="A80" s="133"/>
      <c r="B80" s="133"/>
      <c r="C80" s="133"/>
      <c r="D80" s="80"/>
      <c r="E80" s="80">
        <f xml:space="preserve"> SUM(E76:E79)</f>
        <v>1482.8780000000002</v>
      </c>
      <c r="F80" s="80">
        <f xml:space="preserve"> SUM(F76:F79)</f>
        <v>1497.0529999999999</v>
      </c>
      <c r="G80" s="80"/>
      <c r="H80" s="80"/>
      <c r="I80" s="94"/>
      <c r="J80" s="80"/>
      <c r="K80" s="80"/>
      <c r="L80" s="80"/>
      <c r="M80" s="84"/>
      <c r="N80" s="86"/>
      <c r="O80" s="84"/>
      <c r="P80" s="84"/>
      <c r="Q80" s="84"/>
      <c r="R80" s="84"/>
    </row>
    <row r="81" spans="1:18">
      <c r="A81" s="133"/>
      <c r="B81" s="133" t="s">
        <v>79</v>
      </c>
      <c r="C81" s="133" t="s">
        <v>17</v>
      </c>
      <c r="D81" s="84" t="s">
        <v>51</v>
      </c>
      <c r="E81" s="64">
        <v>862.19299999999998</v>
      </c>
      <c r="F81" s="64">
        <v>773.98500000000001</v>
      </c>
    </row>
    <row r="82" spans="1:18">
      <c r="A82" s="133"/>
      <c r="B82" s="133"/>
      <c r="C82" s="133"/>
      <c r="D82" s="85" t="s">
        <v>49</v>
      </c>
      <c r="E82" s="64">
        <v>261.03699999999998</v>
      </c>
      <c r="F82" s="64">
        <v>205.63200000000001</v>
      </c>
    </row>
    <row r="83" spans="1:18">
      <c r="A83" s="133"/>
      <c r="B83" s="133"/>
      <c r="C83" s="133"/>
      <c r="D83" s="85" t="s">
        <v>50</v>
      </c>
      <c r="E83" s="64">
        <v>205.86699999999999</v>
      </c>
      <c r="F83" s="64">
        <v>204.64</v>
      </c>
    </row>
    <row r="84" spans="1:18">
      <c r="A84" s="133"/>
      <c r="B84" s="133"/>
      <c r="C84" s="133"/>
      <c r="D84" s="84" t="s">
        <v>52</v>
      </c>
      <c r="E84" s="64">
        <v>219.13399999999999</v>
      </c>
      <c r="F84" s="64">
        <v>167.244</v>
      </c>
    </row>
    <row r="85" spans="1:18">
      <c r="A85" s="133"/>
      <c r="B85" s="133"/>
      <c r="C85" s="133"/>
      <c r="D85" s="84" t="s">
        <v>53</v>
      </c>
      <c r="E85" s="64">
        <v>175.68700000000001</v>
      </c>
      <c r="F85" s="64">
        <v>193.744</v>
      </c>
    </row>
    <row r="86" spans="1:18">
      <c r="A86" s="133"/>
      <c r="B86" s="133"/>
      <c r="C86" s="133"/>
      <c r="D86" s="80"/>
      <c r="E86" s="80">
        <f xml:space="preserve"> SUM(E82:E85)</f>
        <v>861.72500000000002</v>
      </c>
      <c r="F86" s="80">
        <f xml:space="preserve"> SUM(F82:F85)</f>
        <v>771.26</v>
      </c>
      <c r="G86" s="80"/>
      <c r="H86" s="80"/>
      <c r="I86" s="94"/>
      <c r="J86" s="80"/>
      <c r="K86" s="80"/>
      <c r="L86" s="80"/>
      <c r="M86" s="84"/>
      <c r="N86" s="86"/>
      <c r="O86" s="84"/>
      <c r="P86" s="84"/>
      <c r="Q86" s="84"/>
      <c r="R86" s="84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Ruler="0" workbookViewId="0">
      <pane xSplit="3" topLeftCell="D1" activePane="topRight" state="frozen"/>
      <selection pane="topRight" activeCell="F4" sqref="F4"/>
    </sheetView>
  </sheetViews>
  <sheetFormatPr baseColWidth="10" defaultRowHeight="18" x14ac:dyDescent="0"/>
  <cols>
    <col min="1" max="16384" width="10.83203125" style="6"/>
  </cols>
  <sheetData>
    <row r="1" spans="1:14" s="2" customFormat="1">
      <c r="A1" s="2" t="s">
        <v>18</v>
      </c>
      <c r="B1" s="2" t="s">
        <v>19</v>
      </c>
      <c r="C1" s="2" t="s">
        <v>20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M1" s="2" t="s">
        <v>4</v>
      </c>
      <c r="N1" s="2" t="s">
        <v>5</v>
      </c>
    </row>
    <row r="2" spans="1:14" s="2" customFormat="1">
      <c r="A2" s="135" t="s">
        <v>21</v>
      </c>
      <c r="B2" s="135" t="s">
        <v>25</v>
      </c>
      <c r="C2" s="2" t="s">
        <v>1</v>
      </c>
      <c r="D2" s="2">
        <f>ep_CorrectionFactors!M3</f>
        <v>0.53944999999999999</v>
      </c>
      <c r="E2" s="2">
        <f xml:space="preserve"> ep_CorrectionFactors!N3</f>
        <v>2.428E-3</v>
      </c>
      <c r="F2" s="2">
        <v>1</v>
      </c>
      <c r="G2" s="2">
        <v>1</v>
      </c>
      <c r="H2" s="2">
        <f xml:space="preserve"> ep_CorrectionFactors!H3</f>
        <v>0.53345500000000001</v>
      </c>
      <c r="I2" s="2">
        <f xml:space="preserve"> ep_CorrectionFactors!I3</f>
        <v>2.4009999999999999E-3</v>
      </c>
      <c r="J2" s="2">
        <v>1</v>
      </c>
      <c r="K2" s="2">
        <v>1</v>
      </c>
      <c r="M2" s="2">
        <f t="shared" ref="M2:M7" si="0">(F2/D2+J2/H2)/2</f>
        <v>1.8641561417344166</v>
      </c>
      <c r="N2" s="2">
        <f t="shared" ref="N2:N7" si="1">0.5*SQRT((F2/D2)^2*((G2/F2)^2+(E2/D2)^2)+(J2/H2)^2*((K2/J2)^2+(I2/H2)^2))</f>
        <v>1.3181913779865995</v>
      </c>
    </row>
    <row r="3" spans="1:14" s="2" customFormat="1">
      <c r="A3" s="135"/>
      <c r="B3" s="135"/>
      <c r="C3" s="2" t="s">
        <v>0</v>
      </c>
      <c r="D3" s="2">
        <f xml:space="preserve"> ep_CorrectionFactors!M4</f>
        <v>0.72284099999999996</v>
      </c>
      <c r="E3" s="2">
        <f xml:space="preserve"> ep_CorrectionFactors!N4</f>
        <v>2.0920000000000001E-3</v>
      </c>
      <c r="F3" s="2">
        <v>1</v>
      </c>
      <c r="G3" s="2">
        <v>1</v>
      </c>
      <c r="H3" s="2">
        <f xml:space="preserve"> ep_CorrectionFactors!H4</f>
        <v>0.72327200000000003</v>
      </c>
      <c r="I3" s="2">
        <f xml:space="preserve">  ep_CorrectionFactors!I4</f>
        <v>2.0929999999999998E-3</v>
      </c>
      <c r="J3" s="2">
        <v>1</v>
      </c>
      <c r="K3" s="2">
        <v>1</v>
      </c>
      <c r="M3" s="2">
        <f t="shared" si="0"/>
        <v>1.3830179091510111</v>
      </c>
      <c r="N3" s="2">
        <f t="shared" si="1"/>
        <v>0.9779454806343939</v>
      </c>
    </row>
    <row r="4" spans="1:14" s="2" customFormat="1">
      <c r="A4" s="135"/>
      <c r="B4" s="135"/>
      <c r="C4" s="3" t="s">
        <v>35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4.0846100000000003E-2</v>
      </c>
      <c r="G4" s="12">
        <v>2.2915399999999999E-2</v>
      </c>
      <c r="H4" s="3">
        <f xml:space="preserve"> ep_CorrectionFactors!H21</f>
        <v>0.62836350000000007</v>
      </c>
      <c r="I4" s="3">
        <f xml:space="preserve"> ep_CorrectionFactors!I21</f>
        <v>1.5925961509434838E-3</v>
      </c>
      <c r="J4" s="12">
        <v>8.4866999999999998E-2</v>
      </c>
      <c r="K4" s="12">
        <v>2.2172999999999998E-2</v>
      </c>
      <c r="M4" s="4">
        <f t="shared" si="0"/>
        <v>9.9888882927323369E-2</v>
      </c>
      <c r="N4" s="4">
        <f t="shared" si="1"/>
        <v>2.5315774719910204E-2</v>
      </c>
    </row>
    <row r="5" spans="1:14" s="2" customFormat="1">
      <c r="A5" s="135"/>
      <c r="B5" s="135"/>
      <c r="C5" s="3" t="s">
        <v>2</v>
      </c>
      <c r="D5" s="3">
        <f xml:space="preserve"> ep_CorrectionFactors!M19</f>
        <v>0.82695874999999996</v>
      </c>
      <c r="E5" s="3">
        <f xml:space="preserve"> ep_CorrectionFactors!N19</f>
        <v>1.0157645519508938E-3</v>
      </c>
      <c r="F5" s="12">
        <v>8.6188899999999999E-2</v>
      </c>
      <c r="G5" s="12">
        <v>2.2625599999999999E-2</v>
      </c>
      <c r="H5" s="3">
        <f xml:space="preserve"> ep_CorrectionFactors!H19</f>
        <v>0.82764124999999999</v>
      </c>
      <c r="I5" s="3">
        <f xml:space="preserve"> ep_CorrectionFactors!I19</f>
        <v>1.016645064661212E-3</v>
      </c>
      <c r="J5" s="12">
        <v>9.8422200000000001E-2</v>
      </c>
      <c r="K5" s="12">
        <v>2.3758999999999999E-2</v>
      </c>
      <c r="M5" s="4">
        <f t="shared" si="0"/>
        <v>0.11157142834516628</v>
      </c>
      <c r="N5" s="4">
        <f t="shared" si="1"/>
        <v>1.9828596716968329E-2</v>
      </c>
    </row>
    <row r="6" spans="1:14" s="2" customFormat="1">
      <c r="A6" s="135"/>
      <c r="B6" s="135"/>
      <c r="C6" s="3" t="s">
        <v>3</v>
      </c>
      <c r="D6" s="3">
        <f xml:space="preserve"> ep_CorrectionFactors!M20</f>
        <v>0.74109574999999994</v>
      </c>
      <c r="E6" s="3">
        <f xml:space="preserve"> ep_CorrectionFactors!N20</f>
        <v>8.7811908360996228E-4</v>
      </c>
      <c r="F6" s="12">
        <v>0.12748399999999999</v>
      </c>
      <c r="G6" s="12">
        <v>4.2549299999999998E-2</v>
      </c>
      <c r="H6" s="3">
        <f xml:space="preserve"> ep_CorrectionFactors!H20</f>
        <v>0.74154100000000001</v>
      </c>
      <c r="I6" s="3">
        <f xml:space="preserve"> ep_CorrectionFactors!I20</f>
        <v>8.7917852282684886E-4</v>
      </c>
      <c r="J6" s="12">
        <v>0.176125</v>
      </c>
      <c r="K6" s="12">
        <v>4.1379899999999997E-2</v>
      </c>
      <c r="M6" s="4">
        <f t="shared" si="0"/>
        <v>0.20476655527544529</v>
      </c>
      <c r="N6" s="4">
        <f t="shared" si="1"/>
        <v>4.0032550688868997E-2</v>
      </c>
    </row>
    <row r="7" spans="1:14" s="2" customFormat="1">
      <c r="A7" s="135"/>
      <c r="B7" s="2" t="s">
        <v>36</v>
      </c>
      <c r="C7" s="135" t="s">
        <v>17</v>
      </c>
      <c r="D7" s="135">
        <f xml:space="preserve"> ep_CorrectionFactors!M18</f>
        <v>0.78402725000000006</v>
      </c>
      <c r="E7" s="135">
        <f xml:space="preserve"> ep_CorrectionFactors!N18</f>
        <v>6.7586967123847187E-4</v>
      </c>
      <c r="F7" s="13">
        <v>0.105639</v>
      </c>
      <c r="G7" s="13">
        <v>1.10321E-2</v>
      </c>
      <c r="H7" s="135">
        <f xml:space="preserve"> ep_CorrectionFactors!H18</f>
        <v>0.78459112500000006</v>
      </c>
      <c r="I7" s="135">
        <f xml:space="preserve"> ep_CorrectionFactors!I18</f>
        <v>6.7640811460241955E-4</v>
      </c>
      <c r="J7" s="16">
        <v>8.34004E-2</v>
      </c>
      <c r="K7" s="16">
        <v>1.1448699999999999E-2</v>
      </c>
      <c r="M7" s="5">
        <f t="shared" si="0"/>
        <v>0.12051842666418369</v>
      </c>
      <c r="N7" s="5">
        <f t="shared" si="1"/>
        <v>1.0135843375834445E-2</v>
      </c>
    </row>
    <row r="8" spans="1:14" s="2" customFormat="1">
      <c r="A8" s="135"/>
      <c r="B8" s="2" t="s">
        <v>37</v>
      </c>
      <c r="C8" s="135"/>
      <c r="D8" s="135"/>
      <c r="E8" s="135"/>
      <c r="F8" s="20">
        <v>0.116205</v>
      </c>
      <c r="G8" s="20">
        <v>2.6889799999999998E-2</v>
      </c>
      <c r="H8" s="135"/>
      <c r="I8" s="135"/>
      <c r="J8" s="21">
        <v>0.116685</v>
      </c>
      <c r="K8" s="21">
        <v>3.4132999999999997E-2</v>
      </c>
      <c r="M8" s="14">
        <f>(F8/D7+J8/H7)/2</f>
        <v>0.14846814321384727</v>
      </c>
      <c r="N8" s="14">
        <f>0.5*SQRT((F8/D7)^2*((G8/F8)^2+(E7/D7)^2)+(J8/H7)^2*((K8/J8)^2+(I7/H7)^2))</f>
        <v>2.7698975120573521E-2</v>
      </c>
    </row>
    <row r="9" spans="1:14" s="2" customFormat="1">
      <c r="A9" s="135"/>
      <c r="B9" s="2" t="s">
        <v>38</v>
      </c>
      <c r="C9" s="135"/>
      <c r="D9" s="135"/>
      <c r="E9" s="135"/>
      <c r="F9" s="20">
        <v>0.15997</v>
      </c>
      <c r="G9" s="20">
        <v>3.8700900000000003E-2</v>
      </c>
      <c r="H9" s="135"/>
      <c r="I9" s="135"/>
      <c r="J9" s="21">
        <v>0.16952300000000001</v>
      </c>
      <c r="K9" s="21">
        <v>3.8985400000000003E-2</v>
      </c>
      <c r="M9" s="14">
        <f>(F9/D7+J9/H7)/2</f>
        <v>0.21005084078338354</v>
      </c>
      <c r="N9" s="14">
        <f>0.5*SQRT((F9/D7)^2*((G9/F9)^2+(E7/D7)^2)+(J9/H7)^2*((K9/J9)^2+(I7/H7)^2))</f>
        <v>3.5020061143609851E-2</v>
      </c>
    </row>
    <row r="10" spans="1:14" s="2" customFormat="1">
      <c r="A10" s="135"/>
      <c r="B10" s="2" t="s">
        <v>46</v>
      </c>
      <c r="C10" s="135"/>
      <c r="D10" s="135"/>
      <c r="E10" s="135"/>
      <c r="F10" s="13">
        <v>0.125887</v>
      </c>
      <c r="G10" s="13">
        <v>2.2269500000000001E-2</v>
      </c>
      <c r="H10" s="135"/>
      <c r="I10" s="135"/>
      <c r="J10" s="13">
        <v>0.12460499999999999</v>
      </c>
      <c r="K10" s="13">
        <v>2.2007700000000002E-2</v>
      </c>
      <c r="M10" s="5">
        <f>(F10/D7+J10/H7)/2</f>
        <v>0.159689888378585</v>
      </c>
      <c r="N10" s="5">
        <f>0.5*SQRT((F10/D7)^2*((G10/F10)^2+(E7/D7)^2)+(J10/H7)^2*((K10/J10)^2+(I7/H7)^2))</f>
        <v>1.9960092058497764E-2</v>
      </c>
    </row>
    <row r="11" spans="1:14" s="2" customFormat="1">
      <c r="A11" s="135"/>
      <c r="B11" s="2" t="s">
        <v>39</v>
      </c>
      <c r="C11" s="135"/>
      <c r="D11" s="135"/>
      <c r="E11" s="135"/>
      <c r="F11" s="20">
        <v>-0.115852</v>
      </c>
      <c r="G11" s="20">
        <v>5.7431799999999998E-2</v>
      </c>
      <c r="H11" s="135"/>
      <c r="I11" s="135"/>
      <c r="J11" s="21">
        <v>0.16267300000000001</v>
      </c>
      <c r="K11" s="21">
        <v>7.5367900000000002E-2</v>
      </c>
      <c r="M11" s="14">
        <f>(F11/D7+J11/H7)/2</f>
        <v>2.9784735875736754E-2</v>
      </c>
      <c r="N11" s="14">
        <f>0.5*SQRT((F11/D7)^2*((G11/F11)^2+(E7/D7)^2)+(J11/H7)^2*((K11/J11)^2+(I7/H7)^2))</f>
        <v>6.0401759282789479E-2</v>
      </c>
    </row>
    <row r="12" spans="1:14" s="2" customFormat="1">
      <c r="A12" s="135"/>
      <c r="B12" s="2" t="s">
        <v>40</v>
      </c>
      <c r="C12" s="135"/>
      <c r="D12" s="135"/>
      <c r="E12" s="135"/>
      <c r="F12" s="20">
        <v>4.7512300000000004E-3</v>
      </c>
      <c r="G12" s="20">
        <v>7.4479299999999998E-2</v>
      </c>
      <c r="H12" s="135"/>
      <c r="I12" s="135"/>
      <c r="J12" s="21">
        <v>-3.28209E-2</v>
      </c>
      <c r="K12" s="21">
        <v>9.5568100000000003E-2</v>
      </c>
      <c r="M12" s="14">
        <f>(F12/D7+J12/H7)/2</f>
        <v>-1.7885910256515463E-2</v>
      </c>
      <c r="N12" s="14">
        <f>0.5*SQRT((F12/D7)^2*((G12/F12)^2+(E7/D7)^2)+(J12/H7)^2*((K12/J12)^2+(I12/H7)^2))</f>
        <v>7.7234973860213205E-2</v>
      </c>
    </row>
    <row r="13" spans="1:14" s="2" customFormat="1">
      <c r="A13" s="135"/>
      <c r="B13" s="2" t="s">
        <v>23</v>
      </c>
      <c r="C13" s="135"/>
      <c r="D13" s="135"/>
      <c r="E13" s="135"/>
      <c r="F13" s="13">
        <v>-6.7327600000000001E-2</v>
      </c>
      <c r="G13" s="13">
        <v>4.5509000000000001E-2</v>
      </c>
      <c r="H13" s="135"/>
      <c r="I13" s="135"/>
      <c r="J13" s="16">
        <v>9.4178100000000001E-2</v>
      </c>
      <c r="K13" s="16">
        <v>5.7611299999999997E-2</v>
      </c>
      <c r="M13" s="5">
        <f>(F13/D7+J13/H7)/2</f>
        <v>1.7080283546830125E-2</v>
      </c>
      <c r="N13" s="5">
        <f>0.5*SQRT((F13/D7)^2*((G13/F13)^2+(E7/D7)^2)+(J13/H7)^2*((K13/J13)^2+(I7/H7)^2))</f>
        <v>4.6800090944449771E-2</v>
      </c>
    </row>
    <row r="14" spans="1:14" s="2" customFormat="1">
      <c r="A14" s="135" t="s">
        <v>24</v>
      </c>
      <c r="B14" s="2" t="s">
        <v>22</v>
      </c>
      <c r="C14" s="135"/>
      <c r="D14" s="135"/>
      <c r="E14" s="135"/>
      <c r="F14" s="17">
        <v>0.11516899999999999</v>
      </c>
      <c r="G14" s="17">
        <v>4.2176499999999999E-2</v>
      </c>
      <c r="H14" s="135"/>
      <c r="I14" s="135"/>
      <c r="J14" s="17">
        <v>1.9651800000000001E-2</v>
      </c>
      <c r="K14" s="17">
        <v>3.7381200000000003E-2</v>
      </c>
      <c r="M14" s="7">
        <f>(F14/D7+J14/H7)/2</f>
        <v>8.5970657600153932E-2</v>
      </c>
      <c r="N14" s="7">
        <f>0.5*SQRT((F14/D7)^2*((G14/F14)^2+(E7/D7)^2)+(J14/H7)^2*((K14/J14)^2+(I7/H7)^2))</f>
        <v>3.5929975552583752E-2</v>
      </c>
    </row>
    <row r="15" spans="1:14" s="2" customFormat="1">
      <c r="A15" s="135"/>
      <c r="B15" s="2" t="s">
        <v>41</v>
      </c>
      <c r="C15" s="135"/>
      <c r="D15" s="135"/>
      <c r="E15" s="135"/>
      <c r="F15" s="17">
        <v>-0.1454</v>
      </c>
      <c r="G15" s="17">
        <v>7.1881899999999999E-2</v>
      </c>
      <c r="H15" s="135"/>
      <c r="I15" s="135"/>
      <c r="J15" s="17">
        <v>0.20282800000000001</v>
      </c>
      <c r="K15" s="17">
        <v>9.2281100000000005E-2</v>
      </c>
      <c r="M15" s="7">
        <f>(F15/D7+J15/H7)/2</f>
        <v>3.653076488565242E-2</v>
      </c>
      <c r="N15" s="7">
        <f>0.5*SQRT((F15/D7)^2*((G15/F15)^2+(E7/D7)^2)+(J15/H7)^2*((K15/J15)^2+(I7/H7)^2))</f>
        <v>7.4564642549854801E-2</v>
      </c>
    </row>
    <row r="16" spans="1:14" s="2" customFormat="1">
      <c r="A16" s="135"/>
      <c r="B16" s="2" t="s">
        <v>42</v>
      </c>
      <c r="C16" s="135"/>
      <c r="D16" s="135"/>
      <c r="E16" s="135"/>
      <c r="F16" s="17">
        <v>1.7475299999999999E-2</v>
      </c>
      <c r="G16" s="17">
        <v>0.107739</v>
      </c>
      <c r="H16" s="135"/>
      <c r="I16" s="135"/>
      <c r="J16" s="17">
        <v>-3.4298500000000003E-2</v>
      </c>
      <c r="K16" s="17">
        <v>0.105346</v>
      </c>
      <c r="M16" s="7">
        <f>(F16/D7+J16/H7)/2</f>
        <v>-1.0712988696021825E-2</v>
      </c>
      <c r="N16" s="7">
        <f>0.5*SQRT((F16/D7)^2*((G16/F16)^2+(E7/D7)^2)+(J16/H7)^2*((K16/J16)^2+(I7/H7)^2))</f>
        <v>9.6061987592926751E-2</v>
      </c>
    </row>
    <row r="17" spans="1:14" s="2" customFormat="1">
      <c r="A17" s="135"/>
      <c r="B17" s="2" t="s">
        <v>43</v>
      </c>
      <c r="C17" s="135"/>
      <c r="D17" s="135"/>
      <c r="E17" s="135"/>
      <c r="F17" s="17">
        <v>-0.10698100000000001</v>
      </c>
      <c r="G17" s="17">
        <v>6.4505699999999999E-2</v>
      </c>
      <c r="H17" s="135"/>
      <c r="I17" s="135"/>
      <c r="J17" s="17">
        <v>7.1163500000000005E-2</v>
      </c>
      <c r="K17" s="17">
        <v>8.28319E-2</v>
      </c>
      <c r="M17" s="7">
        <f>(F17/D6+J17/H6)/2</f>
        <v>-2.4194059490745365E-2</v>
      </c>
      <c r="N17" s="7">
        <f>0.5*SQRT((F17/D6)^2*((G17/F17)^2+(E6/D6)^2)+(J17/H6)^2*((K17/J17)^2+(I6/H6)^2))</f>
        <v>7.0805362884543407E-2</v>
      </c>
    </row>
    <row r="18" spans="1:14" s="2" customFormat="1">
      <c r="A18" s="135"/>
      <c r="B18" s="2" t="s">
        <v>47</v>
      </c>
      <c r="C18" s="135"/>
      <c r="D18" s="135"/>
      <c r="E18" s="135"/>
      <c r="F18" s="25">
        <v>3.5309399999999998E-2</v>
      </c>
      <c r="G18" s="25">
        <v>3.4367300000000003E-2</v>
      </c>
      <c r="H18" s="135"/>
      <c r="I18" s="135"/>
      <c r="J18" s="25">
        <v>4.1926499999999998E-2</v>
      </c>
      <c r="K18" s="25">
        <v>3.3195099999999998E-2</v>
      </c>
      <c r="M18" s="15">
        <f>(F18/D7+J18/H7)/2</f>
        <v>4.9236661093798692E-2</v>
      </c>
      <c r="N18" s="15">
        <f>0.5*SQRT((F18/D7)^2*((G18/F18)^2+(E7/D7)^2)+(J18/H7)^2*((K18/J18)^2+(I7/H7)^2))</f>
        <v>3.0460977802570247E-2</v>
      </c>
    </row>
    <row r="19" spans="1:14" s="2" customFormat="1">
      <c r="A19" s="135" t="s">
        <v>26</v>
      </c>
      <c r="B19" s="2" t="s">
        <v>27</v>
      </c>
      <c r="C19" s="135"/>
      <c r="D19" s="135"/>
      <c r="E19" s="135"/>
      <c r="F19" s="24">
        <v>9.5987600000000006E-2</v>
      </c>
      <c r="G19" s="24">
        <v>1.18557E-2</v>
      </c>
      <c r="H19" s="135"/>
      <c r="I19" s="135"/>
      <c r="J19" s="24">
        <v>7.6631699999999997E-2</v>
      </c>
      <c r="K19" s="24">
        <v>1.19063E-2</v>
      </c>
      <c r="M19" s="19">
        <f>(F19/D7+J19/H7)/2</f>
        <v>0.11004989038109214</v>
      </c>
      <c r="N19" s="19">
        <f>0.5*SQRT((F19/D7)^2*((G19/F19)^2+(E7/D7)^2)+(J19/H7)^2*((K19/J19)^2+(I7/H7)^2))</f>
        <v>1.0711732638138611E-2</v>
      </c>
    </row>
    <row r="20" spans="1:14" s="2" customFormat="1">
      <c r="A20" s="135"/>
      <c r="B20" s="2" t="s">
        <v>44</v>
      </c>
      <c r="C20" s="135"/>
      <c r="D20" s="135"/>
      <c r="E20" s="135"/>
      <c r="F20" s="18">
        <v>0.161134</v>
      </c>
      <c r="G20" s="18">
        <v>3.6502300000000001E-2</v>
      </c>
      <c r="H20" s="135"/>
      <c r="I20" s="135"/>
      <c r="J20" s="18">
        <v>0.12682099999999999</v>
      </c>
      <c r="K20" s="18">
        <v>3.7779800000000002E-2</v>
      </c>
      <c r="M20" s="8">
        <f>(F20/D7+J20/H7)/2</f>
        <v>0.18358026169842562</v>
      </c>
      <c r="N20" s="8">
        <f>0.5*SQRT((F20/D7)^2*((G20/F20)^2+(E7/D7)^2)+(J20/H7)^2*((K20/J20)^2+(I7/H7)^2))</f>
        <v>3.3489855085418858E-2</v>
      </c>
    </row>
    <row r="21" spans="1:14" s="2" customFormat="1">
      <c r="A21" s="135"/>
      <c r="B21" s="2" t="s">
        <v>41</v>
      </c>
      <c r="C21" s="135"/>
      <c r="D21" s="135"/>
      <c r="E21" s="135"/>
      <c r="F21" s="18">
        <v>-0.11078300000000001</v>
      </c>
      <c r="G21" s="18">
        <v>0.121529</v>
      </c>
      <c r="H21" s="135"/>
      <c r="I21" s="135"/>
      <c r="J21" s="18">
        <v>0.268627</v>
      </c>
      <c r="K21" s="18">
        <v>0.12162000000000001</v>
      </c>
      <c r="M21" s="8">
        <f>(F21/D7+J21/H7)/2</f>
        <v>0.10053919772465297</v>
      </c>
      <c r="N21" s="8">
        <f>0.5*SQRT((F21/D7)^2*((G21/F21)^2+(E7/D7)^2)+(J21/H7)^2*((K21/J21)^2+(I7/H7)^2))</f>
        <v>0.10960759543842308</v>
      </c>
    </row>
    <row r="22" spans="1:14" s="2" customFormat="1">
      <c r="A22" s="135"/>
      <c r="B22" s="2" t="s">
        <v>45</v>
      </c>
      <c r="C22" s="135"/>
      <c r="D22" s="135"/>
      <c r="E22" s="135"/>
      <c r="F22" s="18">
        <v>4.1037499999999998E-2</v>
      </c>
      <c r="G22" s="18">
        <v>0.132081</v>
      </c>
      <c r="H22" s="135"/>
      <c r="I22" s="135"/>
      <c r="J22" s="18">
        <v>0.19731299999999999</v>
      </c>
      <c r="K22" s="18">
        <v>0.33160499999999998</v>
      </c>
      <c r="M22" s="8">
        <f>(F22/D7+J22/H7)/2</f>
        <v>0.15191352967839344</v>
      </c>
      <c r="N22" s="8">
        <f>0.5*SQRT((F22/D7)^2*((G22/F22)^2+(E7/D7)^2)+(J22/H7)^2*((K22/J22)^2+(I7/H7)^2))</f>
        <v>0.22749221707897765</v>
      </c>
    </row>
    <row r="23" spans="1:14" s="2" customFormat="1">
      <c r="A23" s="135"/>
      <c r="B23" s="2" t="s">
        <v>43</v>
      </c>
      <c r="C23" s="135"/>
      <c r="D23" s="135"/>
      <c r="E23" s="135"/>
      <c r="F23" s="18">
        <v>-6.9695699999999999E-2</v>
      </c>
      <c r="G23" s="18">
        <v>9.23017E-2</v>
      </c>
      <c r="H23" s="135"/>
      <c r="I23" s="135"/>
      <c r="J23" s="18">
        <v>0.28633700000000001</v>
      </c>
      <c r="K23" s="18">
        <v>0.114092</v>
      </c>
      <c r="M23" s="8">
        <f>(F23/D6+J23/H6)/2</f>
        <v>0.14604683143221669</v>
      </c>
      <c r="N23" s="8">
        <f>0.5*SQRT((F23/D6)^2*((G23/F23)^2+(E23/D6)^2)+(J23/H6)^2*((K23/J23)^2+(I6/H6)^2))</f>
        <v>9.8975493327509836E-2</v>
      </c>
    </row>
    <row r="24" spans="1:14" s="2" customFormat="1">
      <c r="A24" s="135"/>
      <c r="B24" s="2" t="s">
        <v>47</v>
      </c>
      <c r="C24" s="135"/>
      <c r="D24" s="135"/>
      <c r="E24" s="135"/>
      <c r="F24" s="23">
        <v>0.12180000000000001</v>
      </c>
      <c r="G24" s="23">
        <v>3.4109899999999999E-2</v>
      </c>
      <c r="H24" s="135"/>
      <c r="I24" s="135"/>
      <c r="J24" s="23">
        <v>0.127443</v>
      </c>
      <c r="K24" s="23">
        <v>3.5309399999999998E-2</v>
      </c>
      <c r="M24" s="19">
        <f>(F24/D7+J24/H7)/2</f>
        <v>0.15889205920102278</v>
      </c>
      <c r="N24" s="19">
        <f>0.5*SQRT((F24/D7)^2*((G24/F24)^2+(E24/D7)^2)+(J24/H7)^2*((K24/J24)^2+(I7/H7)^2))</f>
        <v>3.1297419759436979E-2</v>
      </c>
    </row>
  </sheetData>
  <mergeCells count="9">
    <mergeCell ref="H7:H24"/>
    <mergeCell ref="I7:I24"/>
    <mergeCell ref="A14:A18"/>
    <mergeCell ref="A19:A24"/>
    <mergeCell ref="A2:A13"/>
    <mergeCell ref="B2:B6"/>
    <mergeCell ref="C7:C24"/>
    <mergeCell ref="D7:D24"/>
    <mergeCell ref="E7:E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workbookViewId="0">
      <selection activeCell="C5" sqref="A1:C6"/>
    </sheetView>
  </sheetViews>
  <sheetFormatPr baseColWidth="10" defaultRowHeight="15" x14ac:dyDescent="0"/>
  <sheetData>
    <row r="1" spans="1:3" ht="18">
      <c r="A1" s="6" t="s">
        <v>8</v>
      </c>
      <c r="B1" s="6" t="s">
        <v>6</v>
      </c>
      <c r="C1" s="6" t="s">
        <v>7</v>
      </c>
    </row>
    <row r="2" spans="1:3" ht="18">
      <c r="A2" s="6" t="s">
        <v>1</v>
      </c>
      <c r="B2" s="6">
        <v>381.3</v>
      </c>
      <c r="C2" s="6">
        <v>1657.7</v>
      </c>
    </row>
    <row r="3" spans="1:3" ht="18">
      <c r="A3" s="9" t="s">
        <v>0</v>
      </c>
      <c r="B3" s="6">
        <v>329.4</v>
      </c>
      <c r="C3" s="6">
        <v>1310.0999999999999</v>
      </c>
    </row>
    <row r="4" spans="1:3" ht="18">
      <c r="A4" s="9" t="s">
        <v>35</v>
      </c>
      <c r="B4" s="6">
        <v>355.4</v>
      </c>
      <c r="C4" s="6">
        <v>1483.9</v>
      </c>
    </row>
    <row r="5" spans="1:3" ht="18">
      <c r="A5" s="6" t="s">
        <v>2</v>
      </c>
      <c r="B5" s="6">
        <v>224.3</v>
      </c>
      <c r="C5" s="6">
        <v>744.3</v>
      </c>
    </row>
    <row r="6" spans="1:3" ht="18">
      <c r="A6" s="6" t="s">
        <v>3</v>
      </c>
      <c r="B6" s="6">
        <v>89.9</v>
      </c>
      <c r="C6" s="6">
        <v>196.2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Ruler="0" topLeftCell="A2" workbookViewId="0">
      <selection activeCell="N23" sqref="A22:N23"/>
    </sheetView>
  </sheetViews>
  <sheetFormatPr baseColWidth="10" defaultRowHeight="18" x14ac:dyDescent="0"/>
  <cols>
    <col min="1" max="16384" width="10.83203125" style="6"/>
  </cols>
  <sheetData>
    <row r="1" spans="1:14">
      <c r="A1" s="6" t="s">
        <v>28</v>
      </c>
      <c r="F1" s="6" t="s">
        <v>33</v>
      </c>
      <c r="K1" s="6" t="s">
        <v>34</v>
      </c>
    </row>
    <row r="2" spans="1:14">
      <c r="A2" s="6" t="s">
        <v>29</v>
      </c>
      <c r="B2" s="6" t="s">
        <v>30</v>
      </c>
      <c r="C2" s="6" t="s">
        <v>31</v>
      </c>
      <c r="D2" s="6" t="s">
        <v>32</v>
      </c>
      <c r="F2" s="6" t="s">
        <v>29</v>
      </c>
      <c r="G2" s="6" t="s">
        <v>30</v>
      </c>
      <c r="H2" s="6" t="s">
        <v>31</v>
      </c>
      <c r="I2" s="6" t="s">
        <v>32</v>
      </c>
      <c r="K2" s="6" t="s">
        <v>29</v>
      </c>
      <c r="L2" s="6" t="s">
        <v>30</v>
      </c>
      <c r="M2" s="6" t="s">
        <v>31</v>
      </c>
      <c r="N2" s="6" t="s">
        <v>32</v>
      </c>
    </row>
    <row r="3" spans="1:14">
      <c r="A3" s="6">
        <v>0</v>
      </c>
      <c r="B3" s="6">
        <v>5</v>
      </c>
      <c r="C3" s="6">
        <v>0.66059900000000005</v>
      </c>
      <c r="D3" s="6">
        <v>3.8969999999999999E-3</v>
      </c>
      <c r="F3" s="6">
        <v>0</v>
      </c>
      <c r="G3" s="6">
        <v>5</v>
      </c>
      <c r="H3" s="6">
        <v>0.53345500000000001</v>
      </c>
      <c r="I3" s="6">
        <v>2.4009999999999999E-3</v>
      </c>
      <c r="K3" s="6">
        <v>0</v>
      </c>
      <c r="L3" s="6">
        <v>5</v>
      </c>
      <c r="M3" s="6">
        <v>0.53944999999999999</v>
      </c>
      <c r="N3" s="6">
        <v>2.428E-3</v>
      </c>
    </row>
    <row r="4" spans="1:14">
      <c r="A4" s="6">
        <v>5</v>
      </c>
      <c r="B4" s="6">
        <v>10</v>
      </c>
      <c r="C4" s="6">
        <v>0.82322899999999999</v>
      </c>
      <c r="D4" s="6">
        <v>2.8479999999999998E-3</v>
      </c>
      <c r="F4" s="6">
        <v>5</v>
      </c>
      <c r="G4" s="6">
        <v>10</v>
      </c>
      <c r="H4" s="6">
        <v>0.72327200000000003</v>
      </c>
      <c r="I4" s="6">
        <v>2.0929999999999998E-3</v>
      </c>
      <c r="K4" s="6">
        <v>5</v>
      </c>
      <c r="L4" s="6">
        <v>10</v>
      </c>
      <c r="M4" s="6">
        <v>0.72284099999999996</v>
      </c>
      <c r="N4" s="6">
        <v>2.0920000000000001E-3</v>
      </c>
    </row>
    <row r="5" spans="1:14">
      <c r="A5" s="6">
        <v>10</v>
      </c>
      <c r="B5" s="6">
        <v>15</v>
      </c>
      <c r="C5" s="6">
        <v>0.88322299999999998</v>
      </c>
      <c r="D5" s="6">
        <v>2.5469999999999998E-3</v>
      </c>
      <c r="F5" s="6">
        <v>10</v>
      </c>
      <c r="G5" s="6">
        <v>15</v>
      </c>
      <c r="H5" s="6">
        <v>0.79893700000000001</v>
      </c>
      <c r="I5" s="6">
        <v>2.0209999999999998E-3</v>
      </c>
      <c r="K5" s="6">
        <v>10</v>
      </c>
      <c r="L5" s="6">
        <v>15</v>
      </c>
      <c r="M5" s="6">
        <v>0.80148299999999995</v>
      </c>
      <c r="N5" s="6">
        <v>2.0270000000000002E-3</v>
      </c>
    </row>
    <row r="6" spans="1:14">
      <c r="A6" s="6">
        <v>15</v>
      </c>
      <c r="B6" s="6">
        <v>20</v>
      </c>
      <c r="C6" s="6">
        <v>0.90586599999999995</v>
      </c>
      <c r="D6" s="6">
        <v>2.477E-3</v>
      </c>
      <c r="F6" s="6">
        <v>15</v>
      </c>
      <c r="G6" s="6">
        <v>20</v>
      </c>
      <c r="H6" s="6">
        <v>0.83217799999999997</v>
      </c>
      <c r="I6" s="6">
        <v>2.0449999999999999E-3</v>
      </c>
      <c r="K6" s="6">
        <v>15</v>
      </c>
      <c r="L6" s="6">
        <v>20</v>
      </c>
      <c r="M6" s="6">
        <v>0.83159700000000003</v>
      </c>
      <c r="N6" s="6">
        <v>2.0439999999999998E-3</v>
      </c>
    </row>
    <row r="7" spans="1:14">
      <c r="A7" s="6">
        <v>20</v>
      </c>
      <c r="B7" s="6">
        <v>25</v>
      </c>
      <c r="C7" s="6">
        <v>0.91149599999999997</v>
      </c>
      <c r="D7" s="6">
        <v>2.4429999999999999E-3</v>
      </c>
      <c r="F7" s="6">
        <v>20</v>
      </c>
      <c r="G7" s="6">
        <v>25</v>
      </c>
      <c r="H7" s="6">
        <v>0.84243500000000004</v>
      </c>
      <c r="I7" s="6">
        <v>2.0470000000000002E-3</v>
      </c>
      <c r="K7" s="6">
        <v>20</v>
      </c>
      <c r="L7" s="6">
        <v>25</v>
      </c>
      <c r="M7" s="6">
        <v>0.83922799999999997</v>
      </c>
      <c r="N7" s="6">
        <v>2.039E-3</v>
      </c>
    </row>
    <row r="8" spans="1:14">
      <c r="A8" s="6">
        <v>25</v>
      </c>
      <c r="B8" s="6">
        <v>30</v>
      </c>
      <c r="C8" s="6">
        <v>0.91091200000000005</v>
      </c>
      <c r="D8" s="6">
        <v>2.4299999999999999E-3</v>
      </c>
      <c r="F8" s="6">
        <v>25</v>
      </c>
      <c r="G8" s="6">
        <v>30</v>
      </c>
      <c r="H8" s="6">
        <v>0.83701499999999995</v>
      </c>
      <c r="I8" s="6">
        <v>2.0200000000000001E-3</v>
      </c>
      <c r="K8" s="6">
        <v>25</v>
      </c>
      <c r="L8" s="6">
        <v>30</v>
      </c>
      <c r="M8" s="6">
        <v>0.83552700000000002</v>
      </c>
      <c r="N8" s="6">
        <v>2.016E-3</v>
      </c>
    </row>
    <row r="9" spans="1:14">
      <c r="A9" s="6">
        <v>30</v>
      </c>
      <c r="B9" s="6">
        <v>35</v>
      </c>
      <c r="C9" s="6">
        <v>0.90135100000000001</v>
      </c>
      <c r="D9" s="6">
        <v>2.4940000000000001E-3</v>
      </c>
      <c r="F9" s="6">
        <v>30</v>
      </c>
      <c r="G9" s="6">
        <v>35</v>
      </c>
      <c r="H9" s="6">
        <v>0.82152099999999995</v>
      </c>
      <c r="I9" s="6">
        <v>2.0339999999999998E-3</v>
      </c>
      <c r="K9" s="6">
        <v>30</v>
      </c>
      <c r="L9" s="6">
        <v>35</v>
      </c>
      <c r="M9" s="6">
        <v>0.821654</v>
      </c>
      <c r="N9" s="6">
        <v>2.0349999999999999E-3</v>
      </c>
    </row>
    <row r="10" spans="1:14">
      <c r="A10" s="6">
        <v>35</v>
      </c>
      <c r="B10" s="6">
        <v>40</v>
      </c>
      <c r="C10" s="6">
        <v>0.88160000000000005</v>
      </c>
      <c r="D10" s="6">
        <v>2.5469999999999998E-3</v>
      </c>
      <c r="F10" s="6">
        <v>35</v>
      </c>
      <c r="G10" s="6">
        <v>40</v>
      </c>
      <c r="H10" s="6">
        <v>0.79802499999999998</v>
      </c>
      <c r="I10" s="6">
        <v>2.0330000000000001E-3</v>
      </c>
      <c r="K10" s="6">
        <v>35</v>
      </c>
      <c r="L10" s="6">
        <v>40</v>
      </c>
      <c r="M10" s="6">
        <v>0.79656499999999997</v>
      </c>
      <c r="N10" s="6">
        <v>2.029E-3</v>
      </c>
    </row>
    <row r="11" spans="1:14">
      <c r="A11" s="6">
        <v>40</v>
      </c>
      <c r="B11" s="6">
        <v>50</v>
      </c>
      <c r="C11" s="6">
        <v>0.84253500000000003</v>
      </c>
      <c r="D11" s="6">
        <v>1.9550000000000001E-3</v>
      </c>
      <c r="F11" s="6">
        <v>40</v>
      </c>
      <c r="G11" s="6">
        <v>50</v>
      </c>
      <c r="H11" s="6">
        <v>0.73732500000000001</v>
      </c>
      <c r="I11" s="6">
        <v>1.4480000000000001E-3</v>
      </c>
      <c r="K11" s="6">
        <v>40</v>
      </c>
      <c r="L11" s="6">
        <v>50</v>
      </c>
      <c r="M11" s="6">
        <v>0.736792</v>
      </c>
      <c r="N11" s="6">
        <v>1.446E-3</v>
      </c>
    </row>
    <row r="12" spans="1:14">
      <c r="A12" s="6">
        <v>50</v>
      </c>
      <c r="B12" s="6">
        <v>60</v>
      </c>
      <c r="C12" s="6">
        <v>0.74462399999999995</v>
      </c>
      <c r="D12" s="6">
        <v>2.4260000000000002E-3</v>
      </c>
      <c r="F12" s="6">
        <v>50</v>
      </c>
      <c r="G12" s="6">
        <v>60</v>
      </c>
      <c r="H12" s="6">
        <v>0.60929299999999997</v>
      </c>
      <c r="I12" s="6">
        <v>1.542E-3</v>
      </c>
      <c r="K12" s="6">
        <v>50</v>
      </c>
      <c r="L12" s="6">
        <v>60</v>
      </c>
      <c r="M12" s="6">
        <v>0.60937200000000002</v>
      </c>
      <c r="N12" s="6">
        <v>1.542E-3</v>
      </c>
    </row>
    <row r="13" spans="1:14">
      <c r="A13" s="6">
        <v>60</v>
      </c>
      <c r="B13" s="6">
        <v>70</v>
      </c>
      <c r="C13" s="6">
        <v>0.57414399999999999</v>
      </c>
      <c r="D13" s="6">
        <v>3.5349999999999999E-3</v>
      </c>
      <c r="F13" s="6">
        <v>60</v>
      </c>
      <c r="G13" s="6">
        <v>70</v>
      </c>
      <c r="H13" s="6">
        <v>0.43292700000000001</v>
      </c>
      <c r="I13" s="6">
        <v>1.939E-3</v>
      </c>
      <c r="K13" s="6">
        <v>60</v>
      </c>
      <c r="L13" s="6">
        <v>70</v>
      </c>
      <c r="M13" s="6">
        <v>0.43255700000000002</v>
      </c>
      <c r="N13" s="6">
        <v>1.9369999999999999E-3</v>
      </c>
    </row>
    <row r="14" spans="1:14">
      <c r="A14" s="6">
        <v>70</v>
      </c>
      <c r="B14" s="6">
        <v>80</v>
      </c>
      <c r="C14" s="6">
        <v>0.36757200000000001</v>
      </c>
      <c r="D14" s="6">
        <v>6.0289999999999996E-3</v>
      </c>
      <c r="F14" s="6">
        <v>70</v>
      </c>
      <c r="G14" s="6">
        <v>80</v>
      </c>
      <c r="H14" s="6">
        <v>0.25198100000000001</v>
      </c>
      <c r="I14" s="6">
        <v>3.1159999999999998E-3</v>
      </c>
      <c r="K14" s="6">
        <v>70</v>
      </c>
      <c r="L14" s="6">
        <v>80</v>
      </c>
      <c r="M14" s="6">
        <v>0.24412</v>
      </c>
      <c r="N14" s="6">
        <v>3.019E-3</v>
      </c>
    </row>
    <row r="15" spans="1:14">
      <c r="A15" s="6">
        <v>80</v>
      </c>
      <c r="B15" s="6">
        <v>90</v>
      </c>
      <c r="C15" s="6">
        <v>0.198353</v>
      </c>
      <c r="D15" s="6">
        <v>1.0795000000000001E-2</v>
      </c>
      <c r="F15" s="6">
        <v>80</v>
      </c>
      <c r="G15" s="6">
        <v>90</v>
      </c>
      <c r="H15" s="6">
        <v>0.100606</v>
      </c>
      <c r="I15" s="6">
        <v>5.8310000000000002E-3</v>
      </c>
      <c r="K15" s="6">
        <v>80</v>
      </c>
      <c r="L15" s="6">
        <v>90</v>
      </c>
      <c r="M15" s="6">
        <v>0.10120700000000001</v>
      </c>
      <c r="N15" s="6">
        <v>5.8659999999999997E-3</v>
      </c>
    </row>
    <row r="16" spans="1:14">
      <c r="A16" s="6">
        <v>90</v>
      </c>
      <c r="B16" s="6">
        <v>100</v>
      </c>
      <c r="C16" s="6">
        <v>0.14237900000000001</v>
      </c>
      <c r="D16" s="6">
        <v>3.2124E-2</v>
      </c>
      <c r="F16" s="6">
        <v>90</v>
      </c>
      <c r="G16" s="6">
        <v>100</v>
      </c>
      <c r="H16" s="6">
        <v>5.5759999999999997E-2</v>
      </c>
      <c r="I16" s="6">
        <v>1.2723999999999999E-2</v>
      </c>
      <c r="K16" s="6">
        <v>90</v>
      </c>
      <c r="L16" s="6">
        <v>100</v>
      </c>
      <c r="M16" s="6">
        <v>4.6038999999999997E-2</v>
      </c>
      <c r="N16" s="6">
        <v>1.0545000000000001E-2</v>
      </c>
    </row>
    <row r="18" spans="1:14">
      <c r="A18" s="6">
        <v>10</v>
      </c>
      <c r="B18" s="6">
        <v>60</v>
      </c>
      <c r="C18" s="10">
        <f>SUM(C5:C12)/8</f>
        <v>0.87270087499999993</v>
      </c>
      <c r="D18" s="10">
        <f>1/8*SQRT(D5^2+D6^2+D7^2+D8^2+D9^2+D10^2+D11^2+D12^2)</f>
        <v>8.5614171760579449E-4</v>
      </c>
      <c r="F18" s="6">
        <v>10</v>
      </c>
      <c r="G18" s="6">
        <v>60</v>
      </c>
      <c r="H18" s="10">
        <f>1/8*SUM(H5:H12)</f>
        <v>0.78459112500000006</v>
      </c>
      <c r="I18" s="10">
        <f>1/8*SQRT(I5*I5+I6*I6+I7*I7+I8*I8+I9*I9+I10*I10+I11*I11+I12*I12)</f>
        <v>6.7640811460241955E-4</v>
      </c>
      <c r="K18" s="6">
        <v>10</v>
      </c>
      <c r="L18" s="6">
        <v>60</v>
      </c>
      <c r="M18" s="10">
        <f>1/8*SUM(M5:M12)</f>
        <v>0.78402725000000006</v>
      </c>
      <c r="N18" s="10">
        <f>1/8*SQRT(N5^2+N6^2+N7^2+N8^2+N9^2+N10^2+N11^2+N12^2)</f>
        <v>6.7586967123847187E-4</v>
      </c>
    </row>
    <row r="19" spans="1:14">
      <c r="A19" s="6">
        <v>10</v>
      </c>
      <c r="B19" s="6">
        <v>30</v>
      </c>
      <c r="C19" s="10">
        <f>1/4*SUM(C5:C8)</f>
        <v>0.90287424999999999</v>
      </c>
      <c r="D19" s="10">
        <f xml:space="preserve"> 1/4*SQRT(I5^2+I6^2+I7^2+I8^2)</f>
        <v>1.016645064661212E-3</v>
      </c>
      <c r="F19" s="6">
        <v>10</v>
      </c>
      <c r="G19" s="6">
        <v>30</v>
      </c>
      <c r="H19" s="10">
        <f>1/4*SUM(H5:H8)</f>
        <v>0.82764124999999999</v>
      </c>
      <c r="I19" s="10">
        <f>1/4*SQRT(I5*I5+I6*I6+I7*I7+I8*I8)</f>
        <v>1.016645064661212E-3</v>
      </c>
      <c r="K19" s="6">
        <v>10</v>
      </c>
      <c r="L19" s="6">
        <v>30</v>
      </c>
      <c r="M19" s="10">
        <f xml:space="preserve"> 1/4*SUM(M5:M8)</f>
        <v>0.82695874999999996</v>
      </c>
      <c r="N19" s="10">
        <f>1/4*SQRT(N5*N5+N6*N6+N7*N7+N8*N8)</f>
        <v>1.0157645519508938E-3</v>
      </c>
    </row>
    <row r="20" spans="1:14">
      <c r="A20" s="6">
        <v>30</v>
      </c>
      <c r="B20" s="6">
        <v>60</v>
      </c>
      <c r="C20" s="10">
        <f>1/4*SUM(C9:C12)</f>
        <v>0.8425275000000001</v>
      </c>
      <c r="D20" s="10">
        <f xml:space="preserve"> 1/4*SQRT(D10*D10+D11*D11+D12*D12+D13*D13)</f>
        <v>1.3390979939869971E-3</v>
      </c>
      <c r="F20" s="6">
        <v>30</v>
      </c>
      <c r="G20" s="6">
        <v>60</v>
      </c>
      <c r="H20" s="10">
        <f xml:space="preserve"> 1/4*SUM(H9:H12)</f>
        <v>0.74154100000000001</v>
      </c>
      <c r="I20" s="10">
        <f xml:space="preserve"> 1/4*SQRT(I10*I10+I11*I11+I12*I12+I13*I13)</f>
        <v>8.7917852282684886E-4</v>
      </c>
      <c r="K20" s="6">
        <v>30</v>
      </c>
      <c r="L20" s="6">
        <v>60</v>
      </c>
      <c r="M20" s="10">
        <f xml:space="preserve"> 1/4*SUM(M9:M12)</f>
        <v>0.74109574999999994</v>
      </c>
      <c r="N20" s="10">
        <f xml:space="preserve"> 1/4*SQRT(N10*N10+N11*N11+N12*N12+N13*N13)</f>
        <v>8.7811908360996228E-4</v>
      </c>
    </row>
    <row r="21" spans="1:14">
      <c r="A21" s="6">
        <v>0</v>
      </c>
      <c r="B21" s="6">
        <v>10</v>
      </c>
      <c r="C21" s="10">
        <f xml:space="preserve"> 1/2 * SUM(C3:C4)</f>
        <v>0.74191399999999996</v>
      </c>
      <c r="D21" s="10">
        <f xml:space="preserve"> 1/2*SQRT(D3*D3+D4*D4)</f>
        <v>2.4133852261916246E-3</v>
      </c>
      <c r="E21" s="2"/>
      <c r="F21" s="11">
        <v>0</v>
      </c>
      <c r="G21" s="11">
        <v>10</v>
      </c>
      <c r="H21" s="10">
        <f xml:space="preserve"> 1/2 * SUM(H3:H4)</f>
        <v>0.62836350000000007</v>
      </c>
      <c r="I21" s="10">
        <f xml:space="preserve"> 1/2*SQRT(I3*I3+I4*I4)</f>
        <v>1.5925961509434838E-3</v>
      </c>
      <c r="J21" s="2"/>
      <c r="K21" s="11">
        <v>0</v>
      </c>
      <c r="L21" s="11">
        <v>10</v>
      </c>
      <c r="M21" s="10">
        <f xml:space="preserve"> 1/2 * SUM(M3:M4)</f>
        <v>0.63114549999999991</v>
      </c>
      <c r="N21" s="10">
        <f xml:space="preserve"> 1/2*SQRT(N3*N3+N4*N4)</f>
        <v>1.6024705925538852E-3</v>
      </c>
    </row>
    <row r="22" spans="1:14">
      <c r="A22" s="6">
        <v>10</v>
      </c>
      <c r="B22" s="6">
        <v>20</v>
      </c>
      <c r="C22" s="6">
        <f xml:space="preserve"> 1/2*SUM(C5:C6)</f>
        <v>0.89454449999999996</v>
      </c>
      <c r="D22" s="10">
        <f xml:space="preserve"> 1/2*SQRT(D5*D5+D6*D6)</f>
        <v>1.7764246395499022E-3</v>
      </c>
      <c r="F22" s="6">
        <v>10</v>
      </c>
      <c r="G22" s="6">
        <v>20</v>
      </c>
      <c r="H22" s="27">
        <f xml:space="preserve"> 1/2*SUM(H5:H6)</f>
        <v>0.81555749999999994</v>
      </c>
      <c r="I22" s="10">
        <f xml:space="preserve"> 1/2*SQRT(I5*I5+I6*I6)</f>
        <v>1.4375731285746823E-3</v>
      </c>
      <c r="K22" s="6">
        <v>10</v>
      </c>
      <c r="L22" s="6">
        <v>20</v>
      </c>
      <c r="M22" s="6">
        <f xml:space="preserve"> 1/2*SUM(M5:M6)</f>
        <v>0.81654000000000004</v>
      </c>
      <c r="N22" s="10">
        <f xml:space="preserve"> 1/2*SQRT(N5*N5+N6*N6)</f>
        <v>1.4393284024155155E-3</v>
      </c>
    </row>
    <row r="23" spans="1:14">
      <c r="A23" s="6">
        <v>20</v>
      </c>
      <c r="B23" s="6">
        <v>30</v>
      </c>
      <c r="C23" s="6">
        <f xml:space="preserve"> 1/2*SUM(C7:C8)</f>
        <v>0.91120400000000001</v>
      </c>
      <c r="D23" s="10">
        <f xml:space="preserve"> 1/2*SQRT(D7*D7+D8*D8)</f>
        <v>1.7228718031240744E-3</v>
      </c>
      <c r="F23" s="6">
        <v>20</v>
      </c>
      <c r="G23" s="6">
        <v>30</v>
      </c>
      <c r="H23" s="6">
        <f xml:space="preserve"> 1/2*SUM(H7:H8)</f>
        <v>0.83972500000000005</v>
      </c>
      <c r="I23" s="10">
        <f xml:space="preserve"> 1/2*SQRT(I7*I7+I8*I8)</f>
        <v>1.4379333259925511E-3</v>
      </c>
      <c r="K23" s="6">
        <v>20</v>
      </c>
      <c r="L23" s="6">
        <v>30</v>
      </c>
      <c r="M23" s="6">
        <f xml:space="preserve"> 1/2*SUM(M7:M8)</f>
        <v>0.8373775</v>
      </c>
      <c r="N23" s="10">
        <f xml:space="preserve"> 1/2*SQRT(N7*N7+N8*N8)</f>
        <v>1.4336820602909141E-3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showRuler="0" topLeftCell="A78" workbookViewId="0">
      <pane xSplit="4" topLeftCell="E1" activePane="topRight" state="frozen"/>
      <selection pane="topRight" activeCell="J4" sqref="J4:J85"/>
    </sheetView>
  </sheetViews>
  <sheetFormatPr baseColWidth="10" defaultRowHeight="18" x14ac:dyDescent="0"/>
  <cols>
    <col min="1" max="6" width="10.83203125" style="46"/>
    <col min="7" max="7" width="13.5" style="46" bestFit="1" customWidth="1"/>
    <col min="8" max="16384" width="10.83203125" style="46"/>
  </cols>
  <sheetData>
    <row r="1" spans="1:27">
      <c r="A1" s="84"/>
      <c r="B1" s="84"/>
      <c r="C1" s="84"/>
      <c r="D1" s="84"/>
      <c r="E1" s="84"/>
      <c r="F1" s="84"/>
      <c r="G1" s="84"/>
      <c r="H1" s="84"/>
      <c r="I1" s="84"/>
      <c r="J1" s="107"/>
      <c r="K1" s="107" t="s">
        <v>75</v>
      </c>
      <c r="L1" s="107"/>
      <c r="M1" s="84"/>
      <c r="N1" s="84"/>
      <c r="O1" s="84"/>
      <c r="X1" s="3" t="s">
        <v>101</v>
      </c>
      <c r="Z1" s="46" t="s">
        <v>102</v>
      </c>
    </row>
    <row r="2" spans="1:27">
      <c r="A2" s="85" t="s">
        <v>18</v>
      </c>
      <c r="B2" s="85" t="s">
        <v>19</v>
      </c>
      <c r="C2" s="85" t="s">
        <v>20</v>
      </c>
      <c r="D2" s="85" t="s">
        <v>48</v>
      </c>
      <c r="E2" s="85" t="s">
        <v>63</v>
      </c>
      <c r="F2" s="85" t="s">
        <v>69</v>
      </c>
      <c r="G2" s="85" t="s">
        <v>72</v>
      </c>
      <c r="H2" s="85" t="s">
        <v>68</v>
      </c>
      <c r="I2" s="85" t="s">
        <v>70</v>
      </c>
      <c r="J2" s="85" t="s">
        <v>73</v>
      </c>
      <c r="K2" s="85"/>
      <c r="L2" s="85" t="s">
        <v>15</v>
      </c>
      <c r="M2" s="85" t="s">
        <v>16</v>
      </c>
      <c r="N2" s="85" t="s">
        <v>11</v>
      </c>
      <c r="O2" s="84" t="s">
        <v>12</v>
      </c>
      <c r="Q2" s="3" t="s">
        <v>65</v>
      </c>
      <c r="R2" s="3" t="s">
        <v>66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>
      <c r="A3" s="123" t="s">
        <v>55</v>
      </c>
      <c r="B3" s="123" t="s">
        <v>25</v>
      </c>
      <c r="C3" s="123" t="s">
        <v>35</v>
      </c>
      <c r="D3" s="26" t="s">
        <v>51</v>
      </c>
      <c r="E3" s="97">
        <f xml:space="preserve"> (1-defaultFit_Inclusive!$U3)*defaultFit_Inclusive!E3</f>
        <v>1061.1115207999999</v>
      </c>
      <c r="F3" s="97">
        <f xml:space="preserve"> E3*SQRT(POWER(defaultFit_Inclusive!$V3/(1-defaultFit_Inclusive!$U3),2+POWER(defaultFit_Inclusive!F3/defaultFit_Inclusive!E3,2)))</f>
        <v>17.88359248229095</v>
      </c>
      <c r="G3" s="76"/>
      <c r="H3" s="97">
        <f xml:space="preserve"> (1-defaultFit_Inclusive!$U3)*defaultFit_Inclusive!H3</f>
        <v>968.84920899999997</v>
      </c>
      <c r="I3" s="97">
        <f xml:space="preserve"> H3*SQRT(POWER(defaultFit_Inclusive!$V3/(1-defaultFit_Inclusive!$U3),2+POWER(defaultFit_Inclusive!I3/defaultFit_Inclusive!H3,2)))</f>
        <v>16.324967469491007</v>
      </c>
      <c r="J3" s="76"/>
      <c r="K3" s="97"/>
      <c r="L3" s="98"/>
      <c r="M3" s="98"/>
      <c r="N3" s="98"/>
      <c r="O3" s="34"/>
      <c r="P3" s="33"/>
      <c r="Q3" s="78"/>
      <c r="R3" s="78"/>
      <c r="X3" s="3"/>
      <c r="Y3" s="3"/>
      <c r="Z3" s="3"/>
      <c r="AA3" s="3"/>
    </row>
    <row r="4" spans="1:27">
      <c r="A4" s="123"/>
      <c r="B4" s="123"/>
      <c r="C4" s="123"/>
      <c r="D4" s="85" t="s">
        <v>49</v>
      </c>
      <c r="E4" s="97">
        <f xml:space="preserve"> (1-defaultFit_Inclusive!$U4)*defaultFit_Inclusive!E4</f>
        <v>269.75731497999999</v>
      </c>
      <c r="F4" s="97">
        <f xml:space="preserve"> E4*SQRT(POWER(defaultFit_Inclusive!$V4/(1-defaultFit_Inclusive!$U4),2+POWER(defaultFit_Inclusive!F4/defaultFit_Inclusive!E4,2)))</f>
        <v>9.1554814298913527</v>
      </c>
      <c r="G4" s="76" t="e">
        <f>SQRT(POWER(Z4,2)+POWER(fitSyst_Prompt!AE4/(PI()/8),2))</f>
        <v>#DIV/0!</v>
      </c>
      <c r="H4" s="97">
        <f xml:space="preserve"> (1-defaultFit_Inclusive!$U4)*defaultFit_Inclusive!H4</f>
        <v>249.57380563699996</v>
      </c>
      <c r="I4" s="97">
        <f xml:space="preserve"> H4*SQRT(POWER(defaultFit_Inclusive!$V4/(1-defaultFit_Inclusive!$U4),2+POWER(defaultFit_Inclusive!I4/defaultFit_Inclusive!H4,2)))</f>
        <v>8.4679291458518247</v>
      </c>
      <c r="J4" s="76" t="e">
        <f>SQRT(POWER(AA4,2)+POWER(fitSyst_Prompt!AF4/(PI()/8),2))</f>
        <v>#DIV/0!</v>
      </c>
      <c r="K4" s="97"/>
      <c r="L4" s="126">
        <v>0.12</v>
      </c>
      <c r="M4" s="126">
        <v>0.1</v>
      </c>
      <c r="N4" s="126">
        <v>0.13</v>
      </c>
      <c r="O4" s="120">
        <v>0.1</v>
      </c>
      <c r="P4" s="33"/>
      <c r="Q4" s="121">
        <f xml:space="preserve"> (L4/ep_CorrectionFactors!H21+N4/ep_CorrectionFactors!M21)/2</f>
        <v>0.19847347785694297</v>
      </c>
      <c r="R4" s="121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0.11228431329904759</v>
      </c>
      <c r="X4" s="3">
        <f xml:space="preserve"> E4/($E$8*PI()/8)</f>
        <v>0.65334227729388106</v>
      </c>
      <c r="Y4" s="3">
        <f xml:space="preserve"> H4/($H$8*PI()/8)</f>
        <v>0.65375954942062575</v>
      </c>
      <c r="Z4" s="3">
        <f xml:space="preserve"> X4*F4/E4</f>
        <v>2.2174238676606565E-2</v>
      </c>
      <c r="AA4" s="3">
        <f xml:space="preserve"> Y4*I4/H4</f>
        <v>2.2181773158397311E-2</v>
      </c>
    </row>
    <row r="5" spans="1:27">
      <c r="A5" s="123"/>
      <c r="B5" s="123"/>
      <c r="C5" s="123"/>
      <c r="D5" s="85" t="s">
        <v>50</v>
      </c>
      <c r="E5" s="97">
        <f xml:space="preserve"> (1-defaultFit_Inclusive!$U5)*defaultFit_Inclusive!E5</f>
        <v>266.31877972000001</v>
      </c>
      <c r="F5" s="97">
        <f xml:space="preserve"> E5*SQRT(POWER(defaultFit_Inclusive!$V5/(1-defaultFit_Inclusive!$U5),2+POWER(defaultFit_Inclusive!F5/defaultFit_Inclusive!E5,2)))</f>
        <v>8.8999975349388301</v>
      </c>
      <c r="G5" s="76" t="e">
        <f>SQRT(POWER(Z5,2)+POWER(fitSyst_Prompt!AE5/(PI()/8),2))</f>
        <v>#DIV/0!</v>
      </c>
      <c r="H5" s="97">
        <f xml:space="preserve"> (1-defaultFit_Inclusive!$U5)*defaultFit_Inclusive!H5</f>
        <v>237.66744309000001</v>
      </c>
      <c r="I5" s="97">
        <f xml:space="preserve"> H5*SQRT(POWER(defaultFit_Inclusive!$V5/(1-defaultFit_Inclusive!$U5),2+POWER(defaultFit_Inclusive!I5/defaultFit_Inclusive!H5,2)))</f>
        <v>7.9381836687253626</v>
      </c>
      <c r="J5" s="76" t="e">
        <f>SQRT(POWER(AA5,2)+POWER(fitSyst_Prompt!AF5/(PI()/8),2))</f>
        <v>#DIV/0!</v>
      </c>
      <c r="K5" s="97"/>
      <c r="L5" s="126"/>
      <c r="M5" s="126"/>
      <c r="N5" s="126"/>
      <c r="O5" s="120"/>
      <c r="P5" s="33"/>
      <c r="Q5" s="121"/>
      <c r="R5" s="121"/>
      <c r="X5" s="3">
        <f t="shared" ref="X5:X7" si="0" xml:space="preserve"> E5/($E$8*PI()/8)</f>
        <v>0.645014271591829</v>
      </c>
      <c r="Y5" s="3">
        <f t="shared" ref="Y5:Y7" si="1" xml:space="preserve"> H5/($H$8*PI()/8)</f>
        <v>0.62257078666526344</v>
      </c>
      <c r="Z5" s="3">
        <f t="shared" ref="Z5:Z67" si="2" xml:space="preserve"> X5*F5/E5</f>
        <v>2.1555466096694995E-2</v>
      </c>
      <c r="AA5" s="3">
        <f t="shared" ref="AA5:AA67" si="3" xml:space="preserve"> Y5*I5/H5</f>
        <v>2.07941028315781E-2</v>
      </c>
    </row>
    <row r="6" spans="1:27">
      <c r="A6" s="123"/>
      <c r="B6" s="123"/>
      <c r="C6" s="123"/>
      <c r="D6" s="84" t="s">
        <v>52</v>
      </c>
      <c r="E6" s="97">
        <f xml:space="preserve"> (1-defaultFit_Inclusive!$U6)*defaultFit_Inclusive!E6</f>
        <v>254.91749392199998</v>
      </c>
      <c r="F6" s="97">
        <f xml:space="preserve"> E6*SQRT(POWER(defaultFit_Inclusive!$V6/(1-defaultFit_Inclusive!$U6),2+POWER(defaultFit_Inclusive!F6/defaultFit_Inclusive!E6,2)))</f>
        <v>8.4403112618053733</v>
      </c>
      <c r="G6" s="76" t="e">
        <f>SQRT(POWER(Z6,2)+POWER(fitSyst_Prompt!AE6/(PI()/8),2))</f>
        <v>#DIV/0!</v>
      </c>
      <c r="H6" s="97">
        <f xml:space="preserve"> (1-defaultFit_Inclusive!$U6)*defaultFit_Inclusive!H6</f>
        <v>246.520425424</v>
      </c>
      <c r="I6" s="97">
        <f xml:space="preserve"> H6*SQRT(POWER(defaultFit_Inclusive!$V6/(1-defaultFit_Inclusive!$U6),2+POWER(defaultFit_Inclusive!I6/defaultFit_Inclusive!H6,2)))</f>
        <v>8.1634851777442545</v>
      </c>
      <c r="J6" s="76" t="e">
        <f>SQRT(POWER(AA6,2)+POWER(fitSyst_Prompt!AF6/(PI()/8),2))</f>
        <v>#DIV/0!</v>
      </c>
      <c r="K6" s="97"/>
      <c r="L6" s="126"/>
      <c r="M6" s="126"/>
      <c r="N6" s="126"/>
      <c r="O6" s="120"/>
      <c r="P6" s="33"/>
      <c r="Q6" s="121"/>
      <c r="R6" s="121"/>
      <c r="X6" s="3">
        <f t="shared" si="0"/>
        <v>0.61740077748548383</v>
      </c>
      <c r="Y6" s="3">
        <f t="shared" si="1"/>
        <v>0.64576120813971383</v>
      </c>
      <c r="Z6" s="3">
        <f t="shared" si="2"/>
        <v>2.0442122880953036E-2</v>
      </c>
      <c r="AA6" s="3">
        <f t="shared" si="3"/>
        <v>2.1384281006102603E-2</v>
      </c>
    </row>
    <row r="7" spans="1:27">
      <c r="A7" s="123"/>
      <c r="B7" s="123"/>
      <c r="C7" s="123"/>
      <c r="D7" s="84" t="s">
        <v>53</v>
      </c>
      <c r="E7" s="97">
        <f xml:space="preserve"> (1-defaultFit_Inclusive!$U7)*defaultFit_Inclusive!E7</f>
        <v>260.41757165600001</v>
      </c>
      <c r="F7" s="97">
        <f xml:space="preserve"> E7*SQRT(POWER(defaultFit_Inclusive!$V7/(1-defaultFit_Inclusive!$U7),2+POWER(defaultFit_Inclusive!F7/defaultFit_Inclusive!E7,2)))</f>
        <v>8.4075901387334842</v>
      </c>
      <c r="G7" s="76" t="e">
        <f>SQRT(POWER(Z7,2)+POWER(fitSyst_Prompt!AE7/(PI()/8),2))</f>
        <v>#DIV/0!</v>
      </c>
      <c r="H7" s="97">
        <f xml:space="preserve"> (1-defaultFit_Inclusive!$U7)*defaultFit_Inclusive!H7</f>
        <v>238.36099372800004</v>
      </c>
      <c r="I7" s="97">
        <f xml:space="preserve"> H7*SQRT(POWER(defaultFit_Inclusive!$V7/(1-defaultFit_Inclusive!$U7),2+POWER(defaultFit_Inclusive!I7/defaultFit_Inclusive!H7,2)))</f>
        <v>7.6897143653263633</v>
      </c>
      <c r="J7" s="76" t="e">
        <f>SQRT(POWER(AA7,2)+POWER(fitSyst_Prompt!AF7/(PI()/8),2))</f>
        <v>#DIV/0!</v>
      </c>
      <c r="K7" s="97"/>
      <c r="L7" s="126"/>
      <c r="M7" s="126"/>
      <c r="N7" s="126"/>
      <c r="O7" s="120"/>
      <c r="P7" s="33"/>
      <c r="Q7" s="121"/>
      <c r="R7" s="121"/>
      <c r="X7" s="3">
        <f t="shared" si="0"/>
        <v>0.63072176309913197</v>
      </c>
      <c r="Y7" s="3">
        <f t="shared" si="1"/>
        <v>0.62438754524472251</v>
      </c>
      <c r="Z7" s="3">
        <f t="shared" si="2"/>
        <v>2.036287352652872E-2</v>
      </c>
      <c r="AA7" s="3">
        <f t="shared" si="3"/>
        <v>2.0143236530043029E-2</v>
      </c>
    </row>
    <row r="8" spans="1:27">
      <c r="A8" s="123"/>
      <c r="B8" s="123"/>
      <c r="C8" s="123"/>
      <c r="D8" s="80"/>
      <c r="E8" s="94">
        <f xml:space="preserve"> SUM(E4:E7)</f>
        <v>1051.4111602779999</v>
      </c>
      <c r="F8" s="94"/>
      <c r="G8" s="76">
        <f>SQRT(POWER(Z8,2)+POWER(fitSyst_Prompt!AE8/(PI()/8),2))</f>
        <v>0</v>
      </c>
      <c r="H8" s="94">
        <f xml:space="preserve"> SUM(H4:H7)</f>
        <v>972.12266787900001</v>
      </c>
      <c r="I8" s="94"/>
      <c r="J8" s="76">
        <f>SQRT(POWER(AA8,2)+POWER(fitSyst_Prompt!AF8/(PI()/8),2))</f>
        <v>0</v>
      </c>
      <c r="K8" s="94"/>
      <c r="L8" s="95"/>
      <c r="M8" s="95"/>
      <c r="N8" s="95"/>
      <c r="O8" s="80"/>
      <c r="P8" s="72"/>
      <c r="Q8" s="91"/>
      <c r="R8" s="72"/>
      <c r="X8" s="3"/>
      <c r="Y8" s="3"/>
      <c r="Z8" s="3"/>
      <c r="AA8" s="3"/>
    </row>
    <row r="9" spans="1:27">
      <c r="A9" s="123"/>
      <c r="B9" s="123"/>
      <c r="C9" s="124" t="s">
        <v>2</v>
      </c>
      <c r="D9" s="26" t="s">
        <v>51</v>
      </c>
      <c r="E9" s="86"/>
      <c r="F9" s="86"/>
      <c r="G9" s="76">
        <f>SQRT(POWER(Z9,2)+POWER(fitSyst_Prompt!AE9/(PI()/8),2))</f>
        <v>0</v>
      </c>
      <c r="H9" s="86"/>
      <c r="I9" s="86"/>
      <c r="J9" s="76">
        <f>SQRT(POWER(AA9,2)+POWER(fitSyst_Prompt!AF9/(PI()/8),2))</f>
        <v>0</v>
      </c>
      <c r="K9" s="86"/>
      <c r="L9" s="89"/>
      <c r="M9" s="89"/>
      <c r="N9" s="89"/>
      <c r="O9" s="84"/>
      <c r="X9" s="3"/>
      <c r="Y9" s="3"/>
      <c r="Z9" s="3"/>
      <c r="AA9" s="3"/>
    </row>
    <row r="10" spans="1:27">
      <c r="A10" s="123"/>
      <c r="B10" s="123"/>
      <c r="C10" s="124"/>
      <c r="D10" s="85" t="s">
        <v>49</v>
      </c>
      <c r="E10" s="86"/>
      <c r="F10" s="86"/>
      <c r="G10" s="76">
        <f>SQRT(POWER(Z10,2)+POWER(fitSyst_Prompt!AE10/(PI()/8),2))</f>
        <v>0</v>
      </c>
      <c r="H10" s="86"/>
      <c r="I10" s="86"/>
      <c r="J10" s="76">
        <f>SQRT(POWER(AA10,2)+POWER(fitSyst_Prompt!AF10/(PI()/8),2))</f>
        <v>0</v>
      </c>
      <c r="K10" s="86"/>
      <c r="L10" s="116"/>
      <c r="M10" s="116"/>
      <c r="N10" s="116"/>
      <c r="O10" s="116"/>
      <c r="Q10" s="111"/>
      <c r="R10" s="113"/>
      <c r="X10" s="3"/>
      <c r="Y10" s="3"/>
      <c r="Z10" s="3"/>
      <c r="AA10" s="3"/>
    </row>
    <row r="11" spans="1:27">
      <c r="A11" s="123"/>
      <c r="B11" s="123"/>
      <c r="C11" s="124"/>
      <c r="D11" s="85" t="s">
        <v>50</v>
      </c>
      <c r="E11" s="86"/>
      <c r="F11" s="86"/>
      <c r="G11" s="76">
        <f>SQRT(POWER(Z11,2)+POWER(fitSyst_Prompt!AE11/(PI()/8),2))</f>
        <v>0</v>
      </c>
      <c r="H11" s="86"/>
      <c r="I11" s="86"/>
      <c r="J11" s="76">
        <f>SQRT(POWER(AA11,2)+POWER(fitSyst_Prompt!AF11/(PI()/8),2))</f>
        <v>0</v>
      </c>
      <c r="K11" s="86"/>
      <c r="L11" s="116"/>
      <c r="M11" s="116"/>
      <c r="N11" s="116"/>
      <c r="O11" s="116"/>
      <c r="Q11" s="111"/>
      <c r="R11" s="113"/>
      <c r="X11" s="3"/>
      <c r="Y11" s="3"/>
      <c r="Z11" s="3"/>
      <c r="AA11" s="3"/>
    </row>
    <row r="12" spans="1:27">
      <c r="A12" s="123"/>
      <c r="B12" s="123"/>
      <c r="C12" s="124"/>
      <c r="D12" s="84" t="s">
        <v>52</v>
      </c>
      <c r="E12" s="86"/>
      <c r="F12" s="86"/>
      <c r="G12" s="76">
        <f>SQRT(POWER(Z12,2)+POWER(fitSyst_Prompt!AE12/(PI()/8),2))</f>
        <v>0</v>
      </c>
      <c r="H12" s="86"/>
      <c r="I12" s="86"/>
      <c r="J12" s="76">
        <f>SQRT(POWER(AA12,2)+POWER(fitSyst_Prompt!AF12/(PI()/8),2))</f>
        <v>0</v>
      </c>
      <c r="K12" s="86"/>
      <c r="L12" s="116"/>
      <c r="M12" s="116"/>
      <c r="N12" s="116"/>
      <c r="O12" s="116"/>
      <c r="Q12" s="111"/>
      <c r="R12" s="113"/>
      <c r="X12" s="3"/>
      <c r="Y12" s="3"/>
      <c r="Z12" s="3"/>
      <c r="AA12" s="3"/>
    </row>
    <row r="13" spans="1:27">
      <c r="A13" s="123"/>
      <c r="B13" s="123"/>
      <c r="C13" s="124"/>
      <c r="D13" s="84" t="s">
        <v>53</v>
      </c>
      <c r="E13" s="86"/>
      <c r="F13" s="86"/>
      <c r="G13" s="76">
        <f>SQRT(POWER(Z13,2)+POWER(fitSyst_Prompt!AE13/(PI()/8),2))</f>
        <v>0</v>
      </c>
      <c r="H13" s="86"/>
      <c r="I13" s="86"/>
      <c r="J13" s="76">
        <f>SQRT(POWER(AA13,2)+POWER(fitSyst_Prompt!AF13/(PI()/8),2))</f>
        <v>0</v>
      </c>
      <c r="K13" s="86"/>
      <c r="L13" s="116"/>
      <c r="M13" s="116"/>
      <c r="N13" s="116"/>
      <c r="O13" s="116"/>
      <c r="Q13" s="111"/>
      <c r="R13" s="113"/>
      <c r="X13" s="3"/>
      <c r="Y13" s="3"/>
      <c r="Z13" s="3"/>
      <c r="AA13" s="3"/>
    </row>
    <row r="14" spans="1:27">
      <c r="A14" s="123"/>
      <c r="B14" s="123"/>
      <c r="C14" s="124"/>
      <c r="D14" s="80"/>
      <c r="E14" s="94">
        <f xml:space="preserve"> SUM(E10:E13)</f>
        <v>0</v>
      </c>
      <c r="F14" s="94"/>
      <c r="G14" s="76">
        <f>SQRT(POWER(Z14,2)+POWER(fitSyst_Prompt!AE14/(PI()/8),2))</f>
        <v>0</v>
      </c>
      <c r="H14" s="94">
        <f xml:space="preserve"> SUM(H10:H13)</f>
        <v>0</v>
      </c>
      <c r="I14" s="94"/>
      <c r="J14" s="76">
        <f>SQRT(POWER(AA14,2)+POWER(fitSyst_Prompt!AF14/(PI()/8),2))</f>
        <v>0</v>
      </c>
      <c r="K14" s="94"/>
      <c r="L14" s="96"/>
      <c r="M14" s="96"/>
      <c r="N14" s="96"/>
      <c r="O14" s="80"/>
      <c r="P14" s="72"/>
      <c r="Q14" s="72"/>
      <c r="R14" s="72"/>
      <c r="X14" s="3"/>
      <c r="Y14" s="3"/>
      <c r="Z14" s="3"/>
      <c r="AA14" s="3"/>
    </row>
    <row r="15" spans="1:27">
      <c r="A15" s="123"/>
      <c r="B15" s="123"/>
      <c r="C15" s="116" t="s">
        <v>54</v>
      </c>
      <c r="D15" s="26" t="s">
        <v>51</v>
      </c>
      <c r="E15" s="97">
        <f xml:space="preserve"> (1-defaultFit_Inclusive!$U15)*defaultFit_Inclusive!E15</f>
        <v>974.70439472999999</v>
      </c>
      <c r="F15" s="97">
        <f xml:space="preserve"> E15*SQRT(POWER(defaultFit_Inclusive!$V15/(1-defaultFit_Inclusive!$U15),2+POWER(defaultFit_Inclusive!F15/defaultFit_Inclusive!E15,2)))</f>
        <v>14.731824095529792</v>
      </c>
      <c r="G15" s="76">
        <f>SQRT(POWER(Z15,2)+POWER(fitSyst_Prompt!AE15/(PI()/8),2))</f>
        <v>0</v>
      </c>
      <c r="H15" s="97">
        <f xml:space="preserve"> (1-defaultFit_Inclusive!$U15)*defaultFit_Inclusive!H15</f>
        <v>955.89769219999994</v>
      </c>
      <c r="I15" s="97">
        <f xml:space="preserve"> H15*SQRT(POWER(defaultFit_Inclusive!$V15/(1-defaultFit_Inclusive!$U15),2+POWER(defaultFit_Inclusive!I15/defaultFit_Inclusive!H15,2)))</f>
        <v>14.447313425560319</v>
      </c>
      <c r="J15" s="76">
        <f>SQRT(POWER(AA15,2)+POWER(fitSyst_Prompt!AF15/(PI()/8),2))</f>
        <v>0</v>
      </c>
      <c r="K15" s="97"/>
      <c r="L15" s="99"/>
      <c r="M15" s="99"/>
      <c r="N15" s="99"/>
      <c r="O15" s="34"/>
      <c r="P15" s="33"/>
      <c r="Q15" s="33"/>
      <c r="R15" s="33"/>
      <c r="X15" s="3"/>
      <c r="Y15" s="3"/>
      <c r="Z15" s="3"/>
      <c r="AA15" s="3"/>
    </row>
    <row r="16" spans="1:27">
      <c r="A16" s="123"/>
      <c r="B16" s="123"/>
      <c r="C16" s="116"/>
      <c r="D16" s="85" t="s">
        <v>49</v>
      </c>
      <c r="E16" s="97">
        <f xml:space="preserve"> (1-defaultFit_Inclusive!$U16)*defaultFit_Inclusive!E16</f>
        <v>247.87732079200001</v>
      </c>
      <c r="F16" s="97">
        <f xml:space="preserve"> E16*SQRT(POWER(defaultFit_Inclusive!$V16/(1-defaultFit_Inclusive!$U16),2+POWER(defaultFit_Inclusive!F16/defaultFit_Inclusive!E16,2)))</f>
        <v>6.9687483908654819</v>
      </c>
      <c r="G16" s="76" t="e">
        <f>SQRT(POWER(Z16,2)+POWER(fitSyst_Prompt!AE16/(PI()/8),2))</f>
        <v>#DIV/0!</v>
      </c>
      <c r="H16" s="97">
        <f xml:space="preserve"> (1-defaultFit_Inclusive!$U16)*defaultFit_Inclusive!H16</f>
        <v>286.41758134700001</v>
      </c>
      <c r="I16" s="97">
        <f xml:space="preserve"> H16*SQRT(POWER(defaultFit_Inclusive!$V16/(1-defaultFit_Inclusive!$U16),2+POWER(defaultFit_Inclusive!I16/defaultFit_Inclusive!H16,2)))</f>
        <v>8.0623128883999549</v>
      </c>
      <c r="J16" s="76" t="e">
        <f>SQRT(POWER(AA16,2)+POWER(fitSyst_Prompt!AF16/(PI()/8),2))</f>
        <v>#DIV/0!</v>
      </c>
      <c r="K16" s="97"/>
      <c r="L16" s="120">
        <v>0.12</v>
      </c>
      <c r="M16" s="120">
        <v>0.1</v>
      </c>
      <c r="N16" s="120">
        <v>0.13</v>
      </c>
      <c r="O16" s="120">
        <v>0.1</v>
      </c>
      <c r="P16" s="33"/>
      <c r="Q16" s="122">
        <f xml:space="preserve"> (L16/ep_CorrectionFactors!H20+N16/ep_CorrectionFactors!M20)/2</f>
        <v>0.16862055094911083</v>
      </c>
      <c r="R16" s="121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9.5385151372422872E-2</v>
      </c>
      <c r="X16" s="3">
        <f xml:space="preserve"> E16/($E$20*PI()/8)</f>
        <v>0.64531870383543921</v>
      </c>
      <c r="Y16" s="3">
        <f xml:space="preserve"> H16/($H$20*PI()/8)</f>
        <v>0.76073753673073641</v>
      </c>
      <c r="Z16" s="3">
        <f t="shared" si="2"/>
        <v>1.8142295812218386E-2</v>
      </c>
      <c r="AA16" s="3">
        <f t="shared" si="3"/>
        <v>2.1413853221682096E-2</v>
      </c>
    </row>
    <row r="17" spans="1:27">
      <c r="A17" s="123"/>
      <c r="B17" s="123"/>
      <c r="C17" s="116"/>
      <c r="D17" s="85" t="s">
        <v>50</v>
      </c>
      <c r="E17" s="97">
        <f xml:space="preserve"> (1-defaultFit_Inclusive!$U17)*defaultFit_Inclusive!E17</f>
        <v>271.60569565100002</v>
      </c>
      <c r="F17" s="97">
        <f xml:space="preserve"> E17*SQRT(POWER(defaultFit_Inclusive!$V17/(1-defaultFit_Inclusive!$U17),2+POWER(defaultFit_Inclusive!F17/defaultFit_Inclusive!E17,2)))</f>
        <v>7.8257466867292864</v>
      </c>
      <c r="G17" s="76" t="e">
        <f>SQRT(POWER(Z17,2)+POWER(fitSyst_Prompt!AE17/(PI()/8),2))</f>
        <v>#DIV/0!</v>
      </c>
      <c r="H17" s="97">
        <f xml:space="preserve"> (1-defaultFit_Inclusive!$U17)*defaultFit_Inclusive!H17</f>
        <v>242.96693847399999</v>
      </c>
      <c r="I17" s="97">
        <f xml:space="preserve"> H17*SQRT(POWER(defaultFit_Inclusive!$V17/(1-defaultFit_Inclusive!$U17),2+POWER(defaultFit_Inclusive!I17/defaultFit_Inclusive!H17,2)))</f>
        <v>6.9970759458813792</v>
      </c>
      <c r="J17" s="76" t="e">
        <f>SQRT(POWER(AA17,2)+POWER(fitSyst_Prompt!AF17/(PI()/8),2))</f>
        <v>#DIV/0!</v>
      </c>
      <c r="K17" s="97"/>
      <c r="L17" s="120"/>
      <c r="M17" s="120"/>
      <c r="N17" s="120"/>
      <c r="O17" s="120"/>
      <c r="P17" s="33"/>
      <c r="Q17" s="122"/>
      <c r="R17" s="121"/>
      <c r="X17" s="3">
        <f t="shared" ref="X17:X19" si="4" xml:space="preserve"> E17/($E$20*PI()/8)</f>
        <v>0.70709266548391247</v>
      </c>
      <c r="Y17" s="3">
        <f t="shared" ref="Y17:Y19" si="5" xml:space="preserve"> H17/($H$20*PI()/8)</f>
        <v>0.64533074196234264</v>
      </c>
      <c r="Z17" s="3">
        <f t="shared" si="2"/>
        <v>2.0373387497851368E-2</v>
      </c>
      <c r="AA17" s="3">
        <f t="shared" si="3"/>
        <v>1.8584537633319562E-2</v>
      </c>
    </row>
    <row r="18" spans="1:27">
      <c r="A18" s="123"/>
      <c r="B18" s="123"/>
      <c r="C18" s="116"/>
      <c r="D18" s="84" t="s">
        <v>52</v>
      </c>
      <c r="E18" s="97">
        <f xml:space="preserve"> (1-defaultFit_Inclusive!$U18)*defaultFit_Inclusive!E18</f>
        <v>236.55117027599999</v>
      </c>
      <c r="F18" s="97">
        <f xml:space="preserve"> E18*SQRT(POWER(defaultFit_Inclusive!$V18/(1-defaultFit_Inclusive!$U18),2+POWER(defaultFit_Inclusive!F18/defaultFit_Inclusive!E18,2)))</f>
        <v>6.8723363915663516</v>
      </c>
      <c r="G18" s="76" t="e">
        <f>SQRT(POWER(Z18,2)+POWER(fitSyst_Prompt!AE18/(PI()/8),2))</f>
        <v>#DIV/0!</v>
      </c>
      <c r="H18" s="97">
        <f xml:space="preserve"> (1-defaultFit_Inclusive!$U18)*defaultFit_Inclusive!H18</f>
        <v>222.57967402800003</v>
      </c>
      <c r="I18" s="97">
        <f xml:space="preserve"> H18*SQRT(POWER(defaultFit_Inclusive!$V18/(1-defaultFit_Inclusive!$U18),2+POWER(defaultFit_Inclusive!I18/defaultFit_Inclusive!H18,2)))</f>
        <v>6.4647965482444256</v>
      </c>
      <c r="J18" s="76" t="e">
        <f>SQRT(POWER(AA18,2)+POWER(fitSyst_Prompt!AF18/(PI()/8),2))</f>
        <v>#DIV/0!</v>
      </c>
      <c r="K18" s="97"/>
      <c r="L18" s="120"/>
      <c r="M18" s="120"/>
      <c r="N18" s="120"/>
      <c r="O18" s="120"/>
      <c r="P18" s="33"/>
      <c r="Q18" s="122"/>
      <c r="R18" s="121"/>
      <c r="X18" s="3">
        <f t="shared" si="4"/>
        <v>0.61583243721339764</v>
      </c>
      <c r="Y18" s="3">
        <f t="shared" si="5"/>
        <v>0.59118128206400533</v>
      </c>
      <c r="Z18" s="3">
        <f t="shared" si="2"/>
        <v>1.7891298801991275E-2</v>
      </c>
      <c r="AA18" s="3">
        <f t="shared" si="3"/>
        <v>1.7170780433407019E-2</v>
      </c>
    </row>
    <row r="19" spans="1:27">
      <c r="A19" s="123"/>
      <c r="B19" s="123"/>
      <c r="C19" s="116"/>
      <c r="D19" s="84" t="s">
        <v>53</v>
      </c>
      <c r="E19" s="97">
        <f xml:space="preserve"> (1-defaultFit_Inclusive!$U19)*defaultFit_Inclusive!E19</f>
        <v>222.10949701300001</v>
      </c>
      <c r="F19" s="97">
        <f xml:space="preserve"> E19*SQRT(POWER(defaultFit_Inclusive!$V19/(1-defaultFit_Inclusive!$U19),2+POWER(defaultFit_Inclusive!F19/defaultFit_Inclusive!E19,2)))</f>
        <v>7.4956846956749272</v>
      </c>
      <c r="G19" s="76" t="e">
        <f>SQRT(POWER(Z19,2)+POWER(fitSyst_Prompt!AE19/(PI()/8),2))</f>
        <v>#DIV/0!</v>
      </c>
      <c r="H19" s="97">
        <f xml:space="preserve"> (1-defaultFit_Inclusive!$U19)*defaultFit_Inclusive!H19</f>
        <v>206.78484447400001</v>
      </c>
      <c r="I19" s="97">
        <f xml:space="preserve"> H19*SQRT(POWER(defaultFit_Inclusive!$V19/(1-defaultFit_Inclusive!$U19),2+POWER(defaultFit_Inclusive!I19/defaultFit_Inclusive!H19,2)))</f>
        <v>6.9757083596212048</v>
      </c>
      <c r="J19" s="76" t="e">
        <f>SQRT(POWER(AA19,2)+POWER(fitSyst_Prompt!AF19/(PI()/8),2))</f>
        <v>#DIV/0!</v>
      </c>
      <c r="K19" s="97"/>
      <c r="L19" s="120"/>
      <c r="M19" s="120"/>
      <c r="N19" s="120"/>
      <c r="O19" s="120"/>
      <c r="P19" s="33"/>
      <c r="Q19" s="122"/>
      <c r="R19" s="121"/>
      <c r="X19" s="3">
        <f t="shared" si="4"/>
        <v>0.57823528293757642</v>
      </c>
      <c r="Y19" s="3">
        <f t="shared" si="5"/>
        <v>0.54922952871324104</v>
      </c>
      <c r="Z19" s="3">
        <f t="shared" si="2"/>
        <v>1.9514110918727484E-2</v>
      </c>
      <c r="AA19" s="3">
        <f t="shared" si="3"/>
        <v>1.8527784396102066E-2</v>
      </c>
    </row>
    <row r="20" spans="1:27">
      <c r="A20" s="123"/>
      <c r="B20" s="123"/>
      <c r="C20" s="116"/>
      <c r="D20" s="80"/>
      <c r="E20" s="94">
        <f xml:space="preserve"> SUM(E16:E19)</f>
        <v>978.143683732</v>
      </c>
      <c r="F20" s="94"/>
      <c r="G20" s="76">
        <f>SQRT(POWER(Z20,2)+POWER(fitSyst_Prompt!AE20/(PI()/8),2))</f>
        <v>0</v>
      </c>
      <c r="H20" s="94">
        <f xml:space="preserve"> SUM(H16:H19)</f>
        <v>958.74903832300004</v>
      </c>
      <c r="I20" s="94"/>
      <c r="J20" s="76">
        <f>SQRT(POWER(AA20,2)+POWER(fitSyst_Prompt!AF20/(PI()/8),2))</f>
        <v>0</v>
      </c>
      <c r="K20" s="94"/>
      <c r="L20" s="96"/>
      <c r="M20" s="96"/>
      <c r="N20" s="96"/>
      <c r="O20" s="80"/>
      <c r="P20" s="72"/>
      <c r="Q20" s="72"/>
      <c r="R20" s="72"/>
      <c r="X20" s="3"/>
      <c r="Y20" s="3"/>
      <c r="Z20" s="3"/>
      <c r="AA20" s="3"/>
    </row>
    <row r="21" spans="1:27">
      <c r="A21" s="123"/>
      <c r="B21" s="123"/>
      <c r="C21" s="125" t="s">
        <v>56</v>
      </c>
      <c r="D21" s="26" t="s">
        <v>51</v>
      </c>
      <c r="E21" s="97">
        <f xml:space="preserve"> (1-defaultFit_Inclusive!$U21)*defaultFit_Inclusive!E21</f>
        <v>921.58582142</v>
      </c>
      <c r="F21" s="97">
        <f xml:space="preserve"> E21*SQRT(POWER(defaultFit_Inclusive!$V21/(1-defaultFit_Inclusive!$U21),2+POWER(defaultFit_Inclusive!F21/defaultFit_Inclusive!E21,2)))</f>
        <v>16.035208278985277</v>
      </c>
      <c r="G21" s="76">
        <f>SQRT(POWER(Z21,2)+POWER(fitSyst_Prompt!AE21/(PI()/8),2))</f>
        <v>0</v>
      </c>
      <c r="H21" s="97">
        <f xml:space="preserve"> (1-defaultFit_Inclusive!$U21)*defaultFit_Inclusive!H21</f>
        <v>820.22294651000004</v>
      </c>
      <c r="I21" s="97">
        <f xml:space="preserve"> H21*SQRT(POWER(defaultFit_Inclusive!$V21/(1-defaultFit_Inclusive!$U21),2+POWER(defaultFit_Inclusive!I21/defaultFit_Inclusive!H21,2)))</f>
        <v>14.267902875380436</v>
      </c>
      <c r="J21" s="76">
        <f>SQRT(POWER(AA21,2)+POWER(fitSyst_Prompt!AF21/(PI()/8),2))</f>
        <v>0</v>
      </c>
      <c r="K21" s="34"/>
      <c r="L21" s="99"/>
      <c r="M21" s="99"/>
      <c r="N21" s="99"/>
      <c r="O21" s="34"/>
      <c r="P21" s="33"/>
      <c r="Q21" s="33"/>
      <c r="R21" s="33"/>
      <c r="X21" s="3"/>
      <c r="Y21" s="3"/>
      <c r="Z21" s="3"/>
      <c r="AA21" s="3"/>
    </row>
    <row r="22" spans="1:27">
      <c r="A22" s="123"/>
      <c r="B22" s="123"/>
      <c r="C22" s="125"/>
      <c r="D22" s="85" t="s">
        <v>49</v>
      </c>
      <c r="E22" s="97">
        <f xml:space="preserve"> (1-defaultFit_Inclusive!$U22)*defaultFit_Inclusive!E22</f>
        <v>238.12367672400001</v>
      </c>
      <c r="F22" s="97">
        <f xml:space="preserve"> E22*SQRT(POWER(defaultFit_Inclusive!$V22/(1-defaultFit_Inclusive!$U22),2+POWER(defaultFit_Inclusive!F22/defaultFit_Inclusive!E22,2)))</f>
        <v>7.9860508893006399</v>
      </c>
      <c r="G22" s="76" t="e">
        <f>SQRT(POWER(Z22,2)+POWER(fitSyst_Prompt!AE22/(PI()/8),2))</f>
        <v>#DIV/0!</v>
      </c>
      <c r="H22" s="97">
        <f xml:space="preserve"> (1-defaultFit_Inclusive!$U22)*defaultFit_Inclusive!H22</f>
        <v>236.322583197</v>
      </c>
      <c r="I22" s="97">
        <f xml:space="preserve"> H22*SQRT(POWER(defaultFit_Inclusive!$V22/(1-defaultFit_Inclusive!$U22),2+POWER(defaultFit_Inclusive!I22/defaultFit_Inclusive!H22,2)))</f>
        <v>7.9293846016585219</v>
      </c>
      <c r="J22" s="76" t="e">
        <f>SQRT(POWER(AA22,2)+POWER(fitSyst_Prompt!AF22/(PI()/8),2))</f>
        <v>#DIV/0!</v>
      </c>
      <c r="K22" s="34"/>
      <c r="L22" s="120">
        <v>0.12</v>
      </c>
      <c r="M22" s="120">
        <v>0.1</v>
      </c>
      <c r="N22" s="120">
        <v>0.13</v>
      </c>
      <c r="O22" s="34"/>
      <c r="P22" s="33"/>
      <c r="Q22" s="122">
        <f xml:space="preserve"> (L22/ep_CorrectionFactors!H22+N22/ep_CorrectionFactors!M22)/2</f>
        <v>0.15317349039118067</v>
      </c>
      <c r="R22" s="121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6.1308053467726518E-2</v>
      </c>
      <c r="X22" s="3">
        <f xml:space="preserve"> E22/($E$26*PI()/8)</f>
        <v>0.65665090394298875</v>
      </c>
      <c r="Y22" s="3">
        <f xml:space="preserve"> H22/($H$26*PI()/8)</f>
        <v>0.73192689242892994</v>
      </c>
      <c r="Z22" s="3">
        <f t="shared" si="2"/>
        <v>2.2022369247524043E-2</v>
      </c>
      <c r="AA22" s="3">
        <f t="shared" si="3"/>
        <v>2.455850707051431E-2</v>
      </c>
    </row>
    <row r="23" spans="1:27">
      <c r="A23" s="123"/>
      <c r="B23" s="123"/>
      <c r="C23" s="125"/>
      <c r="D23" s="85" t="s">
        <v>50</v>
      </c>
      <c r="E23" s="97">
        <f xml:space="preserve"> (1-defaultFit_Inclusive!$U23)*defaultFit_Inclusive!E23</f>
        <v>251.19973447800001</v>
      </c>
      <c r="F23" s="97">
        <f xml:space="preserve"> E23*SQRT(POWER(defaultFit_Inclusive!$V23/(1-defaultFit_Inclusive!$U23),2+POWER(defaultFit_Inclusive!F23/defaultFit_Inclusive!E23,2)))</f>
        <v>7.836316387887706</v>
      </c>
      <c r="G23" s="76" t="e">
        <f>SQRT(POWER(Z23,2)+POWER(fitSyst_Prompt!AE23/(PI()/8),2))</f>
        <v>#DIV/0!</v>
      </c>
      <c r="H23" s="97">
        <f xml:space="preserve"> (1-defaultFit_Inclusive!$U23)*defaultFit_Inclusive!H23</f>
        <v>202.60174042900002</v>
      </c>
      <c r="I23" s="97">
        <f xml:space="preserve"> H23*SQRT(POWER(defaultFit_Inclusive!$V23/(1-defaultFit_Inclusive!$U23),2+POWER(defaultFit_Inclusive!I23/defaultFit_Inclusive!H23,2)))</f>
        <v>6.3109568588266525</v>
      </c>
      <c r="J23" s="76" t="e">
        <f>SQRT(POWER(AA23,2)+POWER(fitSyst_Prompt!AF23/(PI()/8),2))</f>
        <v>#DIV/0!</v>
      </c>
      <c r="K23" s="34"/>
      <c r="L23" s="120"/>
      <c r="M23" s="120"/>
      <c r="N23" s="120"/>
      <c r="O23" s="34"/>
      <c r="P23" s="33"/>
      <c r="Q23" s="122"/>
      <c r="R23" s="121"/>
      <c r="X23" s="3">
        <f t="shared" ref="X23:X25" si="6" xml:space="preserve"> E23/($E$26*PI()/8)</f>
        <v>0.69270949862917353</v>
      </c>
      <c r="Y23" s="3">
        <f t="shared" ref="Y23:Y25" si="7" xml:space="preserve"> H23/($H$26*PI()/8)</f>
        <v>0.62748832662037834</v>
      </c>
      <c r="Z23" s="3">
        <f t="shared" si="2"/>
        <v>2.1609460724285427E-2</v>
      </c>
      <c r="AA23" s="3">
        <f t="shared" si="3"/>
        <v>1.954599082087501E-2</v>
      </c>
    </row>
    <row r="24" spans="1:27">
      <c r="A24" s="123"/>
      <c r="B24" s="123"/>
      <c r="C24" s="125"/>
      <c r="D24" s="84" t="s">
        <v>52</v>
      </c>
      <c r="E24" s="97">
        <f xml:space="preserve"> (1-defaultFit_Inclusive!$U24)*defaultFit_Inclusive!E24</f>
        <v>235.724497106</v>
      </c>
      <c r="F24" s="97">
        <f xml:space="preserve"> E24*SQRT(POWER(defaultFit_Inclusive!$V24/(1-defaultFit_Inclusive!$U24),2+POWER(defaultFit_Inclusive!F24/defaultFit_Inclusive!E24,2)))</f>
        <v>8.039514979672008</v>
      </c>
      <c r="G24" s="76" t="e">
        <f>SQRT(POWER(Z24,2)+POWER(fitSyst_Prompt!AE24/(PI()/8),2))</f>
        <v>#DIV/0!</v>
      </c>
      <c r="H24" s="97">
        <f xml:space="preserve"> (1-defaultFit_Inclusive!$U24)*defaultFit_Inclusive!H24</f>
        <v>189.43244048</v>
      </c>
      <c r="I24" s="97">
        <f xml:space="preserve"> H24*SQRT(POWER(defaultFit_Inclusive!$V24/(1-defaultFit_Inclusive!$U24),2+POWER(defaultFit_Inclusive!I24/defaultFit_Inclusive!H24,2)))</f>
        <v>6.4500629765998747</v>
      </c>
      <c r="J24" s="76" t="e">
        <f>SQRT(POWER(AA24,2)+POWER(fitSyst_Prompt!AF24/(PI()/8),2))</f>
        <v>#DIV/0!</v>
      </c>
      <c r="K24" s="34"/>
      <c r="L24" s="120"/>
      <c r="M24" s="120"/>
      <c r="N24" s="120"/>
      <c r="O24" s="34"/>
      <c r="P24" s="33"/>
      <c r="Q24" s="122"/>
      <c r="R24" s="121"/>
      <c r="X24" s="3">
        <f t="shared" si="6"/>
        <v>0.65003491561895776</v>
      </c>
      <c r="Y24" s="3">
        <f t="shared" si="7"/>
        <v>0.5867010067767181</v>
      </c>
      <c r="Z24" s="3">
        <f t="shared" si="2"/>
        <v>2.2169802059556168E-2</v>
      </c>
      <c r="AA24" s="3">
        <f t="shared" si="3"/>
        <v>1.997682357127167E-2</v>
      </c>
    </row>
    <row r="25" spans="1:27">
      <c r="A25" s="123"/>
      <c r="B25" s="123"/>
      <c r="C25" s="125"/>
      <c r="D25" s="84" t="s">
        <v>53</v>
      </c>
      <c r="E25" s="97">
        <f xml:space="preserve"> (1-defaultFit_Inclusive!$U25)*defaultFit_Inclusive!E25</f>
        <v>198.39095371799999</v>
      </c>
      <c r="F25" s="97">
        <f xml:space="preserve"> E25*SQRT(POWER(defaultFit_Inclusive!$V25/(1-defaultFit_Inclusive!$U25),2+POWER(defaultFit_Inclusive!F25/defaultFit_Inclusive!E25,2)))</f>
        <v>7.8018007546393493</v>
      </c>
      <c r="G25" s="76" t="e">
        <f>SQRT(POWER(Z25,2)+POWER(fitSyst_Prompt!AE25/(PI()/8),2))</f>
        <v>#DIV/0!</v>
      </c>
      <c r="H25" s="97">
        <f xml:space="preserve"> (1-defaultFit_Inclusive!$U25)*defaultFit_Inclusive!H25</f>
        <v>193.84354402000002</v>
      </c>
      <c r="I25" s="97">
        <f xml:space="preserve"> H25*SQRT(POWER(defaultFit_Inclusive!$V25/(1-defaultFit_Inclusive!$U25),2+POWER(defaultFit_Inclusive!I25/defaultFit_Inclusive!H25,2)))</f>
        <v>7.6242033042569677</v>
      </c>
      <c r="J25" s="76" t="e">
        <f>SQRT(POWER(AA25,2)+POWER(fitSyst_Prompt!AF25/(PI()/8),2))</f>
        <v>#DIV/0!</v>
      </c>
      <c r="K25" s="34"/>
      <c r="L25" s="120"/>
      <c r="M25" s="120"/>
      <c r="N25" s="120"/>
      <c r="O25" s="34"/>
      <c r="P25" s="33"/>
      <c r="Q25" s="122"/>
      <c r="R25" s="121"/>
      <c r="X25" s="3">
        <f t="shared" si="6"/>
        <v>0.54708377127920571</v>
      </c>
      <c r="Y25" s="3">
        <f t="shared" si="7"/>
        <v>0.60036286364429936</v>
      </c>
      <c r="Z25" s="3">
        <f t="shared" si="2"/>
        <v>2.1514280261407861E-2</v>
      </c>
      <c r="AA25" s="3">
        <f t="shared" si="3"/>
        <v>2.361331429370573E-2</v>
      </c>
    </row>
    <row r="26" spans="1:27">
      <c r="A26" s="123"/>
      <c r="B26" s="123"/>
      <c r="C26" s="125"/>
      <c r="D26" s="80"/>
      <c r="E26" s="94">
        <f xml:space="preserve"> SUM(E22:E25)</f>
        <v>923.43886202599992</v>
      </c>
      <c r="F26" s="94"/>
      <c r="G26" s="76">
        <f>SQRT(POWER(Z26,2)+POWER(fitSyst_Prompt!AE26/(PI()/8),2))</f>
        <v>0</v>
      </c>
      <c r="H26" s="94">
        <f xml:space="preserve"> SUM(H22:H25)</f>
        <v>822.20030812599998</v>
      </c>
      <c r="I26" s="94"/>
      <c r="J26" s="76">
        <f>SQRT(POWER(AA26,2)+POWER(fitSyst_Prompt!AF26/(PI()/8),2))</f>
        <v>0</v>
      </c>
      <c r="K26" s="80"/>
      <c r="L26" s="96"/>
      <c r="M26" s="96"/>
      <c r="N26" s="96"/>
      <c r="O26" s="80"/>
      <c r="P26" s="72"/>
      <c r="Q26" s="72"/>
      <c r="R26" s="72"/>
      <c r="X26" s="3"/>
      <c r="Y26" s="3"/>
      <c r="Z26" s="3"/>
      <c r="AA26" s="3"/>
    </row>
    <row r="27" spans="1:27">
      <c r="A27" s="123"/>
      <c r="B27" s="123"/>
      <c r="C27" s="116" t="s">
        <v>57</v>
      </c>
      <c r="D27" s="26" t="s">
        <v>51</v>
      </c>
      <c r="E27" s="97">
        <f xml:space="preserve"> (1-defaultFit_Inclusive!$U27)*defaultFit_Inclusive!E27</f>
        <v>688.55879677000007</v>
      </c>
      <c r="F27" s="97">
        <f xml:space="preserve"> E27*SQRT(POWER(defaultFit_Inclusive!$V27/(1-defaultFit_Inclusive!$U27),2+POWER(defaultFit_Inclusive!F27/defaultFit_Inclusive!E27,2)))</f>
        <v>12.733981083793289</v>
      </c>
      <c r="G27" s="76">
        <f>SQRT(POWER(Z27,2)+POWER(fitSyst_Prompt!AE27/(PI()/8),2))</f>
        <v>0</v>
      </c>
      <c r="H27" s="97">
        <f xml:space="preserve"> (1-defaultFit_Inclusive!$U27)*defaultFit_Inclusive!H27</f>
        <v>668.12473933000001</v>
      </c>
      <c r="I27" s="97">
        <f xml:space="preserve"> H27*SQRT(POWER(defaultFit_Inclusive!$V27/(1-defaultFit_Inclusive!$U27),2+POWER(defaultFit_Inclusive!I27/defaultFit_Inclusive!H27,2)))</f>
        <v>12.3561272348697</v>
      </c>
      <c r="J27" s="76">
        <f>SQRT(POWER(AA27,2)+POWER(fitSyst_Prompt!AF27/(PI()/8),2))</f>
        <v>0</v>
      </c>
      <c r="K27" s="34"/>
      <c r="L27" s="99"/>
      <c r="M27" s="99"/>
      <c r="N27" s="99"/>
      <c r="O27" s="34"/>
      <c r="P27" s="33"/>
      <c r="Q27" s="33"/>
      <c r="R27" s="33"/>
      <c r="X27" s="3"/>
      <c r="Y27" s="3"/>
      <c r="Z27" s="3"/>
      <c r="AA27" s="3"/>
    </row>
    <row r="28" spans="1:27">
      <c r="A28" s="123"/>
      <c r="B28" s="123"/>
      <c r="C28" s="116"/>
      <c r="D28" s="85" t="s">
        <v>49</v>
      </c>
      <c r="E28" s="97">
        <f xml:space="preserve"> (1-defaultFit_Inclusive!$U28)*defaultFit_Inclusive!E28</f>
        <v>223.65660023699999</v>
      </c>
      <c r="F28" s="97">
        <f xml:space="preserve"> E28*SQRT(POWER(defaultFit_Inclusive!$V28/(1-defaultFit_Inclusive!$U28),2+POWER(defaultFit_Inclusive!F28/defaultFit_Inclusive!E28,2)))</f>
        <v>6.4789044172658565</v>
      </c>
      <c r="G28" s="76" t="e">
        <f>SQRT(POWER(Z28,2)+POWER(fitSyst_Prompt!AE28/(PI()/8),2))</f>
        <v>#DIV/0!</v>
      </c>
      <c r="H28" s="97">
        <f xml:space="preserve"> (1-defaultFit_Inclusive!$U28)*defaultFit_Inclusive!H28</f>
        <v>202.261446291</v>
      </c>
      <c r="I28" s="97">
        <f xml:space="preserve"> H28*SQRT(POWER(defaultFit_Inclusive!$V28/(1-defaultFit_Inclusive!$U28),2+POWER(defaultFit_Inclusive!I28/defaultFit_Inclusive!H28,2)))</f>
        <v>5.8554408124311568</v>
      </c>
      <c r="J28" s="76" t="e">
        <f>SQRT(POWER(AA28,2)+POWER(fitSyst_Prompt!AF28/(PI()/8),2))</f>
        <v>#DIV/0!</v>
      </c>
      <c r="K28" s="34"/>
      <c r="L28" s="120">
        <v>0.12</v>
      </c>
      <c r="M28" s="100"/>
      <c r="N28" s="120">
        <v>0.13</v>
      </c>
      <c r="O28" s="34"/>
      <c r="P28" s="33"/>
      <c r="Q28" s="122">
        <f xml:space="preserve"> (L28/ep_CorrectionFactors!H23+N28/ep_CorrectionFactors!M23)/2</f>
        <v>0.14907525759388524</v>
      </c>
      <c r="R28" s="121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1.8064506759545547E-4</v>
      </c>
      <c r="X28" s="3">
        <f xml:space="preserve"> E28/($E$32*PI()/8)</f>
        <v>0.8234328531533579</v>
      </c>
      <c r="Y28" s="3">
        <f xml:space="preserve"> H28/($H$32*PI()/8)</f>
        <v>0.76647111044495309</v>
      </c>
      <c r="Z28" s="3">
        <f t="shared" si="2"/>
        <v>2.3853276603345894E-2</v>
      </c>
      <c r="AA28" s="3">
        <f t="shared" si="3"/>
        <v>2.2189232322564038E-2</v>
      </c>
    </row>
    <row r="29" spans="1:27">
      <c r="A29" s="123"/>
      <c r="B29" s="123"/>
      <c r="C29" s="116"/>
      <c r="D29" s="85" t="s">
        <v>50</v>
      </c>
      <c r="E29" s="97">
        <f xml:space="preserve"> (1-defaultFit_Inclusive!$U29)*defaultFit_Inclusive!E29</f>
        <v>156.64362002200002</v>
      </c>
      <c r="F29" s="97">
        <f xml:space="preserve"> E29*SQRT(POWER(defaultFit_Inclusive!$V29/(1-defaultFit_Inclusive!$U29),2+POWER(defaultFit_Inclusive!F29/defaultFit_Inclusive!E29,2)))</f>
        <v>5.9668076452801708</v>
      </c>
      <c r="G29" s="76" t="e">
        <f>SQRT(POWER(Z29,2)+POWER(fitSyst_Prompt!AE29/(PI()/8),2))</f>
        <v>#DIV/0!</v>
      </c>
      <c r="H29" s="97">
        <f xml:space="preserve"> (1-defaultFit_Inclusive!$U29)*defaultFit_Inclusive!H29</f>
        <v>176.099002754</v>
      </c>
      <c r="I29" s="97">
        <f xml:space="preserve"> H29*SQRT(POWER(defaultFit_Inclusive!$V29/(1-defaultFit_Inclusive!$U29),2+POWER(defaultFit_Inclusive!I29/defaultFit_Inclusive!H29,2)))</f>
        <v>6.7196671286283998</v>
      </c>
      <c r="J29" s="76" t="e">
        <f>SQRT(POWER(AA29,2)+POWER(fitSyst_Prompt!AF29/(PI()/8),2))</f>
        <v>#DIV/0!</v>
      </c>
      <c r="K29" s="34"/>
      <c r="L29" s="120"/>
      <c r="M29" s="100"/>
      <c r="N29" s="120"/>
      <c r="O29" s="34"/>
      <c r="P29" s="33"/>
      <c r="Q29" s="122"/>
      <c r="R29" s="121"/>
      <c r="X29" s="3">
        <f t="shared" ref="X29:X31" si="8" xml:space="preserve"> E29/($E$32*PI()/8)</f>
        <v>0.57671225810597648</v>
      </c>
      <c r="Y29" s="3">
        <f t="shared" ref="Y29:Y31" si="9" xml:space="preserve"> H29/($H$32*PI()/8)</f>
        <v>0.66732835478153696</v>
      </c>
      <c r="Z29" s="3">
        <f t="shared" si="2"/>
        <v>2.1967898279612263E-2</v>
      </c>
      <c r="AA29" s="3">
        <f t="shared" si="3"/>
        <v>2.5464223757651616E-2</v>
      </c>
    </row>
    <row r="30" spans="1:27">
      <c r="A30" s="123"/>
      <c r="B30" s="123"/>
      <c r="C30" s="116"/>
      <c r="D30" s="84" t="s">
        <v>52</v>
      </c>
      <c r="E30" s="97">
        <f xml:space="preserve"> (1-defaultFit_Inclusive!$U30)*defaultFit_Inclusive!E30</f>
        <v>152.045234792</v>
      </c>
      <c r="F30" s="97">
        <f xml:space="preserve"> E30*SQRT(POWER(defaultFit_Inclusive!$V30/(1-defaultFit_Inclusive!$U30),2+POWER(defaultFit_Inclusive!F30/defaultFit_Inclusive!E30,2)))</f>
        <v>6.3131880539841099</v>
      </c>
      <c r="G30" s="76" t="e">
        <f>SQRT(POWER(Z30,2)+POWER(fitSyst_Prompt!AE30/(PI()/8),2))</f>
        <v>#DIV/0!</v>
      </c>
      <c r="H30" s="97">
        <f xml:space="preserve"> (1-defaultFit_Inclusive!$U30)*defaultFit_Inclusive!H30</f>
        <v>140.974068136</v>
      </c>
      <c r="I30" s="97">
        <f xml:space="preserve"> H30*SQRT(POWER(defaultFit_Inclusive!$V30/(1-defaultFit_Inclusive!$U30),2+POWER(defaultFit_Inclusive!I30/defaultFit_Inclusive!H30,2)))</f>
        <v>5.8512280766129265</v>
      </c>
      <c r="J30" s="76" t="e">
        <f>SQRT(POWER(AA30,2)+POWER(fitSyst_Prompt!AF30/(PI()/8),2))</f>
        <v>#DIV/0!</v>
      </c>
      <c r="K30" s="34"/>
      <c r="L30" s="120"/>
      <c r="M30" s="100"/>
      <c r="N30" s="120"/>
      <c r="O30" s="34"/>
      <c r="P30" s="33"/>
      <c r="Q30" s="122"/>
      <c r="R30" s="121"/>
      <c r="X30" s="3">
        <f t="shared" si="8"/>
        <v>0.5597824582886457</v>
      </c>
      <c r="Y30" s="3">
        <f t="shared" si="9"/>
        <v>0.53422217891532198</v>
      </c>
      <c r="Z30" s="3">
        <f t="shared" si="2"/>
        <v>2.3243161374523272E-2</v>
      </c>
      <c r="AA30" s="3">
        <f t="shared" si="3"/>
        <v>2.2173268131860262E-2</v>
      </c>
    </row>
    <row r="31" spans="1:27">
      <c r="A31" s="123"/>
      <c r="B31" s="123"/>
      <c r="C31" s="116"/>
      <c r="D31" s="84" t="s">
        <v>53</v>
      </c>
      <c r="E31" s="97">
        <f xml:space="preserve"> (1-defaultFit_Inclusive!$U31)*defaultFit_Inclusive!E31</f>
        <v>159.316109756</v>
      </c>
      <c r="F31" s="97">
        <f xml:space="preserve"> E31*SQRT(POWER(defaultFit_Inclusive!$V31/(1-defaultFit_Inclusive!$U31),2+POWER(defaultFit_Inclusive!F31/defaultFit_Inclusive!E31,2)))</f>
        <v>6.3230170727400496</v>
      </c>
      <c r="G31" s="76" t="e">
        <f>SQRT(POWER(Z31,2)+POWER(fitSyst_Prompt!AE31/(PI()/8),2))</f>
        <v>#DIV/0!</v>
      </c>
      <c r="H31" s="97">
        <f xml:space="preserve"> (1-defaultFit_Inclusive!$U31)*defaultFit_Inclusive!H31</f>
        <v>152.647161668</v>
      </c>
      <c r="I31" s="97">
        <f xml:space="preserve"> H31*SQRT(POWER(defaultFit_Inclusive!$V31/(1-defaultFit_Inclusive!$U31),2+POWER(defaultFit_Inclusive!I31/defaultFit_Inclusive!H31,2)))</f>
        <v>6.0567407189403193</v>
      </c>
      <c r="J31" s="76" t="e">
        <f>SQRT(POWER(AA31,2)+POWER(fitSyst_Prompt!AF31/(PI()/8),2))</f>
        <v>#DIV/0!</v>
      </c>
      <c r="K31" s="34"/>
      <c r="L31" s="120"/>
      <c r="M31" s="100"/>
      <c r="N31" s="120"/>
      <c r="O31" s="34"/>
      <c r="P31" s="33"/>
      <c r="Q31" s="122"/>
      <c r="R31" s="121"/>
      <c r="X31" s="3">
        <f t="shared" si="8"/>
        <v>0.58655151992234478</v>
      </c>
      <c r="Y31" s="3">
        <f t="shared" si="9"/>
        <v>0.57845744532851362</v>
      </c>
      <c r="Z31" s="3">
        <f t="shared" si="2"/>
        <v>2.3279348712385534E-2</v>
      </c>
      <c r="AA31" s="3">
        <f t="shared" si="3"/>
        <v>2.2952059671541656E-2</v>
      </c>
    </row>
    <row r="32" spans="1:27">
      <c r="A32" s="123"/>
      <c r="B32" s="123"/>
      <c r="C32" s="116"/>
      <c r="D32" s="80"/>
      <c r="E32" s="94">
        <f xml:space="preserve"> SUM(E28:E31)</f>
        <v>691.6615648070001</v>
      </c>
      <c r="F32" s="94"/>
      <c r="G32" s="76">
        <f>SQRT(POWER(Z32,2)+POWER(fitSyst_Prompt!AE32/(PI()/8),2))</f>
        <v>0</v>
      </c>
      <c r="H32" s="94">
        <f xml:space="preserve"> SUM(H28:H31)</f>
        <v>671.98167884899999</v>
      </c>
      <c r="I32" s="94"/>
      <c r="J32" s="76">
        <f>SQRT(POWER(AA32,2)+POWER(fitSyst_Prompt!AF32/(PI()/8),2))</f>
        <v>0</v>
      </c>
      <c r="K32" s="80"/>
      <c r="L32" s="96"/>
      <c r="M32" s="96"/>
      <c r="N32" s="96"/>
      <c r="O32" s="80"/>
      <c r="P32" s="72"/>
      <c r="Q32" s="72"/>
      <c r="R32" s="72"/>
      <c r="X32" s="3"/>
      <c r="Y32" s="3"/>
      <c r="Z32" s="3"/>
      <c r="AA32" s="3"/>
    </row>
    <row r="33" spans="1:27">
      <c r="A33" s="117" t="s">
        <v>55</v>
      </c>
      <c r="B33" s="117" t="s">
        <v>37</v>
      </c>
      <c r="C33" s="118" t="s">
        <v>17</v>
      </c>
      <c r="D33" s="84" t="s">
        <v>51</v>
      </c>
      <c r="E33" s="101">
        <f xml:space="preserve"> (1-defaultFit_Inclusive!$U33)*defaultFit_Inclusive!E33</f>
        <v>905.68770786000005</v>
      </c>
      <c r="F33" s="101">
        <f xml:space="preserve"> E33*SQRT(POWER(defaultFit_Inclusive!$V33/(1-defaultFit_Inclusive!$U33),2+POWER(defaultFit_Inclusive!F33/defaultFit_Inclusive!E33,2)))</f>
        <v>14.068036557424977</v>
      </c>
      <c r="G33" s="76">
        <f>SQRT(POWER(Z33,2)+POWER(fitSyst_Prompt!AE33/(PI()/8),2))</f>
        <v>0</v>
      </c>
      <c r="H33" s="101">
        <f xml:space="preserve"> (1-defaultFit_Inclusive!$U33)*defaultFit_Inclusive!H33</f>
        <v>889.26214143000004</v>
      </c>
      <c r="I33" s="101">
        <f xml:space="preserve"> H33*SQRT(POWER(defaultFit_Inclusive!$V33/(1-defaultFit_Inclusive!$U33),2+POWER(defaultFit_Inclusive!I33/defaultFit_Inclusive!H33,2)))</f>
        <v>13.810391442178457</v>
      </c>
      <c r="J33" s="76">
        <f>SQRT(POWER(AA33,2)+POWER(fitSyst_Prompt!AF33/(PI()/8),2))</f>
        <v>0</v>
      </c>
      <c r="K33" s="35"/>
      <c r="L33" s="35"/>
      <c r="M33" s="35"/>
      <c r="N33" s="35"/>
      <c r="O33" s="35"/>
      <c r="P33" s="35"/>
      <c r="Q33" s="35"/>
      <c r="R33" s="35"/>
      <c r="X33" s="3"/>
      <c r="Y33" s="3"/>
      <c r="Z33" s="3"/>
      <c r="AA33" s="3"/>
    </row>
    <row r="34" spans="1:27">
      <c r="A34" s="117"/>
      <c r="B34" s="117"/>
      <c r="C34" s="118"/>
      <c r="D34" s="85" t="s">
        <v>49</v>
      </c>
      <c r="E34" s="101">
        <f xml:space="preserve"> (1-defaultFit_Inclusive!$U34)*defaultFit_Inclusive!E34</f>
        <v>259.85328900299999</v>
      </c>
      <c r="F34" s="101">
        <f xml:space="preserve"> E34*SQRT(POWER(defaultFit_Inclusive!$V34/(1-defaultFit_Inclusive!$U34),2+POWER(defaultFit_Inclusive!F34/defaultFit_Inclusive!E34,2)))</f>
        <v>6.9019836590848094</v>
      </c>
      <c r="G34" s="76" t="e">
        <f>SQRT(POWER(Z34,2)+POWER(fitSyst_Prompt!AE34/(PI()/8),2))</f>
        <v>#DIV/0!</v>
      </c>
      <c r="H34" s="101">
        <f xml:space="preserve"> (1-defaultFit_Inclusive!$U34)*defaultFit_Inclusive!H34</f>
        <v>264.48276348899998</v>
      </c>
      <c r="I34" s="101">
        <f xml:space="preserve"> H34*SQRT(POWER(defaultFit_Inclusive!$V34/(1-defaultFit_Inclusive!$U34),2+POWER(defaultFit_Inclusive!I34/defaultFit_Inclusive!H34,2)))</f>
        <v>7.0284719956233372</v>
      </c>
      <c r="J34" s="76" t="e">
        <f>SQRT(POWER(AA34,2)+POWER(fitSyst_Prompt!AF34/(PI()/8),2))</f>
        <v>#DIV/0!</v>
      </c>
      <c r="K34" s="101"/>
      <c r="L34" s="128">
        <v>0.12</v>
      </c>
      <c r="M34" s="128">
        <v>0.1</v>
      </c>
      <c r="N34" s="128">
        <v>0.13</v>
      </c>
      <c r="O34" s="129">
        <v>0.1</v>
      </c>
      <c r="P34" s="35"/>
      <c r="Q34" s="127">
        <f xml:space="preserve"> (L34/ep_CorrectionFactors!H18+N34/ep_CorrectionFactors!M18)/2</f>
        <v>0.15937823438380461</v>
      </c>
      <c r="R34" s="127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9.0156706149671542E-2</v>
      </c>
      <c r="X34" s="3">
        <f xml:space="preserve"> E34/($E$38*PI()/8)</f>
        <v>0.7367786444600527</v>
      </c>
      <c r="Y34" s="3">
        <f xml:space="preserve"> H34/($H$38*PI()/8)</f>
        <v>0.75802936769207896</v>
      </c>
      <c r="Z34" s="3">
        <f t="shared" si="2"/>
        <v>1.9569635558344737E-2</v>
      </c>
      <c r="AA34" s="3">
        <f t="shared" si="3"/>
        <v>2.0144179198677455E-2</v>
      </c>
    </row>
    <row r="35" spans="1:27">
      <c r="A35" s="117"/>
      <c r="B35" s="117"/>
      <c r="C35" s="118"/>
      <c r="D35" s="85" t="s">
        <v>50</v>
      </c>
      <c r="E35" s="101">
        <f xml:space="preserve"> (1-defaultFit_Inclusive!$U35)*defaultFit_Inclusive!E35</f>
        <v>223.72906472699998</v>
      </c>
      <c r="F35" s="101">
        <f xml:space="preserve"> E35*SQRT(POWER(defaultFit_Inclusive!$V35/(1-defaultFit_Inclusive!$U35),2+POWER(defaultFit_Inclusive!F35/defaultFit_Inclusive!E35,2)))</f>
        <v>6.4393774286333088</v>
      </c>
      <c r="G35" s="76" t="e">
        <f>SQRT(POWER(Z35,2)+POWER(fitSyst_Prompt!AE35/(PI()/8),2))</f>
        <v>#DIV/0!</v>
      </c>
      <c r="H35" s="101">
        <f xml:space="preserve"> (1-defaultFit_Inclusive!$U35)*defaultFit_Inclusive!H35</f>
        <v>237.23620943399999</v>
      </c>
      <c r="I35" s="101">
        <f xml:space="preserve"> H35*SQRT(POWER(defaultFit_Inclusive!$V35/(1-defaultFit_Inclusive!$U35),2+POWER(defaultFit_Inclusive!I35/defaultFit_Inclusive!H35,2)))</f>
        <v>6.8334494751285231</v>
      </c>
      <c r="J35" s="76" t="e">
        <f>SQRT(POWER(AA35,2)+POWER(fitSyst_Prompt!AF35/(PI()/8),2))</f>
        <v>#DIV/0!</v>
      </c>
      <c r="K35" s="101"/>
      <c r="L35" s="128"/>
      <c r="M35" s="128"/>
      <c r="N35" s="128"/>
      <c r="O35" s="129"/>
      <c r="P35" s="35"/>
      <c r="Q35" s="127"/>
      <c r="R35" s="127"/>
      <c r="X35" s="3">
        <f t="shared" ref="X35:X37" si="10" xml:space="preserve"> E35/($E$38*PI()/8)</f>
        <v>0.63435332170827896</v>
      </c>
      <c r="Y35" s="3">
        <f t="shared" ref="Y35:Y37" si="11" xml:space="preserve"> H35/($H$38*PI()/8)</f>
        <v>0.67993850131711875</v>
      </c>
      <c r="Z35" s="3">
        <f t="shared" si="2"/>
        <v>1.8257978535651077E-2</v>
      </c>
      <c r="AA35" s="3">
        <f t="shared" si="3"/>
        <v>1.9585228604142593E-2</v>
      </c>
    </row>
    <row r="36" spans="1:27">
      <c r="A36" s="117"/>
      <c r="B36" s="117"/>
      <c r="C36" s="118"/>
      <c r="D36" s="84" t="s">
        <v>52</v>
      </c>
      <c r="E36" s="101">
        <f xml:space="preserve"> (1-defaultFit_Inclusive!$U36)*defaultFit_Inclusive!E36</f>
        <v>221.9313798</v>
      </c>
      <c r="F36" s="101">
        <f xml:space="preserve"> E36*SQRT(POWER(defaultFit_Inclusive!$V36/(1-defaultFit_Inclusive!$U36),2+POWER(defaultFit_Inclusive!F36/defaultFit_Inclusive!E36,2)))</f>
        <v>7.1967506838308166</v>
      </c>
      <c r="G36" s="76" t="e">
        <f>SQRT(POWER(Z36,2)+POWER(fitSyst_Prompt!AE36/(PI()/8),2))</f>
        <v>#DIV/0!</v>
      </c>
      <c r="H36" s="101">
        <f xml:space="preserve"> (1-defaultFit_Inclusive!$U36)*defaultFit_Inclusive!H36</f>
        <v>194.50935458999999</v>
      </c>
      <c r="I36" s="101">
        <f xml:space="preserve"> H36*SQRT(POWER(defaultFit_Inclusive!$V36/(1-defaultFit_Inclusive!$U36),2+POWER(defaultFit_Inclusive!I36/defaultFit_Inclusive!H36,2)))</f>
        <v>6.2985299827607433</v>
      </c>
      <c r="J36" s="76" t="e">
        <f>SQRT(POWER(AA36,2)+POWER(fitSyst_Prompt!AF36/(PI()/8),2))</f>
        <v>#DIV/0!</v>
      </c>
      <c r="K36" s="101"/>
      <c r="L36" s="128"/>
      <c r="M36" s="128"/>
      <c r="N36" s="128"/>
      <c r="O36" s="129"/>
      <c r="P36" s="35"/>
      <c r="Q36" s="127"/>
      <c r="R36" s="127"/>
      <c r="X36" s="3">
        <f t="shared" si="10"/>
        <v>0.62925623069679659</v>
      </c>
      <c r="Y36" s="3">
        <f t="shared" si="11"/>
        <v>0.55747981881694286</v>
      </c>
      <c r="Z36" s="3">
        <f t="shared" si="2"/>
        <v>2.0405407350024385E-2</v>
      </c>
      <c r="AA36" s="3">
        <f t="shared" si="3"/>
        <v>1.8052105313926443E-2</v>
      </c>
    </row>
    <row r="37" spans="1:27">
      <c r="A37" s="117"/>
      <c r="B37" s="117"/>
      <c r="C37" s="118"/>
      <c r="D37" s="84" t="s">
        <v>53</v>
      </c>
      <c r="E37" s="101">
        <f xml:space="preserve"> (1-defaultFit_Inclusive!$U37)*defaultFit_Inclusive!E37</f>
        <v>192.59992890000001</v>
      </c>
      <c r="F37" s="101">
        <f xml:space="preserve"> E37*SQRT(POWER(defaultFit_Inclusive!$V37/(1-defaultFit_Inclusive!$U37),2+POWER(defaultFit_Inclusive!F37/defaultFit_Inclusive!E37,2)))</f>
        <v>7.2159131986971392</v>
      </c>
      <c r="G37" s="76" t="e">
        <f>SQRT(POWER(Z37,2)+POWER(fitSyst_Prompt!AE37/(PI()/8),2))</f>
        <v>#DIV/0!</v>
      </c>
      <c r="H37" s="101">
        <f xml:space="preserve"> (1-defaultFit_Inclusive!$U37)*defaultFit_Inclusive!H37</f>
        <v>192.25944809999999</v>
      </c>
      <c r="I37" s="101">
        <f xml:space="preserve"> H37*SQRT(POWER(defaultFit_Inclusive!$V37/(1-defaultFit_Inclusive!$U37),2+POWER(defaultFit_Inclusive!I37/defaultFit_Inclusive!H37,2)))</f>
        <v>7.2049280774745066</v>
      </c>
      <c r="J37" s="76" t="e">
        <f>SQRT(POWER(AA37,2)+POWER(fitSyst_Prompt!AF37/(PI()/8),2))</f>
        <v>#DIV/0!</v>
      </c>
      <c r="K37" s="101"/>
      <c r="L37" s="128"/>
      <c r="M37" s="128"/>
      <c r="N37" s="128"/>
      <c r="O37" s="129"/>
      <c r="P37" s="35"/>
      <c r="Q37" s="127"/>
      <c r="R37" s="127"/>
      <c r="X37" s="3">
        <f t="shared" si="10"/>
        <v>0.54609089260519716</v>
      </c>
      <c r="Y37" s="3">
        <f t="shared" si="11"/>
        <v>0.55103140164418474</v>
      </c>
      <c r="Z37" s="3">
        <f t="shared" si="2"/>
        <v>2.0459740053611952E-2</v>
      </c>
      <c r="AA37" s="3">
        <f t="shared" si="3"/>
        <v>2.0649916851999527E-2</v>
      </c>
    </row>
    <row r="38" spans="1:27">
      <c r="A38" s="117"/>
      <c r="B38" s="117"/>
      <c r="C38" s="118"/>
      <c r="D38" s="80"/>
      <c r="E38" s="94">
        <f xml:space="preserve"> SUM(E34:E37)</f>
        <v>898.11366242999998</v>
      </c>
      <c r="F38" s="94"/>
      <c r="G38" s="76">
        <f>SQRT(POWER(Z38,2)+POWER(fitSyst_Prompt!AE38/(PI()/8),2))</f>
        <v>0</v>
      </c>
      <c r="H38" s="94">
        <f xml:space="preserve"> SUM(H34:H37)</f>
        <v>888.48777561299994</v>
      </c>
      <c r="I38" s="94"/>
      <c r="J38" s="76">
        <f>SQRT(POWER(AA38,2)+POWER(fitSyst_Prompt!AF38/(PI()/8),2))</f>
        <v>0</v>
      </c>
      <c r="K38" s="94"/>
      <c r="L38" s="95"/>
      <c r="M38" s="95"/>
      <c r="N38" s="95"/>
      <c r="O38" s="80"/>
      <c r="P38" s="72"/>
      <c r="Q38" s="91"/>
      <c r="R38" s="72"/>
      <c r="X38" s="3"/>
      <c r="Y38" s="3"/>
      <c r="Z38" s="3"/>
      <c r="AA38" s="3"/>
    </row>
    <row r="39" spans="1:27">
      <c r="A39" s="117"/>
      <c r="B39" s="117" t="s">
        <v>76</v>
      </c>
      <c r="C39" s="118"/>
      <c r="D39" s="84" t="s">
        <v>51</v>
      </c>
      <c r="E39" s="101">
        <f xml:space="preserve"> (1-defaultFit_Inclusive!$U39)*defaultFit_Inclusive!E39</f>
        <v>854.57373999999993</v>
      </c>
      <c r="F39" s="101">
        <f xml:space="preserve"> E39*SQRT(POWER(defaultFit_Inclusive!$V39/(1-defaultFit_Inclusive!$U39),2+POWER(defaultFit_Inclusive!F39/defaultFit_Inclusive!E39,2)))</f>
        <v>14.707747843911401</v>
      </c>
      <c r="G39" s="76">
        <f>SQRT(POWER(Z39,2)+POWER(fitSyst_Prompt!AE39/(PI()/8),2))</f>
        <v>0</v>
      </c>
      <c r="H39" s="101">
        <f xml:space="preserve"> (1-defaultFit_Inclusive!$U39)*defaultFit_Inclusive!H39</f>
        <v>770.75046264000002</v>
      </c>
      <c r="I39" s="101">
        <f xml:space="preserve"> H39*SQRT(POWER(defaultFit_Inclusive!$V39/(1-defaultFit_Inclusive!$U39),2+POWER(defaultFit_Inclusive!I39/defaultFit_Inclusive!H39,2)))</f>
        <v>13.264367565001493</v>
      </c>
      <c r="J39" s="76">
        <f>SQRT(POWER(AA39,2)+POWER(fitSyst_Prompt!AF39/(PI()/8),2))</f>
        <v>0</v>
      </c>
      <c r="K39" s="35"/>
      <c r="L39" s="35"/>
      <c r="M39" s="35"/>
      <c r="N39" s="35"/>
      <c r="O39" s="35"/>
      <c r="P39" s="35"/>
      <c r="Q39" s="35"/>
      <c r="R39" s="35"/>
      <c r="X39" s="3"/>
      <c r="Y39" s="3"/>
      <c r="Z39" s="3"/>
      <c r="AA39" s="3"/>
    </row>
    <row r="40" spans="1:27">
      <c r="A40" s="117"/>
      <c r="B40" s="117"/>
      <c r="C40" s="118"/>
      <c r="D40" s="85" t="s">
        <v>49</v>
      </c>
      <c r="E40" s="101">
        <f xml:space="preserve"> (1-defaultFit_Inclusive!$U40)*defaultFit_Inclusive!E40</f>
        <v>250.59083486200001</v>
      </c>
      <c r="F40" s="101">
        <f xml:space="preserve"> E40*SQRT(POWER(defaultFit_Inclusive!$V40/(1-defaultFit_Inclusive!$U40),2+POWER(defaultFit_Inclusive!F40/defaultFit_Inclusive!E40,2)))</f>
        <v>7.4804661067311375</v>
      </c>
      <c r="G40" s="76" t="e">
        <f>SQRT(POWER(Z40,2)+POWER(fitSyst_Prompt!AE40/(PI()/8),2))</f>
        <v>#DIV/0!</v>
      </c>
      <c r="H40" s="101">
        <f xml:space="preserve"> (1-defaultFit_Inclusive!$U40)*defaultFit_Inclusive!H40</f>
        <v>231.14256364699997</v>
      </c>
      <c r="I40" s="101">
        <f xml:space="preserve"> H40*SQRT(POWER(defaultFit_Inclusive!$V40/(1-defaultFit_Inclusive!$U40),2+POWER(defaultFit_Inclusive!I40/defaultFit_Inclusive!H40,2)))</f>
        <v>6.899280230954532</v>
      </c>
      <c r="J40" s="76" t="e">
        <f>SQRT(POWER(AA40,2)+POWER(fitSyst_Prompt!AF40/(PI()/8),2))</f>
        <v>#DIV/0!</v>
      </c>
      <c r="K40" s="101"/>
      <c r="L40" s="128">
        <v>0.12</v>
      </c>
      <c r="M40" s="128">
        <v>0.1</v>
      </c>
      <c r="N40" s="128">
        <v>0.13</v>
      </c>
      <c r="O40" s="129">
        <v>0.1</v>
      </c>
      <c r="P40" s="35"/>
      <c r="Q40" s="127">
        <f xml:space="preserve"> (L40/ep_CorrectionFactors!H18+N40/ep_CorrectionFactors!M18)/2</f>
        <v>0.15937823438380461</v>
      </c>
      <c r="R40" s="127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9.0156706149671542E-2</v>
      </c>
      <c r="X40" s="3">
        <f xml:space="preserve"> E40/($E$44*PI()/8)</f>
        <v>0.75250131914013652</v>
      </c>
      <c r="Y40" s="3">
        <f xml:space="preserve"> H40/($H$44*PI()/8)</f>
        <v>0.77259729723994786</v>
      </c>
      <c r="Z40" s="3">
        <f t="shared" si="2"/>
        <v>2.2463154393488401E-2</v>
      </c>
      <c r="AA40" s="3">
        <f t="shared" si="3"/>
        <v>2.3060942023109977E-2</v>
      </c>
    </row>
    <row r="41" spans="1:27">
      <c r="A41" s="117"/>
      <c r="B41" s="117"/>
      <c r="C41" s="118"/>
      <c r="D41" s="85" t="s">
        <v>50</v>
      </c>
      <c r="E41" s="101">
        <f xml:space="preserve"> (1-defaultFit_Inclusive!$U41)*defaultFit_Inclusive!E41</f>
        <v>224.85391842800001</v>
      </c>
      <c r="F41" s="101">
        <f xml:space="preserve"> E41*SQRT(POWER(defaultFit_Inclusive!$V41/(1-defaultFit_Inclusive!$U41),2+POWER(defaultFit_Inclusive!F41/defaultFit_Inclusive!E41,2)))</f>
        <v>7.7706200513459347</v>
      </c>
      <c r="G41" s="76" t="e">
        <f>SQRT(POWER(Z41,2)+POWER(fitSyst_Prompt!AE41/(PI()/8),2))</f>
        <v>#DIV/0!</v>
      </c>
      <c r="H41" s="101">
        <f xml:space="preserve"> (1-defaultFit_Inclusive!$U41)*defaultFit_Inclusive!H41</f>
        <v>197.02764522799998</v>
      </c>
      <c r="I41" s="101">
        <f xml:space="preserve"> H41*SQRT(POWER(defaultFit_Inclusive!$V41/(1-defaultFit_Inclusive!$U41),2+POWER(defaultFit_Inclusive!I41/defaultFit_Inclusive!H41,2)))</f>
        <v>6.8068600110849733</v>
      </c>
      <c r="J41" s="76" t="e">
        <f>SQRT(POWER(AA41,2)+POWER(fitSyst_Prompt!AF41/(PI()/8),2))</f>
        <v>#DIV/0!</v>
      </c>
      <c r="K41" s="101"/>
      <c r="L41" s="128"/>
      <c r="M41" s="128"/>
      <c r="N41" s="128"/>
      <c r="O41" s="129"/>
      <c r="P41" s="35"/>
      <c r="Q41" s="127"/>
      <c r="R41" s="127"/>
      <c r="X41" s="3">
        <f t="shared" ref="X41:X43" si="12" xml:space="preserve"> E41/($E$44*PI()/8)</f>
        <v>0.67521571698373739</v>
      </c>
      <c r="Y41" s="3">
        <f t="shared" ref="Y41:Y43" si="13" xml:space="preserve"> H41/($H$44*PI()/8)</f>
        <v>0.65856769857921327</v>
      </c>
      <c r="Z41" s="3">
        <f t="shared" si="2"/>
        <v>2.3334460106630664E-2</v>
      </c>
      <c r="AA41" s="3">
        <f t="shared" si="3"/>
        <v>2.2752026127418046E-2</v>
      </c>
    </row>
    <row r="42" spans="1:27">
      <c r="A42" s="117"/>
      <c r="B42" s="117"/>
      <c r="C42" s="118"/>
      <c r="D42" s="84" t="s">
        <v>52</v>
      </c>
      <c r="E42" s="101">
        <f xml:space="preserve"> (1-defaultFit_Inclusive!$U42)*defaultFit_Inclusive!E42</f>
        <v>201.76835388799998</v>
      </c>
      <c r="F42" s="101">
        <f xml:space="preserve"> E42*SQRT(POWER(defaultFit_Inclusive!$V42/(1-defaultFit_Inclusive!$U42),2+POWER(defaultFit_Inclusive!F42/defaultFit_Inclusive!E42,2)))</f>
        <v>7.2374644254813321</v>
      </c>
      <c r="G42" s="76" t="e">
        <f>SQRT(POWER(Z42,2)+POWER(fitSyst_Prompt!AE42/(PI()/8),2))</f>
        <v>#DIV/0!</v>
      </c>
      <c r="H42" s="101">
        <f xml:space="preserve"> (1-defaultFit_Inclusive!$U42)*defaultFit_Inclusive!H42</f>
        <v>158.09054171199998</v>
      </c>
      <c r="I42" s="101">
        <f xml:space="preserve"> H42*SQRT(POWER(defaultFit_Inclusive!$V42/(1-defaultFit_Inclusive!$U42),2+POWER(defaultFit_Inclusive!I42/defaultFit_Inclusive!H42,2)))</f>
        <v>5.6616097993803942</v>
      </c>
      <c r="J42" s="76" t="e">
        <f>SQRT(POWER(AA42,2)+POWER(fitSyst_Prompt!AF42/(PI()/8),2))</f>
        <v>#DIV/0!</v>
      </c>
      <c r="K42" s="101"/>
      <c r="L42" s="128"/>
      <c r="M42" s="128"/>
      <c r="N42" s="128"/>
      <c r="O42" s="129"/>
      <c r="P42" s="35"/>
      <c r="Q42" s="127"/>
      <c r="R42" s="127"/>
      <c r="X42" s="3">
        <f t="shared" si="12"/>
        <v>0.60589188166066388</v>
      </c>
      <c r="Y42" s="3">
        <f t="shared" si="13"/>
        <v>0.52841987783964639</v>
      </c>
      <c r="Z42" s="3">
        <f t="shared" si="2"/>
        <v>2.1733442607363224E-2</v>
      </c>
      <c r="AA42" s="3">
        <f t="shared" si="3"/>
        <v>1.8924011051935342E-2</v>
      </c>
    </row>
    <row r="43" spans="1:27">
      <c r="A43" s="117"/>
      <c r="B43" s="117"/>
      <c r="C43" s="118"/>
      <c r="D43" s="84" t="s">
        <v>53</v>
      </c>
      <c r="E43" s="101">
        <f xml:space="preserve"> (1-defaultFit_Inclusive!$U43)*defaultFit_Inclusive!E43</f>
        <v>170.79114844</v>
      </c>
      <c r="F43" s="101">
        <f xml:space="preserve"> E43*SQRT(POWER(defaultFit_Inclusive!$V43/(1-defaultFit_Inclusive!$U43),2+POWER(defaultFit_Inclusive!F43/defaultFit_Inclusive!E43,2)))</f>
        <v>6.6313518853673292</v>
      </c>
      <c r="G43" s="76" t="e">
        <f>SQRT(POWER(Z43,2)+POWER(fitSyst_Prompt!AE43/(PI()/8),2))</f>
        <v>#DIV/0!</v>
      </c>
      <c r="H43" s="101">
        <f xml:space="preserve"> (1-defaultFit_Inclusive!$U43)*defaultFit_Inclusive!H43</f>
        <v>175.58465984399999</v>
      </c>
      <c r="I43" s="101">
        <f xml:space="preserve"> H43*SQRT(POWER(defaultFit_Inclusive!$V43/(1-defaultFit_Inclusive!$U43),2+POWER(defaultFit_Inclusive!I43/defaultFit_Inclusive!H43,2)))</f>
        <v>6.8217592836267231</v>
      </c>
      <c r="J43" s="76" t="e">
        <f>SQRT(POWER(AA43,2)+POWER(fitSyst_Prompt!AF43/(PI()/8),2))</f>
        <v>#DIV/0!</v>
      </c>
      <c r="K43" s="101"/>
      <c r="L43" s="128"/>
      <c r="M43" s="128"/>
      <c r="N43" s="128"/>
      <c r="O43" s="129"/>
      <c r="P43" s="35"/>
      <c r="Q43" s="127"/>
      <c r="R43" s="127"/>
      <c r="X43" s="3">
        <f t="shared" si="12"/>
        <v>0.51287017168578786</v>
      </c>
      <c r="Y43" s="3">
        <f t="shared" si="13"/>
        <v>0.58689421581151824</v>
      </c>
      <c r="Z43" s="3">
        <f t="shared" si="2"/>
        <v>1.991334217857324E-2</v>
      </c>
      <c r="AA43" s="3">
        <f t="shared" si="3"/>
        <v>2.2801827157202317E-2</v>
      </c>
    </row>
    <row r="44" spans="1:27">
      <c r="A44" s="117"/>
      <c r="B44" s="117"/>
      <c r="C44" s="118"/>
      <c r="D44" s="80"/>
      <c r="E44" s="94">
        <f xml:space="preserve"> SUM(E40:E43)</f>
        <v>848.004255618</v>
      </c>
      <c r="F44" s="94"/>
      <c r="G44" s="76">
        <f>SQRT(POWER(Z44,2)+POWER(fitSyst_Prompt!AE44/(PI()/8),2))</f>
        <v>0</v>
      </c>
      <c r="H44" s="94">
        <f xml:space="preserve"> SUM(H40:H43)</f>
        <v>761.84541043099989</v>
      </c>
      <c r="I44" s="94"/>
      <c r="J44" s="76">
        <f>SQRT(POWER(AA44,2)+POWER(fitSyst_Prompt!AF44/(PI()/8),2))</f>
        <v>0</v>
      </c>
      <c r="K44" s="94"/>
      <c r="L44" s="95"/>
      <c r="M44" s="95"/>
      <c r="N44" s="95"/>
      <c r="O44" s="80"/>
      <c r="P44" s="72"/>
      <c r="Q44" s="91"/>
      <c r="R44" s="72"/>
      <c r="X44" s="3"/>
      <c r="Y44" s="3"/>
      <c r="Z44" s="3"/>
      <c r="AA44" s="3"/>
    </row>
    <row r="45" spans="1:27">
      <c r="A45" s="117"/>
      <c r="B45" s="117" t="s">
        <v>77</v>
      </c>
      <c r="C45" s="118"/>
      <c r="D45" s="84" t="s">
        <v>51</v>
      </c>
      <c r="E45" s="101">
        <f xml:space="preserve"> (1-defaultFit_Inclusive!$U45)*defaultFit_Inclusive!E45</f>
        <v>839.24418894999997</v>
      </c>
      <c r="F45" s="101">
        <f xml:space="preserve"> E45*SQRT(POWER(defaultFit_Inclusive!$V45/(1-defaultFit_Inclusive!$U45),2+POWER(defaultFit_Inclusive!F45/defaultFit_Inclusive!E45,2)))</f>
        <v>12.247025547897262</v>
      </c>
      <c r="G45" s="76">
        <f>SQRT(POWER(Z45,2)+POWER(fitSyst_Prompt!AE45/(PI()/8),2))</f>
        <v>0</v>
      </c>
      <c r="H45" s="101">
        <f xml:space="preserve"> (1-defaultFit_Inclusive!$U45)*defaultFit_Inclusive!H45</f>
        <v>767.37087476999989</v>
      </c>
      <c r="I45" s="101">
        <f xml:space="preserve"> H45*SQRT(POWER(defaultFit_Inclusive!$V45/(1-defaultFit_Inclusive!$U45),2+POWER(defaultFit_Inclusive!I45/defaultFit_Inclusive!H45,2)))</f>
        <v>11.197190470118953</v>
      </c>
      <c r="J45" s="76">
        <f>SQRT(POWER(AA45,2)+POWER(fitSyst_Prompt!AF45/(PI()/8),2))</f>
        <v>0</v>
      </c>
      <c r="K45" s="35"/>
      <c r="L45" s="35"/>
      <c r="M45" s="35"/>
      <c r="N45" s="35"/>
      <c r="O45" s="35"/>
      <c r="P45" s="35"/>
      <c r="Q45" s="35"/>
      <c r="R45" s="35"/>
      <c r="X45" s="3"/>
      <c r="Y45" s="3"/>
      <c r="Z45" s="3"/>
      <c r="AA45" s="3"/>
    </row>
    <row r="46" spans="1:27">
      <c r="A46" s="117"/>
      <c r="B46" s="117"/>
      <c r="C46" s="118"/>
      <c r="D46" s="85" t="s">
        <v>49</v>
      </c>
      <c r="E46" s="101">
        <f xml:space="preserve"> (1-defaultFit_Inclusive!$U46)*defaultFit_Inclusive!E46</f>
        <v>198.055905</v>
      </c>
      <c r="F46" s="101">
        <f xml:space="preserve"> E46*SQRT(POWER(defaultFit_Inclusive!$V46/(1-defaultFit_Inclusive!$U46),2+POWER(defaultFit_Inclusive!F46/defaultFit_Inclusive!E46,2)))</f>
        <v>5.7523911647114714</v>
      </c>
      <c r="G46" s="76" t="e">
        <f>SQRT(POWER(Z46,2)+POWER(fitSyst_Prompt!AE46/(PI()/8),2))</f>
        <v>#DIV/0!</v>
      </c>
      <c r="H46" s="101">
        <f xml:space="preserve"> (1-defaultFit_Inclusive!$U46)*defaultFit_Inclusive!H46</f>
        <v>219.43412887899999</v>
      </c>
      <c r="I46" s="101">
        <f xml:space="preserve"> H46*SQRT(POWER(defaultFit_Inclusive!$V46/(1-defaultFit_Inclusive!$U46),2+POWER(defaultFit_Inclusive!I46/defaultFit_Inclusive!H46,2)))</f>
        <v>6.3801788423430255</v>
      </c>
      <c r="J46" s="76" t="e">
        <f>SQRT(POWER(AA46,2)+POWER(fitSyst_Prompt!AF46/(PI()/8),2))</f>
        <v>#DIV/0!</v>
      </c>
      <c r="K46" s="101"/>
      <c r="L46" s="128">
        <v>0.12</v>
      </c>
      <c r="M46" s="128">
        <v>0.1</v>
      </c>
      <c r="N46" s="128">
        <v>0.13</v>
      </c>
      <c r="O46" s="129">
        <v>0.1</v>
      </c>
      <c r="P46" s="35"/>
      <c r="Q46" s="127">
        <f xml:space="preserve"> (L46/ep_CorrectionFactors!H18+N46/ep_CorrectionFactors!M18)/2</f>
        <v>0.15937823438380461</v>
      </c>
      <c r="R46" s="127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9.0156706149671542E-2</v>
      </c>
      <c r="X46" s="3">
        <f xml:space="preserve"> E46/($E$50*PI()/8)</f>
        <v>0.61168364738879411</v>
      </c>
      <c r="Y46" s="3">
        <f xml:space="preserve"> H46/($H$50*PI()/8)</f>
        <v>0.74971802349143613</v>
      </c>
      <c r="Z46" s="3">
        <f t="shared" si="2"/>
        <v>1.7765911139270431E-2</v>
      </c>
      <c r="AA46" s="3">
        <f t="shared" si="3"/>
        <v>2.1798500969923924E-2</v>
      </c>
    </row>
    <row r="47" spans="1:27">
      <c r="A47" s="117"/>
      <c r="B47" s="117"/>
      <c r="C47" s="118"/>
      <c r="D47" s="85" t="s">
        <v>50</v>
      </c>
      <c r="E47" s="101">
        <f xml:space="preserve"> (1-defaultFit_Inclusive!$U47)*defaultFit_Inclusive!E47</f>
        <v>230.86651429700001</v>
      </c>
      <c r="F47" s="101">
        <f xml:space="preserve"> E47*SQRT(POWER(defaultFit_Inclusive!$V47/(1-defaultFit_Inclusive!$U47),2+POWER(defaultFit_Inclusive!F47/defaultFit_Inclusive!E47,2)))</f>
        <v>6.4856838457699411</v>
      </c>
      <c r="G47" s="76" t="e">
        <f>SQRT(POWER(Z47,2)+POWER(fitSyst_Prompt!AE47/(PI()/8),2))</f>
        <v>#DIV/0!</v>
      </c>
      <c r="H47" s="101">
        <f xml:space="preserve"> (1-defaultFit_Inclusive!$U47)*defaultFit_Inclusive!H47</f>
        <v>174.93863213999998</v>
      </c>
      <c r="I47" s="101">
        <f xml:space="preserve"> H47*SQRT(POWER(defaultFit_Inclusive!$V47/(1-defaultFit_Inclusive!$U47),2+POWER(defaultFit_Inclusive!I47/defaultFit_Inclusive!H47,2)))</f>
        <v>4.9059194795683485</v>
      </c>
      <c r="J47" s="76" t="e">
        <f>SQRT(POWER(AA47,2)+POWER(fitSyst_Prompt!AF47/(PI()/8),2))</f>
        <v>#DIV/0!</v>
      </c>
      <c r="K47" s="101"/>
      <c r="L47" s="128"/>
      <c r="M47" s="128"/>
      <c r="N47" s="128"/>
      <c r="O47" s="129"/>
      <c r="P47" s="35"/>
      <c r="Q47" s="127"/>
      <c r="R47" s="127"/>
      <c r="X47" s="3">
        <f t="shared" ref="X47:X49" si="14" xml:space="preserve"> E47/($E$50*PI()/8)</f>
        <v>0.71301722372340359</v>
      </c>
      <c r="Y47" s="3">
        <f t="shared" ref="Y47:Y49" si="15" xml:space="preserve"> H47/($H$50*PI()/8)</f>
        <v>0.59769483530347867</v>
      </c>
      <c r="Z47" s="3">
        <f t="shared" si="2"/>
        <v>2.0030641098992427E-2</v>
      </c>
      <c r="AA47" s="3">
        <f t="shared" si="3"/>
        <v>1.6761550604820753E-2</v>
      </c>
    </row>
    <row r="48" spans="1:27">
      <c r="A48" s="117"/>
      <c r="B48" s="117"/>
      <c r="C48" s="118"/>
      <c r="D48" s="84" t="s">
        <v>52</v>
      </c>
      <c r="E48" s="101">
        <f xml:space="preserve"> (1-defaultFit_Inclusive!$U48)*defaultFit_Inclusive!E48</f>
        <v>188.92541661600001</v>
      </c>
      <c r="F48" s="101">
        <f xml:space="preserve"> E48*SQRT(POWER(defaultFit_Inclusive!$V48/(1-defaultFit_Inclusive!$U48),2+POWER(defaultFit_Inclusive!F48/defaultFit_Inclusive!E48,2)))</f>
        <v>5.8260371586109203</v>
      </c>
      <c r="G48" s="76" t="e">
        <f>SQRT(POWER(Z48,2)+POWER(fitSyst_Prompt!AE48/(PI()/8),2))</f>
        <v>#DIV/0!</v>
      </c>
      <c r="H48" s="101">
        <f xml:space="preserve"> (1-defaultFit_Inclusive!$U48)*defaultFit_Inclusive!H48</f>
        <v>182.91346012</v>
      </c>
      <c r="I48" s="101">
        <f xml:space="preserve"> H48*SQRT(POWER(defaultFit_Inclusive!$V48/(1-defaultFit_Inclusive!$U48),2+POWER(defaultFit_Inclusive!I48/defaultFit_Inclusive!H48,2)))</f>
        <v>5.6415704035050824</v>
      </c>
      <c r="J48" s="76" t="e">
        <f>SQRT(POWER(AA48,2)+POWER(fitSyst_Prompt!AF48/(PI()/8),2))</f>
        <v>#DIV/0!</v>
      </c>
      <c r="K48" s="101"/>
      <c r="L48" s="128"/>
      <c r="M48" s="128"/>
      <c r="N48" s="128"/>
      <c r="O48" s="129"/>
      <c r="P48" s="35"/>
      <c r="Q48" s="127"/>
      <c r="R48" s="127"/>
      <c r="X48" s="3">
        <f t="shared" si="14"/>
        <v>0.58348468792244479</v>
      </c>
      <c r="Y48" s="3">
        <f t="shared" si="15"/>
        <v>0.62494161000253501</v>
      </c>
      <c r="Z48" s="3">
        <f t="shared" si="2"/>
        <v>1.7993362323641772E-2</v>
      </c>
      <c r="AA48" s="3">
        <f t="shared" si="3"/>
        <v>1.9274973468853086E-2</v>
      </c>
    </row>
    <row r="49" spans="1:27">
      <c r="A49" s="117"/>
      <c r="B49" s="117"/>
      <c r="C49" s="118"/>
      <c r="D49" s="84" t="s">
        <v>53</v>
      </c>
      <c r="E49" s="101">
        <f xml:space="preserve"> (1-defaultFit_Inclusive!$U49)*defaultFit_Inclusive!E49</f>
        <v>206.6718693</v>
      </c>
      <c r="F49" s="101">
        <f xml:space="preserve"> E49*SQRT(POWER(defaultFit_Inclusive!$V49/(1-defaultFit_Inclusive!$U49),2+POWER(defaultFit_Inclusive!F49/defaultFit_Inclusive!E49,2)))</f>
        <v>6.1452679418481049</v>
      </c>
      <c r="G49" s="76" t="e">
        <f>SQRT(POWER(Z49,2)+POWER(fitSyst_Prompt!AE49/(PI()/8),2))</f>
        <v>#DIV/0!</v>
      </c>
      <c r="H49" s="101">
        <f xml:space="preserve"> (1-defaultFit_Inclusive!$U49)*defaultFit_Inclusive!H49</f>
        <v>168.03989240999999</v>
      </c>
      <c r="I49" s="101">
        <f xml:space="preserve"> H49*SQRT(POWER(defaultFit_Inclusive!$V49/(1-defaultFit_Inclusive!$U49),2+POWER(defaultFit_Inclusive!I49/defaultFit_Inclusive!H49,2)))</f>
        <v>4.9896810580323212</v>
      </c>
      <c r="J49" s="76" t="e">
        <f>SQRT(POWER(AA49,2)+POWER(fitSyst_Prompt!AF49/(PI()/8),2))</f>
        <v>#DIV/0!</v>
      </c>
      <c r="K49" s="101"/>
      <c r="L49" s="128"/>
      <c r="M49" s="128"/>
      <c r="N49" s="128"/>
      <c r="O49" s="129"/>
      <c r="P49" s="35"/>
      <c r="Q49" s="127"/>
      <c r="R49" s="127"/>
      <c r="X49" s="3">
        <f t="shared" si="14"/>
        <v>0.6382935304356826</v>
      </c>
      <c r="Y49" s="3">
        <f t="shared" si="15"/>
        <v>0.57412462067287562</v>
      </c>
      <c r="Z49" s="3">
        <f t="shared" si="2"/>
        <v>1.8979287231305104E-2</v>
      </c>
      <c r="AA49" s="3">
        <f t="shared" si="3"/>
        <v>1.7047730176664656E-2</v>
      </c>
    </row>
    <row r="50" spans="1:27">
      <c r="A50" s="117"/>
      <c r="B50" s="117"/>
      <c r="C50" s="118"/>
      <c r="D50" s="80"/>
      <c r="E50" s="94">
        <f xml:space="preserve"> SUM(E46:E49)</f>
        <v>824.51970521300007</v>
      </c>
      <c r="F50" s="94"/>
      <c r="G50" s="76">
        <f>SQRT(POWER(Z50,2)+POWER(fitSyst_Prompt!AE50/(PI()/8),2))</f>
        <v>0</v>
      </c>
      <c r="H50" s="94">
        <f xml:space="preserve"> SUM(H46:H49)</f>
        <v>745.32611354899996</v>
      </c>
      <c r="I50" s="94"/>
      <c r="J50" s="76">
        <f>SQRT(POWER(AA50,2)+POWER(fitSyst_Prompt!AF50/(PI()/8),2))</f>
        <v>0</v>
      </c>
      <c r="K50" s="94"/>
      <c r="L50" s="95"/>
      <c r="M50" s="95"/>
      <c r="N50" s="95"/>
      <c r="O50" s="80"/>
      <c r="P50" s="72"/>
      <c r="Q50" s="91"/>
      <c r="R50" s="72"/>
      <c r="X50" s="3"/>
      <c r="Y50" s="3"/>
      <c r="Z50" s="3"/>
      <c r="AA50" s="3"/>
    </row>
    <row r="51" spans="1:27">
      <c r="A51" s="117"/>
      <c r="B51" s="117" t="s">
        <v>78</v>
      </c>
      <c r="C51" s="118"/>
      <c r="D51" s="84" t="s">
        <v>51</v>
      </c>
      <c r="E51" s="86"/>
      <c r="F51" s="86"/>
      <c r="G51" s="76">
        <f>SQRT(POWER(Z51,2)+POWER(fitSyst_Prompt!AE51/(PI()/8),2))</f>
        <v>0</v>
      </c>
      <c r="H51" s="86"/>
      <c r="I51" s="86"/>
      <c r="J51" s="76">
        <f>SQRT(POWER(AA51,2)+POWER(fitSyst_Prompt!AF51/(PI()/8),2))</f>
        <v>0</v>
      </c>
      <c r="X51" s="3"/>
      <c r="Y51" s="3"/>
      <c r="Z51" s="3"/>
      <c r="AA51" s="3"/>
    </row>
    <row r="52" spans="1:27">
      <c r="A52" s="117"/>
      <c r="B52" s="117"/>
      <c r="C52" s="118"/>
      <c r="D52" s="85" t="s">
        <v>49</v>
      </c>
      <c r="E52" s="86"/>
      <c r="F52" s="86"/>
      <c r="G52" s="76">
        <f>SQRT(POWER(Z52,2)+POWER(fitSyst_Prompt!AE52/(PI()/8),2))</f>
        <v>0</v>
      </c>
      <c r="H52" s="86"/>
      <c r="I52" s="86"/>
      <c r="J52" s="76">
        <f>SQRT(POWER(AA52,2)+POWER(fitSyst_Prompt!AF52/(PI()/8),2))</f>
        <v>0</v>
      </c>
      <c r="K52" s="86"/>
      <c r="L52" s="123"/>
      <c r="M52" s="123"/>
      <c r="N52" s="123"/>
      <c r="O52" s="116"/>
      <c r="Q52" s="113"/>
      <c r="R52" s="113"/>
      <c r="X52" s="3"/>
      <c r="Y52" s="3"/>
      <c r="Z52" s="3"/>
      <c r="AA52" s="3"/>
    </row>
    <row r="53" spans="1:27">
      <c r="A53" s="117"/>
      <c r="B53" s="117"/>
      <c r="C53" s="118"/>
      <c r="D53" s="85" t="s">
        <v>50</v>
      </c>
      <c r="E53" s="86"/>
      <c r="F53" s="86"/>
      <c r="G53" s="76">
        <f>SQRT(POWER(Z53,2)+POWER(fitSyst_Prompt!AE53/(PI()/8),2))</f>
        <v>0</v>
      </c>
      <c r="H53" s="86"/>
      <c r="I53" s="86"/>
      <c r="J53" s="76">
        <f>SQRT(POWER(AA53,2)+POWER(fitSyst_Prompt!AF53/(PI()/8),2))</f>
        <v>0</v>
      </c>
      <c r="K53" s="86"/>
      <c r="L53" s="123"/>
      <c r="M53" s="123"/>
      <c r="N53" s="123"/>
      <c r="O53" s="116"/>
      <c r="Q53" s="113"/>
      <c r="R53" s="113"/>
      <c r="X53" s="3"/>
      <c r="Y53" s="3"/>
      <c r="Z53" s="3"/>
      <c r="AA53" s="3"/>
    </row>
    <row r="54" spans="1:27">
      <c r="A54" s="117"/>
      <c r="B54" s="117"/>
      <c r="C54" s="118"/>
      <c r="D54" s="84" t="s">
        <v>52</v>
      </c>
      <c r="E54" s="86"/>
      <c r="F54" s="86"/>
      <c r="G54" s="76">
        <f>SQRT(POWER(Z54,2)+POWER(fitSyst_Prompt!AE54/(PI()/8),2))</f>
        <v>0</v>
      </c>
      <c r="H54" s="86"/>
      <c r="I54" s="86"/>
      <c r="J54" s="76">
        <f>SQRT(POWER(AA54,2)+POWER(fitSyst_Prompt!AF54/(PI()/8),2))</f>
        <v>0</v>
      </c>
      <c r="K54" s="86"/>
      <c r="L54" s="123"/>
      <c r="M54" s="123"/>
      <c r="N54" s="123"/>
      <c r="O54" s="116"/>
      <c r="Q54" s="113"/>
      <c r="R54" s="113"/>
      <c r="X54" s="3"/>
      <c r="Y54" s="3"/>
      <c r="Z54" s="3"/>
      <c r="AA54" s="3"/>
    </row>
    <row r="55" spans="1:27">
      <c r="A55" s="117"/>
      <c r="B55" s="117"/>
      <c r="C55" s="118"/>
      <c r="D55" s="84" t="s">
        <v>53</v>
      </c>
      <c r="E55" s="86"/>
      <c r="F55" s="86"/>
      <c r="G55" s="76">
        <f>SQRT(POWER(Z55,2)+POWER(fitSyst_Prompt!AE55/(PI()/8),2))</f>
        <v>0</v>
      </c>
      <c r="H55" s="86"/>
      <c r="I55" s="86"/>
      <c r="J55" s="76">
        <f>SQRT(POWER(AA55,2)+POWER(fitSyst_Prompt!AF55/(PI()/8),2))</f>
        <v>0</v>
      </c>
      <c r="K55" s="86"/>
      <c r="L55" s="123"/>
      <c r="M55" s="123"/>
      <c r="N55" s="123"/>
      <c r="O55" s="116"/>
      <c r="Q55" s="113"/>
      <c r="R55" s="113"/>
      <c r="X55" s="3"/>
      <c r="Y55" s="3"/>
      <c r="Z55" s="3"/>
      <c r="AA55" s="3"/>
    </row>
    <row r="56" spans="1:27">
      <c r="A56" s="117"/>
      <c r="B56" s="117"/>
      <c r="C56" s="118"/>
      <c r="D56" s="80"/>
      <c r="E56" s="94"/>
      <c r="F56" s="94"/>
      <c r="G56" s="76">
        <f>SQRT(POWER(Z56,2)+POWER(fitSyst_Prompt!AE56/(PI()/8),2))</f>
        <v>0</v>
      </c>
      <c r="H56" s="94"/>
      <c r="I56" s="94"/>
      <c r="J56" s="76">
        <f>SQRT(POWER(AA56,2)+POWER(fitSyst_Prompt!AF56/(PI()/8),2))</f>
        <v>0</v>
      </c>
      <c r="K56" s="94"/>
      <c r="L56" s="95"/>
      <c r="M56" s="95"/>
      <c r="N56" s="95"/>
      <c r="O56" s="80"/>
      <c r="P56" s="72"/>
      <c r="Q56" s="91"/>
      <c r="R56" s="72"/>
      <c r="X56" s="3"/>
      <c r="Y56" s="3"/>
      <c r="Z56" s="3"/>
      <c r="AA56" s="3"/>
    </row>
    <row r="57" spans="1:27">
      <c r="A57" s="117"/>
      <c r="B57" s="117" t="s">
        <v>79</v>
      </c>
      <c r="C57" s="118"/>
      <c r="D57" s="84" t="s">
        <v>51</v>
      </c>
      <c r="E57" s="86"/>
      <c r="F57" s="86"/>
      <c r="G57" s="76">
        <f>SQRT(POWER(Z57,2)+POWER(fitSyst_Prompt!AE57/(PI()/8),2))</f>
        <v>0</v>
      </c>
      <c r="H57" s="86"/>
      <c r="I57" s="86"/>
      <c r="J57" s="76">
        <f>SQRT(POWER(AA57,2)+POWER(fitSyst_Prompt!AF57/(PI()/8),2))</f>
        <v>0</v>
      </c>
      <c r="X57" s="3"/>
      <c r="Y57" s="3"/>
      <c r="Z57" s="3"/>
      <c r="AA57" s="3"/>
    </row>
    <row r="58" spans="1:27">
      <c r="A58" s="117"/>
      <c r="B58" s="117"/>
      <c r="C58" s="118"/>
      <c r="D58" s="85" t="s">
        <v>49</v>
      </c>
      <c r="E58" s="86"/>
      <c r="F58" s="86"/>
      <c r="G58" s="76">
        <f>SQRT(POWER(Z58,2)+POWER(fitSyst_Prompt!AE58/(PI()/8),2))</f>
        <v>0</v>
      </c>
      <c r="H58" s="86"/>
      <c r="I58" s="86"/>
      <c r="J58" s="76">
        <f>SQRT(POWER(AA58,2)+POWER(fitSyst_Prompt!AF58/(PI()/8),2))</f>
        <v>0</v>
      </c>
      <c r="K58" s="86"/>
      <c r="L58" s="123"/>
      <c r="M58" s="123"/>
      <c r="N58" s="123"/>
      <c r="O58" s="116"/>
      <c r="Q58" s="113"/>
      <c r="R58" s="113"/>
      <c r="X58" s="3"/>
      <c r="Y58" s="3"/>
      <c r="Z58" s="3"/>
      <c r="AA58" s="3"/>
    </row>
    <row r="59" spans="1:27">
      <c r="A59" s="117"/>
      <c r="B59" s="117"/>
      <c r="C59" s="118"/>
      <c r="D59" s="85" t="s">
        <v>50</v>
      </c>
      <c r="E59" s="86"/>
      <c r="F59" s="86"/>
      <c r="G59" s="76">
        <f>SQRT(POWER(Z59,2)+POWER(fitSyst_Prompt!AE59/(PI()/8),2))</f>
        <v>0</v>
      </c>
      <c r="H59" s="86"/>
      <c r="I59" s="86"/>
      <c r="J59" s="76">
        <f>SQRT(POWER(AA59,2)+POWER(fitSyst_Prompt!AF59/(PI()/8),2))</f>
        <v>0</v>
      </c>
      <c r="K59" s="86"/>
      <c r="L59" s="123"/>
      <c r="M59" s="123"/>
      <c r="N59" s="123"/>
      <c r="O59" s="116"/>
      <c r="Q59" s="113"/>
      <c r="R59" s="113"/>
      <c r="X59" s="3"/>
      <c r="Y59" s="3"/>
      <c r="Z59" s="3"/>
      <c r="AA59" s="3"/>
    </row>
    <row r="60" spans="1:27">
      <c r="A60" s="117"/>
      <c r="B60" s="117"/>
      <c r="C60" s="118"/>
      <c r="D60" s="84" t="s">
        <v>52</v>
      </c>
      <c r="E60" s="86"/>
      <c r="F60" s="86"/>
      <c r="G60" s="76">
        <f>SQRT(POWER(Z60,2)+POWER(fitSyst_Prompt!AE60/(PI()/8),2))</f>
        <v>0</v>
      </c>
      <c r="H60" s="86"/>
      <c r="I60" s="86"/>
      <c r="J60" s="76">
        <f>SQRT(POWER(AA60,2)+POWER(fitSyst_Prompt!AF60/(PI()/8),2))</f>
        <v>0</v>
      </c>
      <c r="K60" s="86"/>
      <c r="L60" s="123"/>
      <c r="M60" s="123"/>
      <c r="N60" s="123"/>
      <c r="O60" s="116"/>
      <c r="Q60" s="113"/>
      <c r="R60" s="113"/>
      <c r="X60" s="3"/>
      <c r="Y60" s="3"/>
      <c r="Z60" s="3"/>
      <c r="AA60" s="3"/>
    </row>
    <row r="61" spans="1:27">
      <c r="A61" s="117"/>
      <c r="B61" s="117"/>
      <c r="C61" s="118"/>
      <c r="D61" s="84" t="s">
        <v>53</v>
      </c>
      <c r="E61" s="86"/>
      <c r="F61" s="86"/>
      <c r="G61" s="76">
        <f>SQRT(POWER(Z61,2)+POWER(fitSyst_Prompt!AE61/(PI()/8),2))</f>
        <v>0</v>
      </c>
      <c r="H61" s="86"/>
      <c r="I61" s="86"/>
      <c r="J61" s="76">
        <f>SQRT(POWER(AA61,2)+POWER(fitSyst_Prompt!AF61/(PI()/8),2))</f>
        <v>0</v>
      </c>
      <c r="K61" s="86"/>
      <c r="L61" s="123"/>
      <c r="M61" s="123"/>
      <c r="N61" s="123"/>
      <c r="O61" s="116"/>
      <c r="Q61" s="113"/>
      <c r="R61" s="113"/>
      <c r="X61" s="3"/>
      <c r="Y61" s="3"/>
      <c r="Z61" s="3"/>
      <c r="AA61" s="3"/>
    </row>
    <row r="62" spans="1:27">
      <c r="A62" s="117"/>
      <c r="B62" s="117"/>
      <c r="C62" s="118"/>
      <c r="D62" s="80"/>
      <c r="E62" s="94">
        <f xml:space="preserve"> (1-defaultFit_Inclusive!$U62)*defaultFit_Inclusive!E62</f>
        <v>0</v>
      </c>
      <c r="F62" s="94"/>
      <c r="G62" s="76">
        <f>SQRT(POWER(Z62,2)+POWER(fitSyst_Prompt!AE62/(PI()/8),2))</f>
        <v>0</v>
      </c>
      <c r="H62" s="94">
        <f xml:space="preserve"> (1-defaultFit_Inclusive!$U62)*defaultFit_Inclusive!H62</f>
        <v>0</v>
      </c>
      <c r="I62" s="94"/>
      <c r="J62" s="76">
        <f>SQRT(POWER(AA62,2)+POWER(fitSyst_Prompt!AF62/(PI()/8),2))</f>
        <v>0</v>
      </c>
      <c r="K62" s="94"/>
      <c r="L62" s="95"/>
      <c r="M62" s="95"/>
      <c r="N62" s="95"/>
      <c r="O62" s="80"/>
      <c r="P62" s="72"/>
      <c r="Q62" s="91"/>
      <c r="R62" s="72"/>
      <c r="X62" s="3"/>
      <c r="Y62" s="3"/>
      <c r="Z62" s="3"/>
      <c r="AA62" s="3"/>
    </row>
    <row r="63" spans="1:27">
      <c r="A63" s="117" t="s">
        <v>80</v>
      </c>
      <c r="B63" s="117" t="s">
        <v>79</v>
      </c>
      <c r="C63" s="117" t="s">
        <v>17</v>
      </c>
      <c r="D63" s="84" t="s">
        <v>51</v>
      </c>
      <c r="E63" s="102">
        <f xml:space="preserve"> (1-defaultFit_Inclusive!$U63)*defaultFit_Inclusive!E63</f>
        <v>1274.6276446400002</v>
      </c>
      <c r="F63" s="102">
        <f xml:space="preserve"> E63*SQRT(POWER(defaultFit_Inclusive!$V63/(1-defaultFit_Inclusive!$U63),2+POWER(defaultFit_Inclusive!F63/defaultFit_Inclusive!E63,2)))</f>
        <v>18.09025733899049</v>
      </c>
      <c r="G63" s="76">
        <f>SQRT(POWER(Z63,2)+POWER(fitSyst_Prompt!AE63/(PI()/8),2))</f>
        <v>0</v>
      </c>
      <c r="H63" s="102">
        <f xml:space="preserve"> (1-defaultFit_Inclusive!$U63)*defaultFit_Inclusive!H63</f>
        <v>1125.3631872000001</v>
      </c>
      <c r="I63" s="102">
        <f xml:space="preserve"> H63*SQRT(POWER(defaultFit_Inclusive!$V63/(1-defaultFit_Inclusive!$U63),2+POWER(defaultFit_Inclusive!I63/defaultFit_Inclusive!H63,2)))</f>
        <v>15.969719870174218</v>
      </c>
      <c r="J63" s="76">
        <f>SQRT(POWER(AA63,2)+POWER(fitSyst_Prompt!AF63/(PI()/8),2))</f>
        <v>0</v>
      </c>
      <c r="K63" s="75"/>
      <c r="L63" s="75"/>
      <c r="M63" s="75"/>
      <c r="N63" s="75"/>
      <c r="O63" s="75"/>
      <c r="P63" s="75"/>
      <c r="Q63" s="75"/>
      <c r="R63" s="75"/>
      <c r="X63" s="3"/>
      <c r="Y63" s="3"/>
      <c r="Z63" s="3"/>
      <c r="AA63" s="3"/>
    </row>
    <row r="64" spans="1:27">
      <c r="A64" s="117"/>
      <c r="B64" s="117"/>
      <c r="C64" s="117"/>
      <c r="D64" s="85" t="s">
        <v>49</v>
      </c>
      <c r="E64" s="102">
        <f xml:space="preserve"> (1-defaultFit_Inclusive!$U64)*defaultFit_Inclusive!E64</f>
        <v>335.380188476</v>
      </c>
      <c r="F64" s="102">
        <f xml:space="preserve"> E64*SQRT(POWER(defaultFit_Inclusive!$V64/(1-defaultFit_Inclusive!$U64),2+POWER(defaultFit_Inclusive!F64/defaultFit_Inclusive!E64,2)))</f>
        <v>9.0381751760182514</v>
      </c>
      <c r="G64" s="76" t="e">
        <f>SQRT(POWER(Z64,2)+POWER(fitSyst_Prompt!AE64/(PI()/8),2))</f>
        <v>#DIV/0!</v>
      </c>
      <c r="H64" s="102">
        <f xml:space="preserve"> (1-defaultFit_Inclusive!$U64)*defaultFit_Inclusive!H64</f>
        <v>325.76769975400003</v>
      </c>
      <c r="I64" s="102">
        <f xml:space="preserve"> H64*SQRT(POWER(defaultFit_Inclusive!$V64/(1-defaultFit_Inclusive!$U64),2+POWER(defaultFit_Inclusive!I64/defaultFit_Inclusive!H64,2)))</f>
        <v>8.7795441671699344</v>
      </c>
      <c r="J64" s="76" t="e">
        <f>SQRT(POWER(AA64,2)+POWER(fitSyst_Prompt!AF64/(PI()/8),2))</f>
        <v>#DIV/0!</v>
      </c>
      <c r="K64" s="102"/>
      <c r="L64" s="131">
        <v>0.12</v>
      </c>
      <c r="M64" s="131">
        <v>0.1</v>
      </c>
      <c r="N64" s="131">
        <v>0.13</v>
      </c>
      <c r="O64" s="132">
        <v>0.1</v>
      </c>
      <c r="P64" s="75"/>
      <c r="Q64" s="130">
        <f xml:space="preserve"> (L64/ep_CorrectionFactors!H18+N64/ep_CorrectionFactors!M18)/2</f>
        <v>0.15937823438380461</v>
      </c>
      <c r="R64" s="130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9.0156706149671542E-2</v>
      </c>
      <c r="X64" s="3">
        <f xml:space="preserve"> E64/($E$68*PI()/8)</f>
        <v>0.67994858521841472</v>
      </c>
      <c r="Y64" s="3">
        <f xml:space="preserve"> H64/($H$68*PI()/8)</f>
        <v>0.74306043365217789</v>
      </c>
      <c r="Z64" s="3">
        <f t="shared" si="2"/>
        <v>1.8323963773219661E-2</v>
      </c>
      <c r="AA64" s="3">
        <f t="shared" si="3"/>
        <v>2.0025717408607625E-2</v>
      </c>
    </row>
    <row r="65" spans="1:27">
      <c r="A65" s="117"/>
      <c r="B65" s="117"/>
      <c r="C65" s="117"/>
      <c r="D65" s="85" t="s">
        <v>50</v>
      </c>
      <c r="E65" s="102">
        <f xml:space="preserve"> (1-defaultFit_Inclusive!$U65)*defaultFit_Inclusive!E65</f>
        <v>339.76233448900001</v>
      </c>
      <c r="F65" s="102">
        <f xml:space="preserve"> E65*SQRT(POWER(defaultFit_Inclusive!$V65/(1-defaultFit_Inclusive!$U65),2+POWER(defaultFit_Inclusive!F65/defaultFit_Inclusive!E65,2)))</f>
        <v>8.7377599825467609</v>
      </c>
      <c r="G65" s="76" t="e">
        <f>SQRT(POWER(Z65,2)+POWER(fitSyst_Prompt!AE65/(PI()/8),2))</f>
        <v>#DIV/0!</v>
      </c>
      <c r="H65" s="102">
        <f xml:space="preserve"> (1-defaultFit_Inclusive!$U65)*defaultFit_Inclusive!H65</f>
        <v>295.48249513399998</v>
      </c>
      <c r="I65" s="102">
        <f xml:space="preserve"> H65*SQRT(POWER(defaultFit_Inclusive!$V65/(1-defaultFit_Inclusive!$U65),2+POWER(defaultFit_Inclusive!I65/defaultFit_Inclusive!H65,2)))</f>
        <v>7.5964600061528476</v>
      </c>
      <c r="J65" s="76" t="e">
        <f>SQRT(POWER(AA65,2)+POWER(fitSyst_Prompt!AF65/(PI()/8),2))</f>
        <v>#DIV/0!</v>
      </c>
      <c r="K65" s="102"/>
      <c r="L65" s="131"/>
      <c r="M65" s="131"/>
      <c r="N65" s="131"/>
      <c r="O65" s="132"/>
      <c r="P65" s="75"/>
      <c r="Q65" s="130"/>
      <c r="R65" s="130"/>
      <c r="X65" s="3">
        <f t="shared" ref="X65:X67" si="16" xml:space="preserve"> E65/($E$68*PI()/8)</f>
        <v>0.68883293224946518</v>
      </c>
      <c r="Y65" s="3">
        <f t="shared" ref="Y65:Y67" si="17" xml:space="preserve"> H65/($H$68*PI()/8)</f>
        <v>0.67398134049722225</v>
      </c>
      <c r="Z65" s="3">
        <f t="shared" si="2"/>
        <v>1.771490309283999E-2</v>
      </c>
      <c r="AA65" s="3">
        <f t="shared" si="3"/>
        <v>1.7327159416528529E-2</v>
      </c>
    </row>
    <row r="66" spans="1:27">
      <c r="A66" s="117"/>
      <c r="B66" s="117"/>
      <c r="C66" s="117"/>
      <c r="D66" s="84" t="s">
        <v>52</v>
      </c>
      <c r="E66" s="102">
        <f xml:space="preserve"> (1-defaultFit_Inclusive!$U66)*defaultFit_Inclusive!E66</f>
        <v>284.55413257499998</v>
      </c>
      <c r="F66" s="102">
        <f xml:space="preserve"> E66*SQRT(POWER(defaultFit_Inclusive!$V66/(1-defaultFit_Inclusive!$U66),2+POWER(defaultFit_Inclusive!F66/defaultFit_Inclusive!E66,2)))</f>
        <v>8.9647736838671399</v>
      </c>
      <c r="G66" s="76" t="e">
        <f>SQRT(POWER(Z66,2)+POWER(fitSyst_Prompt!AE66/(PI()/8),2))</f>
        <v>#DIV/0!</v>
      </c>
      <c r="H66" s="102">
        <f xml:space="preserve"> (1-defaultFit_Inclusive!$U66)*defaultFit_Inclusive!H66</f>
        <v>244.77790714500003</v>
      </c>
      <c r="I66" s="102">
        <f xml:space="preserve"> H66*SQRT(POWER(defaultFit_Inclusive!$V66/(1-defaultFit_Inclusive!$U66),2+POWER(defaultFit_Inclusive!I66/defaultFit_Inclusive!H66,2)))</f>
        <v>7.706994505780135</v>
      </c>
      <c r="J66" s="76" t="e">
        <f>SQRT(POWER(AA66,2)+POWER(fitSyst_Prompt!AF66/(PI()/8),2))</f>
        <v>#DIV/0!</v>
      </c>
      <c r="K66" s="102"/>
      <c r="L66" s="131"/>
      <c r="M66" s="131"/>
      <c r="N66" s="131"/>
      <c r="O66" s="132"/>
      <c r="P66" s="75"/>
      <c r="Q66" s="130"/>
      <c r="R66" s="130"/>
      <c r="X66" s="3">
        <f t="shared" si="16"/>
        <v>0.57690402269026742</v>
      </c>
      <c r="Y66" s="3">
        <f t="shared" si="17"/>
        <v>0.55832661730731614</v>
      </c>
      <c r="Z66" s="3">
        <f t="shared" si="2"/>
        <v>1.8175149852612541E-2</v>
      </c>
      <c r="AA66" s="3">
        <f t="shared" si="3"/>
        <v>1.7579283286662375E-2</v>
      </c>
    </row>
    <row r="67" spans="1:27">
      <c r="A67" s="117"/>
      <c r="B67" s="117"/>
      <c r="C67" s="117"/>
      <c r="D67" s="84" t="s">
        <v>53</v>
      </c>
      <c r="E67" s="102">
        <f xml:space="preserve"> (1-defaultFit_Inclusive!$U67)*defaultFit_Inclusive!E67</f>
        <v>296.33748519199997</v>
      </c>
      <c r="F67" s="102">
        <f xml:space="preserve"> E67*SQRT(POWER(defaultFit_Inclusive!$V67/(1-defaultFit_Inclusive!$U67),2+POWER(defaultFit_Inclusive!F67/defaultFit_Inclusive!E67,2)))</f>
        <v>9.0650593863104554</v>
      </c>
      <c r="G67" s="76" t="e">
        <f>SQRT(POWER(Z67,2)+POWER(fitSyst_Prompt!AE67/(PI()/8),2))</f>
        <v>#DIV/0!</v>
      </c>
      <c r="H67" s="102">
        <f xml:space="preserve"> (1-defaultFit_Inclusive!$U67)*defaultFit_Inclusive!H67</f>
        <v>250.38262026999999</v>
      </c>
      <c r="I67" s="102">
        <f xml:space="preserve"> H67*SQRT(POWER(defaultFit_Inclusive!$V67/(1-defaultFit_Inclusive!$U67),2+POWER(defaultFit_Inclusive!I67/defaultFit_Inclusive!H67,2)))</f>
        <v>7.6543131967384239</v>
      </c>
      <c r="J67" s="76" t="e">
        <f>SQRT(POWER(AA67,2)+POWER(fitSyst_Prompt!AF67/(PI()/8),2))</f>
        <v>#DIV/0!</v>
      </c>
      <c r="K67" s="102"/>
      <c r="L67" s="131"/>
      <c r="M67" s="131"/>
      <c r="N67" s="131"/>
      <c r="O67" s="132"/>
      <c r="P67" s="75"/>
      <c r="Q67" s="130"/>
      <c r="R67" s="130"/>
      <c r="X67" s="3">
        <f t="shared" si="16"/>
        <v>0.6007935493121781</v>
      </c>
      <c r="Y67" s="3">
        <f t="shared" si="17"/>
        <v>0.57111069801360903</v>
      </c>
      <c r="Z67" s="3">
        <f t="shared" si="2"/>
        <v>1.8378468724260341E-2</v>
      </c>
      <c r="AA67" s="3">
        <f t="shared" si="3"/>
        <v>1.745911975795324E-2</v>
      </c>
    </row>
    <row r="68" spans="1:27">
      <c r="A68" s="117"/>
      <c r="B68" s="117"/>
      <c r="C68" s="117"/>
      <c r="D68" s="80"/>
      <c r="E68" s="94">
        <f xml:space="preserve"> SUM(E64:E67)</f>
        <v>1256.034140732</v>
      </c>
      <c r="F68" s="94"/>
      <c r="G68" s="76">
        <f>SQRT(POWER(Z68,2)+POWER(fitSyst_Prompt!AE68/(PI()/8),2))</f>
        <v>0</v>
      </c>
      <c r="H68" s="94">
        <f xml:space="preserve"> SUM(H64:H67)</f>
        <v>1116.4107223030001</v>
      </c>
      <c r="I68" s="94"/>
      <c r="J68" s="76">
        <f>SQRT(POWER(AA68,2)+POWER(fitSyst_Prompt!AF68/(PI()/8),2))</f>
        <v>0</v>
      </c>
      <c r="K68" s="94"/>
      <c r="L68" s="95"/>
      <c r="M68" s="95"/>
      <c r="N68" s="95"/>
      <c r="O68" s="80"/>
      <c r="P68" s="72"/>
      <c r="Q68" s="91"/>
      <c r="R68" s="72"/>
      <c r="X68" s="3"/>
      <c r="Y68" s="3"/>
      <c r="Z68" s="3"/>
      <c r="AA68" s="3"/>
    </row>
    <row r="69" spans="1:27">
      <c r="A69" s="117" t="s">
        <v>82</v>
      </c>
      <c r="B69" s="117" t="s">
        <v>79</v>
      </c>
      <c r="C69" s="117" t="s">
        <v>17</v>
      </c>
      <c r="D69" s="84" t="s">
        <v>51</v>
      </c>
      <c r="E69" s="102">
        <f xml:space="preserve"> (1-defaultFit_Inclusive!$U69)*defaultFit_Inclusive!E69</f>
        <v>688.87883029</v>
      </c>
      <c r="F69" s="102">
        <f xml:space="preserve"> E69*SQRT(POWER(defaultFit_Inclusive!$V69/(1-defaultFit_Inclusive!$U69),2+POWER(defaultFit_Inclusive!F69/defaultFit_Inclusive!E69,2)))</f>
        <v>13.152827554267047</v>
      </c>
      <c r="G69" s="76">
        <f>SQRT(POWER(Z69,2)+POWER(fitSyst_Prompt!AE69/(PI()/8),2))</f>
        <v>0</v>
      </c>
      <c r="H69" s="102">
        <f xml:space="preserve"> (1-defaultFit_Inclusive!$U69)*defaultFit_Inclusive!H69</f>
        <v>653.00149984999996</v>
      </c>
      <c r="I69" s="102">
        <f xml:space="preserve"> H69*SQRT(POWER(defaultFit_Inclusive!$V69/(1-defaultFit_Inclusive!$U69),2+POWER(defaultFit_Inclusive!I69/defaultFit_Inclusive!H69,2)))</f>
        <v>12.471011709454499</v>
      </c>
      <c r="J69" s="76">
        <f>SQRT(POWER(AA69,2)+POWER(fitSyst_Prompt!AF69/(PI()/8),2))</f>
        <v>0</v>
      </c>
      <c r="K69" s="75"/>
      <c r="L69" s="75"/>
      <c r="M69" s="75"/>
      <c r="N69" s="75"/>
      <c r="O69" s="75"/>
      <c r="P69" s="75"/>
      <c r="Q69" s="75"/>
      <c r="R69" s="75"/>
      <c r="X69" s="3"/>
      <c r="Y69" s="3"/>
      <c r="Z69" s="3"/>
      <c r="AA69" s="3"/>
    </row>
    <row r="70" spans="1:27">
      <c r="A70" s="117"/>
      <c r="B70" s="117"/>
      <c r="C70" s="117"/>
      <c r="D70" s="85" t="s">
        <v>49</v>
      </c>
      <c r="E70" s="102">
        <f xml:space="preserve"> (1-defaultFit_Inclusive!$U70)*defaultFit_Inclusive!E70</f>
        <v>185.63409331999998</v>
      </c>
      <c r="F70" s="102">
        <f xml:space="preserve"> E70*SQRT(POWER(defaultFit_Inclusive!$V70/(1-defaultFit_Inclusive!$U70),2+POWER(defaultFit_Inclusive!F70/defaultFit_Inclusive!E70,2)))</f>
        <v>5.798450221256882</v>
      </c>
      <c r="G70" s="76" t="e">
        <f>SQRT(POWER(Z70,2)+POWER(fitSyst_Prompt!AE70/(PI()/8),2))</f>
        <v>#DIV/0!</v>
      </c>
      <c r="H70" s="102">
        <f xml:space="preserve"> (1-defaultFit_Inclusive!$U70)*defaultFit_Inclusive!H70</f>
        <v>217.38557926799999</v>
      </c>
      <c r="I70" s="102">
        <f xml:space="preserve"> H70*SQRT(POWER(defaultFit_Inclusive!$V70/(1-defaultFit_Inclusive!$U70),2+POWER(defaultFit_Inclusive!I70/defaultFit_Inclusive!H70,2)))</f>
        <v>6.8172079835215937</v>
      </c>
      <c r="J70" s="76" t="e">
        <f>SQRT(POWER(AA70,2)+POWER(fitSyst_Prompt!AF70/(PI()/8),2))</f>
        <v>#DIV/0!</v>
      </c>
      <c r="K70" s="102"/>
      <c r="L70" s="131">
        <v>0.12</v>
      </c>
      <c r="M70" s="131">
        <v>0.1</v>
      </c>
      <c r="N70" s="131">
        <v>0.13</v>
      </c>
      <c r="O70" s="132">
        <v>0.1</v>
      </c>
      <c r="P70" s="75"/>
      <c r="Q70" s="130">
        <f xml:space="preserve"> (L70/ep_CorrectionFactors!H18+N70/ep_CorrectionFactors!M18)/2</f>
        <v>0.15937823438380461</v>
      </c>
      <c r="R70" s="130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9.0156706149671542E-2</v>
      </c>
      <c r="X70" s="3">
        <f xml:space="preserve"> E70/($E$74*PI()/8)</f>
        <v>0.69504083079358814</v>
      </c>
      <c r="Y70" s="3">
        <f xml:space="preserve"> H70/($H$74*PI()/8)</f>
        <v>0.84847991688276869</v>
      </c>
      <c r="Z70" s="3">
        <f t="shared" ref="Z70:Z85" si="18" xml:space="preserve"> X70*F70/E70</f>
        <v>2.1710234294895246E-2</v>
      </c>
      <c r="AA70" s="3">
        <f t="shared" ref="AA70:AA85" si="19" xml:space="preserve"> Y70*I70/H70</f>
        <v>2.6608315430619804E-2</v>
      </c>
    </row>
    <row r="71" spans="1:27">
      <c r="A71" s="117"/>
      <c r="B71" s="117"/>
      <c r="C71" s="117"/>
      <c r="D71" s="85" t="s">
        <v>50</v>
      </c>
      <c r="E71" s="102">
        <f xml:space="preserve"> (1-defaultFit_Inclusive!$U71)*defaultFit_Inclusive!E71</f>
        <v>176.74081851999998</v>
      </c>
      <c r="F71" s="102">
        <f xml:space="preserve"> E71*SQRT(POWER(defaultFit_Inclusive!$V71/(1-defaultFit_Inclusive!$U71),2+POWER(defaultFit_Inclusive!F71/defaultFit_Inclusive!E71,2)))</f>
        <v>7.2463199252702912</v>
      </c>
      <c r="G71" s="76" t="e">
        <f>SQRT(POWER(Z71,2)+POWER(fitSyst_Prompt!AE71/(PI()/8),2))</f>
        <v>#DIV/0!</v>
      </c>
      <c r="H71" s="102">
        <f xml:space="preserve"> (1-defaultFit_Inclusive!$U71)*defaultFit_Inclusive!H71</f>
        <v>143.854742773</v>
      </c>
      <c r="I71" s="102">
        <f xml:space="preserve"> H71*SQRT(POWER(defaultFit_Inclusive!$V71/(1-defaultFit_Inclusive!$U71),2+POWER(defaultFit_Inclusive!I71/defaultFit_Inclusive!H71,2)))</f>
        <v>5.8958373244980971</v>
      </c>
      <c r="J71" s="76" t="e">
        <f>SQRT(POWER(AA71,2)+POWER(fitSyst_Prompt!AF71/(PI()/8),2))</f>
        <v>#DIV/0!</v>
      </c>
      <c r="K71" s="102"/>
      <c r="L71" s="131"/>
      <c r="M71" s="131"/>
      <c r="N71" s="131"/>
      <c r="O71" s="132"/>
      <c r="P71" s="75"/>
      <c r="Q71" s="130"/>
      <c r="R71" s="130"/>
      <c r="X71" s="3">
        <f t="shared" ref="X71:X73" si="20" xml:space="preserve"> E71/($E$74*PI()/8)</f>
        <v>0.66174312671930247</v>
      </c>
      <c r="Y71" s="3">
        <f t="shared" ref="Y71:Y73" si="21" xml:space="preserve"> H71/($H$74*PI()/8)</f>
        <v>0.5614809436864725</v>
      </c>
      <c r="Z71" s="3">
        <f t="shared" si="18"/>
        <v>2.7131267381870359E-2</v>
      </c>
      <c r="AA71" s="3">
        <f t="shared" si="19"/>
        <v>2.3012104022214035E-2</v>
      </c>
    </row>
    <row r="72" spans="1:27">
      <c r="A72" s="117"/>
      <c r="B72" s="117"/>
      <c r="C72" s="117"/>
      <c r="D72" s="84" t="s">
        <v>52</v>
      </c>
      <c r="E72" s="102">
        <f xml:space="preserve"> (1-defaultFit_Inclusive!$U72)*defaultFit_Inclusive!E72</f>
        <v>167.28255904400001</v>
      </c>
      <c r="F72" s="102">
        <f xml:space="preserve"> E72*SQRT(POWER(defaultFit_Inclusive!$V72/(1-defaultFit_Inclusive!$U72),2+POWER(defaultFit_Inclusive!F72/defaultFit_Inclusive!E72,2)))</f>
        <v>6.466971568990588</v>
      </c>
      <c r="G72" s="76" t="e">
        <f>SQRT(POWER(Z72,2)+POWER(fitSyst_Prompt!AE72/(PI()/8),2))</f>
        <v>#DIV/0!</v>
      </c>
      <c r="H72" s="102">
        <f xml:space="preserve"> (1-defaultFit_Inclusive!$U72)*defaultFit_Inclusive!H72</f>
        <v>151.015991324</v>
      </c>
      <c r="I72" s="102">
        <f xml:space="preserve"> H72*SQRT(POWER(defaultFit_Inclusive!$V72/(1-defaultFit_Inclusive!$U72),2+POWER(defaultFit_Inclusive!I72/defaultFit_Inclusive!H72,2)))</f>
        <v>5.8410279661166244</v>
      </c>
      <c r="J72" s="76" t="e">
        <f>SQRT(POWER(AA72,2)+POWER(fitSyst_Prompt!AF72/(PI()/8),2))</f>
        <v>#DIV/0!</v>
      </c>
      <c r="K72" s="102"/>
      <c r="L72" s="131"/>
      <c r="M72" s="131"/>
      <c r="N72" s="131"/>
      <c r="O72" s="132"/>
      <c r="P72" s="75"/>
      <c r="Q72" s="130"/>
      <c r="R72" s="130"/>
      <c r="X72" s="3">
        <f t="shared" si="20"/>
        <v>0.62633003849564228</v>
      </c>
      <c r="Y72" s="3">
        <f t="shared" si="21"/>
        <v>0.58943208743662179</v>
      </c>
      <c r="Z72" s="3">
        <f t="shared" si="18"/>
        <v>2.4213274682692503E-2</v>
      </c>
      <c r="AA72" s="3">
        <f t="shared" si="19"/>
        <v>2.2798177045086555E-2</v>
      </c>
    </row>
    <row r="73" spans="1:27">
      <c r="A73" s="117"/>
      <c r="B73" s="117"/>
      <c r="C73" s="117"/>
      <c r="D73" s="84" t="s">
        <v>53</v>
      </c>
      <c r="E73" s="102">
        <f xml:space="preserve"> (1-defaultFit_Inclusive!$U73)*defaultFit_Inclusive!E73</f>
        <v>150.46564705199998</v>
      </c>
      <c r="F73" s="102">
        <f xml:space="preserve"> E73*SQRT(POWER(defaultFit_Inclusive!$V73/(1-defaultFit_Inclusive!$U73),2+POWER(defaultFit_Inclusive!F73/defaultFit_Inclusive!E73,2)))</f>
        <v>6.3620592067113506</v>
      </c>
      <c r="G73" s="76" t="e">
        <f>SQRT(POWER(Z73,2)+POWER(fitSyst_Prompt!AE73/(PI()/8),2))</f>
        <v>#DIV/0!</v>
      </c>
      <c r="H73" s="102">
        <f xml:space="preserve"> (1-defaultFit_Inclusive!$U73)*defaultFit_Inclusive!H73</f>
        <v>140.16670920000001</v>
      </c>
      <c r="I73" s="102">
        <f xml:space="preserve"> H73*SQRT(POWER(defaultFit_Inclusive!$V73/(1-defaultFit_Inclusive!$U73),2+POWER(defaultFit_Inclusive!I73/defaultFit_Inclusive!H73,2)))</f>
        <v>5.9276951261895805</v>
      </c>
      <c r="J73" s="76" t="e">
        <f>SQRT(POWER(AA73,2)+POWER(fitSyst_Prompt!AF73/(PI()/8),2))</f>
        <v>#DIV/0!</v>
      </c>
      <c r="K73" s="102"/>
      <c r="L73" s="131"/>
      <c r="M73" s="131"/>
      <c r="N73" s="131"/>
      <c r="O73" s="132"/>
      <c r="P73" s="75"/>
      <c r="Q73" s="130"/>
      <c r="R73" s="130"/>
      <c r="X73" s="3">
        <f t="shared" si="20"/>
        <v>0.56336509346179242</v>
      </c>
      <c r="Y73" s="3">
        <f t="shared" si="21"/>
        <v>0.54708614146446277</v>
      </c>
      <c r="Z73" s="3">
        <f t="shared" si="18"/>
        <v>2.3820467660367241E-2</v>
      </c>
      <c r="AA73" s="3">
        <f t="shared" si="19"/>
        <v>2.3136448539556344E-2</v>
      </c>
    </row>
    <row r="74" spans="1:27">
      <c r="A74" s="117"/>
      <c r="B74" s="117"/>
      <c r="C74" s="117"/>
      <c r="D74" s="80"/>
      <c r="E74" s="94">
        <f xml:space="preserve"> SUM(E70:E73)</f>
        <v>680.12311793599997</v>
      </c>
      <c r="F74" s="94"/>
      <c r="G74" s="76">
        <f>SQRT(POWER(Z74,2)+POWER(fitSyst_Prompt!AE74/(PI()/8),2))</f>
        <v>0</v>
      </c>
      <c r="H74" s="94">
        <f xml:space="preserve"> SUM(H70:H73)</f>
        <v>652.423022565</v>
      </c>
      <c r="I74" s="94"/>
      <c r="J74" s="76">
        <f>SQRT(POWER(AA74,2)+POWER(fitSyst_Prompt!AF74/(PI()/8),2))</f>
        <v>0</v>
      </c>
      <c r="K74" s="94"/>
      <c r="L74" s="95"/>
      <c r="M74" s="95"/>
      <c r="N74" s="95"/>
      <c r="O74" s="80"/>
      <c r="P74" s="72"/>
      <c r="Q74" s="91"/>
      <c r="R74" s="72"/>
      <c r="X74" s="3"/>
      <c r="Y74" s="3"/>
      <c r="Z74" s="3"/>
      <c r="AA74" s="3"/>
    </row>
    <row r="75" spans="1:27">
      <c r="A75" s="117" t="s">
        <v>81</v>
      </c>
      <c r="B75" s="117" t="s">
        <v>83</v>
      </c>
      <c r="C75" s="117" t="s">
        <v>17</v>
      </c>
      <c r="D75" s="84" t="s">
        <v>51</v>
      </c>
      <c r="E75" s="102">
        <f xml:space="preserve"> (1-defaultFit_Inclusive!$U75)*defaultFit_Inclusive!E75</f>
        <v>1448.3618179099999</v>
      </c>
      <c r="F75" s="102">
        <f xml:space="preserve"> E75*SQRT(POWER(defaultFit_Inclusive!$V75/(1-defaultFit_Inclusive!$U75),2+POWER(defaultFit_Inclusive!F75/defaultFit_Inclusive!E75,2)))</f>
        <v>18.893335763074241</v>
      </c>
      <c r="G75" s="76">
        <f>SQRT(POWER(Z75,2)+POWER(fitSyst_Prompt!AE75/(PI()/8),2))</f>
        <v>0</v>
      </c>
      <c r="H75" s="102">
        <f xml:space="preserve"> (1-defaultFit_Inclusive!$U75)*defaultFit_Inclusive!H75</f>
        <v>2221.1021427000001</v>
      </c>
      <c r="I75" s="102">
        <f xml:space="preserve"> H75*SQRT(POWER(defaultFit_Inclusive!$V75/(1-defaultFit_Inclusive!$U75),2+POWER(defaultFit_Inclusive!I75/defaultFit_Inclusive!H75,2)))</f>
        <v>28.767361640345523</v>
      </c>
      <c r="J75" s="76">
        <f>SQRT(POWER(AA75,2)+POWER(fitSyst_Prompt!AF75/(PI()/8),2))</f>
        <v>0</v>
      </c>
      <c r="K75" s="75"/>
      <c r="L75" s="75"/>
      <c r="M75" s="75"/>
      <c r="N75" s="75"/>
      <c r="O75" s="75"/>
      <c r="P75" s="75"/>
      <c r="Q75" s="75"/>
      <c r="R75" s="75"/>
      <c r="X75" s="3"/>
      <c r="Y75" s="3"/>
      <c r="Z75" s="3"/>
      <c r="AA75" s="3"/>
    </row>
    <row r="76" spans="1:27">
      <c r="A76" s="117"/>
      <c r="B76" s="117"/>
      <c r="C76" s="117"/>
      <c r="D76" s="85" t="s">
        <v>49</v>
      </c>
      <c r="E76" s="102">
        <f xml:space="preserve"> (1-defaultFit_Inclusive!$U76)*defaultFit_Inclusive!E76</f>
        <v>413.00845764750005</v>
      </c>
      <c r="F76" s="102">
        <f xml:space="preserve"> E76*SQRT(POWER(defaultFit_Inclusive!$V76/(1-defaultFit_Inclusive!$U76),2+POWER(defaultFit_Inclusive!F76/defaultFit_Inclusive!E76,2)))</f>
        <v>8.8924161829690664</v>
      </c>
      <c r="G76" s="76" t="e">
        <f>SQRT(POWER(Z76,2)+POWER(fitSyst_Prompt!AE76/(PI()/8),2))</f>
        <v>#DIV/0!</v>
      </c>
      <c r="H76" s="102">
        <f xml:space="preserve"> (1-defaultFit_Inclusive!$U76)*defaultFit_Inclusive!H76</f>
        <v>599.37731618500004</v>
      </c>
      <c r="I76" s="102">
        <f xml:space="preserve"> H76*SQRT(POWER(defaultFit_Inclusive!$V76/(1-defaultFit_Inclusive!$U76),2+POWER(defaultFit_Inclusive!I76/defaultFit_Inclusive!H76,2)))</f>
        <v>12.912143476945912</v>
      </c>
      <c r="J76" s="76" t="e">
        <f>SQRT(POWER(AA76,2)+POWER(fitSyst_Prompt!AF76/(PI()/8),2))</f>
        <v>#DIV/0!</v>
      </c>
      <c r="K76" s="102"/>
      <c r="L76" s="131">
        <v>0.12</v>
      </c>
      <c r="M76" s="131">
        <v>0.1</v>
      </c>
      <c r="N76" s="131">
        <v>0.13</v>
      </c>
      <c r="O76" s="132">
        <v>0.1</v>
      </c>
      <c r="P76" s="75"/>
      <c r="Q76" s="130">
        <f xml:space="preserve"> (L76/ep_CorrectionFactors!H18+N76/ep_CorrectionFactors!M18)/2</f>
        <v>0.15937823438380461</v>
      </c>
      <c r="R76" s="130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9.0156706149671542E-2</v>
      </c>
      <c r="X76" s="3">
        <f xml:space="preserve"> E76/($E$80*PI()/8)</f>
        <v>0.72282506927744827</v>
      </c>
      <c r="Y76" s="3">
        <f xml:space="preserve"> H76/($H$80*PI()/8)</f>
        <v>0.68501061096300664</v>
      </c>
      <c r="Z76" s="3">
        <f t="shared" si="18"/>
        <v>1.5563025948937064E-2</v>
      </c>
      <c r="AA76" s="3">
        <f t="shared" si="19"/>
        <v>1.4756906965185668E-2</v>
      </c>
    </row>
    <row r="77" spans="1:27">
      <c r="A77" s="117"/>
      <c r="B77" s="117"/>
      <c r="C77" s="117"/>
      <c r="D77" s="85" t="s">
        <v>50</v>
      </c>
      <c r="E77" s="102">
        <f xml:space="preserve"> (1-defaultFit_Inclusive!$U77)*defaultFit_Inclusive!E77</f>
        <v>335.78162919099998</v>
      </c>
      <c r="F77" s="102">
        <f xml:space="preserve"> E77*SQRT(POWER(defaultFit_Inclusive!$V77/(1-defaultFit_Inclusive!$U77),2+POWER(defaultFit_Inclusive!F77/defaultFit_Inclusive!E77,2)))</f>
        <v>10.054545675043789</v>
      </c>
      <c r="G77" s="76" t="e">
        <f>SQRT(POWER(Z77,2)+POWER(fitSyst_Prompt!AE77/(PI()/8),2))</f>
        <v>#DIV/0!</v>
      </c>
      <c r="H77" s="102">
        <f xml:space="preserve"> (1-defaultFit_Inclusive!$U77)*defaultFit_Inclusive!H77</f>
        <v>538.386708398</v>
      </c>
      <c r="I77" s="102">
        <f xml:space="preserve"> H77*SQRT(POWER(defaultFit_Inclusive!$V77/(1-defaultFit_Inclusive!$U77),2+POWER(defaultFit_Inclusive!I77/defaultFit_Inclusive!H77,2)))</f>
        <v>16.152256678515471</v>
      </c>
      <c r="J77" s="76" t="e">
        <f>SQRT(POWER(AA77,2)+POWER(fitSyst_Prompt!AF77/(PI()/8),2))</f>
        <v>#DIV/0!</v>
      </c>
      <c r="K77" s="102"/>
      <c r="L77" s="131"/>
      <c r="M77" s="131"/>
      <c r="N77" s="131"/>
      <c r="O77" s="132"/>
      <c r="P77" s="75"/>
      <c r="Q77" s="130"/>
      <c r="R77" s="130"/>
      <c r="X77" s="3">
        <f t="shared" ref="X77:X79" si="22" xml:space="preserve"> E77/($E$80*PI()/8)</f>
        <v>0.58766685012836117</v>
      </c>
      <c r="Y77" s="3">
        <f t="shared" ref="Y77:Y79" si="23" xml:space="preserve"> H77/($H$80*PI()/8)</f>
        <v>0.61530624882748208</v>
      </c>
      <c r="Z77" s="3">
        <f t="shared" si="18"/>
        <v>1.759692214419422E-2</v>
      </c>
      <c r="AA77" s="3">
        <f t="shared" si="19"/>
        <v>1.8459936532476476E-2</v>
      </c>
    </row>
    <row r="78" spans="1:27">
      <c r="A78" s="117"/>
      <c r="B78" s="117"/>
      <c r="C78" s="117"/>
      <c r="D78" s="84" t="s">
        <v>52</v>
      </c>
      <c r="E78" s="102">
        <f xml:space="preserve"> (1-defaultFit_Inclusive!$U78)*defaultFit_Inclusive!E78</f>
        <v>333.6687574</v>
      </c>
      <c r="F78" s="102">
        <f xml:space="preserve"> E78*SQRT(POWER(defaultFit_Inclusive!$V78/(1-defaultFit_Inclusive!$U78),2+POWER(defaultFit_Inclusive!F78/defaultFit_Inclusive!E78,2)))</f>
        <v>8.8907405054067308</v>
      </c>
      <c r="G78" s="76" t="e">
        <f>SQRT(POWER(Z78,2)+POWER(fitSyst_Prompt!AE78/(PI()/8),2))</f>
        <v>#DIV/0!</v>
      </c>
      <c r="H78" s="102">
        <f xml:space="preserve"> (1-defaultFit_Inclusive!$U78)*defaultFit_Inclusive!H78</f>
        <v>535.97905687499997</v>
      </c>
      <c r="I78" s="102">
        <f xml:space="preserve"> H78*SQRT(POWER(defaultFit_Inclusive!$V78/(1-defaultFit_Inclusive!$U78),2+POWER(defaultFit_Inclusive!I78/defaultFit_Inclusive!H78,2)))</f>
        <v>14.308590830223194</v>
      </c>
      <c r="J78" s="76" t="e">
        <f>SQRT(POWER(AA78,2)+POWER(fitSyst_Prompt!AF78/(PI()/8),2))</f>
        <v>#DIV/0!</v>
      </c>
      <c r="K78" s="102"/>
      <c r="L78" s="131"/>
      <c r="M78" s="131"/>
      <c r="N78" s="131"/>
      <c r="O78" s="132"/>
      <c r="P78" s="75"/>
      <c r="Q78" s="130"/>
      <c r="R78" s="130"/>
      <c r="X78" s="3">
        <f t="shared" si="22"/>
        <v>0.58396901617260377</v>
      </c>
      <c r="Y78" s="3">
        <f t="shared" si="23"/>
        <v>0.61255461509657327</v>
      </c>
      <c r="Z78" s="3">
        <f t="shared" si="18"/>
        <v>1.556009326867918E-2</v>
      </c>
      <c r="AA78" s="3">
        <f t="shared" si="19"/>
        <v>1.6352865352024071E-2</v>
      </c>
    </row>
    <row r="79" spans="1:27">
      <c r="A79" s="117"/>
      <c r="B79" s="117"/>
      <c r="C79" s="117"/>
      <c r="D79" s="84" t="s">
        <v>53</v>
      </c>
      <c r="E79" s="102">
        <f xml:space="preserve"> (1-defaultFit_Inclusive!$U79)*defaultFit_Inclusive!E79</f>
        <v>372.55073674499999</v>
      </c>
      <c r="F79" s="102">
        <f xml:space="preserve"> E79*SQRT(POWER(defaultFit_Inclusive!$V79/(1-defaultFit_Inclusive!$U79),2+POWER(defaultFit_Inclusive!F79/defaultFit_Inclusive!E79,2)))</f>
        <v>8.6436200204267735</v>
      </c>
      <c r="G79" s="76" t="e">
        <f>SQRT(POWER(Z79,2)+POWER(fitSyst_Prompt!AE79/(PI()/8),2))</f>
        <v>#DIV/0!</v>
      </c>
      <c r="H79" s="102">
        <f xml:space="preserve"> (1-defaultFit_Inclusive!$U79)*defaultFit_Inclusive!H79</f>
        <v>554.40021726000009</v>
      </c>
      <c r="I79" s="102">
        <f xml:space="preserve"> H79*SQRT(POWER(defaultFit_Inclusive!$V79/(1-defaultFit_Inclusive!$U79),2+POWER(defaultFit_Inclusive!I79/defaultFit_Inclusive!H79,2)))</f>
        <v>12.871223370771073</v>
      </c>
      <c r="J79" s="76" t="e">
        <f>SQRT(POWER(AA79,2)+POWER(fitSyst_Prompt!AF79/(PI()/8),2))</f>
        <v>#DIV/0!</v>
      </c>
      <c r="K79" s="102"/>
      <c r="L79" s="131"/>
      <c r="M79" s="131"/>
      <c r="N79" s="131"/>
      <c r="O79" s="132"/>
      <c r="P79" s="75"/>
      <c r="Q79" s="130"/>
      <c r="R79" s="130"/>
      <c r="X79" s="3">
        <f t="shared" si="22"/>
        <v>0.65201815389191231</v>
      </c>
      <c r="Y79" s="3">
        <f t="shared" si="23"/>
        <v>0.63360761458326331</v>
      </c>
      <c r="Z79" s="3">
        <f t="shared" si="18"/>
        <v>1.5127596358826625E-2</v>
      </c>
      <c r="AA79" s="3">
        <f t="shared" si="19"/>
        <v>1.4710140585854011E-2</v>
      </c>
    </row>
    <row r="80" spans="1:27">
      <c r="A80" s="117"/>
      <c r="B80" s="117"/>
      <c r="C80" s="117"/>
      <c r="D80" s="80"/>
      <c r="E80" s="94">
        <f xml:space="preserve"> SUM(E76:E79)</f>
        <v>1455.0095809835</v>
      </c>
      <c r="F80" s="94"/>
      <c r="G80" s="76">
        <f>SQRT(POWER(Z80,2)+POWER(fitSyst_Prompt!AE80/(PI()/8),2))</f>
        <v>0</v>
      </c>
      <c r="H80" s="94">
        <f xml:space="preserve"> SUM(H76:H79)</f>
        <v>2228.1432987180001</v>
      </c>
      <c r="I80" s="94"/>
      <c r="J80" s="76">
        <f>SQRT(POWER(AA80,2)+POWER(fitSyst_Prompt!AF80/(PI()/8),2))</f>
        <v>0</v>
      </c>
      <c r="K80" s="94"/>
      <c r="L80" s="95"/>
      <c r="M80" s="95"/>
      <c r="N80" s="95"/>
      <c r="O80" s="80"/>
      <c r="P80" s="72"/>
      <c r="Q80" s="91"/>
      <c r="R80" s="72"/>
      <c r="X80" s="3"/>
      <c r="Y80" s="3"/>
      <c r="Z80" s="3"/>
      <c r="AA80" s="3"/>
    </row>
    <row r="81" spans="1:27">
      <c r="A81" s="117"/>
      <c r="B81" s="117" t="s">
        <v>79</v>
      </c>
      <c r="C81" s="117" t="s">
        <v>17</v>
      </c>
      <c r="D81" s="84" t="s">
        <v>51</v>
      </c>
      <c r="E81" s="102">
        <f xml:space="preserve"> (1-defaultFit_Inclusive!$U81)*defaultFit_Inclusive!E81</f>
        <v>762.31940839699996</v>
      </c>
      <c r="F81" s="102">
        <f xml:space="preserve"> E81*SQRT(POWER(defaultFit_Inclusive!$V81/(1-defaultFit_Inclusive!$U81),2+POWER(defaultFit_Inclusive!F81/defaultFit_Inclusive!E81,2)))</f>
        <v>13.57708805154391</v>
      </c>
      <c r="G81" s="76">
        <f>SQRT(POWER(Z81,2)+POWER(fitSyst_Prompt!AE81/(PI()/8),2))</f>
        <v>0</v>
      </c>
      <c r="H81" s="102">
        <f xml:space="preserve"> (1-defaultFit_Inclusive!$U81)*defaultFit_Inclusive!H81</f>
        <v>702.24483690600005</v>
      </c>
      <c r="I81" s="102">
        <f xml:space="preserve"> H81*SQRT(POWER(defaultFit_Inclusive!$V81/(1-defaultFit_Inclusive!$U81),2+POWER(defaultFit_Inclusive!I81/defaultFit_Inclusive!H81,2)))</f>
        <v>12.500611536635944</v>
      </c>
      <c r="J81" s="76">
        <f>SQRT(POWER(AA81,2)+POWER(fitSyst_Prompt!AF81/(PI()/8),2))</f>
        <v>0</v>
      </c>
      <c r="K81" s="75"/>
      <c r="L81" s="75"/>
      <c r="M81" s="75"/>
      <c r="N81" s="75"/>
      <c r="O81" s="75"/>
      <c r="P81" s="75"/>
      <c r="Q81" s="75"/>
      <c r="R81" s="75"/>
      <c r="X81" s="3"/>
      <c r="Y81" s="3"/>
      <c r="Z81" s="3"/>
      <c r="AA81" s="3"/>
    </row>
    <row r="82" spans="1:27">
      <c r="A82" s="117"/>
      <c r="B82" s="117"/>
      <c r="C82" s="117"/>
      <c r="D82" s="85" t="s">
        <v>49</v>
      </c>
      <c r="E82" s="102">
        <f xml:space="preserve"> (1-defaultFit_Inclusive!$U82)*defaultFit_Inclusive!E82</f>
        <v>220.86486176000003</v>
      </c>
      <c r="F82" s="102">
        <f xml:space="preserve"> E82*SQRT(POWER(defaultFit_Inclusive!$V82/(1-defaultFit_Inclusive!$U82),2+POWER(defaultFit_Inclusive!F82/defaultFit_Inclusive!E82,2)))</f>
        <v>7.1966856027441963</v>
      </c>
      <c r="G82" s="76" t="e">
        <f>SQRT(POWER(Z82,2)+POWER(fitSyst_Prompt!AE82/(PI()/8),2))</f>
        <v>#DIV/0!</v>
      </c>
      <c r="H82" s="102">
        <f xml:space="preserve"> (1-defaultFit_Inclusive!$U82)*defaultFit_Inclusive!H82</f>
        <v>191.26895747000003</v>
      </c>
      <c r="I82" s="102">
        <f xml:space="preserve"> H82*SQRT(POWER(defaultFit_Inclusive!$V82/(1-defaultFit_Inclusive!$U82),2+POWER(defaultFit_Inclusive!I82/defaultFit_Inclusive!H82,2)))</f>
        <v>6.2262737831904698</v>
      </c>
      <c r="J82" s="76" t="e">
        <f>SQRT(POWER(AA82,2)+POWER(fitSyst_Prompt!AF82/(PI()/8),2))</f>
        <v>#DIV/0!</v>
      </c>
      <c r="K82" s="102"/>
      <c r="L82" s="131">
        <v>0.12</v>
      </c>
      <c r="M82" s="131">
        <v>0.1</v>
      </c>
      <c r="N82" s="131">
        <v>0.13</v>
      </c>
      <c r="O82" s="132">
        <v>0.1</v>
      </c>
      <c r="P82" s="75"/>
      <c r="Q82" s="130">
        <f xml:space="preserve"> (L82/ep_CorrectionFactors!H18+N82/ep_CorrectionFactors!M18)/2</f>
        <v>0.15937823438380461</v>
      </c>
      <c r="R82" s="130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9.0156706149671542E-2</v>
      </c>
      <c r="X82" s="3">
        <f xml:space="preserve"> E82/($E$86*PI()/8)</f>
        <v>0.73727038996041794</v>
      </c>
      <c r="Y82" s="3">
        <f xml:space="preserve"> H82/($H$86*PI()/8)</f>
        <v>0.69584312917010149</v>
      </c>
      <c r="Z82" s="3">
        <f t="shared" si="18"/>
        <v>2.4023301662730447E-2</v>
      </c>
      <c r="AA82" s="3">
        <f t="shared" si="19"/>
        <v>2.2651400884247323E-2</v>
      </c>
    </row>
    <row r="83" spans="1:27">
      <c r="A83" s="117"/>
      <c r="B83" s="117"/>
      <c r="C83" s="117"/>
      <c r="D83" s="85" t="s">
        <v>50</v>
      </c>
      <c r="E83" s="102">
        <f xml:space="preserve"> (1-defaultFit_Inclusive!$U83)*defaultFit_Inclusive!E83</f>
        <v>192.32700884999997</v>
      </c>
      <c r="F83" s="102">
        <f xml:space="preserve"> E83*SQRT(POWER(defaultFit_Inclusive!$V83/(1-defaultFit_Inclusive!$U83),2+POWER(defaultFit_Inclusive!F83/defaultFit_Inclusive!E83,2)))</f>
        <v>6.3940486800439871</v>
      </c>
      <c r="G83" s="76" t="e">
        <f>SQRT(POWER(Z83,2)+POWER(fitSyst_Prompt!AE83/(PI()/8),2))</f>
        <v>#DIV/0!</v>
      </c>
      <c r="H83" s="102">
        <f xml:space="preserve"> (1-defaultFit_Inclusive!$U83)*defaultFit_Inclusive!H83</f>
        <v>189.69642652499999</v>
      </c>
      <c r="I83" s="102">
        <f xml:space="preserve"> H83*SQRT(POWER(defaultFit_Inclusive!$V83/(1-defaultFit_Inclusive!$U83),2+POWER(defaultFit_Inclusive!I83/defaultFit_Inclusive!H83,2)))</f>
        <v>6.3071617880740387</v>
      </c>
      <c r="J83" s="76" t="e">
        <f>SQRT(POWER(AA83,2)+POWER(fitSyst_Prompt!AF83/(PI()/8),2))</f>
        <v>#DIV/0!</v>
      </c>
      <c r="K83" s="102"/>
      <c r="L83" s="131"/>
      <c r="M83" s="131"/>
      <c r="N83" s="131"/>
      <c r="O83" s="132"/>
      <c r="P83" s="75"/>
      <c r="Q83" s="130"/>
      <c r="R83" s="130"/>
      <c r="X83" s="3">
        <f t="shared" ref="X83:X85" si="24" xml:space="preserve"> E83/($E$86*PI()/8)</f>
        <v>0.64200800292462146</v>
      </c>
      <c r="Y83" s="3">
        <f t="shared" ref="Y83:Y85" si="25" xml:space="preserve"> H83/($H$86*PI()/8)</f>
        <v>0.6901222068209677</v>
      </c>
      <c r="Z83" s="3">
        <f t="shared" si="18"/>
        <v>2.13440142818394E-2</v>
      </c>
      <c r="AA83" s="3">
        <f t="shared" si="19"/>
        <v>2.2945674263341459E-2</v>
      </c>
    </row>
    <row r="84" spans="1:27">
      <c r="A84" s="117"/>
      <c r="B84" s="117"/>
      <c r="C84" s="117"/>
      <c r="D84" s="84" t="s">
        <v>52</v>
      </c>
      <c r="E84" s="102">
        <f xml:space="preserve"> (1-defaultFit_Inclusive!$U84)*defaultFit_Inclusive!E84</f>
        <v>191.90170844400001</v>
      </c>
      <c r="F84" s="102">
        <f xml:space="preserve"> E84*SQRT(POWER(defaultFit_Inclusive!$V84/(1-defaultFit_Inclusive!$U84),2+POWER(defaultFit_Inclusive!F84/defaultFit_Inclusive!E84,2)))</f>
        <v>6.7227476708638179</v>
      </c>
      <c r="G84" s="76" t="e">
        <f>SQRT(POWER(Z84,2)+POWER(fitSyst_Prompt!AE84/(PI()/8),2))</f>
        <v>#DIV/0!</v>
      </c>
      <c r="H84" s="102">
        <f xml:space="preserve"> (1-defaultFit_Inclusive!$U84)*defaultFit_Inclusive!H84</f>
        <v>154.64550313799998</v>
      </c>
      <c r="I84" s="102">
        <f xml:space="preserve"> H84*SQRT(POWER(defaultFit_Inclusive!$V84/(1-defaultFit_Inclusive!$U84),2+POWER(defaultFit_Inclusive!I84/defaultFit_Inclusive!H84,2)))</f>
        <v>5.4056552378019207</v>
      </c>
      <c r="J84" s="76" t="e">
        <f>SQRT(POWER(AA84,2)+POWER(fitSyst_Prompt!AF84/(PI()/8),2))</f>
        <v>#DIV/0!</v>
      </c>
      <c r="K84" s="102"/>
      <c r="L84" s="131"/>
      <c r="M84" s="131"/>
      <c r="N84" s="131"/>
      <c r="O84" s="132"/>
      <c r="P84" s="75"/>
      <c r="Q84" s="130"/>
      <c r="R84" s="130"/>
      <c r="X84" s="3">
        <f t="shared" si="24"/>
        <v>0.64058830495327723</v>
      </c>
      <c r="Y84" s="3">
        <f t="shared" si="25"/>
        <v>0.56260572671605014</v>
      </c>
      <c r="Z84" s="3">
        <f t="shared" si="18"/>
        <v>2.244124645906399E-2</v>
      </c>
      <c r="AA84" s="3">
        <f t="shared" si="19"/>
        <v>1.9665962033995066E-2</v>
      </c>
    </row>
    <row r="85" spans="1:27">
      <c r="A85" s="117"/>
      <c r="B85" s="117"/>
      <c r="C85" s="117"/>
      <c r="D85" s="84" t="s">
        <v>53</v>
      </c>
      <c r="E85" s="102">
        <f xml:space="preserve"> (1-defaultFit_Inclusive!$U85)*defaultFit_Inclusive!E85</f>
        <v>157.75782489400001</v>
      </c>
      <c r="F85" s="102">
        <f xml:space="preserve"> E85*SQRT(POWER(defaultFit_Inclusive!$V85/(1-defaultFit_Inclusive!$U85),2+POWER(defaultFit_Inclusive!F85/defaultFit_Inclusive!E85,2)))</f>
        <v>6.5760535982964319</v>
      </c>
      <c r="G85" s="76" t="e">
        <f>SQRT(POWER(Z85,2)+POWER(fitSyst_Prompt!AE85/(PI()/8),2))</f>
        <v>#DIV/0!</v>
      </c>
      <c r="H85" s="102">
        <f xml:space="preserve"> (1-defaultFit_Inclusive!$U85)*defaultFit_Inclusive!H85</f>
        <v>164.349176054</v>
      </c>
      <c r="I85" s="102">
        <f xml:space="preserve"> H85*SQRT(POWER(defaultFit_Inclusive!$V85/(1-defaultFit_Inclusive!$U85),2+POWER(defaultFit_Inclusive!I85/defaultFit_Inclusive!H85,2)))</f>
        <v>6.8573153439876613</v>
      </c>
      <c r="J85" s="76" t="e">
        <f>SQRT(POWER(AA85,2)+POWER(fitSyst_Prompt!AF85/(PI()/8),2))</f>
        <v>#DIV/0!</v>
      </c>
      <c r="K85" s="102"/>
      <c r="L85" s="131"/>
      <c r="M85" s="131"/>
      <c r="N85" s="131"/>
      <c r="O85" s="132"/>
      <c r="P85" s="75"/>
      <c r="Q85" s="130"/>
      <c r="R85" s="130"/>
      <c r="X85" s="3">
        <f t="shared" si="24"/>
        <v>0.52661239163200924</v>
      </c>
      <c r="Y85" s="3">
        <f t="shared" si="25"/>
        <v>0.59790802676320587</v>
      </c>
      <c r="Z85" s="3">
        <f t="shared" si="18"/>
        <v>2.1951566048948951E-2</v>
      </c>
      <c r="AA85" s="3">
        <f t="shared" si="19"/>
        <v>2.4947152061593366E-2</v>
      </c>
    </row>
    <row r="86" spans="1:27">
      <c r="A86" s="117"/>
      <c r="B86" s="117"/>
      <c r="C86" s="117"/>
      <c r="D86" s="80"/>
      <c r="E86" s="94">
        <f xml:space="preserve"> SUM(E82:E85)</f>
        <v>762.85140394799998</v>
      </c>
      <c r="F86" s="94"/>
      <c r="G86" s="73"/>
      <c r="H86" s="94">
        <f xml:space="preserve"> SUM(H82:H85)</f>
        <v>699.96006318700006</v>
      </c>
      <c r="I86" s="94"/>
      <c r="J86" s="73"/>
      <c r="K86" s="94"/>
      <c r="L86" s="95"/>
      <c r="M86" s="95"/>
      <c r="N86" s="95"/>
      <c r="O86" s="80"/>
      <c r="P86" s="72"/>
      <c r="Q86" s="91"/>
      <c r="R86" s="72"/>
    </row>
  </sheetData>
  <mergeCells count="106">
    <mergeCell ref="R76:R79"/>
    <mergeCell ref="L82:L85"/>
    <mergeCell ref="M82:M85"/>
    <mergeCell ref="N82:N85"/>
    <mergeCell ref="O82:O85"/>
    <mergeCell ref="Q82:Q85"/>
    <mergeCell ref="R82:R85"/>
    <mergeCell ref="L76:L79"/>
    <mergeCell ref="M76:M79"/>
    <mergeCell ref="N76:N79"/>
    <mergeCell ref="O76:O79"/>
    <mergeCell ref="Q76:Q79"/>
    <mergeCell ref="R64:R67"/>
    <mergeCell ref="L70:L73"/>
    <mergeCell ref="M70:M73"/>
    <mergeCell ref="N70:N73"/>
    <mergeCell ref="O70:O73"/>
    <mergeCell ref="Q70:Q73"/>
    <mergeCell ref="R70:R73"/>
    <mergeCell ref="L64:L67"/>
    <mergeCell ref="M64:M67"/>
    <mergeCell ref="N64:N67"/>
    <mergeCell ref="O64:O67"/>
    <mergeCell ref="Q64:Q67"/>
    <mergeCell ref="Q34:Q37"/>
    <mergeCell ref="R52:R55"/>
    <mergeCell ref="L58:L61"/>
    <mergeCell ref="M58:M61"/>
    <mergeCell ref="N58:N61"/>
    <mergeCell ref="O58:O61"/>
    <mergeCell ref="Q58:Q61"/>
    <mergeCell ref="R58:R61"/>
    <mergeCell ref="L52:L55"/>
    <mergeCell ref="M52:M55"/>
    <mergeCell ref="N52:N55"/>
    <mergeCell ref="O52:O55"/>
    <mergeCell ref="Q52:Q55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R34:R37"/>
    <mergeCell ref="L40:L43"/>
    <mergeCell ref="M40:M43"/>
    <mergeCell ref="N40:N43"/>
    <mergeCell ref="O40:O43"/>
    <mergeCell ref="Q40:Q43"/>
    <mergeCell ref="R40:R43"/>
    <mergeCell ref="L46:L49"/>
    <mergeCell ref="M46:M49"/>
    <mergeCell ref="N46:N49"/>
    <mergeCell ref="O46:O49"/>
    <mergeCell ref="Q46:Q49"/>
    <mergeCell ref="R46:R49"/>
    <mergeCell ref="L34:L37"/>
    <mergeCell ref="M34:M37"/>
    <mergeCell ref="N34:N37"/>
    <mergeCell ref="O34:O37"/>
    <mergeCell ref="A3:A32"/>
    <mergeCell ref="B3:B32"/>
    <mergeCell ref="C3:C8"/>
    <mergeCell ref="C9:C14"/>
    <mergeCell ref="C15:C20"/>
    <mergeCell ref="C21:C26"/>
    <mergeCell ref="C27:C32"/>
    <mergeCell ref="L4:L7"/>
    <mergeCell ref="M4:M7"/>
    <mergeCell ref="L10:L13"/>
    <mergeCell ref="M10:M13"/>
    <mergeCell ref="L16:L19"/>
    <mergeCell ref="M16:M19"/>
    <mergeCell ref="N16:N19"/>
    <mergeCell ref="O16:O19"/>
    <mergeCell ref="L22:L25"/>
    <mergeCell ref="M22:M25"/>
    <mergeCell ref="N22:N25"/>
    <mergeCell ref="L28:L31"/>
    <mergeCell ref="Q4:Q7"/>
    <mergeCell ref="R4:R7"/>
    <mergeCell ref="Q10:Q13"/>
    <mergeCell ref="R10:R13"/>
    <mergeCell ref="Q16:Q19"/>
    <mergeCell ref="R16:R19"/>
    <mergeCell ref="O4:O7"/>
    <mergeCell ref="N4:N7"/>
    <mergeCell ref="N10:N13"/>
    <mergeCell ref="N28:N31"/>
    <mergeCell ref="O10:O13"/>
    <mergeCell ref="Q22:Q25"/>
    <mergeCell ref="R22:R25"/>
    <mergeCell ref="Q28:Q31"/>
    <mergeCell ref="R28:R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showRuler="0" workbookViewId="0">
      <pane xSplit="4" topLeftCell="E1" activePane="topRight" state="frozen"/>
      <selection pane="topRight" activeCell="J50" sqref="J50:J62"/>
    </sheetView>
  </sheetViews>
  <sheetFormatPr baseColWidth="10" defaultRowHeight="18" x14ac:dyDescent="0"/>
  <cols>
    <col min="1" max="6" width="10.83203125" style="46"/>
    <col min="7" max="7" width="17.33203125" style="46" customWidth="1"/>
    <col min="8" max="9" width="10.83203125" style="46"/>
    <col min="10" max="10" width="16.33203125" style="46" customWidth="1"/>
    <col min="11" max="16384" width="10.83203125" style="46"/>
  </cols>
  <sheetData>
    <row r="1" spans="1:27">
      <c r="A1" s="84"/>
      <c r="B1" s="84"/>
      <c r="C1" s="84"/>
      <c r="D1" s="84"/>
      <c r="E1" s="84"/>
      <c r="F1" s="84"/>
      <c r="G1" s="84"/>
      <c r="H1" s="84"/>
      <c r="I1" s="84"/>
      <c r="J1" s="107"/>
      <c r="K1" s="107" t="s">
        <v>74</v>
      </c>
      <c r="L1" s="107"/>
      <c r="M1" s="107"/>
      <c r="N1" s="84"/>
      <c r="O1" s="84"/>
      <c r="X1" s="3" t="s">
        <v>101</v>
      </c>
      <c r="Z1" s="46" t="s">
        <v>102</v>
      </c>
    </row>
    <row r="2" spans="1:27">
      <c r="A2" s="85" t="s">
        <v>18</v>
      </c>
      <c r="B2" s="85" t="s">
        <v>19</v>
      </c>
      <c r="C2" s="85" t="s">
        <v>20</v>
      </c>
      <c r="D2" s="85" t="s">
        <v>48</v>
      </c>
      <c r="E2" s="85" t="s">
        <v>63</v>
      </c>
      <c r="F2" s="85" t="s">
        <v>69</v>
      </c>
      <c r="G2" s="85" t="s">
        <v>72</v>
      </c>
      <c r="H2" s="85" t="s">
        <v>68</v>
      </c>
      <c r="I2" s="85" t="s">
        <v>70</v>
      </c>
      <c r="J2" s="85" t="s">
        <v>73</v>
      </c>
      <c r="K2" s="85"/>
      <c r="L2" s="85" t="s">
        <v>15</v>
      </c>
      <c r="M2" s="85" t="s">
        <v>16</v>
      </c>
      <c r="N2" s="85" t="s">
        <v>11</v>
      </c>
      <c r="O2" s="84" t="s">
        <v>12</v>
      </c>
      <c r="Q2" s="3" t="s">
        <v>65</v>
      </c>
      <c r="R2" s="3" t="s">
        <v>66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>
      <c r="A3" s="123" t="s">
        <v>55</v>
      </c>
      <c r="B3" s="123" t="s">
        <v>25</v>
      </c>
      <c r="C3" s="123" t="s">
        <v>35</v>
      </c>
      <c r="D3" s="26" t="s">
        <v>51</v>
      </c>
      <c r="E3" s="97">
        <f xml:space="preserve"> defaultFit_Inclusive!$U3*defaultFit_Inclusive!E3</f>
        <v>391.92847920000003</v>
      </c>
      <c r="F3" s="97">
        <f xml:space="preserve"> E3*SQRT(POWER(defaultFit_Inclusive!$V3/defaultFit_Inclusive!$U3,2+POWER(defaultFit_Inclusive!F3/defaultFit_Inclusive!E3,2)))</f>
        <v>17.892412551089318</v>
      </c>
      <c r="G3" s="76"/>
      <c r="H3" s="97">
        <f xml:space="preserve"> defaultFit_Inclusive!$U3*defaultFit_Inclusive!H3</f>
        <v>357.85079100000007</v>
      </c>
      <c r="I3" s="97">
        <f xml:space="preserve"> H3*SQRT(POWER(defaultFit_Inclusive!$V3/defaultFit_Inclusive!$U3,2+POWER(defaultFit_Inclusive!I3/defaultFit_Inclusive!H3,2)))</f>
        <v>16.33391464057625</v>
      </c>
      <c r="J3" s="76"/>
      <c r="K3" s="97"/>
      <c r="L3" s="98"/>
      <c r="M3" s="98"/>
      <c r="N3" s="98"/>
      <c r="O3" s="34"/>
      <c r="P3" s="33"/>
      <c r="Q3" s="78"/>
      <c r="R3" s="78"/>
      <c r="X3" s="3"/>
      <c r="Y3" s="3"/>
      <c r="Z3" s="3"/>
      <c r="AA3" s="3"/>
    </row>
    <row r="4" spans="1:27">
      <c r="A4" s="123"/>
      <c r="B4" s="123"/>
      <c r="C4" s="123"/>
      <c r="D4" s="85" t="s">
        <v>49</v>
      </c>
      <c r="E4" s="97">
        <f xml:space="preserve"> defaultFit_Inclusive!$U4*defaultFit_Inclusive!E4</f>
        <v>112.90268502000001</v>
      </c>
      <c r="F4" s="97">
        <f xml:space="preserve"> E4*SQRT(POWER(defaultFit_Inclusive!$V4/defaultFit_Inclusive!$U4,2+POWER(defaultFit_Inclusive!F4/defaultFit_Inclusive!E4,2)))</f>
        <v>9.169977130923586</v>
      </c>
      <c r="G4" s="76" t="e">
        <f>SQRT(POWER(Z4,2)+POWER(fitSyst_NonPrompt!AE4/(PI()/8),2))</f>
        <v>#DIV/0!</v>
      </c>
      <c r="H4" s="97">
        <f xml:space="preserve"> defaultFit_Inclusive!$U4*defaultFit_Inclusive!H4</f>
        <v>104.455194363</v>
      </c>
      <c r="I4" s="97">
        <f xml:space="preserve"> H4*SQRT(POWER(defaultFit_Inclusive!$V4/defaultFit_Inclusive!$U4,2+POWER(defaultFit_Inclusive!I4/defaultFit_Inclusive!H4,2)))</f>
        <v>8.4819897760301028</v>
      </c>
      <c r="J4" s="76" t="e">
        <f>SQRT(POWER(AA4,2)+POWER(fitSyst_NonPrompt!AF4/(PI()/8),2))</f>
        <v>#DIV/0!</v>
      </c>
      <c r="K4" s="97"/>
      <c r="L4" s="126">
        <v>0.12</v>
      </c>
      <c r="M4" s="126">
        <v>0.1</v>
      </c>
      <c r="N4" s="126">
        <v>0.13</v>
      </c>
      <c r="O4" s="120">
        <v>0.1</v>
      </c>
      <c r="P4" s="33"/>
      <c r="Q4" s="121">
        <f xml:space="preserve"> (L4/ep_CorrectionFactors!H21+N4/ep_CorrectionFactors!M21)/2</f>
        <v>0.19847347785694297</v>
      </c>
      <c r="R4" s="121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0.11228431329904759</v>
      </c>
      <c r="X4" s="3">
        <f xml:space="preserve"> E4/($E$8*PI()/8)</f>
        <v>0.74976385208140417</v>
      </c>
      <c r="Y4" s="3">
        <f xml:space="preserve"> H4/($H$8*PI()/8)</f>
        <v>0.75044426668482966</v>
      </c>
      <c r="Z4" s="3">
        <f xml:space="preserve"> X4*F4/E4</f>
        <v>6.0895959878737436E-2</v>
      </c>
      <c r="AA4" s="3">
        <f xml:space="preserve"> Y4*I4/H4</f>
        <v>6.093771244521113E-2</v>
      </c>
    </row>
    <row r="5" spans="1:27">
      <c r="A5" s="123"/>
      <c r="B5" s="123"/>
      <c r="C5" s="123"/>
      <c r="D5" s="85" t="s">
        <v>50</v>
      </c>
      <c r="E5" s="97">
        <f xml:space="preserve"> defaultFit_Inclusive!$U5*defaultFit_Inclusive!E5</f>
        <v>95.365220280000017</v>
      </c>
      <c r="F5" s="97">
        <f xml:space="preserve"> E5*SQRT(POWER(defaultFit_Inclusive!$V5/defaultFit_Inclusive!$U5,2+POWER(defaultFit_Inclusive!F5/defaultFit_Inclusive!E5,2)))</f>
        <v>8.9180886260103307</v>
      </c>
      <c r="G5" s="76" t="e">
        <f>SQRT(POWER(Z5,2)+POWER(fitSyst_NonPrompt!AE5/(PI()/8),2))</f>
        <v>#DIV/0!</v>
      </c>
      <c r="H5" s="97">
        <f xml:space="preserve"> defaultFit_Inclusive!$U5*defaultFit_Inclusive!H5</f>
        <v>85.105556910000018</v>
      </c>
      <c r="I5" s="97">
        <f xml:space="preserve"> H5*SQRT(POWER(defaultFit_Inclusive!$V5/defaultFit_Inclusive!$U5,2+POWER(defaultFit_Inclusive!I5/defaultFit_Inclusive!H5,2)))</f>
        <v>7.9556320733133452</v>
      </c>
      <c r="J5" s="76" t="e">
        <f>SQRT(POWER(AA5,2)+POWER(fitSyst_NonPrompt!AF5/(PI()/8),2))</f>
        <v>#DIV/0!</v>
      </c>
      <c r="K5" s="97"/>
      <c r="L5" s="126"/>
      <c r="M5" s="126"/>
      <c r="N5" s="126"/>
      <c r="O5" s="120"/>
      <c r="P5" s="33"/>
      <c r="Q5" s="121"/>
      <c r="R5" s="121"/>
      <c r="X5" s="3">
        <f t="shared" ref="X5:X7" si="0" xml:space="preserve"> E5/($E$8*PI()/8)</f>
        <v>0.6333011026182277</v>
      </c>
      <c r="Y5" s="3">
        <f t="shared" ref="Y5:Y7" si="1" xml:space="preserve"> H5/($H$8*PI()/8)</f>
        <v>0.61142940411541546</v>
      </c>
      <c r="Z5" s="3">
        <f t="shared" ref="Z5:Z67" si="2" xml:space="preserve"> X5*F5/E5</f>
        <v>5.9223219361491698E-2</v>
      </c>
      <c r="AA5" s="3">
        <f t="shared" ref="AA5:AA67" si="3" xml:space="preserve"> Y5*I5/H5</f>
        <v>5.7156166466209961E-2</v>
      </c>
    </row>
    <row r="6" spans="1:27">
      <c r="A6" s="123"/>
      <c r="B6" s="123"/>
      <c r="C6" s="123"/>
      <c r="D6" s="84" t="s">
        <v>52</v>
      </c>
      <c r="E6" s="97">
        <f xml:space="preserve"> defaultFit_Inclusive!$U6*defaultFit_Inclusive!E6</f>
        <v>87.580506077999999</v>
      </c>
      <c r="F6" s="97">
        <f xml:space="preserve"> E6*SQRT(POWER(defaultFit_Inclusive!$V6/defaultFit_Inclusive!$U6,2+POWER(defaultFit_Inclusive!F6/defaultFit_Inclusive!E6,2)))</f>
        <v>8.458817216266489</v>
      </c>
      <c r="G6" s="76" t="e">
        <f>SQRT(POWER(Z6,2)+POWER(fitSyst_NonPrompt!AE6/(PI()/8),2))</f>
        <v>#DIV/0!</v>
      </c>
      <c r="H6" s="97">
        <f xml:space="preserve"> defaultFit_Inclusive!$U6*defaultFit_Inclusive!H6</f>
        <v>84.695574576000013</v>
      </c>
      <c r="I6" s="97">
        <f xml:space="preserve"> H6*SQRT(POWER(defaultFit_Inclusive!$V6/defaultFit_Inclusive!$U6,2+POWER(defaultFit_Inclusive!I6/defaultFit_Inclusive!H6,2)))</f>
        <v>8.1810061593981853</v>
      </c>
      <c r="J6" s="76" t="e">
        <f>SQRT(POWER(AA6,2)+POWER(fitSyst_NonPrompt!AF6/(PI()/8),2))</f>
        <v>#DIV/0!</v>
      </c>
      <c r="K6" s="97"/>
      <c r="L6" s="126"/>
      <c r="M6" s="126"/>
      <c r="N6" s="126"/>
      <c r="O6" s="120"/>
      <c r="P6" s="33"/>
      <c r="Q6" s="121"/>
      <c r="R6" s="121"/>
      <c r="X6" s="3">
        <f t="shared" si="0"/>
        <v>0.58160439313421131</v>
      </c>
      <c r="Y6" s="3">
        <f t="shared" si="1"/>
        <v>0.60848394128928585</v>
      </c>
      <c r="Z6" s="3">
        <f t="shared" si="2"/>
        <v>5.6173290998322994E-2</v>
      </c>
      <c r="AA6" s="3">
        <f t="shared" si="3"/>
        <v>5.8775336214474873E-2</v>
      </c>
    </row>
    <row r="7" spans="1:27">
      <c r="A7" s="123"/>
      <c r="B7" s="123"/>
      <c r="C7" s="123"/>
      <c r="D7" s="84" t="s">
        <v>53</v>
      </c>
      <c r="E7" s="97">
        <f xml:space="preserve"> defaultFit_Inclusive!$U7*defaultFit_Inclusive!E7</f>
        <v>87.611428344000004</v>
      </c>
      <c r="F7" s="97">
        <f xml:space="preserve"> E7*SQRT(POWER(defaultFit_Inclusive!$V7/defaultFit_Inclusive!$U7,2+POWER(defaultFit_Inclusive!F7/defaultFit_Inclusive!E7,2)))</f>
        <v>8.4250959928655025</v>
      </c>
      <c r="G7" s="76" t="e">
        <f>SQRT(POWER(Z7,2)+POWER(fitSyst_NonPrompt!AE7/(PI()/8),2))</f>
        <v>#DIV/0!</v>
      </c>
      <c r="H7" s="97">
        <f xml:space="preserve"> defaultFit_Inclusive!$U7*defaultFit_Inclusive!H7</f>
        <v>80.19100627200001</v>
      </c>
      <c r="I7" s="97">
        <f xml:space="preserve"> H7*SQRT(POWER(defaultFit_Inclusive!$V7/defaultFit_Inclusive!$U7,2+POWER(defaultFit_Inclusive!I7/defaultFit_Inclusive!H7,2)))</f>
        <v>7.7075658984530895</v>
      </c>
      <c r="J7" s="76" t="e">
        <f>SQRT(POWER(AA7,2)+POWER(fitSyst_NonPrompt!AF7/(PI()/8),2))</f>
        <v>#DIV/0!</v>
      </c>
      <c r="K7" s="97"/>
      <c r="L7" s="126"/>
      <c r="M7" s="126"/>
      <c r="N7" s="126"/>
      <c r="O7" s="120"/>
      <c r="P7" s="33"/>
      <c r="Q7" s="121"/>
      <c r="R7" s="121"/>
      <c r="X7" s="3">
        <f t="shared" si="0"/>
        <v>0.58180974163648247</v>
      </c>
      <c r="Y7" s="3">
        <f t="shared" si="1"/>
        <v>0.57612147738079467</v>
      </c>
      <c r="Z7" s="3">
        <f t="shared" si="2"/>
        <v>5.5949355187145937E-2</v>
      </c>
      <c r="AA7" s="3">
        <f t="shared" si="3"/>
        <v>5.5373968464305159E-2</v>
      </c>
    </row>
    <row r="8" spans="1:27">
      <c r="A8" s="123"/>
      <c r="B8" s="123"/>
      <c r="C8" s="123"/>
      <c r="D8" s="80"/>
      <c r="E8" s="94">
        <f xml:space="preserve"> SUM(E4:E7)</f>
        <v>383.45983972200003</v>
      </c>
      <c r="F8" s="94"/>
      <c r="G8" s="76"/>
      <c r="H8" s="94">
        <f xml:space="preserve"> SUM(H4:H7)</f>
        <v>354.44733212100004</v>
      </c>
      <c r="I8" s="94"/>
      <c r="J8" s="76"/>
      <c r="K8" s="94"/>
      <c r="L8" s="95"/>
      <c r="M8" s="95"/>
      <c r="N8" s="95"/>
      <c r="O8" s="80"/>
      <c r="P8" s="72"/>
      <c r="Q8" s="91"/>
      <c r="R8" s="72"/>
      <c r="X8" s="3"/>
      <c r="Y8" s="3"/>
      <c r="Z8" s="3"/>
      <c r="AA8" s="3"/>
    </row>
    <row r="9" spans="1:27">
      <c r="A9" s="123"/>
      <c r="B9" s="123"/>
      <c r="C9" s="124" t="s">
        <v>2</v>
      </c>
      <c r="D9" s="26" t="s">
        <v>51</v>
      </c>
      <c r="E9" s="86"/>
      <c r="F9" s="86"/>
      <c r="G9" s="87"/>
      <c r="H9" s="86"/>
      <c r="I9" s="86"/>
      <c r="J9" s="87"/>
      <c r="K9" s="86"/>
      <c r="L9" s="89"/>
      <c r="M9" s="89"/>
      <c r="N9" s="89"/>
      <c r="O9" s="84"/>
      <c r="X9" s="3"/>
      <c r="Y9" s="3"/>
      <c r="Z9" s="3"/>
      <c r="AA9" s="3"/>
    </row>
    <row r="10" spans="1:27">
      <c r="A10" s="123"/>
      <c r="B10" s="123"/>
      <c r="C10" s="124"/>
      <c r="D10" s="85" t="s">
        <v>49</v>
      </c>
      <c r="E10" s="86"/>
      <c r="F10" s="86"/>
      <c r="G10" s="87"/>
      <c r="H10" s="86"/>
      <c r="I10" s="86"/>
      <c r="J10" s="87"/>
      <c r="K10" s="86"/>
      <c r="L10" s="116"/>
      <c r="M10" s="116"/>
      <c r="N10" s="116"/>
      <c r="O10" s="116"/>
      <c r="Q10" s="111"/>
      <c r="R10" s="113"/>
      <c r="X10" s="3"/>
      <c r="Y10" s="3"/>
      <c r="Z10" s="3"/>
      <c r="AA10" s="3"/>
    </row>
    <row r="11" spans="1:27">
      <c r="A11" s="123"/>
      <c r="B11" s="123"/>
      <c r="C11" s="124"/>
      <c r="D11" s="85" t="s">
        <v>50</v>
      </c>
      <c r="E11" s="86"/>
      <c r="F11" s="86"/>
      <c r="G11" s="87"/>
      <c r="H11" s="86"/>
      <c r="I11" s="86"/>
      <c r="J11" s="87"/>
      <c r="K11" s="86"/>
      <c r="L11" s="116"/>
      <c r="M11" s="116"/>
      <c r="N11" s="116"/>
      <c r="O11" s="116"/>
      <c r="Q11" s="111"/>
      <c r="R11" s="113"/>
      <c r="X11" s="3"/>
      <c r="Y11" s="3"/>
      <c r="Z11" s="3"/>
      <c r="AA11" s="3"/>
    </row>
    <row r="12" spans="1:27">
      <c r="A12" s="123"/>
      <c r="B12" s="123"/>
      <c r="C12" s="124"/>
      <c r="D12" s="84" t="s">
        <v>52</v>
      </c>
      <c r="E12" s="86"/>
      <c r="F12" s="86"/>
      <c r="G12" s="87"/>
      <c r="H12" s="86"/>
      <c r="I12" s="86"/>
      <c r="J12" s="87"/>
      <c r="K12" s="86"/>
      <c r="L12" s="116"/>
      <c r="M12" s="116"/>
      <c r="N12" s="116"/>
      <c r="O12" s="116"/>
      <c r="Q12" s="111"/>
      <c r="R12" s="113"/>
      <c r="X12" s="3"/>
      <c r="Y12" s="3"/>
      <c r="Z12" s="3"/>
      <c r="AA12" s="3"/>
    </row>
    <row r="13" spans="1:27">
      <c r="A13" s="123"/>
      <c r="B13" s="123"/>
      <c r="C13" s="124"/>
      <c r="D13" s="84" t="s">
        <v>53</v>
      </c>
      <c r="E13" s="86"/>
      <c r="F13" s="86"/>
      <c r="G13" s="87"/>
      <c r="H13" s="86"/>
      <c r="I13" s="86"/>
      <c r="J13" s="87"/>
      <c r="K13" s="86"/>
      <c r="L13" s="116"/>
      <c r="M13" s="116"/>
      <c r="N13" s="116"/>
      <c r="O13" s="116"/>
      <c r="Q13" s="111"/>
      <c r="R13" s="113"/>
      <c r="X13" s="3"/>
      <c r="Y13" s="3"/>
      <c r="Z13" s="3"/>
      <c r="AA13" s="3"/>
    </row>
    <row r="14" spans="1:27">
      <c r="A14" s="123"/>
      <c r="B14" s="123"/>
      <c r="C14" s="124"/>
      <c r="D14" s="80"/>
      <c r="E14" s="94">
        <f xml:space="preserve"> SUM(E10:E13)</f>
        <v>0</v>
      </c>
      <c r="F14" s="94"/>
      <c r="G14" s="76"/>
      <c r="H14" s="94">
        <f xml:space="preserve"> SUM(H10:H13)</f>
        <v>0</v>
      </c>
      <c r="I14" s="94"/>
      <c r="J14" s="76"/>
      <c r="K14" s="94"/>
      <c r="L14" s="96"/>
      <c r="M14" s="96"/>
      <c r="N14" s="96"/>
      <c r="O14" s="80"/>
      <c r="P14" s="72"/>
      <c r="Q14" s="72"/>
      <c r="R14" s="72"/>
      <c r="X14" s="3"/>
      <c r="Y14" s="3"/>
      <c r="Z14" s="3"/>
      <c r="AA14" s="3"/>
    </row>
    <row r="15" spans="1:27">
      <c r="A15" s="123"/>
      <c r="B15" s="123"/>
      <c r="C15" s="116" t="s">
        <v>54</v>
      </c>
      <c r="D15" s="26" t="s">
        <v>51</v>
      </c>
      <c r="E15" s="97">
        <f xml:space="preserve"> defaultFit_Inclusive!$U15*defaultFit_Inclusive!E15</f>
        <v>284.18560527</v>
      </c>
      <c r="F15" s="97">
        <f xml:space="preserve"> E15*SQRT(POWER(defaultFit_Inclusive!$V15/defaultFit_Inclusive!$U15,2+POWER(defaultFit_Inclusive!F15/defaultFit_Inclusive!E15,2)))</f>
        <v>14.740470725176003</v>
      </c>
      <c r="G15" s="76"/>
      <c r="H15" s="97">
        <f xml:space="preserve"> defaultFit_Inclusive!$U15*defaultFit_Inclusive!H15</f>
        <v>278.70230779999997</v>
      </c>
      <c r="I15" s="97">
        <f xml:space="preserve"> H15*SQRT(POWER(defaultFit_Inclusive!$V15/defaultFit_Inclusive!$U15,2+POWER(defaultFit_Inclusive!I15/defaultFit_Inclusive!H15,2)))</f>
        <v>14.455870597627653</v>
      </c>
      <c r="J15" s="76"/>
      <c r="K15" s="97"/>
      <c r="L15" s="99"/>
      <c r="M15" s="99"/>
      <c r="N15" s="99"/>
      <c r="O15" s="34"/>
      <c r="P15" s="33"/>
      <c r="Q15" s="33"/>
      <c r="R15" s="33"/>
      <c r="X15" s="3"/>
      <c r="Y15" s="3"/>
      <c r="Z15" s="3"/>
      <c r="AA15" s="3"/>
    </row>
    <row r="16" spans="1:27">
      <c r="A16" s="123"/>
      <c r="B16" s="123"/>
      <c r="C16" s="116"/>
      <c r="D16" s="85" t="s">
        <v>49</v>
      </c>
      <c r="E16" s="97">
        <f xml:space="preserve"> defaultFit_Inclusive!$U16*defaultFit_Inclusive!E16</f>
        <v>69.170679207999996</v>
      </c>
      <c r="F16" s="97">
        <f xml:space="preserve"> E16*SQRT(POWER(defaultFit_Inclusive!$V16/defaultFit_Inclusive!$U16,2+POWER(defaultFit_Inclusive!F16/defaultFit_Inclusive!E16,2)))</f>
        <v>6.9858066709940134</v>
      </c>
      <c r="G16" s="76" t="e">
        <f>SQRT(POWER(Z16,2)+POWER(fitSyst_NonPrompt!AE16/(PI()/8),2))</f>
        <v>#DIV/0!</v>
      </c>
      <c r="H16" s="97">
        <f xml:space="preserve"> defaultFit_Inclusive!$U16*defaultFit_Inclusive!H16</f>
        <v>79.925418653000008</v>
      </c>
      <c r="I16" s="97">
        <f xml:space="preserve"> H16*SQRT(POWER(defaultFit_Inclusive!$V16/defaultFit_Inclusive!$U16,2+POWER(defaultFit_Inclusive!I16/defaultFit_Inclusive!H16,2)))</f>
        <v>8.0784374208129393</v>
      </c>
      <c r="J16" s="76" t="e">
        <f>SQRT(POWER(AA16,2)+POWER(fitSyst_NonPrompt!AF16/(PI()/8),2))</f>
        <v>#DIV/0!</v>
      </c>
      <c r="K16" s="97"/>
      <c r="L16" s="120">
        <v>0.12</v>
      </c>
      <c r="M16" s="120">
        <v>0.1</v>
      </c>
      <c r="N16" s="120">
        <v>0.13</v>
      </c>
      <c r="O16" s="120">
        <v>0.1</v>
      </c>
      <c r="P16" s="33"/>
      <c r="Q16" s="122">
        <f xml:space="preserve"> (L16/ep_CorrectionFactors!H20+N16/ep_CorrectionFactors!M20)/2</f>
        <v>0.16862055094911083</v>
      </c>
      <c r="R16" s="121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9.5385151372422872E-2</v>
      </c>
      <c r="X16" s="3">
        <f xml:space="preserve"> E16/($E$20*PI()/8)</f>
        <v>0.62387187923934717</v>
      </c>
      <c r="Y16" s="3">
        <f xml:space="preserve"> H16/($H$20*PI()/8)</f>
        <v>0.73671718193553482</v>
      </c>
      <c r="Z16" s="3">
        <f t="shared" si="2"/>
        <v>6.3007164100995938E-2</v>
      </c>
      <c r="AA16" s="3">
        <f t="shared" si="3"/>
        <v>7.4463465458250541E-2</v>
      </c>
    </row>
    <row r="17" spans="1:27">
      <c r="A17" s="123"/>
      <c r="B17" s="123"/>
      <c r="C17" s="116"/>
      <c r="D17" s="85" t="s">
        <v>50</v>
      </c>
      <c r="E17" s="97">
        <f xml:space="preserve"> defaultFit_Inclusive!$U17*defaultFit_Inclusive!E17</f>
        <v>74.583304349000002</v>
      </c>
      <c r="F17" s="97">
        <f xml:space="preserve"> E17*SQRT(POWER(defaultFit_Inclusive!$V17/defaultFit_Inclusive!$U17,2+POWER(defaultFit_Inclusive!F17/defaultFit_Inclusive!E17,2)))</f>
        <v>7.843085707360137</v>
      </c>
      <c r="G17" s="76" t="e">
        <f>SQRT(POWER(Z17,2)+POWER(fitSyst_NonPrompt!AE17/(PI()/8),2))</f>
        <v>#DIV/0!</v>
      </c>
      <c r="H17" s="97">
        <f xml:space="preserve"> defaultFit_Inclusive!$U17*defaultFit_Inclusive!H17</f>
        <v>66.71906152599999</v>
      </c>
      <c r="I17" s="97">
        <f xml:space="preserve"> H17*SQRT(POWER(defaultFit_Inclusive!$V17/defaultFit_Inclusive!$U17,2+POWER(defaultFit_Inclusive!I17/defaultFit_Inclusive!H17,2)))</f>
        <v>7.0138609807232033</v>
      </c>
      <c r="J17" s="76" t="e">
        <f>SQRT(POWER(AA17,2)+POWER(fitSyst_NonPrompt!AF17/(PI()/8),2))</f>
        <v>#DIV/0!</v>
      </c>
      <c r="K17" s="97"/>
      <c r="L17" s="120"/>
      <c r="M17" s="120"/>
      <c r="N17" s="120"/>
      <c r="O17" s="120"/>
      <c r="P17" s="33"/>
      <c r="Q17" s="122"/>
      <c r="R17" s="121"/>
      <c r="X17" s="3">
        <f t="shared" ref="X17:X19" si="4" xml:space="preserve"> E17/($E$20*PI()/8)</f>
        <v>0.67269002960302415</v>
      </c>
      <c r="Y17" s="3">
        <f t="shared" ref="Y17:Y19" si="5" xml:space="preserve"> H17/($H$20*PI()/8)</f>
        <v>0.61498681917724696</v>
      </c>
      <c r="Z17" s="3">
        <f t="shared" si="2"/>
        <v>7.0739230484816742E-2</v>
      </c>
      <c r="AA17" s="3">
        <f t="shared" si="3"/>
        <v>6.4650670378591166E-2</v>
      </c>
    </row>
    <row r="18" spans="1:27">
      <c r="A18" s="123"/>
      <c r="B18" s="123"/>
      <c r="C18" s="116"/>
      <c r="D18" s="84" t="s">
        <v>52</v>
      </c>
      <c r="E18" s="97">
        <f xml:space="preserve"> defaultFit_Inclusive!$U18*defaultFit_Inclusive!E18</f>
        <v>60.282829723999996</v>
      </c>
      <c r="F18" s="97">
        <f xml:space="preserve"> E18*SQRT(POWER(defaultFit_Inclusive!$V18/defaultFit_Inclusive!$U18,2+POWER(defaultFit_Inclusive!F18/defaultFit_Inclusive!E18,2)))</f>
        <v>6.891000576892985</v>
      </c>
      <c r="G18" s="76" t="e">
        <f>SQRT(POWER(Z18,2)+POWER(fitSyst_NonPrompt!AE18/(PI()/8),2))</f>
        <v>#DIV/0!</v>
      </c>
      <c r="H18" s="97">
        <f xml:space="preserve"> defaultFit_Inclusive!$U18*defaultFit_Inclusive!H18</f>
        <v>56.722325972</v>
      </c>
      <c r="I18" s="97">
        <f xml:space="preserve"> H18*SQRT(POWER(defaultFit_Inclusive!$V18/defaultFit_Inclusive!$U18,2+POWER(defaultFit_Inclusive!I18/defaultFit_Inclusive!H18,2)))</f>
        <v>6.4829892318689888</v>
      </c>
      <c r="J18" s="76" t="e">
        <f>SQRT(POWER(AA18,2)+POWER(fitSyst_NonPrompt!AF18/(PI()/8),2))</f>
        <v>#DIV/0!</v>
      </c>
      <c r="K18" s="97"/>
      <c r="L18" s="120"/>
      <c r="M18" s="120"/>
      <c r="N18" s="120"/>
      <c r="O18" s="120"/>
      <c r="P18" s="33"/>
      <c r="Q18" s="122"/>
      <c r="R18" s="121"/>
      <c r="X18" s="3">
        <f t="shared" si="4"/>
        <v>0.54370959915957828</v>
      </c>
      <c r="Y18" s="3">
        <f t="shared" si="5"/>
        <v>0.52284132941919981</v>
      </c>
      <c r="Z18" s="3">
        <f t="shared" si="2"/>
        <v>6.2152078438004341E-2</v>
      </c>
      <c r="AA18" s="3">
        <f t="shared" si="3"/>
        <v>5.9757329244113581E-2</v>
      </c>
    </row>
    <row r="19" spans="1:27">
      <c r="A19" s="123"/>
      <c r="B19" s="123"/>
      <c r="C19" s="116"/>
      <c r="D19" s="84" t="s">
        <v>53</v>
      </c>
      <c r="E19" s="97">
        <f xml:space="preserve"> defaultFit_Inclusive!$U19*defaultFit_Inclusive!E19</f>
        <v>78.299502986999997</v>
      </c>
      <c r="F19" s="97">
        <f xml:space="preserve"> E19*SQRT(POWER(defaultFit_Inclusive!$V19/defaultFit_Inclusive!$U19,2+POWER(defaultFit_Inclusive!F19/defaultFit_Inclusive!E19,2)))</f>
        <v>7.5109022360674356</v>
      </c>
      <c r="G19" s="76" t="e">
        <f>SQRT(POWER(Z19,2)+POWER(fitSyst_NonPrompt!AE19/(PI()/8),2))</f>
        <v>#DIV/0!</v>
      </c>
      <c r="H19" s="97">
        <f xml:space="preserve"> defaultFit_Inclusive!$U19*defaultFit_Inclusive!H19</f>
        <v>72.897155526000006</v>
      </c>
      <c r="I19" s="97">
        <f xml:space="preserve"> H19*SQRT(POWER(defaultFit_Inclusive!$V19/defaultFit_Inclusive!$U19,2+POWER(defaultFit_Inclusive!I19/defaultFit_Inclusive!H19,2)))</f>
        <v>6.9907364360416571</v>
      </c>
      <c r="J19" s="76" t="e">
        <f>SQRT(POWER(AA19,2)+POWER(fitSyst_NonPrompt!AF19/(PI()/8),2))</f>
        <v>#DIV/0!</v>
      </c>
      <c r="K19" s="97"/>
      <c r="L19" s="120"/>
      <c r="M19" s="120"/>
      <c r="N19" s="120"/>
      <c r="O19" s="120"/>
      <c r="P19" s="33"/>
      <c r="Q19" s="122"/>
      <c r="R19" s="121"/>
      <c r="X19" s="3">
        <f t="shared" si="4"/>
        <v>0.70620758146837603</v>
      </c>
      <c r="Y19" s="3">
        <f t="shared" si="5"/>
        <v>0.67193375893834395</v>
      </c>
      <c r="Z19" s="3">
        <f t="shared" si="2"/>
        <v>6.7743164393511704E-2</v>
      </c>
      <c r="AA19" s="3">
        <f t="shared" si="3"/>
        <v>6.4437518546815412E-2</v>
      </c>
    </row>
    <row r="20" spans="1:27">
      <c r="A20" s="123"/>
      <c r="B20" s="123"/>
      <c r="C20" s="116"/>
      <c r="D20" s="80"/>
      <c r="E20" s="94">
        <f xml:space="preserve"> SUM(E16:E19)</f>
        <v>282.33631626799996</v>
      </c>
      <c r="F20" s="94"/>
      <c r="G20" s="76"/>
      <c r="H20" s="94">
        <f xml:space="preserve"> SUM(H16:H19)</f>
        <v>276.263961677</v>
      </c>
      <c r="I20" s="94"/>
      <c r="J20" s="76"/>
      <c r="K20" s="94"/>
      <c r="L20" s="96"/>
      <c r="M20" s="96"/>
      <c r="N20" s="96"/>
      <c r="O20" s="80"/>
      <c r="P20" s="72"/>
      <c r="Q20" s="72"/>
      <c r="R20" s="72"/>
      <c r="X20" s="3"/>
      <c r="Y20" s="3"/>
      <c r="Z20" s="3"/>
      <c r="AA20" s="3"/>
    </row>
    <row r="21" spans="1:27">
      <c r="A21" s="123"/>
      <c r="B21" s="123"/>
      <c r="C21" s="125" t="s">
        <v>56</v>
      </c>
      <c r="D21" s="26" t="s">
        <v>51</v>
      </c>
      <c r="E21" s="97">
        <f xml:space="preserve"> defaultFit_Inclusive!$U21*defaultFit_Inclusive!E21</f>
        <v>305.55417858000004</v>
      </c>
      <c r="F21" s="97">
        <f xml:space="preserve"> E21*SQRT(POWER(defaultFit_Inclusive!$V21/defaultFit_Inclusive!$U21,2+POWER(defaultFit_Inclusive!F21/defaultFit_Inclusive!E21,2)))</f>
        <v>16.044923698128894</v>
      </c>
      <c r="G21" s="76"/>
      <c r="H21" s="97">
        <f xml:space="preserve"> defaultFit_Inclusive!$U21*defaultFit_Inclusive!H21</f>
        <v>271.94705349000003</v>
      </c>
      <c r="I21" s="97">
        <f xml:space="preserve"> H21*SQRT(POWER(defaultFit_Inclusive!$V21/defaultFit_Inclusive!$U21,2+POWER(defaultFit_Inclusive!I21/defaultFit_Inclusive!H21,2)))</f>
        <v>14.277538749431194</v>
      </c>
      <c r="J21" s="76"/>
      <c r="K21" s="34"/>
      <c r="L21" s="99"/>
      <c r="M21" s="99"/>
      <c r="N21" s="99"/>
      <c r="O21" s="34"/>
      <c r="P21" s="33"/>
      <c r="Q21" s="33"/>
      <c r="R21" s="33"/>
      <c r="X21" s="3"/>
      <c r="Y21" s="3"/>
      <c r="Z21" s="3"/>
      <c r="AA21" s="3"/>
    </row>
    <row r="22" spans="1:27">
      <c r="A22" s="123"/>
      <c r="B22" s="123"/>
      <c r="C22" s="125"/>
      <c r="D22" s="85" t="s">
        <v>49</v>
      </c>
      <c r="E22" s="97">
        <f xml:space="preserve"> defaultFit_Inclusive!$U22*defaultFit_Inclusive!E22</f>
        <v>88.304323276000005</v>
      </c>
      <c r="F22" s="97">
        <f xml:space="preserve"> E22*SQRT(POWER(defaultFit_Inclusive!$V22/defaultFit_Inclusive!$U22,2+POWER(defaultFit_Inclusive!F22/defaultFit_Inclusive!E22,2)))</f>
        <v>8.0024330047108609</v>
      </c>
      <c r="G22" s="76" t="e">
        <f>SQRT(POWER(Z22,2)+POWER(fitSyst_NonPrompt!AE22/(PI()/8),2))</f>
        <v>#DIV/0!</v>
      </c>
      <c r="H22" s="97">
        <f xml:space="preserve"> defaultFit_Inclusive!$U22*defaultFit_Inclusive!H22</f>
        <v>87.636416803000003</v>
      </c>
      <c r="I22" s="97">
        <f xml:space="preserve"> H22*SQRT(POWER(defaultFit_Inclusive!$V22/defaultFit_Inclusive!$U22,2+POWER(defaultFit_Inclusive!I22/defaultFit_Inclusive!H22,2)))</f>
        <v>7.9445536792370772</v>
      </c>
      <c r="J22" s="76" t="e">
        <f>SQRT(POWER(AA22,2)+POWER(fitSyst_NonPrompt!AF22/(PI()/8),2))</f>
        <v>#DIV/0!</v>
      </c>
      <c r="K22" s="34"/>
      <c r="L22" s="120">
        <v>0.12</v>
      </c>
      <c r="M22" s="120">
        <v>0.1</v>
      </c>
      <c r="N22" s="120">
        <v>0.13</v>
      </c>
      <c r="O22" s="34"/>
      <c r="P22" s="33"/>
      <c r="Q22" s="122">
        <f xml:space="preserve"> (L22/ep_CorrectionFactors!H22+N22/ep_CorrectionFactors!M22)/2</f>
        <v>0.15317349039118067</v>
      </c>
      <c r="R22" s="121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6.1308053467726518E-2</v>
      </c>
      <c r="X22" s="3">
        <f xml:space="preserve"> E22/($E$26*PI()/8)</f>
        <v>0.74676460036750514</v>
      </c>
      <c r="Y22" s="3">
        <f xml:space="preserve"> H22/($H$26*PI()/8)</f>
        <v>0.82530660706418224</v>
      </c>
      <c r="Z22" s="3">
        <f t="shared" si="2"/>
        <v>6.7674304756886378E-2</v>
      </c>
      <c r="AA22" s="3">
        <f t="shared" si="3"/>
        <v>7.4816986828539142E-2</v>
      </c>
    </row>
    <row r="23" spans="1:27">
      <c r="A23" s="123"/>
      <c r="B23" s="123"/>
      <c r="C23" s="125"/>
      <c r="D23" s="85" t="s">
        <v>50</v>
      </c>
      <c r="E23" s="97">
        <f xml:space="preserve"> defaultFit_Inclusive!$U23*defaultFit_Inclusive!E23</f>
        <v>73.166265521999989</v>
      </c>
      <c r="F23" s="97">
        <f xml:space="preserve"> E23*SQRT(POWER(defaultFit_Inclusive!$V23/defaultFit_Inclusive!$U23,2+POWER(defaultFit_Inclusive!F23/defaultFit_Inclusive!E23,2)))</f>
        <v>7.8556660392050146</v>
      </c>
      <c r="G23" s="76" t="e">
        <f>SQRT(POWER(Z23,2)+POWER(fitSyst_NonPrompt!AE23/(PI()/8),2))</f>
        <v>#DIV/0!</v>
      </c>
      <c r="H23" s="97">
        <f xml:space="preserve"> defaultFit_Inclusive!$U23*defaultFit_Inclusive!H23</f>
        <v>59.011259570999997</v>
      </c>
      <c r="I23" s="97">
        <f xml:space="preserve"> H23*SQRT(POWER(defaultFit_Inclusive!$V23/defaultFit_Inclusive!$U23,2+POWER(defaultFit_Inclusive!I23/defaultFit_Inclusive!H23,2)))</f>
        <v>6.329868024331657</v>
      </c>
      <c r="J23" s="76" t="e">
        <f>SQRT(POWER(AA23,2)+POWER(fitSyst_NonPrompt!AF23/(PI()/8),2))</f>
        <v>#DIV/0!</v>
      </c>
      <c r="K23" s="34"/>
      <c r="L23" s="120"/>
      <c r="M23" s="120"/>
      <c r="N23" s="120"/>
      <c r="O23" s="34"/>
      <c r="P23" s="33"/>
      <c r="Q23" s="122"/>
      <c r="R23" s="121"/>
      <c r="X23" s="3">
        <f t="shared" ref="X23:X25" si="6" xml:space="preserve"> E23/($E$26*PI()/8)</f>
        <v>0.61874634226169312</v>
      </c>
      <c r="Y23" s="3">
        <f t="shared" ref="Y23:Y25" si="7" xml:space="preserve"> H23/($H$26*PI()/8)</f>
        <v>0.5557322422778308</v>
      </c>
      <c r="Z23" s="3">
        <f t="shared" si="2"/>
        <v>6.6433138183415646E-2</v>
      </c>
      <c r="AA23" s="3">
        <f t="shared" si="3"/>
        <v>5.9610856912013614E-2</v>
      </c>
    </row>
    <row r="24" spans="1:27">
      <c r="A24" s="123"/>
      <c r="B24" s="123"/>
      <c r="C24" s="125"/>
      <c r="D24" s="84" t="s">
        <v>52</v>
      </c>
      <c r="E24" s="97">
        <f xml:space="preserve"> defaultFit_Inclusive!$U24*defaultFit_Inclusive!E24</f>
        <v>73.178502894000005</v>
      </c>
      <c r="F24" s="97">
        <f xml:space="preserve"> E24*SQRT(POWER(defaultFit_Inclusive!$V24/defaultFit_Inclusive!$U24,2+POWER(defaultFit_Inclusive!F24/defaultFit_Inclusive!E24,2)))</f>
        <v>8.0589970781995071</v>
      </c>
      <c r="G24" s="76" t="e">
        <f>SQRT(POWER(Z24,2)+POWER(fitSyst_NonPrompt!AE24/(PI()/8),2))</f>
        <v>#DIV/0!</v>
      </c>
      <c r="H24" s="97">
        <f xml:space="preserve"> defaultFit_Inclusive!$U24*defaultFit_Inclusive!H24</f>
        <v>58.807559519999998</v>
      </c>
      <c r="I24" s="97">
        <f xml:space="preserve"> H24*SQRT(POWER(defaultFit_Inclusive!$V24/defaultFit_Inclusive!$U24,2+POWER(defaultFit_Inclusive!I24/defaultFit_Inclusive!H24,2)))</f>
        <v>6.4693906323750072</v>
      </c>
      <c r="J24" s="76" t="e">
        <f>SQRT(POWER(AA24,2)+POWER(fitSyst_NonPrompt!AF24/(PI()/8),2))</f>
        <v>#DIV/0!</v>
      </c>
      <c r="K24" s="34"/>
      <c r="L24" s="120"/>
      <c r="M24" s="120"/>
      <c r="N24" s="120"/>
      <c r="O24" s="34"/>
      <c r="P24" s="33"/>
      <c r="Q24" s="122"/>
      <c r="R24" s="121"/>
      <c r="X24" s="3">
        <f t="shared" si="6"/>
        <v>0.61884983024361873</v>
      </c>
      <c r="Y24" s="3">
        <f t="shared" si="7"/>
        <v>0.55381391877622621</v>
      </c>
      <c r="Z24" s="3">
        <f t="shared" si="2"/>
        <v>6.8152651072976508E-2</v>
      </c>
      <c r="AA24" s="3">
        <f t="shared" si="3"/>
        <v>6.0924796190382886E-2</v>
      </c>
    </row>
    <row r="25" spans="1:27">
      <c r="A25" s="123"/>
      <c r="B25" s="123"/>
      <c r="C25" s="125"/>
      <c r="D25" s="84" t="s">
        <v>53</v>
      </c>
      <c r="E25" s="97">
        <f xml:space="preserve"> defaultFit_Inclusive!$U25*defaultFit_Inclusive!E25</f>
        <v>66.470046281999998</v>
      </c>
      <c r="F25" s="97">
        <f xml:space="preserve"> E25*SQRT(POWER(defaultFit_Inclusive!$V25/defaultFit_Inclusive!$U25,2+POWER(defaultFit_Inclusive!F25/defaultFit_Inclusive!E25,2)))</f>
        <v>7.822802862194238</v>
      </c>
      <c r="G25" s="76" t="e">
        <f>SQRT(POWER(Z25,2)+POWER(fitSyst_NonPrompt!AE25/(PI()/8),2))</f>
        <v>#DIV/0!</v>
      </c>
      <c r="H25" s="97">
        <f xml:space="preserve"> defaultFit_Inclusive!$U25*defaultFit_Inclusive!H25</f>
        <v>64.94645598000001</v>
      </c>
      <c r="I25" s="97">
        <f xml:space="preserve"> H25*SQRT(POWER(defaultFit_Inclusive!$V25/defaultFit_Inclusive!$U25,2+POWER(defaultFit_Inclusive!I25/defaultFit_Inclusive!H25,2)))</f>
        <v>7.6443091089207122</v>
      </c>
      <c r="J25" s="76" t="e">
        <f>SQRT(POWER(AA25,2)+POWER(fitSyst_NonPrompt!AF25/(PI()/8),2))</f>
        <v>#DIV/0!</v>
      </c>
      <c r="K25" s="34"/>
      <c r="L25" s="120"/>
      <c r="M25" s="120"/>
      <c r="N25" s="120"/>
      <c r="O25" s="34"/>
      <c r="P25" s="33"/>
      <c r="Q25" s="122"/>
      <c r="R25" s="121"/>
      <c r="X25" s="3">
        <f t="shared" si="6"/>
        <v>0.56211831659750844</v>
      </c>
      <c r="Y25" s="3">
        <f t="shared" si="7"/>
        <v>0.61162632135208661</v>
      </c>
      <c r="Z25" s="3">
        <f t="shared" si="2"/>
        <v>6.6155223622306844E-2</v>
      </c>
      <c r="AA25" s="3">
        <f t="shared" si="3"/>
        <v>7.19894656146782E-2</v>
      </c>
    </row>
    <row r="26" spans="1:27">
      <c r="A26" s="123"/>
      <c r="B26" s="123"/>
      <c r="C26" s="125"/>
      <c r="D26" s="80"/>
      <c r="E26" s="94">
        <f xml:space="preserve"> SUM(E22:E25)</f>
        <v>301.11913797400001</v>
      </c>
      <c r="F26" s="94"/>
      <c r="G26" s="76"/>
      <c r="H26" s="94">
        <f xml:space="preserve"> SUM(H22:H25)</f>
        <v>270.40169187399999</v>
      </c>
      <c r="I26" s="80"/>
      <c r="J26" s="76"/>
      <c r="K26" s="80"/>
      <c r="L26" s="96"/>
      <c r="M26" s="96"/>
      <c r="N26" s="96"/>
      <c r="O26" s="80"/>
      <c r="P26" s="72"/>
      <c r="Q26" s="72"/>
      <c r="R26" s="72"/>
      <c r="X26" s="3"/>
      <c r="Y26" s="3"/>
      <c r="Z26" s="3"/>
      <c r="AA26" s="3"/>
    </row>
    <row r="27" spans="1:27">
      <c r="A27" s="123"/>
      <c r="B27" s="123"/>
      <c r="C27" s="116" t="s">
        <v>57</v>
      </c>
      <c r="D27" s="26" t="s">
        <v>51</v>
      </c>
      <c r="E27" s="97">
        <f xml:space="preserve"> defaultFit_Inclusive!$U27*defaultFit_Inclusive!E27</f>
        <v>212.35420323</v>
      </c>
      <c r="F27" s="97">
        <f xml:space="preserve"> E27*SQRT(POWER(defaultFit_Inclusive!$V27/defaultFit_Inclusive!$U27,2+POWER(defaultFit_Inclusive!F27/defaultFit_Inclusive!E27,2)))</f>
        <v>12.744567273728268</v>
      </c>
      <c r="G27" s="76"/>
      <c r="H27" s="97">
        <f xml:space="preserve"> defaultFit_Inclusive!$U27*defaultFit_Inclusive!H27</f>
        <v>206.05226067000001</v>
      </c>
      <c r="I27" s="97">
        <f xml:space="preserve"> H27*SQRT(POWER(defaultFit_Inclusive!$V27/defaultFit_Inclusive!$U27,2+POWER(defaultFit_Inclusive!I27/defaultFit_Inclusive!H27,2)))</f>
        <v>12.366385447897354</v>
      </c>
      <c r="J27" s="76"/>
      <c r="K27" s="34"/>
      <c r="L27" s="99"/>
      <c r="M27" s="99"/>
      <c r="N27" s="99"/>
      <c r="O27" s="34"/>
      <c r="P27" s="33"/>
      <c r="Q27" s="33"/>
      <c r="R27" s="33"/>
      <c r="X27" s="3"/>
      <c r="Y27" s="3"/>
      <c r="Z27" s="3"/>
      <c r="AA27" s="3"/>
    </row>
    <row r="28" spans="1:27">
      <c r="A28" s="123"/>
      <c r="B28" s="123"/>
      <c r="C28" s="116"/>
      <c r="D28" s="85" t="s">
        <v>49</v>
      </c>
      <c r="E28" s="97">
        <f xml:space="preserve"> defaultFit_Inclusive!$U28*defaultFit_Inclusive!E28</f>
        <v>47.656399762999996</v>
      </c>
      <c r="F28" s="97">
        <f xml:space="preserve"> E28*SQRT(POWER(defaultFit_Inclusive!$V28/defaultFit_Inclusive!$U28,2+POWER(defaultFit_Inclusive!F28/defaultFit_Inclusive!E28,2)))</f>
        <v>6.5019756297379159</v>
      </c>
      <c r="G28" s="76" t="e">
        <f>SQRT(POWER(Z28,2)+POWER(fitSyst_NonPrompt!AE28/(PI()/8),2))</f>
        <v>#DIV/0!</v>
      </c>
      <c r="H28" s="97">
        <f xml:space="preserve"> defaultFit_Inclusive!$U28*defaultFit_Inclusive!H28</f>
        <v>43.097553709000003</v>
      </c>
      <c r="I28" s="97">
        <f xml:space="preserve"> H28*SQRT(POWER(defaultFit_Inclusive!$V28/defaultFit_Inclusive!$U28,2+POWER(defaultFit_Inclusive!I28/defaultFit_Inclusive!H28,2)))</f>
        <v>5.8779105765170598</v>
      </c>
      <c r="J28" s="76" t="e">
        <f>SQRT(POWER(AA28,2)+POWER(fitSyst_NonPrompt!AF28/(PI()/8),2))</f>
        <v>#DIV/0!</v>
      </c>
      <c r="K28" s="34"/>
      <c r="L28" s="120">
        <v>0.12</v>
      </c>
      <c r="M28" s="100"/>
      <c r="N28" s="120">
        <v>0.13</v>
      </c>
      <c r="O28" s="34"/>
      <c r="P28" s="33"/>
      <c r="Q28" s="122">
        <f xml:space="preserve"> (L28/ep_CorrectionFactors!H23+N28/ep_CorrectionFactors!M23)/2</f>
        <v>0.14907525759388524</v>
      </c>
      <c r="R28" s="121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1.8064506759545547E-4</v>
      </c>
      <c r="X28" s="3">
        <f xml:space="preserve"> E28/($E$32*PI()/8)</f>
        <v>0.59203422671743644</v>
      </c>
      <c r="Y28" s="3">
        <f xml:space="preserve"> H28/($H$32*PI()/8)</f>
        <v>0.54933023785476021</v>
      </c>
      <c r="Z28" s="3">
        <f t="shared" si="2"/>
        <v>8.0773875769695413E-2</v>
      </c>
      <c r="AA28" s="3">
        <f t="shared" si="3"/>
        <v>7.492105089975995E-2</v>
      </c>
    </row>
    <row r="29" spans="1:27">
      <c r="A29" s="123"/>
      <c r="B29" s="123"/>
      <c r="C29" s="116"/>
      <c r="D29" s="85" t="s">
        <v>50</v>
      </c>
      <c r="E29" s="97">
        <f xml:space="preserve"> defaultFit_Inclusive!$U29*defaultFit_Inclusive!E29</f>
        <v>47.975379977999999</v>
      </c>
      <c r="F29" s="97">
        <f xml:space="preserve"> E29*SQRT(POWER(defaultFit_Inclusive!$V29/defaultFit_Inclusive!$U29,2+POWER(defaultFit_Inclusive!F29/defaultFit_Inclusive!E29,2)))</f>
        <v>5.9890276281896417</v>
      </c>
      <c r="G29" s="76" t="e">
        <f>SQRT(POWER(Z29,2)+POWER(fitSyst_NonPrompt!AE29/(PI()/8),2))</f>
        <v>#DIV/0!</v>
      </c>
      <c r="H29" s="97">
        <f xml:space="preserve"> defaultFit_Inclusive!$U29*defaultFit_Inclusive!H29</f>
        <v>53.933997245999997</v>
      </c>
      <c r="I29" s="97">
        <f xml:space="preserve"> H29*SQRT(POWER(defaultFit_Inclusive!$V29/defaultFit_Inclusive!$U29,2+POWER(defaultFit_Inclusive!I29/defaultFit_Inclusive!H29,2)))</f>
        <v>6.7403960200405564</v>
      </c>
      <c r="J29" s="76" t="e">
        <f>SQRT(POWER(AA29,2)+POWER(fitSyst_NonPrompt!AF29/(PI()/8),2))</f>
        <v>#DIV/0!</v>
      </c>
      <c r="K29" s="34"/>
      <c r="L29" s="120"/>
      <c r="M29" s="100"/>
      <c r="N29" s="120"/>
      <c r="O29" s="34"/>
      <c r="P29" s="33"/>
      <c r="Q29" s="122"/>
      <c r="R29" s="121"/>
      <c r="X29" s="3">
        <f t="shared" ref="X29:X31" si="8" xml:space="preserve"> E29/($E$32*PI()/8)</f>
        <v>0.59599690971205721</v>
      </c>
      <c r="Y29" s="3">
        <f t="shared" ref="Y29:Y31" si="9" xml:space="preserve"> H29/($H$32*PI()/8)</f>
        <v>0.68745376444454842</v>
      </c>
      <c r="Z29" s="3">
        <f t="shared" si="2"/>
        <v>7.440153595902714E-2</v>
      </c>
      <c r="AA29" s="3">
        <f t="shared" si="3"/>
        <v>8.5914466837845774E-2</v>
      </c>
    </row>
    <row r="30" spans="1:27">
      <c r="A30" s="123"/>
      <c r="B30" s="123"/>
      <c r="C30" s="116"/>
      <c r="D30" s="84" t="s">
        <v>52</v>
      </c>
      <c r="E30" s="97">
        <f xml:space="preserve"> defaultFit_Inclusive!$U30*defaultFit_Inclusive!E30</f>
        <v>65.27276520800001</v>
      </c>
      <c r="F30" s="97">
        <f xml:space="preserve"> E30*SQRT(POWER(defaultFit_Inclusive!$V30/defaultFit_Inclusive!$U30,2+POWER(defaultFit_Inclusive!F30/defaultFit_Inclusive!E30,2)))</f>
        <v>6.3284605234211853</v>
      </c>
      <c r="G30" s="76" t="e">
        <f>SQRT(POWER(Z30,2)+POWER(fitSyst_NonPrompt!AE30/(PI()/8),2))</f>
        <v>#DIV/0!</v>
      </c>
      <c r="H30" s="97">
        <f xml:space="preserve"> defaultFit_Inclusive!$U30*defaultFit_Inclusive!H30</f>
        <v>60.519931864</v>
      </c>
      <c r="I30" s="97">
        <f xml:space="preserve"> H30*SQRT(POWER(defaultFit_Inclusive!$V30/defaultFit_Inclusive!$U30,2+POWER(defaultFit_Inclusive!I30/defaultFit_Inclusive!H30,2)))</f>
        <v>5.8659882274113189</v>
      </c>
      <c r="J30" s="76" t="e">
        <f>SQRT(POWER(AA30,2)+POWER(fitSyst_NonPrompt!AF30/(PI()/8),2))</f>
        <v>#DIV/0!</v>
      </c>
      <c r="K30" s="34"/>
      <c r="L30" s="120"/>
      <c r="M30" s="100"/>
      <c r="N30" s="120"/>
      <c r="O30" s="34"/>
      <c r="P30" s="33"/>
      <c r="Q30" s="122"/>
      <c r="R30" s="121"/>
      <c r="X30" s="3">
        <f t="shared" si="8"/>
        <v>0.81088188087656821</v>
      </c>
      <c r="Y30" s="3">
        <f t="shared" si="9"/>
        <v>0.77139943464731742</v>
      </c>
      <c r="Z30" s="3">
        <f t="shared" si="2"/>
        <v>7.8618302073342139E-2</v>
      </c>
      <c r="AA30" s="3">
        <f t="shared" si="3"/>
        <v>7.4769086198601592E-2</v>
      </c>
    </row>
    <row r="31" spans="1:27">
      <c r="A31" s="123"/>
      <c r="B31" s="123"/>
      <c r="C31" s="116"/>
      <c r="D31" s="84" t="s">
        <v>53</v>
      </c>
      <c r="E31" s="97">
        <f xml:space="preserve"> defaultFit_Inclusive!$U31*defaultFit_Inclusive!E31</f>
        <v>44.076890244000005</v>
      </c>
      <c r="F31" s="97">
        <f xml:space="preserve"> E31*SQRT(POWER(defaultFit_Inclusive!$V31/defaultFit_Inclusive!$U31,2+POWER(defaultFit_Inclusive!F31/defaultFit_Inclusive!E31,2)))</f>
        <v>6.3475951203119383</v>
      </c>
      <c r="G31" s="76" t="e">
        <f>SQRT(POWER(Z31,2)+POWER(fitSyst_NonPrompt!AE31/(PI()/8),2))</f>
        <v>#DIV/0!</v>
      </c>
      <c r="H31" s="97">
        <f xml:space="preserve"> defaultFit_Inclusive!$U31*defaultFit_Inclusive!H31</f>
        <v>42.231838332000002</v>
      </c>
      <c r="I31" s="97">
        <f xml:space="preserve"> H31*SQRT(POWER(defaultFit_Inclusive!$V31/defaultFit_Inclusive!$U31,2+POWER(defaultFit_Inclusive!I31/defaultFit_Inclusive!H31,2)))</f>
        <v>6.0809235744356895</v>
      </c>
      <c r="J31" s="76" t="e">
        <f>SQRT(POWER(AA31,2)+POWER(fitSyst_NonPrompt!AF31/(PI()/8),2))</f>
        <v>#DIV/0!</v>
      </c>
      <c r="K31" s="34"/>
      <c r="L31" s="120"/>
      <c r="M31" s="100"/>
      <c r="N31" s="120"/>
      <c r="O31" s="34"/>
      <c r="P31" s="33"/>
      <c r="Q31" s="122"/>
      <c r="R31" s="121"/>
      <c r="X31" s="3">
        <f t="shared" si="8"/>
        <v>0.54756607216426378</v>
      </c>
      <c r="Y31" s="3">
        <f t="shared" si="9"/>
        <v>0.53829565252369949</v>
      </c>
      <c r="Z31" s="3">
        <f t="shared" si="2"/>
        <v>7.8856010677645097E-2</v>
      </c>
      <c r="AA31" s="3">
        <f t="shared" si="3"/>
        <v>7.7508696110141342E-2</v>
      </c>
    </row>
    <row r="32" spans="1:27">
      <c r="A32" s="123"/>
      <c r="B32" s="123"/>
      <c r="C32" s="116"/>
      <c r="D32" s="80"/>
      <c r="E32" s="94">
        <f xml:space="preserve"> SUM(E28:E31)</f>
        <v>204.98143519300001</v>
      </c>
      <c r="F32" s="94"/>
      <c r="G32" s="76"/>
      <c r="H32" s="94">
        <f xml:space="preserve"> SUM(H28:H31)</f>
        <v>199.783321151</v>
      </c>
      <c r="I32" s="80"/>
      <c r="J32" s="76"/>
      <c r="K32" s="80"/>
      <c r="L32" s="96"/>
      <c r="M32" s="96"/>
      <c r="N32" s="96"/>
      <c r="O32" s="80"/>
      <c r="P32" s="72"/>
      <c r="Q32" s="72"/>
      <c r="R32" s="72"/>
      <c r="X32" s="3"/>
      <c r="Y32" s="3"/>
      <c r="Z32" s="3"/>
      <c r="AA32" s="3"/>
    </row>
    <row r="33" spans="1:27">
      <c r="A33" s="133" t="s">
        <v>55</v>
      </c>
      <c r="B33" s="133" t="s">
        <v>37</v>
      </c>
      <c r="C33" s="134" t="s">
        <v>17</v>
      </c>
      <c r="D33" s="84" t="s">
        <v>51</v>
      </c>
      <c r="E33" s="101">
        <f xml:space="preserve"> defaultFit_Inclusive!$U33*defaultFit_Inclusive!E33</f>
        <v>209.77229214000002</v>
      </c>
      <c r="F33" s="101">
        <f xml:space="preserve"> E33*SQRT(POWER(defaultFit_Inclusive!$V33/defaultFit_Inclusive!$U33,2+POWER(defaultFit_Inclusive!F33/defaultFit_Inclusive!E33,2)))</f>
        <v>14.080738214108685</v>
      </c>
      <c r="G33" s="76"/>
      <c r="H33" s="101">
        <f xml:space="preserve"> defaultFit_Inclusive!$U33*defaultFit_Inclusive!H33</f>
        <v>205.96785857</v>
      </c>
      <c r="I33" s="101">
        <f xml:space="preserve"> H33*SQRT(POWER(defaultFit_Inclusive!$V33/defaultFit_Inclusive!$U33,2+POWER(defaultFit_Inclusive!I33/defaultFit_Inclusive!H33,2)))</f>
        <v>13.823742216338561</v>
      </c>
      <c r="J33" s="76"/>
      <c r="K33" s="101"/>
      <c r="L33" s="108"/>
      <c r="M33" s="108"/>
      <c r="N33" s="108"/>
      <c r="O33" s="13"/>
      <c r="P33" s="35"/>
      <c r="Q33" s="5"/>
      <c r="R33" s="5"/>
      <c r="X33" s="3"/>
      <c r="Y33" s="3"/>
      <c r="Z33" s="3"/>
      <c r="AA33" s="3"/>
    </row>
    <row r="34" spans="1:27">
      <c r="A34" s="133"/>
      <c r="B34" s="133"/>
      <c r="C34" s="134"/>
      <c r="D34" s="85" t="s">
        <v>49</v>
      </c>
      <c r="E34" s="101">
        <f xml:space="preserve"> defaultFit_Inclusive!$U34*defaultFit_Inclusive!E34</f>
        <v>50.995710996999996</v>
      </c>
      <c r="F34" s="101">
        <f xml:space="preserve"> E34*SQRT(POWER(defaultFit_Inclusive!$V34/defaultFit_Inclusive!$U34,2+POWER(defaultFit_Inclusive!F34/defaultFit_Inclusive!E34,2)))</f>
        <v>6.9271574692757527</v>
      </c>
      <c r="G34" s="76" t="e">
        <f>SQRT(POWER(Z34,2)+POWER(fitSyst_NonPrompt!AE34/(PI()/8),2))</f>
        <v>#DIV/0!</v>
      </c>
      <c r="H34" s="101">
        <f xml:space="preserve"> defaultFit_Inclusive!$U34*defaultFit_Inclusive!H34</f>
        <v>51.904236511000001</v>
      </c>
      <c r="I34" s="101">
        <f xml:space="preserve"> H34*SQRT(POWER(defaultFit_Inclusive!$V34/defaultFit_Inclusive!$U34,2+POWER(defaultFit_Inclusive!I34/defaultFit_Inclusive!H34,2)))</f>
        <v>7.0525158252846261</v>
      </c>
      <c r="J34" s="76" t="e">
        <f>SQRT(POWER(AA34,2)+POWER(fitSyst_NonPrompt!AF34/(PI()/8),2))</f>
        <v>#DIV/0!</v>
      </c>
      <c r="K34" s="101"/>
      <c r="L34" s="128">
        <v>0.12</v>
      </c>
      <c r="M34" s="128">
        <v>0.1</v>
      </c>
      <c r="N34" s="128">
        <v>0.13</v>
      </c>
      <c r="O34" s="129">
        <v>0.1</v>
      </c>
      <c r="P34" s="35"/>
      <c r="Q34" s="127">
        <f xml:space="preserve"> (L34/ep_CorrectionFactors!H18+N34/ep_CorrectionFactors!M18)/2</f>
        <v>0.15937823438380461</v>
      </c>
      <c r="R34" s="127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9.0156706149671542E-2</v>
      </c>
      <c r="X34" s="3">
        <f xml:space="preserve"> E34/($E$38*PI()/8)</f>
        <v>0.61871055781639372</v>
      </c>
      <c r="Y34" s="3">
        <f xml:space="preserve"> H34/($H$38*PI()/8)</f>
        <v>0.64038193014822664</v>
      </c>
      <c r="Z34" s="3">
        <f t="shared" si="2"/>
        <v>8.4044429974703808E-2</v>
      </c>
      <c r="AA34" s="3">
        <f t="shared" si="3"/>
        <v>8.7012236383431779E-2</v>
      </c>
    </row>
    <row r="35" spans="1:27">
      <c r="A35" s="133"/>
      <c r="B35" s="133"/>
      <c r="C35" s="134"/>
      <c r="D35" s="85" t="s">
        <v>50</v>
      </c>
      <c r="E35" s="101">
        <f xml:space="preserve"> defaultFit_Inclusive!$U35*defaultFit_Inclusive!E35</f>
        <v>45.547935272999993</v>
      </c>
      <c r="F35" s="101">
        <f xml:space="preserve"> E35*SQRT(POWER(defaultFit_Inclusive!$V35/defaultFit_Inclusive!$U35,2+POWER(defaultFit_Inclusive!F35/defaultFit_Inclusive!E35,2)))</f>
        <v>6.4652566965027098</v>
      </c>
      <c r="G35" s="76" t="e">
        <f>SQRT(POWER(Z35,2)+POWER(fitSyst_NonPrompt!AE35/(PI()/8),2))</f>
        <v>#DIV/0!</v>
      </c>
      <c r="H35" s="101">
        <f xml:space="preserve"> defaultFit_Inclusive!$U35*defaultFit_Inclusive!H35</f>
        <v>48.297790565999996</v>
      </c>
      <c r="I35" s="101">
        <f xml:space="preserve"> H35*SQRT(POWER(defaultFit_Inclusive!$V35/defaultFit_Inclusive!$U35,2+POWER(defaultFit_Inclusive!I35/defaultFit_Inclusive!H35,2)))</f>
        <v>6.8585147213424227</v>
      </c>
      <c r="J35" s="76" t="e">
        <f>SQRT(POWER(AA35,2)+POWER(fitSyst_NonPrompt!AF35/(PI()/8),2))</f>
        <v>#DIV/0!</v>
      </c>
      <c r="K35" s="101"/>
      <c r="L35" s="128"/>
      <c r="M35" s="128"/>
      <c r="N35" s="128"/>
      <c r="O35" s="129"/>
      <c r="P35" s="35"/>
      <c r="Q35" s="127"/>
      <c r="R35" s="127"/>
      <c r="X35" s="3">
        <f t="shared" ref="X35:X37" si="10" xml:space="preserve"> E35/($E$38*PI()/8)</f>
        <v>0.55261487464702019</v>
      </c>
      <c r="Y35" s="3">
        <f t="shared" ref="Y35:Y37" si="11" xml:space="preserve"> H35/($H$38*PI()/8)</f>
        <v>0.59588647138649542</v>
      </c>
      <c r="Z35" s="3">
        <f t="shared" si="2"/>
        <v>7.8440372708102613E-2</v>
      </c>
      <c r="AA35" s="3">
        <f t="shared" si="3"/>
        <v>8.461869763313988E-2</v>
      </c>
    </row>
    <row r="36" spans="1:27">
      <c r="A36" s="133"/>
      <c r="B36" s="133"/>
      <c r="C36" s="134"/>
      <c r="D36" s="84" t="s">
        <v>52</v>
      </c>
      <c r="E36" s="101">
        <f xml:space="preserve"> defaultFit_Inclusive!$U36*defaultFit_Inclusive!E36</f>
        <v>57.048620200000002</v>
      </c>
      <c r="F36" s="101">
        <f xml:space="preserve"> E36*SQRT(POWER(defaultFit_Inclusive!$V36/defaultFit_Inclusive!$U36,2+POWER(defaultFit_Inclusive!F36/defaultFit_Inclusive!E36,2)))</f>
        <v>7.2191698321478137</v>
      </c>
      <c r="G36" s="76" t="e">
        <f>SQRT(POWER(Z36,2)+POWER(fitSyst_NonPrompt!AE36/(PI()/8),2))</f>
        <v>#DIV/0!</v>
      </c>
      <c r="H36" s="101">
        <f xml:space="preserve"> defaultFit_Inclusive!$U36*defaultFit_Inclusive!H36</f>
        <v>49.999645409999999</v>
      </c>
      <c r="I36" s="101">
        <f xml:space="preserve"> H36*SQRT(POWER(defaultFit_Inclusive!$V36/defaultFit_Inclusive!$U36,2+POWER(defaultFit_Inclusive!I36/defaultFit_Inclusive!H36,2)))</f>
        <v>6.321728285306242</v>
      </c>
      <c r="J36" s="76" t="e">
        <f>SQRT(POWER(AA36,2)+POWER(fitSyst_NonPrompt!AF36/(PI()/8),2))</f>
        <v>#DIV/0!</v>
      </c>
      <c r="K36" s="101"/>
      <c r="L36" s="128"/>
      <c r="M36" s="128"/>
      <c r="N36" s="128"/>
      <c r="O36" s="129"/>
      <c r="P36" s="35"/>
      <c r="Q36" s="127"/>
      <c r="R36" s="127"/>
      <c r="X36" s="3">
        <f t="shared" si="10"/>
        <v>0.69214808336869804</v>
      </c>
      <c r="Y36" s="3">
        <f t="shared" si="11"/>
        <v>0.61688354528819633</v>
      </c>
      <c r="Z36" s="3">
        <f t="shared" si="2"/>
        <v>8.758729913741603E-2</v>
      </c>
      <c r="AA36" s="3">
        <f t="shared" si="3"/>
        <v>7.7995956271490377E-2</v>
      </c>
    </row>
    <row r="37" spans="1:27">
      <c r="A37" s="133"/>
      <c r="B37" s="133"/>
      <c r="C37" s="134"/>
      <c r="D37" s="84" t="s">
        <v>53</v>
      </c>
      <c r="E37" s="101">
        <f xml:space="preserve"> defaultFit_Inclusive!$U37*defaultFit_Inclusive!E37</f>
        <v>56.295071100000001</v>
      </c>
      <c r="F37" s="101">
        <f xml:space="preserve"> E37*SQRT(POWER(defaultFit_Inclusive!$V37/defaultFit_Inclusive!$U37,2+POWER(defaultFit_Inclusive!F37/defaultFit_Inclusive!E37,2)))</f>
        <v>7.2397092741300906</v>
      </c>
      <c r="G37" s="76" t="e">
        <f>SQRT(POWER(Z37,2)+POWER(fitSyst_NonPrompt!AE37/(PI()/8),2))</f>
        <v>#DIV/0!</v>
      </c>
      <c r="H37" s="101">
        <f xml:space="preserve"> defaultFit_Inclusive!$U37*defaultFit_Inclusive!H37</f>
        <v>56.195551899999998</v>
      </c>
      <c r="I37" s="101">
        <f xml:space="preserve"> H37*SQRT(POWER(defaultFit_Inclusive!$V37/defaultFit_Inclusive!$U37,2+POWER(defaultFit_Inclusive!I37/defaultFit_Inclusive!H37,2)))</f>
        <v>7.2280205514233549</v>
      </c>
      <c r="J37" s="76" t="e">
        <f>SQRT(POWER(AA37,2)+POWER(fitSyst_NonPrompt!AF37/(PI()/8),2))</f>
        <v>#DIV/0!</v>
      </c>
      <c r="K37" s="101"/>
      <c r="L37" s="128"/>
      <c r="M37" s="128"/>
      <c r="N37" s="128"/>
      <c r="O37" s="129"/>
      <c r="P37" s="35"/>
      <c r="Q37" s="127"/>
      <c r="R37" s="127"/>
      <c r="X37" s="3">
        <f t="shared" si="10"/>
        <v>0.68300557363821368</v>
      </c>
      <c r="Y37" s="3">
        <f t="shared" si="11"/>
        <v>0.69332714264740702</v>
      </c>
      <c r="Z37" s="3">
        <f t="shared" si="2"/>
        <v>8.7836495969024861E-2</v>
      </c>
      <c r="AA37" s="3">
        <f t="shared" si="3"/>
        <v>8.9177571293059768E-2</v>
      </c>
    </row>
    <row r="38" spans="1:27">
      <c r="A38" s="133"/>
      <c r="B38" s="133"/>
      <c r="C38" s="134"/>
      <c r="D38" s="80"/>
      <c r="E38" s="94">
        <f xml:space="preserve"> SUM(E34:E37)</f>
        <v>209.88733756999997</v>
      </c>
      <c r="F38" s="94"/>
      <c r="G38" s="76"/>
      <c r="H38" s="94">
        <f xml:space="preserve"> SUM(H34:H37)</f>
        <v>206.39722438699999</v>
      </c>
      <c r="I38" s="72"/>
      <c r="J38" s="76"/>
      <c r="K38" s="72"/>
      <c r="L38" s="72"/>
      <c r="M38" s="72"/>
      <c r="N38" s="72"/>
      <c r="O38" s="72"/>
      <c r="P38" s="72"/>
      <c r="Q38" s="72"/>
      <c r="R38" s="72"/>
      <c r="X38" s="3"/>
      <c r="Y38" s="3"/>
      <c r="Z38" s="3"/>
      <c r="AA38" s="3"/>
    </row>
    <row r="39" spans="1:27">
      <c r="A39" s="133"/>
      <c r="B39" s="133" t="s">
        <v>76</v>
      </c>
      <c r="C39" s="134"/>
      <c r="D39" s="84" t="s">
        <v>51</v>
      </c>
      <c r="E39" s="101">
        <f xml:space="preserve"> defaultFit_Inclusive!$U39*defaultFit_Inclusive!E39</f>
        <v>249.92626000000001</v>
      </c>
      <c r="F39" s="101">
        <f xml:space="preserve"> E39*SQRT(POWER(defaultFit_Inclusive!$V39/defaultFit_Inclusive!$U39,2+POWER(defaultFit_Inclusive!F39/defaultFit_Inclusive!E39,2)))</f>
        <v>14.718173317880865</v>
      </c>
      <c r="G39" s="76"/>
      <c r="H39" s="101">
        <f xml:space="preserve"> defaultFit_Inclusive!$U39*defaultFit_Inclusive!H39</f>
        <v>225.41153736000001</v>
      </c>
      <c r="I39" s="101">
        <f xml:space="preserve"> H39*SQRT(POWER(defaultFit_Inclusive!$V39/defaultFit_Inclusive!$U39,2+POWER(defaultFit_Inclusive!I39/defaultFit_Inclusive!H39,2)))</f>
        <v>13.273990918319861</v>
      </c>
      <c r="J39" s="76"/>
      <c r="K39" s="101"/>
      <c r="L39" s="108"/>
      <c r="M39" s="108"/>
      <c r="N39" s="108"/>
      <c r="O39" s="13"/>
      <c r="P39" s="35"/>
      <c r="Q39" s="5"/>
      <c r="R39" s="5"/>
      <c r="X39" s="3"/>
      <c r="Y39" s="3"/>
      <c r="Z39" s="3"/>
      <c r="AA39" s="3"/>
    </row>
    <row r="40" spans="1:27">
      <c r="A40" s="133"/>
      <c r="B40" s="133"/>
      <c r="C40" s="134"/>
      <c r="D40" s="85" t="s">
        <v>49</v>
      </c>
      <c r="E40" s="101">
        <f xml:space="preserve"> defaultFit_Inclusive!$U40*defaultFit_Inclusive!E40</f>
        <v>63.223165138000006</v>
      </c>
      <c r="F40" s="101">
        <f xml:space="preserve"> E40*SQRT(POWER(defaultFit_Inclusive!$V40/defaultFit_Inclusive!$U40,2+POWER(defaultFit_Inclusive!F40/defaultFit_Inclusive!E40,2)))</f>
        <v>7.5010581364142119</v>
      </c>
      <c r="G40" s="76" t="e">
        <f>SQRT(POWER(Z40,2)+POWER(fitSyst_NonPrompt!AE40/(PI()/8),2))</f>
        <v>#DIV/0!</v>
      </c>
      <c r="H40" s="101">
        <f xml:space="preserve"> defaultFit_Inclusive!$U40*defaultFit_Inclusive!H40</f>
        <v>58.316436353</v>
      </c>
      <c r="I40" s="101">
        <f xml:space="preserve"> H40*SQRT(POWER(defaultFit_Inclusive!$V40/defaultFit_Inclusive!$U40,2+POWER(defaultFit_Inclusive!I40/defaultFit_Inclusive!H40,2)))</f>
        <v>6.9185203896568988</v>
      </c>
      <c r="J40" s="76" t="e">
        <f>SQRT(POWER(AA40,2)+POWER(fitSyst_NonPrompt!AF40/(PI()/8),2))</f>
        <v>#DIV/0!</v>
      </c>
      <c r="K40" s="101"/>
      <c r="L40" s="128">
        <v>0.12</v>
      </c>
      <c r="M40" s="128">
        <v>0.1</v>
      </c>
      <c r="N40" s="128">
        <v>0.13</v>
      </c>
      <c r="O40" s="129">
        <v>0.1</v>
      </c>
      <c r="P40" s="35"/>
      <c r="Q40" s="127">
        <f xml:space="preserve"> (L40/ep_CorrectionFactors!H18+N40/ep_CorrectionFactors!M18)/2</f>
        <v>0.15937823438380461</v>
      </c>
      <c r="R40" s="127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9.0156706149671542E-2</v>
      </c>
      <c r="X40" s="3">
        <f xml:space="preserve"> E40/($E$44*PI()/8)</f>
        <v>0.63989376572407231</v>
      </c>
      <c r="Y40" s="3">
        <f xml:space="preserve"> H40/($H$44*PI()/8)</f>
        <v>0.6585389753977875</v>
      </c>
      <c r="Z40" s="3">
        <f t="shared" si="2"/>
        <v>7.5919646340836797E-2</v>
      </c>
      <c r="AA40" s="3">
        <f t="shared" si="3"/>
        <v>7.8127464804165339E-2</v>
      </c>
    </row>
    <row r="41" spans="1:27">
      <c r="A41" s="133"/>
      <c r="B41" s="133"/>
      <c r="C41" s="134"/>
      <c r="D41" s="85" t="s">
        <v>50</v>
      </c>
      <c r="E41" s="101">
        <f xml:space="preserve"> defaultFit_Inclusive!$U41*defaultFit_Inclusive!E41</f>
        <v>68.473081571999998</v>
      </c>
      <c r="F41" s="101">
        <f xml:space="preserve"> E41*SQRT(POWER(defaultFit_Inclusive!$V41/defaultFit_Inclusive!$U41,2+POWER(defaultFit_Inclusive!F41/defaultFit_Inclusive!E41,2)))</f>
        <v>7.7905342167175782</v>
      </c>
      <c r="G41" s="76" t="e">
        <f>SQRT(POWER(Z41,2)+POWER(fitSyst_NonPrompt!AE41/(PI()/8),2))</f>
        <v>#DIV/0!</v>
      </c>
      <c r="H41" s="101">
        <f xml:space="preserve"> defaultFit_Inclusive!$U41*defaultFit_Inclusive!H41</f>
        <v>59.999354771999997</v>
      </c>
      <c r="I41" s="101">
        <f xml:space="preserve"> H41*SQRT(POWER(defaultFit_Inclusive!$V41/defaultFit_Inclusive!$U41,2+POWER(defaultFit_Inclusive!I41/defaultFit_Inclusive!H41,2)))</f>
        <v>6.8250586226522838</v>
      </c>
      <c r="J41" s="76" t="e">
        <f>SQRT(POWER(AA41,2)+POWER(fitSyst_NonPrompt!AF41/(PI()/8),2))</f>
        <v>#DIV/0!</v>
      </c>
      <c r="K41" s="101"/>
      <c r="L41" s="128"/>
      <c r="M41" s="128"/>
      <c r="N41" s="128"/>
      <c r="O41" s="129"/>
      <c r="P41" s="35"/>
      <c r="Q41" s="127"/>
      <c r="R41" s="127"/>
      <c r="X41" s="3">
        <f t="shared" ref="X41:X43" si="12" xml:space="preserve"> E41/($E$44*PI()/8)</f>
        <v>0.6930291756542184</v>
      </c>
      <c r="Y41" s="3">
        <f t="shared" ref="Y41:Y43" si="13" xml:space="preserve"> H41/($H$44*PI()/8)</f>
        <v>0.67754334947541073</v>
      </c>
      <c r="Z41" s="3">
        <f t="shared" si="2"/>
        <v>7.8849489203149159E-2</v>
      </c>
      <c r="AA41" s="3">
        <f t="shared" si="3"/>
        <v>7.7072046810008024E-2</v>
      </c>
    </row>
    <row r="42" spans="1:27">
      <c r="A42" s="133"/>
      <c r="B42" s="133"/>
      <c r="C42" s="134"/>
      <c r="D42" s="84" t="s">
        <v>52</v>
      </c>
      <c r="E42" s="101">
        <f xml:space="preserve"> defaultFit_Inclusive!$U42*defaultFit_Inclusive!E42</f>
        <v>65.763646112000004</v>
      </c>
      <c r="F42" s="101">
        <f xml:space="preserve"> E42*SQRT(POWER(defaultFit_Inclusive!$V42/defaultFit_Inclusive!$U42,2+POWER(defaultFit_Inclusive!F42/defaultFit_Inclusive!E42,2)))</f>
        <v>7.2562862987659829</v>
      </c>
      <c r="G42" s="76" t="e">
        <f>SQRT(POWER(Z42,2)+POWER(fitSyst_NonPrompt!AE42/(PI()/8),2))</f>
        <v>#DIV/0!</v>
      </c>
      <c r="H42" s="101">
        <f xml:space="preserve"> defaultFit_Inclusive!$U42*defaultFit_Inclusive!H42</f>
        <v>51.527458287999998</v>
      </c>
      <c r="I42" s="101">
        <f xml:space="preserve"> H42*SQRT(POWER(defaultFit_Inclusive!$V42/defaultFit_Inclusive!$U42,2+POWER(defaultFit_Inclusive!I42/defaultFit_Inclusive!H42,2)))</f>
        <v>5.6794206469009234</v>
      </c>
      <c r="J42" s="76" t="e">
        <f>SQRT(POWER(AA42,2)+POWER(fitSyst_NonPrompt!AF42/(PI()/8),2))</f>
        <v>#DIV/0!</v>
      </c>
      <c r="K42" s="101"/>
      <c r="L42" s="128"/>
      <c r="M42" s="128"/>
      <c r="N42" s="128"/>
      <c r="O42" s="129"/>
      <c r="P42" s="35"/>
      <c r="Q42" s="127"/>
      <c r="R42" s="127"/>
      <c r="X42" s="3">
        <f t="shared" si="12"/>
        <v>0.66560646032983695</v>
      </c>
      <c r="Y42" s="3">
        <f t="shared" si="13"/>
        <v>0.58187436866735298</v>
      </c>
      <c r="Z42" s="3">
        <f t="shared" si="2"/>
        <v>7.3442263682217165E-2</v>
      </c>
      <c r="AA42" s="3">
        <f t="shared" si="3"/>
        <v>6.4134917830430294E-2</v>
      </c>
    </row>
    <row r="43" spans="1:27">
      <c r="A43" s="133"/>
      <c r="B43" s="133"/>
      <c r="C43" s="134"/>
      <c r="D43" s="84" t="s">
        <v>53</v>
      </c>
      <c r="E43" s="101">
        <f xml:space="preserve"> defaultFit_Inclusive!$U43*defaultFit_Inclusive!E43</f>
        <v>54.138851559999999</v>
      </c>
      <c r="F43" s="101">
        <f xml:space="preserve"> E43*SQRT(POWER(defaultFit_Inclusive!$V43/defaultFit_Inclusive!$U43,2+POWER(defaultFit_Inclusive!F43/defaultFit_Inclusive!E43,2)))</f>
        <v>6.6520277264611885</v>
      </c>
      <c r="G43" s="76" t="e">
        <f>SQRT(POWER(Z43,2)+POWER(fitSyst_NonPrompt!AE43/(PI()/8),2))</f>
        <v>#DIV/0!</v>
      </c>
      <c r="H43" s="101">
        <f xml:space="preserve"> defaultFit_Inclusive!$U43*defaultFit_Inclusive!H43</f>
        <v>55.658340155999994</v>
      </c>
      <c r="I43" s="101">
        <f xml:space="preserve"> H43*SQRT(POWER(defaultFit_Inclusive!$V43/defaultFit_Inclusive!$U43,2+POWER(defaultFit_Inclusive!I43/defaultFit_Inclusive!H43,2)))</f>
        <v>6.8415029931611491</v>
      </c>
      <c r="J43" s="76" t="e">
        <f>SQRT(POWER(AA43,2)+POWER(fitSyst_NonPrompt!AF43/(PI()/8),2))</f>
        <v>#DIV/0!</v>
      </c>
      <c r="K43" s="101"/>
      <c r="L43" s="128"/>
      <c r="M43" s="128"/>
      <c r="N43" s="128"/>
      <c r="O43" s="129"/>
      <c r="P43" s="35"/>
      <c r="Q43" s="127"/>
      <c r="R43" s="127"/>
      <c r="X43" s="3">
        <f t="shared" si="12"/>
        <v>0.54794968776219777</v>
      </c>
      <c r="Y43" s="3">
        <f t="shared" si="13"/>
        <v>0.62852239592977455</v>
      </c>
      <c r="Z43" s="3">
        <f t="shared" si="2"/>
        <v>6.7326446916966903E-2</v>
      </c>
      <c r="AA43" s="3">
        <f t="shared" si="3"/>
        <v>7.7257745038212811E-2</v>
      </c>
    </row>
    <row r="44" spans="1:27">
      <c r="A44" s="133"/>
      <c r="B44" s="133"/>
      <c r="C44" s="134"/>
      <c r="D44" s="80"/>
      <c r="E44" s="94">
        <f xml:space="preserve"> SUM(E40:E43)</f>
        <v>251.59874438200001</v>
      </c>
      <c r="F44" s="94"/>
      <c r="G44" s="76"/>
      <c r="H44" s="94">
        <f xml:space="preserve"> SUM(H40:H43)</f>
        <v>225.50158956899998</v>
      </c>
      <c r="I44" s="72"/>
      <c r="J44" s="76"/>
      <c r="K44" s="72"/>
      <c r="L44" s="72"/>
      <c r="M44" s="72"/>
      <c r="N44" s="72"/>
      <c r="O44" s="72"/>
      <c r="P44" s="72"/>
      <c r="Q44" s="72"/>
      <c r="R44" s="72"/>
      <c r="X44" s="3"/>
      <c r="Y44" s="3"/>
      <c r="Z44" s="3"/>
      <c r="AA44" s="3"/>
    </row>
    <row r="45" spans="1:27">
      <c r="A45" s="133"/>
      <c r="B45" s="133" t="s">
        <v>77</v>
      </c>
      <c r="C45" s="134"/>
      <c r="D45" s="84" t="s">
        <v>51</v>
      </c>
      <c r="E45" s="101">
        <f xml:space="preserve"> defaultFit_Inclusive!$U45*defaultFit_Inclusive!E45</f>
        <v>342.20581105000002</v>
      </c>
      <c r="F45" s="101">
        <f xml:space="preserve"> E45*SQRT(POWER(defaultFit_Inclusive!$V45/defaultFit_Inclusive!$U45,2+POWER(defaultFit_Inclusive!F45/defaultFit_Inclusive!E45,2)))</f>
        <v>12.252515285790439</v>
      </c>
      <c r="G45" s="76"/>
      <c r="H45" s="101">
        <f xml:space="preserve"> defaultFit_Inclusive!$U45*defaultFit_Inclusive!H45</f>
        <v>312.89912522999998</v>
      </c>
      <c r="I45" s="101">
        <f xml:space="preserve"> H45*SQRT(POWER(defaultFit_Inclusive!$V45/defaultFit_Inclusive!$U45,2+POWER(defaultFit_Inclusive!I45/defaultFit_Inclusive!H45,2)))</f>
        <v>11.202420619912697</v>
      </c>
      <c r="J45" s="76"/>
      <c r="K45" s="101"/>
      <c r="L45" s="108"/>
      <c r="M45" s="108"/>
      <c r="N45" s="108"/>
      <c r="O45" s="13"/>
      <c r="P45" s="35"/>
      <c r="Q45" s="5"/>
      <c r="R45" s="5"/>
      <c r="X45" s="3"/>
      <c r="Y45" s="3"/>
      <c r="Z45" s="3"/>
      <c r="AA45" s="3"/>
    </row>
    <row r="46" spans="1:27">
      <c r="A46" s="133"/>
      <c r="B46" s="133"/>
      <c r="C46" s="134"/>
      <c r="D46" s="85" t="s">
        <v>49</v>
      </c>
      <c r="E46" s="101">
        <f xml:space="preserve"> defaultFit_Inclusive!$U46*defaultFit_Inclusive!E46</f>
        <v>86.94409499999999</v>
      </c>
      <c r="F46" s="101">
        <f xml:space="preserve"> E46*SQRT(POWER(defaultFit_Inclusive!$V46/defaultFit_Inclusive!$U46,2+POWER(defaultFit_Inclusive!F46/defaultFit_Inclusive!E46,2)))</f>
        <v>5.7620158806396375</v>
      </c>
      <c r="G46" s="76" t="e">
        <f>SQRT(POWER(Z46,2)+POWER(fitSyst_NonPrompt!AE46/(PI()/8),2))</f>
        <v>#DIV/0!</v>
      </c>
      <c r="H46" s="101">
        <f xml:space="preserve"> defaultFit_Inclusive!$U46*defaultFit_Inclusive!H46</f>
        <v>96.328871120999992</v>
      </c>
      <c r="I46" s="101">
        <f xml:space="preserve"> H46*SQRT(POWER(defaultFit_Inclusive!$V46/defaultFit_Inclusive!$U46,2+POWER(defaultFit_Inclusive!I46/defaultFit_Inclusive!H46,2)))</f>
        <v>6.3892485567615607</v>
      </c>
      <c r="J46" s="76" t="e">
        <f>SQRT(POWER(AA46,2)+POWER(fitSyst_NonPrompt!AF46/(PI()/8),2))</f>
        <v>#DIV/0!</v>
      </c>
      <c r="K46" s="101"/>
      <c r="L46" s="128">
        <v>0.12</v>
      </c>
      <c r="M46" s="128">
        <v>0.1</v>
      </c>
      <c r="N46" s="128">
        <v>0.13</v>
      </c>
      <c r="O46" s="129">
        <v>0.1</v>
      </c>
      <c r="P46" s="35"/>
      <c r="Q46" s="127">
        <f xml:space="preserve"> (L46/ep_CorrectionFactors!H18+N46/ep_CorrectionFactors!M18)/2</f>
        <v>0.15937823438380461</v>
      </c>
      <c r="R46" s="127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9.0156706149671542E-2</v>
      </c>
      <c r="X46" s="3">
        <f xml:space="preserve"> E46/($E$50*PI()/8)</f>
        <v>0.65925369981479354</v>
      </c>
      <c r="Y46" s="3">
        <f xml:space="preserve"> H46/($H$50*PI()/8)</f>
        <v>0.80062518377889702</v>
      </c>
      <c r="Z46" s="3">
        <f t="shared" si="2"/>
        <v>4.3690492007574265E-2</v>
      </c>
      <c r="AA46" s="3">
        <f t="shared" si="3"/>
        <v>5.3103428291407698E-2</v>
      </c>
    </row>
    <row r="47" spans="1:27">
      <c r="A47" s="133"/>
      <c r="B47" s="133"/>
      <c r="C47" s="134"/>
      <c r="D47" s="85" t="s">
        <v>50</v>
      </c>
      <c r="E47" s="101">
        <f xml:space="preserve"> defaultFit_Inclusive!$U47*defaultFit_Inclusive!E47</f>
        <v>84.990485703000004</v>
      </c>
      <c r="F47" s="101">
        <f xml:space="preserve"> E47*SQRT(POWER(defaultFit_Inclusive!$V47/defaultFit_Inclusive!$U47,2+POWER(defaultFit_Inclusive!F47/defaultFit_Inclusive!E47,2)))</f>
        <v>6.4975875567042021</v>
      </c>
      <c r="G47" s="76" t="e">
        <f>SQRT(POWER(Z47,2)+POWER(fitSyst_NonPrompt!AE47/(PI()/8),2))</f>
        <v>#DIV/0!</v>
      </c>
      <c r="H47" s="101">
        <f xml:space="preserve"> defaultFit_Inclusive!$U47*defaultFit_Inclusive!H47</f>
        <v>64.401367860000008</v>
      </c>
      <c r="I47" s="101">
        <f xml:space="preserve"> H47*SQRT(POWER(defaultFit_Inclusive!$V47/defaultFit_Inclusive!$U47,2+POWER(defaultFit_Inclusive!I47/defaultFit_Inclusive!H47,2)))</f>
        <v>4.9173351972591872</v>
      </c>
      <c r="J47" s="76" t="e">
        <f>SQRT(POWER(AA47,2)+POWER(fitSyst_NonPrompt!AF47/(PI()/8),2))</f>
        <v>#DIV/0!</v>
      </c>
      <c r="K47" s="101"/>
      <c r="L47" s="128"/>
      <c r="M47" s="128"/>
      <c r="N47" s="128"/>
      <c r="O47" s="129"/>
      <c r="P47" s="35"/>
      <c r="Q47" s="127"/>
      <c r="R47" s="127"/>
      <c r="X47" s="3">
        <f t="shared" ref="X47:X49" si="14" xml:space="preserve"> E47/($E$50*PI()/8)</f>
        <v>0.64444045508506442</v>
      </c>
      <c r="Y47" s="3">
        <f t="shared" ref="Y47:Y49" si="15" xml:space="preserve"> H47/($H$50*PI()/8)</f>
        <v>0.53526379348677244</v>
      </c>
      <c r="Z47" s="3">
        <f t="shared" si="2"/>
        <v>4.9267965082939909E-2</v>
      </c>
      <c r="AA47" s="3">
        <f t="shared" si="3"/>
        <v>4.0869807257087325E-2</v>
      </c>
    </row>
    <row r="48" spans="1:27">
      <c r="A48" s="133"/>
      <c r="B48" s="133"/>
      <c r="C48" s="134"/>
      <c r="D48" s="84" t="s">
        <v>52</v>
      </c>
      <c r="E48" s="101">
        <f xml:space="preserve"> defaultFit_Inclusive!$U48*defaultFit_Inclusive!E48</f>
        <v>79.883583384000005</v>
      </c>
      <c r="F48" s="101">
        <f xml:space="preserve"> E48*SQRT(POWER(defaultFit_Inclusive!$V48/defaultFit_Inclusive!$U48,2+POWER(defaultFit_Inclusive!F48/defaultFit_Inclusive!E48,2)))</f>
        <v>5.8368961985011589</v>
      </c>
      <c r="G48" s="76" t="e">
        <f>SQRT(POWER(Z48,2)+POWER(fitSyst_NonPrompt!AE48/(PI()/8),2))</f>
        <v>#DIV/0!</v>
      </c>
      <c r="H48" s="101">
        <f xml:space="preserve"> defaultFit_Inclusive!$U48*defaultFit_Inclusive!H48</f>
        <v>77.341539879999999</v>
      </c>
      <c r="I48" s="101">
        <f xml:space="preserve"> H48*SQRT(POWER(defaultFit_Inclusive!$V48/defaultFit_Inclusive!$U48,2+POWER(defaultFit_Inclusive!I48/defaultFit_Inclusive!H48,2)))</f>
        <v>5.6518549403460314</v>
      </c>
      <c r="J48" s="76" t="e">
        <f>SQRT(POWER(AA48,2)+POWER(fitSyst_NonPrompt!AF48/(PI()/8),2))</f>
        <v>#DIV/0!</v>
      </c>
      <c r="K48" s="101"/>
      <c r="L48" s="128"/>
      <c r="M48" s="128"/>
      <c r="N48" s="128"/>
      <c r="O48" s="129"/>
      <c r="P48" s="35"/>
      <c r="Q48" s="127"/>
      <c r="R48" s="127"/>
      <c r="X48" s="3">
        <f t="shared" si="14"/>
        <v>0.60571736240817253</v>
      </c>
      <c r="Y48" s="3">
        <f t="shared" si="15"/>
        <v>0.6428143905308239</v>
      </c>
      <c r="Z48" s="3">
        <f t="shared" si="2"/>
        <v>4.4258272103433749E-2</v>
      </c>
      <c r="AA48" s="3">
        <f t="shared" si="3"/>
        <v>4.6974674857574873E-2</v>
      </c>
    </row>
    <row r="49" spans="1:27">
      <c r="A49" s="133"/>
      <c r="B49" s="133"/>
      <c r="C49" s="134"/>
      <c r="D49" s="84" t="s">
        <v>53</v>
      </c>
      <c r="E49" s="101">
        <f xml:space="preserve"> defaultFit_Inclusive!$U49*defaultFit_Inclusive!E49</f>
        <v>84.0181307</v>
      </c>
      <c r="F49" s="101">
        <f xml:space="preserve"> E49*SQRT(POWER(defaultFit_Inclusive!$V49/defaultFit_Inclusive!$U49,2+POWER(defaultFit_Inclusive!F49/defaultFit_Inclusive!E49,2)))</f>
        <v>6.1563079052267051</v>
      </c>
      <c r="G49" s="76" t="e">
        <f>SQRT(POWER(Z49,2)+POWER(fitSyst_NonPrompt!AE49/(PI()/8),2))</f>
        <v>#DIV/0!</v>
      </c>
      <c r="H49" s="101">
        <f xml:space="preserve"> defaultFit_Inclusive!$U49*defaultFit_Inclusive!H49</f>
        <v>68.313107590000001</v>
      </c>
      <c r="I49" s="101">
        <f xml:space="preserve"> H49*SQRT(POWER(defaultFit_Inclusive!$V49/defaultFit_Inclusive!$U49,2+POWER(defaultFit_Inclusive!I49/defaultFit_Inclusive!H49,2)))</f>
        <v>5.0004142778934098</v>
      </c>
      <c r="J49" s="76" t="e">
        <f>SQRT(POWER(AA49,2)+POWER(fitSyst_NonPrompt!AF49/(PI()/8),2))</f>
        <v>#DIV/0!</v>
      </c>
      <c r="K49" s="101"/>
      <c r="L49" s="128"/>
      <c r="M49" s="128"/>
      <c r="N49" s="128"/>
      <c r="O49" s="129"/>
      <c r="P49" s="35"/>
      <c r="Q49" s="127"/>
      <c r="R49" s="127"/>
      <c r="X49" s="3">
        <f t="shared" si="14"/>
        <v>0.63706757216229459</v>
      </c>
      <c r="Y49" s="3">
        <f t="shared" si="15"/>
        <v>0.56777572167383195</v>
      </c>
      <c r="Z49" s="3">
        <f t="shared" si="2"/>
        <v>4.6680211735135861E-2</v>
      </c>
      <c r="AA49" s="3">
        <f t="shared" si="3"/>
        <v>4.1560308489240312E-2</v>
      </c>
    </row>
    <row r="50" spans="1:27">
      <c r="A50" s="133"/>
      <c r="B50" s="133"/>
      <c r="C50" s="134"/>
      <c r="D50" s="80"/>
      <c r="E50" s="94">
        <f xml:space="preserve"> SUM(E46:E49)</f>
        <v>335.83629478700004</v>
      </c>
      <c r="F50" s="94"/>
      <c r="G50" s="87"/>
      <c r="H50" s="94">
        <f xml:space="preserve"> SUM(H46:H49)</f>
        <v>306.384886451</v>
      </c>
      <c r="I50" s="72"/>
      <c r="J50" s="87"/>
      <c r="K50" s="72"/>
      <c r="L50" s="72"/>
      <c r="M50" s="72"/>
      <c r="N50" s="72"/>
      <c r="O50" s="72"/>
      <c r="P50" s="72"/>
      <c r="Q50" s="72"/>
      <c r="R50" s="72"/>
      <c r="X50" s="3"/>
      <c r="Y50" s="3"/>
      <c r="Z50" s="3"/>
      <c r="AA50" s="3"/>
    </row>
    <row r="51" spans="1:27">
      <c r="A51" s="133"/>
      <c r="B51" s="133" t="s">
        <v>78</v>
      </c>
      <c r="C51" s="134"/>
      <c r="D51" s="84" t="s">
        <v>51</v>
      </c>
      <c r="E51" s="86"/>
      <c r="F51" s="86"/>
      <c r="G51" s="87"/>
      <c r="H51" s="86"/>
      <c r="I51" s="86"/>
      <c r="J51" s="87"/>
      <c r="K51" s="86"/>
      <c r="L51" s="88"/>
      <c r="M51" s="88"/>
      <c r="N51" s="88"/>
      <c r="O51" s="84"/>
      <c r="Q51" s="3"/>
      <c r="R51" s="3"/>
      <c r="X51" s="3"/>
      <c r="Y51" s="3"/>
      <c r="Z51" s="3"/>
      <c r="AA51" s="3"/>
    </row>
    <row r="52" spans="1:27">
      <c r="A52" s="133"/>
      <c r="B52" s="133"/>
      <c r="C52" s="134"/>
      <c r="D52" s="85" t="s">
        <v>49</v>
      </c>
      <c r="E52" s="86"/>
      <c r="F52" s="86"/>
      <c r="G52" s="87"/>
      <c r="H52" s="86"/>
      <c r="I52" s="86"/>
      <c r="J52" s="87"/>
      <c r="K52" s="86"/>
      <c r="L52" s="123"/>
      <c r="M52" s="123"/>
      <c r="N52" s="123"/>
      <c r="O52" s="116"/>
      <c r="Q52" s="113"/>
      <c r="R52" s="113"/>
      <c r="X52" s="3"/>
      <c r="Y52" s="3"/>
      <c r="Z52" s="3"/>
      <c r="AA52" s="3"/>
    </row>
    <row r="53" spans="1:27">
      <c r="A53" s="133"/>
      <c r="B53" s="133"/>
      <c r="C53" s="134"/>
      <c r="D53" s="85" t="s">
        <v>50</v>
      </c>
      <c r="E53" s="86"/>
      <c r="F53" s="86"/>
      <c r="G53" s="87"/>
      <c r="H53" s="86"/>
      <c r="I53" s="86"/>
      <c r="J53" s="87"/>
      <c r="K53" s="86"/>
      <c r="L53" s="123"/>
      <c r="M53" s="123"/>
      <c r="N53" s="123"/>
      <c r="O53" s="116"/>
      <c r="Q53" s="113"/>
      <c r="R53" s="113"/>
      <c r="X53" s="3"/>
      <c r="Y53" s="3"/>
      <c r="Z53" s="3"/>
      <c r="AA53" s="3"/>
    </row>
    <row r="54" spans="1:27">
      <c r="A54" s="133"/>
      <c r="B54" s="133"/>
      <c r="C54" s="134"/>
      <c r="D54" s="84" t="s">
        <v>52</v>
      </c>
      <c r="E54" s="86"/>
      <c r="F54" s="86"/>
      <c r="G54" s="87"/>
      <c r="H54" s="86"/>
      <c r="I54" s="86"/>
      <c r="J54" s="87"/>
      <c r="K54" s="86"/>
      <c r="L54" s="123"/>
      <c r="M54" s="123"/>
      <c r="N54" s="123"/>
      <c r="O54" s="116"/>
      <c r="Q54" s="113"/>
      <c r="R54" s="113"/>
      <c r="X54" s="3"/>
      <c r="Y54" s="3"/>
      <c r="Z54" s="3"/>
      <c r="AA54" s="3"/>
    </row>
    <row r="55" spans="1:27">
      <c r="A55" s="133"/>
      <c r="B55" s="133"/>
      <c r="C55" s="134"/>
      <c r="D55" s="84" t="s">
        <v>53</v>
      </c>
      <c r="E55" s="86"/>
      <c r="F55" s="86"/>
      <c r="G55" s="87"/>
      <c r="H55" s="86"/>
      <c r="I55" s="86"/>
      <c r="J55" s="87"/>
      <c r="K55" s="86"/>
      <c r="L55" s="123"/>
      <c r="M55" s="123"/>
      <c r="N55" s="123"/>
      <c r="O55" s="116"/>
      <c r="Q55" s="113"/>
      <c r="R55" s="113"/>
      <c r="X55" s="3"/>
      <c r="Y55" s="3"/>
      <c r="Z55" s="3"/>
      <c r="AA55" s="3"/>
    </row>
    <row r="56" spans="1:27">
      <c r="A56" s="133"/>
      <c r="B56" s="133"/>
      <c r="C56" s="134"/>
      <c r="D56" s="80"/>
      <c r="E56" s="94"/>
      <c r="F56" s="94"/>
      <c r="G56" s="87"/>
      <c r="H56" s="94"/>
      <c r="I56" s="72"/>
      <c r="J56" s="87"/>
      <c r="K56" s="72"/>
      <c r="L56" s="72"/>
      <c r="M56" s="72"/>
      <c r="N56" s="72"/>
      <c r="O56" s="72"/>
      <c r="P56" s="72"/>
      <c r="Q56" s="72"/>
      <c r="R56" s="72"/>
      <c r="X56" s="3"/>
      <c r="Y56" s="3"/>
      <c r="Z56" s="3"/>
      <c r="AA56" s="3"/>
    </row>
    <row r="57" spans="1:27">
      <c r="A57" s="133"/>
      <c r="B57" s="133" t="s">
        <v>79</v>
      </c>
      <c r="C57" s="134"/>
      <c r="D57" s="84" t="s">
        <v>51</v>
      </c>
      <c r="E57" s="86"/>
      <c r="F57" s="86"/>
      <c r="G57" s="87"/>
      <c r="H57" s="86"/>
      <c r="I57" s="86"/>
      <c r="J57" s="87"/>
      <c r="K57" s="86"/>
      <c r="L57" s="88"/>
      <c r="M57" s="88"/>
      <c r="N57" s="88"/>
      <c r="O57" s="84"/>
      <c r="Q57" s="3"/>
      <c r="R57" s="3"/>
      <c r="X57" s="3"/>
      <c r="Y57" s="3"/>
      <c r="Z57" s="3"/>
      <c r="AA57" s="3"/>
    </row>
    <row r="58" spans="1:27">
      <c r="A58" s="133"/>
      <c r="B58" s="133"/>
      <c r="C58" s="134"/>
      <c r="D58" s="85" t="s">
        <v>49</v>
      </c>
      <c r="E58" s="86"/>
      <c r="F58" s="86"/>
      <c r="G58" s="87"/>
      <c r="H58" s="86"/>
      <c r="I58" s="86"/>
      <c r="J58" s="87"/>
      <c r="K58" s="86"/>
      <c r="L58" s="123"/>
      <c r="M58" s="123"/>
      <c r="N58" s="123"/>
      <c r="O58" s="116"/>
      <c r="Q58" s="113"/>
      <c r="R58" s="113"/>
      <c r="X58" s="3"/>
      <c r="Y58" s="3"/>
      <c r="Z58" s="3"/>
      <c r="AA58" s="3"/>
    </row>
    <row r="59" spans="1:27">
      <c r="A59" s="133"/>
      <c r="B59" s="133"/>
      <c r="C59" s="134"/>
      <c r="D59" s="85" t="s">
        <v>50</v>
      </c>
      <c r="E59" s="86"/>
      <c r="F59" s="86"/>
      <c r="G59" s="87"/>
      <c r="H59" s="86"/>
      <c r="I59" s="86"/>
      <c r="J59" s="87"/>
      <c r="K59" s="86"/>
      <c r="L59" s="123"/>
      <c r="M59" s="123"/>
      <c r="N59" s="123"/>
      <c r="O59" s="116"/>
      <c r="Q59" s="113"/>
      <c r="R59" s="113"/>
      <c r="X59" s="3"/>
      <c r="Y59" s="3"/>
      <c r="Z59" s="3"/>
      <c r="AA59" s="3"/>
    </row>
    <row r="60" spans="1:27">
      <c r="A60" s="133"/>
      <c r="B60" s="133"/>
      <c r="C60" s="134"/>
      <c r="D60" s="84" t="s">
        <v>52</v>
      </c>
      <c r="E60" s="86"/>
      <c r="F60" s="86"/>
      <c r="G60" s="87"/>
      <c r="H60" s="86"/>
      <c r="I60" s="86"/>
      <c r="J60" s="87"/>
      <c r="K60" s="86"/>
      <c r="L60" s="123"/>
      <c r="M60" s="123"/>
      <c r="N60" s="123"/>
      <c r="O60" s="116"/>
      <c r="Q60" s="113"/>
      <c r="R60" s="113"/>
      <c r="X60" s="3"/>
      <c r="Y60" s="3"/>
      <c r="Z60" s="3"/>
      <c r="AA60" s="3"/>
    </row>
    <row r="61" spans="1:27">
      <c r="A61" s="133"/>
      <c r="B61" s="133"/>
      <c r="C61" s="134"/>
      <c r="D61" s="84" t="s">
        <v>53</v>
      </c>
      <c r="E61" s="86"/>
      <c r="F61" s="86"/>
      <c r="G61" s="87"/>
      <c r="H61" s="86"/>
      <c r="I61" s="86"/>
      <c r="J61" s="87"/>
      <c r="K61" s="86"/>
      <c r="L61" s="123"/>
      <c r="M61" s="123"/>
      <c r="N61" s="123"/>
      <c r="O61" s="116"/>
      <c r="Q61" s="113"/>
      <c r="R61" s="113"/>
      <c r="X61" s="3"/>
      <c r="Y61" s="3"/>
      <c r="Z61" s="3"/>
      <c r="AA61" s="3"/>
    </row>
    <row r="62" spans="1:27">
      <c r="A62" s="133"/>
      <c r="B62" s="133"/>
      <c r="C62" s="134"/>
      <c r="D62" s="80"/>
      <c r="E62" s="94">
        <f xml:space="preserve"> SUM(E58:E61)</f>
        <v>0</v>
      </c>
      <c r="F62" s="94"/>
      <c r="G62" s="87"/>
      <c r="H62" s="94">
        <f xml:space="preserve"> SUM(H58:H61)</f>
        <v>0</v>
      </c>
      <c r="I62" s="72"/>
      <c r="J62" s="87"/>
      <c r="K62" s="72"/>
      <c r="L62" s="72"/>
      <c r="M62" s="72"/>
      <c r="N62" s="72"/>
      <c r="O62" s="72"/>
      <c r="P62" s="72"/>
      <c r="Q62" s="72"/>
      <c r="R62" s="72"/>
      <c r="X62" s="3"/>
      <c r="Y62" s="3"/>
      <c r="Z62" s="3"/>
      <c r="AA62" s="3"/>
    </row>
    <row r="63" spans="1:27">
      <c r="A63" s="133" t="s">
        <v>80</v>
      </c>
      <c r="B63" s="133" t="s">
        <v>79</v>
      </c>
      <c r="C63" s="133" t="s">
        <v>17</v>
      </c>
      <c r="D63" s="84" t="s">
        <v>51</v>
      </c>
      <c r="E63" s="102">
        <f xml:space="preserve"> defaultFit_Inclusive!$U63*defaultFit_Inclusive!E63</f>
        <v>448.79235535999999</v>
      </c>
      <c r="F63" s="102">
        <f xml:space="preserve"> E63*SQRT(POWER(defaultFit_Inclusive!$V63/defaultFit_Inclusive!$U63,2+POWER(defaultFit_Inclusive!F63/defaultFit_Inclusive!E63,2)))</f>
        <v>18.096969775600925</v>
      </c>
      <c r="G63" s="76"/>
      <c r="H63" s="102">
        <f xml:space="preserve"> defaultFit_Inclusive!$U63*defaultFit_Inclusive!H63</f>
        <v>396.23681279999994</v>
      </c>
      <c r="I63" s="102">
        <f xml:space="preserve"> H63*SQRT(POWER(defaultFit_Inclusive!$V63/defaultFit_Inclusive!$U63,2+POWER(defaultFit_Inclusive!I63/defaultFit_Inclusive!H63,2)))</f>
        <v>15.976158401332974</v>
      </c>
      <c r="J63" s="76"/>
      <c r="K63" s="102"/>
      <c r="L63" s="103"/>
      <c r="M63" s="103"/>
      <c r="N63" s="103"/>
      <c r="O63" s="104"/>
      <c r="P63" s="75"/>
      <c r="Q63" s="79"/>
      <c r="R63" s="79"/>
      <c r="X63" s="3"/>
      <c r="Y63" s="3"/>
      <c r="Z63" s="3"/>
      <c r="AA63" s="3"/>
    </row>
    <row r="64" spans="1:27">
      <c r="A64" s="133"/>
      <c r="B64" s="133"/>
      <c r="C64" s="133"/>
      <c r="D64" s="85" t="s">
        <v>49</v>
      </c>
      <c r="E64" s="102">
        <f xml:space="preserve"> defaultFit_Inclusive!$U64*defaultFit_Inclusive!E64</f>
        <v>119.655811524</v>
      </c>
      <c r="F64" s="102">
        <f xml:space="preserve"> E64*SQRT(POWER(defaultFit_Inclusive!$V64/defaultFit_Inclusive!$U64,2+POWER(defaultFit_Inclusive!F64/defaultFit_Inclusive!E64,2)))</f>
        <v>9.0503499461384997</v>
      </c>
      <c r="G64" s="76" t="e">
        <f>SQRT(POWER(Z64,2)+POWER(fitSyst_NonPrompt!AE64/(PI()/8),2))</f>
        <v>#DIV/0!</v>
      </c>
      <c r="H64" s="102">
        <f xml:space="preserve"> defaultFit_Inclusive!$U64*defaultFit_Inclusive!H64</f>
        <v>116.22630024600001</v>
      </c>
      <c r="I64" s="102">
        <f xml:space="preserve"> H64*SQRT(POWER(defaultFit_Inclusive!$V64/defaultFit_Inclusive!$U64,2+POWER(defaultFit_Inclusive!I64/defaultFit_Inclusive!H64,2)))</f>
        <v>8.7912514883259565</v>
      </c>
      <c r="J64" s="76" t="e">
        <f>SQRT(POWER(AA64,2)+POWER(fitSyst_NonPrompt!AF64/(PI()/8),2))</f>
        <v>#DIV/0!</v>
      </c>
      <c r="K64" s="102"/>
      <c r="L64" s="131">
        <v>0.12</v>
      </c>
      <c r="M64" s="131">
        <v>0.1</v>
      </c>
      <c r="N64" s="131">
        <v>0.13</v>
      </c>
      <c r="O64" s="132">
        <v>0.1</v>
      </c>
      <c r="P64" s="75"/>
      <c r="Q64" s="130">
        <f xml:space="preserve"> (L64/ep_CorrectionFactors!H18+N64/ep_CorrectionFactors!M18)/2</f>
        <v>0.15937823438380461</v>
      </c>
      <c r="R64" s="130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9.0156706149671542E-2</v>
      </c>
      <c r="X64" s="3">
        <f xml:space="preserve"> E64/($E$68*PI()/8)</f>
        <v>0.68058001590066552</v>
      </c>
      <c r="Y64" s="3">
        <f xml:space="preserve"> H64/($H$68*PI()/8)</f>
        <v>0.74392138866652813</v>
      </c>
      <c r="Z64" s="3">
        <f t="shared" si="2"/>
        <v>5.1476708333669914E-2</v>
      </c>
      <c r="AA64" s="3">
        <f t="shared" si="3"/>
        <v>5.6269536253583066E-2</v>
      </c>
    </row>
    <row r="65" spans="1:27">
      <c r="A65" s="133"/>
      <c r="B65" s="133"/>
      <c r="C65" s="133"/>
      <c r="D65" s="85" t="s">
        <v>50</v>
      </c>
      <c r="E65" s="102">
        <f xml:space="preserve"> defaultFit_Inclusive!$U65*defaultFit_Inclusive!E65</f>
        <v>105.160665511</v>
      </c>
      <c r="F65" s="102">
        <f xml:space="preserve"> E65*SQRT(POWER(defaultFit_Inclusive!$V65/defaultFit_Inclusive!$U65,2+POWER(defaultFit_Inclusive!F65/defaultFit_Inclusive!E65,2)))</f>
        <v>8.7519076440046728</v>
      </c>
      <c r="G65" s="76" t="e">
        <f>SQRT(POWER(Z65,2)+POWER(fitSyst_NonPrompt!AE65/(PI()/8),2))</f>
        <v>#DIV/0!</v>
      </c>
      <c r="H65" s="102">
        <f xml:space="preserve"> defaultFit_Inclusive!$U65*defaultFit_Inclusive!H65</f>
        <v>91.455504865999998</v>
      </c>
      <c r="I65" s="102">
        <f xml:space="preserve"> H65*SQRT(POWER(defaultFit_Inclusive!$V65/defaultFit_Inclusive!$U65,2+POWER(defaultFit_Inclusive!I65/defaultFit_Inclusive!H65,2)))</f>
        <v>7.6095769182777175</v>
      </c>
      <c r="J65" s="76" t="e">
        <f>SQRT(POWER(AA65,2)+POWER(fitSyst_NonPrompt!AF65/(PI()/8),2))</f>
        <v>#DIV/0!</v>
      </c>
      <c r="K65" s="102"/>
      <c r="L65" s="131"/>
      <c r="M65" s="131"/>
      <c r="N65" s="131"/>
      <c r="O65" s="132"/>
      <c r="P65" s="75"/>
      <c r="Q65" s="130"/>
      <c r="R65" s="130"/>
      <c r="X65" s="3">
        <f t="shared" ref="X65:X67" si="16" xml:space="preserve"> E65/($E$68*PI()/8)</f>
        <v>0.59813431954573915</v>
      </c>
      <c r="Y65" s="3">
        <f t="shared" ref="Y65:Y67" si="17" xml:space="preserve"> H65/($H$68*PI()/8)</f>
        <v>0.58537272576956723</v>
      </c>
      <c r="Z65" s="3">
        <f t="shared" si="2"/>
        <v>4.9779223989661003E-2</v>
      </c>
      <c r="AA65" s="3">
        <f t="shared" si="3"/>
        <v>4.8706076131032526E-2</v>
      </c>
    </row>
    <row r="66" spans="1:27">
      <c r="A66" s="133"/>
      <c r="B66" s="133"/>
      <c r="C66" s="133"/>
      <c r="D66" s="84" t="s">
        <v>52</v>
      </c>
      <c r="E66" s="102">
        <f xml:space="preserve"> defaultFit_Inclusive!$U66*defaultFit_Inclusive!E66</f>
        <v>120.340867425</v>
      </c>
      <c r="F66" s="102">
        <f xml:space="preserve"> E66*SQRT(POWER(defaultFit_Inclusive!$V66/defaultFit_Inclusive!$U66,2+POWER(defaultFit_Inclusive!F66/defaultFit_Inclusive!E66,2)))</f>
        <v>8.9760574894324616</v>
      </c>
      <c r="G66" s="76" t="e">
        <f>SQRT(POWER(Z66,2)+POWER(fitSyst_NonPrompt!AE66/(PI()/8),2))</f>
        <v>#DIV/0!</v>
      </c>
      <c r="H66" s="102">
        <f xml:space="preserve"> defaultFit_Inclusive!$U66*defaultFit_Inclusive!H66</f>
        <v>103.51909285500001</v>
      </c>
      <c r="I66" s="102">
        <f xml:space="preserve"> H66*SQRT(POWER(defaultFit_Inclusive!$V66/defaultFit_Inclusive!$U66,2+POWER(defaultFit_Inclusive!I66/defaultFit_Inclusive!H66,2)))</f>
        <v>7.7178538763905236</v>
      </c>
      <c r="J66" s="76" t="e">
        <f>SQRT(POWER(AA66,2)+POWER(fitSyst_NonPrompt!AF66/(PI()/8),2))</f>
        <v>#DIV/0!</v>
      </c>
      <c r="K66" s="102"/>
      <c r="L66" s="131"/>
      <c r="M66" s="131"/>
      <c r="N66" s="131"/>
      <c r="O66" s="132"/>
      <c r="P66" s="75"/>
      <c r="Q66" s="130"/>
      <c r="R66" s="130"/>
      <c r="X66" s="3">
        <f t="shared" si="16"/>
        <v>0.68447648653637649</v>
      </c>
      <c r="Y66" s="3">
        <f t="shared" si="17"/>
        <v>0.66258727282202401</v>
      </c>
      <c r="Z66" s="3">
        <f t="shared" si="2"/>
        <v>5.1054146648430304E-2</v>
      </c>
      <c r="AA66" s="3">
        <f t="shared" si="3"/>
        <v>4.9399116732594971E-2</v>
      </c>
    </row>
    <row r="67" spans="1:27">
      <c r="A67" s="133"/>
      <c r="B67" s="133"/>
      <c r="C67" s="133"/>
      <c r="D67" s="84" t="s">
        <v>53</v>
      </c>
      <c r="E67" s="102">
        <f xml:space="preserve"> defaultFit_Inclusive!$U67*defaultFit_Inclusive!E67</f>
        <v>102.550514808</v>
      </c>
      <c r="F67" s="102">
        <f xml:space="preserve"> E67*SQRT(POWER(defaultFit_Inclusive!$V67/defaultFit_Inclusive!$U67,2+POWER(defaultFit_Inclusive!F67/defaultFit_Inclusive!E67,2)))</f>
        <v>9.0796783615366348</v>
      </c>
      <c r="G67" s="76" t="e">
        <f>SQRT(POWER(Z67,2)+POWER(fitSyst_NonPrompt!AE67/(PI()/8),2))</f>
        <v>#DIV/0!</v>
      </c>
      <c r="H67" s="102">
        <f xml:space="preserve"> defaultFit_Inclusive!$U67*defaultFit_Inclusive!H67</f>
        <v>86.647379729999997</v>
      </c>
      <c r="I67" s="102">
        <f xml:space="preserve"> H67*SQRT(POWER(defaultFit_Inclusive!$V67/defaultFit_Inclusive!$U67,2+POWER(defaultFit_Inclusive!I67/defaultFit_Inclusive!H67,2)))</f>
        <v>7.6681745262086078</v>
      </c>
      <c r="J67" s="76" t="e">
        <f>SQRT(POWER(AA67,2)+POWER(fitSyst_NonPrompt!AF67/(PI()/8),2))</f>
        <v>#DIV/0!</v>
      </c>
      <c r="K67" s="102"/>
      <c r="L67" s="131"/>
      <c r="M67" s="131"/>
      <c r="N67" s="131"/>
      <c r="O67" s="132"/>
      <c r="P67" s="75"/>
      <c r="Q67" s="130"/>
      <c r="R67" s="130"/>
      <c r="X67" s="3">
        <f t="shared" si="16"/>
        <v>0.58328826748754414</v>
      </c>
      <c r="Y67" s="3">
        <f t="shared" si="17"/>
        <v>0.55459770221220617</v>
      </c>
      <c r="Z67" s="3">
        <f t="shared" si="2"/>
        <v>5.1643522909274549E-2</v>
      </c>
      <c r="AA67" s="3">
        <f t="shared" si="3"/>
        <v>4.9081137659896627E-2</v>
      </c>
    </row>
    <row r="68" spans="1:27">
      <c r="A68" s="133"/>
      <c r="B68" s="133"/>
      <c r="C68" s="133"/>
      <c r="D68" s="80"/>
      <c r="E68" s="94">
        <f xml:space="preserve"> SUM(E64:E67)</f>
        <v>447.70785926799999</v>
      </c>
      <c r="F68" s="94"/>
      <c r="G68" s="76">
        <f>SQRT(POWER(Z68,2)+POWER(fitSyst_NonPrompt!AE68/(PI()/8),2))</f>
        <v>0</v>
      </c>
      <c r="H68" s="94">
        <f xml:space="preserve"> SUM(H64:H67)</f>
        <v>397.84827769700001</v>
      </c>
      <c r="I68" s="72"/>
      <c r="J68" s="76">
        <f>SQRT(POWER(AA68,2)+POWER(fitSyst_NonPrompt!AF68/(PI()/8),2))</f>
        <v>0</v>
      </c>
      <c r="K68" s="72"/>
      <c r="L68" s="72"/>
      <c r="M68" s="72"/>
      <c r="N68" s="72"/>
      <c r="O68" s="72"/>
      <c r="P68" s="72"/>
      <c r="Q68" s="72"/>
      <c r="R68" s="72"/>
      <c r="X68" s="3"/>
      <c r="Y68" s="3"/>
      <c r="Z68" s="3"/>
      <c r="AA68" s="3"/>
    </row>
    <row r="69" spans="1:27">
      <c r="A69" s="133" t="s">
        <v>82</v>
      </c>
      <c r="B69" s="133" t="s">
        <v>79</v>
      </c>
      <c r="C69" s="133" t="s">
        <v>17</v>
      </c>
      <c r="D69" s="84" t="s">
        <v>51</v>
      </c>
      <c r="E69" s="102">
        <f xml:space="preserve"> defaultFit_Inclusive!$U69*defaultFit_Inclusive!E69</f>
        <v>180.15616970999997</v>
      </c>
      <c r="F69" s="102">
        <f xml:space="preserve"> E69*SQRT(POWER(defaultFit_Inclusive!$V69/defaultFit_Inclusive!$U69,2+POWER(defaultFit_Inclusive!F69/defaultFit_Inclusive!E69,2)))</f>
        <v>13.16834703727616</v>
      </c>
      <c r="G69" s="76">
        <f>SQRT(POWER(Z69,2)+POWER(fitSyst_NonPrompt!AE69/(PI()/8),2))</f>
        <v>0</v>
      </c>
      <c r="H69" s="102">
        <f xml:space="preserve"> defaultFit_Inclusive!$U69*defaultFit_Inclusive!H69</f>
        <v>170.77350014999999</v>
      </c>
      <c r="I69" s="102">
        <f xml:space="preserve"> H69*SQRT(POWER(defaultFit_Inclusive!$V69/defaultFit_Inclusive!$U69,2+POWER(defaultFit_Inclusive!I69/defaultFit_Inclusive!H69,2)))</f>
        <v>12.484642361034494</v>
      </c>
      <c r="J69" s="76">
        <f>SQRT(POWER(AA69,2)+POWER(fitSyst_NonPrompt!AF69/(PI()/8),2))</f>
        <v>0</v>
      </c>
      <c r="K69" s="102"/>
      <c r="L69" s="103"/>
      <c r="M69" s="103"/>
      <c r="N69" s="103"/>
      <c r="O69" s="104"/>
      <c r="P69" s="75"/>
      <c r="Q69" s="79"/>
      <c r="R69" s="79"/>
      <c r="X69" s="3"/>
      <c r="Y69" s="3"/>
      <c r="Z69" s="3"/>
      <c r="AA69" s="3"/>
    </row>
    <row r="70" spans="1:27">
      <c r="A70" s="133"/>
      <c r="B70" s="133"/>
      <c r="C70" s="133"/>
      <c r="D70" s="85" t="s">
        <v>49</v>
      </c>
      <c r="E70" s="102">
        <f xml:space="preserve"> defaultFit_Inclusive!$U70*defaultFit_Inclusive!E70</f>
        <v>39.495906680000004</v>
      </c>
      <c r="F70" s="102">
        <f xml:space="preserve"> E70*SQRT(POWER(defaultFit_Inclusive!$V70/defaultFit_Inclusive!$U70,2+POWER(defaultFit_Inclusive!F70/defaultFit_Inclusive!E70,2)))</f>
        <v>5.8295737587677561</v>
      </c>
      <c r="G70" s="76" t="e">
        <f>SQRT(POWER(Z70,2)+POWER(fitSyst_NonPrompt!AE70/(PI()/8),2))</f>
        <v>#DIV/0!</v>
      </c>
      <c r="H70" s="102">
        <f xml:space="preserve"> defaultFit_Inclusive!$U70*defaultFit_Inclusive!H70</f>
        <v>46.251420732</v>
      </c>
      <c r="I70" s="102">
        <f xml:space="preserve"> H70*SQRT(POWER(defaultFit_Inclusive!$V70/defaultFit_Inclusive!$U70,2+POWER(defaultFit_Inclusive!I70/defaultFit_Inclusive!H70,2)))</f>
        <v>6.8416379058079322</v>
      </c>
      <c r="J70" s="76" t="e">
        <f>SQRT(POWER(AA70,2)+POWER(fitSyst_NonPrompt!AF70/(PI()/8),2))</f>
        <v>#DIV/0!</v>
      </c>
      <c r="K70" s="102"/>
      <c r="L70" s="131">
        <v>0.12</v>
      </c>
      <c r="M70" s="131">
        <v>0.1</v>
      </c>
      <c r="N70" s="131">
        <v>0.13</v>
      </c>
      <c r="O70" s="132">
        <v>0.1</v>
      </c>
      <c r="P70" s="75"/>
      <c r="Q70" s="130">
        <f xml:space="preserve"> (L70/ep_CorrectionFactors!H18+N70/ep_CorrectionFactors!M18)/2</f>
        <v>0.15937823438380461</v>
      </c>
      <c r="R70" s="130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9.0156706149671542E-2</v>
      </c>
      <c r="X70" s="3">
        <f xml:space="preserve"> E70/($E$74*PI()/8)</f>
        <v>0.5638876603234253</v>
      </c>
      <c r="Y70" s="3">
        <f xml:space="preserve"> H70/($H$74*PI()/8)</f>
        <v>0.70022349185126953</v>
      </c>
      <c r="Z70" s="3">
        <f t="shared" ref="Z70:Z85" si="18" xml:space="preserve"> X70*F70/E70</f>
        <v>8.3229503607749195E-2</v>
      </c>
      <c r="AA70" s="3">
        <f t="shared" ref="AA70:AA85" si="19" xml:space="preserve"> Y70*I70/H70</f>
        <v>0.10357899300317729</v>
      </c>
    </row>
    <row r="71" spans="1:27">
      <c r="A71" s="133"/>
      <c r="B71" s="133"/>
      <c r="C71" s="133"/>
      <c r="D71" s="85" t="s">
        <v>50</v>
      </c>
      <c r="E71" s="102">
        <f xml:space="preserve"> defaultFit_Inclusive!$U71*defaultFit_Inclusive!E71</f>
        <v>52.899181479999996</v>
      </c>
      <c r="F71" s="102">
        <f xml:space="preserve"> E71*SQRT(POWER(defaultFit_Inclusive!$V71/defaultFit_Inclusive!$U71,2+POWER(defaultFit_Inclusive!F71/defaultFit_Inclusive!E71,2)))</f>
        <v>7.2740872278310871</v>
      </c>
      <c r="G71" s="76" t="e">
        <f>SQRT(POWER(Z71,2)+POWER(fitSyst_NonPrompt!AE71/(PI()/8),2))</f>
        <v>#DIV/0!</v>
      </c>
      <c r="H71" s="102">
        <f xml:space="preserve"> defaultFit_Inclusive!$U71*defaultFit_Inclusive!H71</f>
        <v>43.056257227000003</v>
      </c>
      <c r="I71" s="102">
        <f xml:space="preserve"> H71*SQRT(POWER(defaultFit_Inclusive!$V71/defaultFit_Inclusive!$U71,2+POWER(defaultFit_Inclusive!I71/defaultFit_Inclusive!H71,2)))</f>
        <v>5.919252369481149</v>
      </c>
      <c r="J71" s="76" t="e">
        <f>SQRT(POWER(AA71,2)+POWER(fitSyst_NonPrompt!AF71/(PI()/8),2))</f>
        <v>#DIV/0!</v>
      </c>
      <c r="K71" s="102"/>
      <c r="L71" s="131"/>
      <c r="M71" s="131"/>
      <c r="N71" s="131"/>
      <c r="O71" s="132"/>
      <c r="P71" s="75"/>
      <c r="Q71" s="130"/>
      <c r="R71" s="130"/>
      <c r="X71" s="3">
        <f t="shared" ref="X71:X73" si="20" xml:space="preserve"> E71/($E$74*PI()/8)</f>
        <v>0.75524777591411574</v>
      </c>
      <c r="Y71" s="3">
        <f t="shared" ref="Y71:Y73" si="21" xml:space="preserve"> H71/($H$74*PI()/8)</f>
        <v>0.65185030652857745</v>
      </c>
      <c r="Z71" s="3">
        <f t="shared" si="18"/>
        <v>0.1038529906687075</v>
      </c>
      <c r="AA71" s="3">
        <f t="shared" si="19"/>
        <v>8.96145350285278E-2</v>
      </c>
    </row>
    <row r="72" spans="1:27">
      <c r="A72" s="133"/>
      <c r="B72" s="133"/>
      <c r="C72" s="133"/>
      <c r="D72" s="84" t="s">
        <v>52</v>
      </c>
      <c r="E72" s="102">
        <f xml:space="preserve"> defaultFit_Inclusive!$U72*defaultFit_Inclusive!E72</f>
        <v>41.273440956000002</v>
      </c>
      <c r="F72" s="102">
        <f xml:space="preserve"> E72*SQRT(POWER(defaultFit_Inclusive!$V72/defaultFit_Inclusive!$U72,2+POWER(defaultFit_Inclusive!F72/defaultFit_Inclusive!E72,2)))</f>
        <v>6.4985604589978783</v>
      </c>
      <c r="G72" s="76" t="e">
        <f>SQRT(POWER(Z72,2)+POWER(fitSyst_NonPrompt!AE72/(PI()/8),2))</f>
        <v>#DIV/0!</v>
      </c>
      <c r="H72" s="102">
        <f xml:space="preserve"> defaultFit_Inclusive!$U72*defaultFit_Inclusive!H72</f>
        <v>37.260008675999998</v>
      </c>
      <c r="I72" s="102">
        <f xml:space="preserve"> H72*SQRT(POWER(defaultFit_Inclusive!$V72/defaultFit_Inclusive!$U72,2+POWER(defaultFit_Inclusive!I72/defaultFit_Inclusive!H72,2)))</f>
        <v>5.8682988522818889</v>
      </c>
      <c r="J72" s="76" t="e">
        <f>SQRT(POWER(AA72,2)+POWER(fitSyst_NonPrompt!AF72/(PI()/8),2))</f>
        <v>#DIV/0!</v>
      </c>
      <c r="K72" s="102"/>
      <c r="L72" s="131"/>
      <c r="M72" s="131"/>
      <c r="N72" s="131"/>
      <c r="O72" s="132"/>
      <c r="P72" s="75"/>
      <c r="Q72" s="130"/>
      <c r="R72" s="130"/>
      <c r="X72" s="3">
        <f t="shared" si="20"/>
        <v>0.58926572423671419</v>
      </c>
      <c r="Y72" s="3">
        <f t="shared" si="21"/>
        <v>0.5640979880963134</v>
      </c>
      <c r="Z72" s="3">
        <f t="shared" si="18"/>
        <v>9.2780704653382534E-2</v>
      </c>
      <c r="AA72" s="3">
        <f t="shared" si="19"/>
        <v>8.8843124136263385E-2</v>
      </c>
    </row>
    <row r="73" spans="1:27">
      <c r="A73" s="133"/>
      <c r="B73" s="133"/>
      <c r="C73" s="133"/>
      <c r="D73" s="84" t="s">
        <v>53</v>
      </c>
      <c r="E73" s="102">
        <f xml:space="preserve"> defaultFit_Inclusive!$U73*defaultFit_Inclusive!E73</f>
        <v>44.692352947999993</v>
      </c>
      <c r="F73" s="102">
        <f xml:space="preserve"> E73*SQRT(POWER(defaultFit_Inclusive!$V73/defaultFit_Inclusive!$U73,2+POWER(defaultFit_Inclusive!F73/defaultFit_Inclusive!E73,2)))</f>
        <v>6.3895146300582164</v>
      </c>
      <c r="G73" s="76" t="e">
        <f>SQRT(POWER(Z73,2)+POWER(fitSyst_NonPrompt!AE73/(PI()/8),2))</f>
        <v>#DIV/0!</v>
      </c>
      <c r="H73" s="102">
        <f xml:space="preserve"> defaultFit_Inclusive!$U73*defaultFit_Inclusive!H73</f>
        <v>41.633290799999997</v>
      </c>
      <c r="I73" s="102">
        <f xml:space="preserve"> H73*SQRT(POWER(defaultFit_Inclusive!$V73/defaultFit_Inclusive!$U73,2+POWER(defaultFit_Inclusive!I73/defaultFit_Inclusive!H73,2)))</f>
        <v>5.9528504108401181</v>
      </c>
      <c r="J73" s="76" t="e">
        <f>SQRT(POWER(AA73,2)+POWER(fitSyst_NonPrompt!AF73/(PI()/8),2))</f>
        <v>#DIV/0!</v>
      </c>
      <c r="K73" s="102"/>
      <c r="L73" s="131"/>
      <c r="M73" s="131"/>
      <c r="N73" s="131"/>
      <c r="O73" s="132"/>
      <c r="P73" s="75"/>
      <c r="Q73" s="130"/>
      <c r="R73" s="130"/>
      <c r="X73" s="3">
        <f t="shared" si="20"/>
        <v>0.63807792899607019</v>
      </c>
      <c r="Y73" s="3">
        <f t="shared" si="21"/>
        <v>0.63030730299416515</v>
      </c>
      <c r="Z73" s="3">
        <f t="shared" si="18"/>
        <v>9.1223844651483865E-2</v>
      </c>
      <c r="AA73" s="3">
        <f t="shared" si="19"/>
        <v>9.0123192653902423E-2</v>
      </c>
    </row>
    <row r="74" spans="1:27">
      <c r="A74" s="133"/>
      <c r="B74" s="133"/>
      <c r="C74" s="133"/>
      <c r="D74" s="80"/>
      <c r="E74" s="94">
        <f xml:space="preserve"> SUM(E70:E73)</f>
        <v>178.36088206400001</v>
      </c>
      <c r="F74" s="94"/>
      <c r="G74" s="76">
        <f>SQRT(POWER(Z74,2)+POWER(fitSyst_NonPrompt!AE74/(PI()/8),2))</f>
        <v>0</v>
      </c>
      <c r="H74" s="94">
        <f xml:space="preserve"> SUM(H70:H73)</f>
        <v>168.200977435</v>
      </c>
      <c r="I74" s="72"/>
      <c r="J74" s="76">
        <f>SQRT(POWER(AA74,2)+POWER(fitSyst_NonPrompt!AF74/(PI()/8),2))</f>
        <v>0</v>
      </c>
      <c r="K74" s="72"/>
      <c r="L74" s="72"/>
      <c r="M74" s="72"/>
      <c r="N74" s="72"/>
      <c r="O74" s="72"/>
      <c r="P74" s="72"/>
      <c r="Q74" s="72"/>
      <c r="R74" s="72"/>
      <c r="X74" s="3"/>
      <c r="Y74" s="3"/>
      <c r="Z74" s="3"/>
      <c r="AA74" s="3"/>
    </row>
    <row r="75" spans="1:27">
      <c r="A75" s="133" t="s">
        <v>81</v>
      </c>
      <c r="B75" s="133" t="s">
        <v>83</v>
      </c>
      <c r="C75" s="133" t="s">
        <v>17</v>
      </c>
      <c r="D75" s="84" t="s">
        <v>51</v>
      </c>
      <c r="E75" s="102">
        <f xml:space="preserve"> defaultFit_Inclusive!$U75*defaultFit_Inclusive!E75</f>
        <v>199.40818209</v>
      </c>
      <c r="F75" s="102">
        <f xml:space="preserve"> E75*SQRT(POWER(defaultFit_Inclusive!$V75/defaultFit_Inclusive!$U75,2+POWER(defaultFit_Inclusive!F75/defaultFit_Inclusive!E75,2)))</f>
        <v>18.918177320363888</v>
      </c>
      <c r="G75" s="76">
        <f>SQRT(POWER(Z75,2)+POWER(fitSyst_NonPrompt!AE75/(PI()/8),2))</f>
        <v>0</v>
      </c>
      <c r="H75" s="102">
        <f xml:space="preserve"> defaultFit_Inclusive!$U75*defaultFit_Inclusive!H75</f>
        <v>305.79785730000003</v>
      </c>
      <c r="I75" s="102">
        <f xml:space="preserve"> H75*SQRT(POWER(defaultFit_Inclusive!$V75/defaultFit_Inclusive!$U75,2+POWER(defaultFit_Inclusive!I75/defaultFit_Inclusive!H75,2)))</f>
        <v>28.899356161473417</v>
      </c>
      <c r="J75" s="76">
        <f>SQRT(POWER(AA75,2)+POWER(fitSyst_NonPrompt!AF75/(PI()/8),2))</f>
        <v>0</v>
      </c>
      <c r="K75" s="102"/>
      <c r="L75" s="103"/>
      <c r="M75" s="103"/>
      <c r="N75" s="103"/>
      <c r="O75" s="104"/>
      <c r="P75" s="75"/>
      <c r="Q75" s="79"/>
      <c r="R75" s="79"/>
      <c r="X75" s="3"/>
      <c r="Y75" s="3"/>
      <c r="Z75" s="3"/>
      <c r="AA75" s="3"/>
    </row>
    <row r="76" spans="1:27">
      <c r="A76" s="133"/>
      <c r="B76" s="133"/>
      <c r="C76" s="133"/>
      <c r="D76" s="85" t="s">
        <v>49</v>
      </c>
      <c r="E76" s="102">
        <f xml:space="preserve"> defaultFit_Inclusive!$U76*defaultFit_Inclusive!E76</f>
        <v>38.7285423525</v>
      </c>
      <c r="F76" s="102">
        <f xml:space="preserve"> E76*SQRT(POWER(defaultFit_Inclusive!$V76/defaultFit_Inclusive!$U76,2+POWER(defaultFit_Inclusive!F76/defaultFit_Inclusive!E76,2)))</f>
        <v>8.9408492181129215</v>
      </c>
      <c r="G76" s="76" t="e">
        <f>SQRT(POWER(Z76,2)+POWER(fitSyst_NonPrompt!AE76/(PI()/8),2))</f>
        <v>#DIV/0!</v>
      </c>
      <c r="H76" s="102">
        <f xml:space="preserve"> defaultFit_Inclusive!$U76*defaultFit_Inclusive!H76</f>
        <v>56.204683815000003</v>
      </c>
      <c r="I76" s="102">
        <f xml:space="preserve"> H76*SQRT(POWER(defaultFit_Inclusive!$V76/defaultFit_Inclusive!$U76,2+POWER(defaultFit_Inclusive!I76/defaultFit_Inclusive!H76,2)))</f>
        <v>12.978088277198701</v>
      </c>
      <c r="J76" s="76" t="e">
        <f>SQRT(POWER(AA76,2)+POWER(fitSyst_NonPrompt!AF76/(PI()/8),2))</f>
        <v>#DIV/0!</v>
      </c>
      <c r="K76" s="102"/>
      <c r="L76" s="131">
        <v>0.12</v>
      </c>
      <c r="M76" s="131">
        <v>0.1</v>
      </c>
      <c r="N76" s="131">
        <v>0.13</v>
      </c>
      <c r="O76" s="132">
        <v>0.1</v>
      </c>
      <c r="P76" s="75"/>
      <c r="Q76" s="130">
        <f xml:space="preserve"> (L76/ep_CorrectionFactors!H18+N76/ep_CorrectionFactors!M18)/2</f>
        <v>0.15937823438380461</v>
      </c>
      <c r="R76" s="130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9.0156706149671542E-2</v>
      </c>
      <c r="X76" s="3">
        <f xml:space="preserve"> E76/($E$80*PI()/8)</f>
        <v>0.50999979091392245</v>
      </c>
      <c r="Y76" s="3">
        <f xml:space="preserve"> H76/($H$80*PI()/8)</f>
        <v>0.4780718518857639</v>
      </c>
      <c r="Z76" s="3">
        <f t="shared" si="18"/>
        <v>0.11773826110799007</v>
      </c>
      <c r="AA76" s="3">
        <f t="shared" si="19"/>
        <v>0.11039042078840855</v>
      </c>
    </row>
    <row r="77" spans="1:27">
      <c r="A77" s="133"/>
      <c r="B77" s="133"/>
      <c r="C77" s="133"/>
      <c r="D77" s="85" t="s">
        <v>50</v>
      </c>
      <c r="E77" s="102">
        <f xml:space="preserve"> defaultFit_Inclusive!$U77*defaultFit_Inclusive!E77</f>
        <v>67.711370809000002</v>
      </c>
      <c r="F77" s="102">
        <f xml:space="preserve"> E77*SQRT(POWER(defaultFit_Inclusive!$V77/defaultFit_Inclusive!$U77,2+POWER(defaultFit_Inclusive!F77/defaultFit_Inclusive!E77,2)))</f>
        <v>10.097796714611126</v>
      </c>
      <c r="G77" s="76" t="e">
        <f>SQRT(POWER(Z77,2)+POWER(fitSyst_NonPrompt!AE77/(PI()/8),2))</f>
        <v>#DIV/0!</v>
      </c>
      <c r="H77" s="102">
        <f xml:space="preserve"> defaultFit_Inclusive!$U77*defaultFit_Inclusive!H77</f>
        <v>108.56729160199998</v>
      </c>
      <c r="I77" s="102">
        <f xml:space="preserve"> H77*SQRT(POWER(defaultFit_Inclusive!$V77/defaultFit_Inclusive!$U77,2+POWER(defaultFit_Inclusive!I77/defaultFit_Inclusive!H77,2)))</f>
        <v>16.207499817893854</v>
      </c>
      <c r="J77" s="76" t="e">
        <f>SQRT(POWER(AA77,2)+POWER(fitSyst_NonPrompt!AF77/(PI()/8),2))</f>
        <v>#DIV/0!</v>
      </c>
      <c r="K77" s="102"/>
      <c r="L77" s="131"/>
      <c r="M77" s="131"/>
      <c r="N77" s="131"/>
      <c r="O77" s="132"/>
      <c r="P77" s="75"/>
      <c r="Q77" s="130"/>
      <c r="R77" s="130"/>
      <c r="X77" s="3">
        <f t="shared" ref="X77:X79" si="22" xml:space="preserve"> E77/($E$80*PI()/8)</f>
        <v>0.89166239825847504</v>
      </c>
      <c r="Y77" s="3">
        <f t="shared" ref="Y77:Y79" si="23" xml:space="preserve"> H77/($H$80*PI()/8)</f>
        <v>0.92346335976607552</v>
      </c>
      <c r="Z77" s="3">
        <f t="shared" si="18"/>
        <v>0.13297361326614796</v>
      </c>
      <c r="AA77" s="3">
        <f t="shared" si="19"/>
        <v>0.13785949722415844</v>
      </c>
    </row>
    <row r="78" spans="1:27">
      <c r="A78" s="133"/>
      <c r="B78" s="133"/>
      <c r="C78" s="133"/>
      <c r="D78" s="84" t="s">
        <v>52</v>
      </c>
      <c r="E78" s="102">
        <f xml:space="preserve"> defaultFit_Inclusive!$U78*defaultFit_Inclusive!E78</f>
        <v>44.291242599999997</v>
      </c>
      <c r="F78" s="102">
        <f xml:space="preserve"> E78*SQRT(POWER(defaultFit_Inclusive!$V78/defaultFit_Inclusive!$U78,2+POWER(defaultFit_Inclusive!F78/defaultFit_Inclusive!E78,2)))</f>
        <v>8.9402306002877161</v>
      </c>
      <c r="G78" s="76" t="e">
        <f>SQRT(POWER(Z78,2)+POWER(fitSyst_NonPrompt!AE78/(PI()/8),2))</f>
        <v>#DIV/0!</v>
      </c>
      <c r="H78" s="102">
        <f xml:space="preserve"> defaultFit_Inclusive!$U78*defaultFit_Inclusive!H78</f>
        <v>71.145943125000002</v>
      </c>
      <c r="I78" s="102">
        <f xml:space="preserve"> H78*SQRT(POWER(defaultFit_Inclusive!$V78/defaultFit_Inclusive!$U78,2+POWER(defaultFit_Inclusive!I78/defaultFit_Inclusive!H78,2)))</f>
        <v>14.372949595315681</v>
      </c>
      <c r="J78" s="76" t="e">
        <f>SQRT(POWER(AA78,2)+POWER(fitSyst_NonPrompt!AF78/(PI()/8),2))</f>
        <v>#DIV/0!</v>
      </c>
      <c r="K78" s="102"/>
      <c r="L78" s="131"/>
      <c r="M78" s="131"/>
      <c r="N78" s="131"/>
      <c r="O78" s="132"/>
      <c r="P78" s="75"/>
      <c r="Q78" s="130"/>
      <c r="R78" s="130"/>
      <c r="X78" s="3">
        <f t="shared" si="22"/>
        <v>0.58325263728547438</v>
      </c>
      <c r="Y78" s="3">
        <f t="shared" si="23"/>
        <v>0.60516082424523077</v>
      </c>
      <c r="Z78" s="3">
        <f t="shared" si="18"/>
        <v>0.1177301147915437</v>
      </c>
      <c r="AA78" s="3">
        <f t="shared" si="19"/>
        <v>0.12225498239097796</v>
      </c>
    </row>
    <row r="79" spans="1:27">
      <c r="A79" s="133"/>
      <c r="B79" s="133"/>
      <c r="C79" s="133"/>
      <c r="D79" s="84" t="s">
        <v>53</v>
      </c>
      <c r="E79" s="102">
        <f xml:space="preserve"> defaultFit_Inclusive!$U79*defaultFit_Inclusive!E79</f>
        <v>42.644263254999998</v>
      </c>
      <c r="F79" s="102">
        <f xml:space="preserve"> E79*SQRT(POWER(defaultFit_Inclusive!$V79/defaultFit_Inclusive!$U79,2+POWER(defaultFit_Inclusive!F79/defaultFit_Inclusive!E79,2)))</f>
        <v>8.6867246971484366</v>
      </c>
      <c r="G79" s="76" t="e">
        <f>SQRT(POWER(Z79,2)+POWER(fitSyst_NonPrompt!AE79/(PI()/8),2))</f>
        <v>#DIV/0!</v>
      </c>
      <c r="H79" s="102">
        <f xml:space="preserve"> defaultFit_Inclusive!$U79*defaultFit_Inclusive!H79</f>
        <v>63.459782740000001</v>
      </c>
      <c r="I79" s="102">
        <f xml:space="preserve"> H79*SQRT(POWER(defaultFit_Inclusive!$V79/defaultFit_Inclusive!$U79,2+POWER(defaultFit_Inclusive!I79/defaultFit_Inclusive!H79,2)))</f>
        <v>12.930491001465866</v>
      </c>
      <c r="J79" s="76" t="e">
        <f>SQRT(POWER(AA79,2)+POWER(fitSyst_NonPrompt!AF79/(PI()/8),2))</f>
        <v>#DIV/0!</v>
      </c>
      <c r="K79" s="102"/>
      <c r="L79" s="131"/>
      <c r="M79" s="131"/>
      <c r="N79" s="131"/>
      <c r="O79" s="132"/>
      <c r="P79" s="75"/>
      <c r="Q79" s="130"/>
      <c r="R79" s="130"/>
      <c r="X79" s="3">
        <f t="shared" si="22"/>
        <v>0.56156426301245377</v>
      </c>
      <c r="Y79" s="3">
        <f t="shared" si="23"/>
        <v>0.53978305357325551</v>
      </c>
      <c r="Z79" s="3">
        <f t="shared" si="18"/>
        <v>0.11439180279364503</v>
      </c>
      <c r="AA79" s="3">
        <f t="shared" si="19"/>
        <v>0.10998556275506007</v>
      </c>
    </row>
    <row r="80" spans="1:27">
      <c r="A80" s="133"/>
      <c r="B80" s="133"/>
      <c r="C80" s="133"/>
      <c r="D80" s="80"/>
      <c r="E80" s="94">
        <f xml:space="preserve"> SUM(E76:E79)</f>
        <v>193.37541901649999</v>
      </c>
      <c r="F80" s="94"/>
      <c r="G80" s="76">
        <f>SQRT(POWER(Z80,2)+POWER(fitSyst_NonPrompt!AE80/(PI()/8),2))</f>
        <v>0</v>
      </c>
      <c r="H80" s="94">
        <f xml:space="preserve"> SUM(H76:H79)</f>
        <v>299.37770128199998</v>
      </c>
      <c r="I80" s="72"/>
      <c r="J80" s="76">
        <f>SQRT(POWER(AA80,2)+POWER(fitSyst_NonPrompt!AF80/(PI()/8),2))</f>
        <v>0</v>
      </c>
      <c r="K80" s="72"/>
      <c r="L80" s="72"/>
      <c r="M80" s="72"/>
      <c r="N80" s="72"/>
      <c r="O80" s="72"/>
      <c r="P80" s="72"/>
      <c r="Q80" s="72"/>
      <c r="R80" s="72"/>
      <c r="X80" s="3"/>
      <c r="Y80" s="3"/>
      <c r="Z80" s="3"/>
      <c r="AA80" s="3"/>
    </row>
    <row r="81" spans="1:27">
      <c r="A81" s="133"/>
      <c r="B81" s="133" t="s">
        <v>79</v>
      </c>
      <c r="C81" s="133" t="s">
        <v>17</v>
      </c>
      <c r="D81" s="84" t="s">
        <v>51</v>
      </c>
      <c r="E81" s="102">
        <f xml:space="preserve"> defaultFit_Inclusive!$U81*defaultFit_Inclusive!E81</f>
        <v>193.41959160300001</v>
      </c>
      <c r="F81" s="102">
        <f xml:space="preserve"> E81*SQRT(POWER(defaultFit_Inclusive!$V81/defaultFit_Inclusive!$U81,2+POWER(defaultFit_Inclusive!F81/defaultFit_Inclusive!E81,2)))</f>
        <v>13.588685947740645</v>
      </c>
      <c r="G81" s="76">
        <f>SQRT(POWER(Z81,2)+POWER(fitSyst_NonPrompt!AE81/(PI()/8),2))</f>
        <v>0</v>
      </c>
      <c r="H81" s="102">
        <f xml:space="preserve"> defaultFit_Inclusive!$U81*defaultFit_Inclusive!H81</f>
        <v>178.17716309400001</v>
      </c>
      <c r="I81" s="102">
        <f xml:space="preserve"> H81*SQRT(POWER(defaultFit_Inclusive!$V81/defaultFit_Inclusive!$U81,2+POWER(defaultFit_Inclusive!I81/defaultFit_Inclusive!H81,2)))</f>
        <v>12.513517658513933</v>
      </c>
      <c r="J81" s="76">
        <f>SQRT(POWER(AA81,2)+POWER(fitSyst_NonPrompt!AF81/(PI()/8),2))</f>
        <v>0</v>
      </c>
      <c r="K81" s="102"/>
      <c r="L81" s="103"/>
      <c r="M81" s="103"/>
      <c r="N81" s="103"/>
      <c r="O81" s="104"/>
      <c r="P81" s="75"/>
      <c r="Q81" s="79"/>
      <c r="R81" s="79"/>
      <c r="X81" s="3"/>
      <c r="Y81" s="3"/>
      <c r="Z81" s="3"/>
      <c r="AA81" s="3"/>
    </row>
    <row r="82" spans="1:27">
      <c r="A82" s="133"/>
      <c r="B82" s="133"/>
      <c r="C82" s="133"/>
      <c r="D82" s="85" t="s">
        <v>49</v>
      </c>
      <c r="E82" s="102">
        <f xml:space="preserve"> defaultFit_Inclusive!$U82*defaultFit_Inclusive!E82</f>
        <v>54.91113824</v>
      </c>
      <c r="F82" s="102">
        <f xml:space="preserve"> E82*SQRT(POWER(defaultFit_Inclusive!$V82/defaultFit_Inclusive!$U82,2+POWER(defaultFit_Inclusive!F82/defaultFit_Inclusive!E82,2)))</f>
        <v>7.2222188130626375</v>
      </c>
      <c r="G82" s="76" t="e">
        <f>SQRT(POWER(Z82,2)+POWER(fitSyst_NonPrompt!AE82/(PI()/8),2))</f>
        <v>#DIV/0!</v>
      </c>
      <c r="H82" s="102">
        <f xml:space="preserve"> defaultFit_Inclusive!$U82*defaultFit_Inclusive!H82</f>
        <v>47.553042529999999</v>
      </c>
      <c r="I82" s="102">
        <f xml:space="preserve"> H82*SQRT(POWER(defaultFit_Inclusive!$V82/defaultFit_Inclusive!$U82,2+POWER(defaultFit_Inclusive!I82/defaultFit_Inclusive!H82,2)))</f>
        <v>6.2508399496013469</v>
      </c>
      <c r="J82" s="76" t="e">
        <f>SQRT(POWER(AA82,2)+POWER(fitSyst_NonPrompt!AF82/(PI()/8),2))</f>
        <v>#DIV/0!</v>
      </c>
      <c r="K82" s="102"/>
      <c r="L82" s="131">
        <v>0.12</v>
      </c>
      <c r="M82" s="131">
        <v>0.1</v>
      </c>
      <c r="N82" s="131">
        <v>0.13</v>
      </c>
      <c r="O82" s="132">
        <v>0.1</v>
      </c>
      <c r="P82" s="75"/>
      <c r="Q82" s="130">
        <f xml:space="preserve"> (L82/ep_CorrectionFactors!H18+N82/ep_CorrectionFactors!M18)/2</f>
        <v>0.15937823438380461</v>
      </c>
      <c r="R82" s="130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9.0156706149671542E-2</v>
      </c>
      <c r="X82" s="3">
        <f xml:space="preserve"> E82/($E$86*PI()/8)</f>
        <v>0.72333280308727521</v>
      </c>
      <c r="Y82" s="3">
        <f xml:space="preserve"> H82/($H$86*PI()/8)</f>
        <v>0.68069091358569755</v>
      </c>
      <c r="Z82" s="3">
        <f t="shared" si="18"/>
        <v>9.5136759972620277E-2</v>
      </c>
      <c r="AA82" s="3">
        <f t="shared" si="19"/>
        <v>8.9476713362511243E-2</v>
      </c>
    </row>
    <row r="83" spans="1:27">
      <c r="A83" s="133"/>
      <c r="B83" s="133"/>
      <c r="C83" s="133"/>
      <c r="D83" s="85" t="s">
        <v>50</v>
      </c>
      <c r="E83" s="102">
        <f xml:space="preserve"> defaultFit_Inclusive!$U83*defaultFit_Inclusive!E83</f>
        <v>39.510991149999995</v>
      </c>
      <c r="F83" s="102">
        <f xml:space="preserve"> E83*SQRT(POWER(defaultFit_Inclusive!$V83/defaultFit_Inclusive!$U83,2+POWER(defaultFit_Inclusive!F83/defaultFit_Inclusive!E83,2)))</f>
        <v>6.4234072779090621</v>
      </c>
      <c r="G83" s="76" t="e">
        <f>SQRT(POWER(Z83,2)+POWER(fitSyst_NonPrompt!AE83/(PI()/8),2))</f>
        <v>#DIV/0!</v>
      </c>
      <c r="H83" s="102">
        <f xml:space="preserve"> defaultFit_Inclusive!$U83*defaultFit_Inclusive!H83</f>
        <v>38.970573475000002</v>
      </c>
      <c r="I83" s="102">
        <f xml:space="preserve"> H83*SQRT(POWER(defaultFit_Inclusive!$V83/defaultFit_Inclusive!$U83,2+POWER(defaultFit_Inclusive!I83/defaultFit_Inclusive!H83,2)))</f>
        <v>6.3358550349856664</v>
      </c>
      <c r="J83" s="76" t="e">
        <f>SQRT(POWER(AA83,2)+POWER(fitSyst_NonPrompt!AF83/(PI()/8),2))</f>
        <v>#DIV/0!</v>
      </c>
      <c r="K83" s="102"/>
      <c r="L83" s="131"/>
      <c r="M83" s="131"/>
      <c r="N83" s="131"/>
      <c r="O83" s="132"/>
      <c r="P83" s="75"/>
      <c r="Q83" s="130"/>
      <c r="R83" s="130"/>
      <c r="X83" s="3">
        <f t="shared" ref="X83:X85" si="24" xml:space="preserve"> E83/($E$86*PI()/8)</f>
        <v>0.52046992463301778</v>
      </c>
      <c r="Y83" s="3">
        <f t="shared" ref="Y83:Y85" si="25" xml:space="preserve"> H83/($H$86*PI()/8)</f>
        <v>0.55783844419463069</v>
      </c>
      <c r="Z83" s="3">
        <f t="shared" si="18"/>
        <v>8.4614184674041207E-2</v>
      </c>
      <c r="AA83" s="3">
        <f t="shared" si="19"/>
        <v>9.0693649084390884E-2</v>
      </c>
    </row>
    <row r="84" spans="1:27">
      <c r="A84" s="133"/>
      <c r="B84" s="133"/>
      <c r="C84" s="133"/>
      <c r="D84" s="84" t="s">
        <v>52</v>
      </c>
      <c r="E84" s="102">
        <f xml:space="preserve"> defaultFit_Inclusive!$U84*defaultFit_Inclusive!E84</f>
        <v>49.380291556000003</v>
      </c>
      <c r="F84" s="102">
        <f xml:space="preserve"> E84*SQRT(POWER(defaultFit_Inclusive!$V84/defaultFit_Inclusive!$U84,2+POWER(defaultFit_Inclusive!F84/defaultFit_Inclusive!E84,2)))</f>
        <v>6.7481256606952869</v>
      </c>
      <c r="G84" s="76" t="e">
        <f>SQRT(POWER(Z84,2)+POWER(fitSyst_NonPrompt!AE84/(PI()/8),2))</f>
        <v>#DIV/0!</v>
      </c>
      <c r="H84" s="102">
        <f xml:space="preserve"> defaultFit_Inclusive!$U84*defaultFit_Inclusive!H84</f>
        <v>39.793496861999998</v>
      </c>
      <c r="I84" s="102">
        <f xml:space="preserve"> H84*SQRT(POWER(defaultFit_Inclusive!$V84/defaultFit_Inclusive!$U84,2+POWER(defaultFit_Inclusive!I84/defaultFit_Inclusive!H84,2)))</f>
        <v>5.4309192573481075</v>
      </c>
      <c r="J84" s="76" t="e">
        <f>SQRT(POWER(AA84,2)+POWER(fitSyst_NonPrompt!AF84/(PI()/8),2))</f>
        <v>#DIV/0!</v>
      </c>
      <c r="K84" s="102"/>
      <c r="L84" s="131"/>
      <c r="M84" s="131"/>
      <c r="N84" s="131"/>
      <c r="O84" s="132"/>
      <c r="P84" s="75"/>
      <c r="Q84" s="130"/>
      <c r="R84" s="130"/>
      <c r="X84" s="3">
        <f t="shared" si="24"/>
        <v>0.65047613022250828</v>
      </c>
      <c r="Y84" s="3">
        <f t="shared" si="25"/>
        <v>0.56961805791240017</v>
      </c>
      <c r="Z84" s="3">
        <f t="shared" si="18"/>
        <v>8.8891631209717464E-2</v>
      </c>
      <c r="AA84" s="3">
        <f t="shared" si="19"/>
        <v>7.7740081269505296E-2</v>
      </c>
    </row>
    <row r="85" spans="1:27">
      <c r="A85" s="133"/>
      <c r="B85" s="133"/>
      <c r="C85" s="133"/>
      <c r="D85" s="84" t="s">
        <v>53</v>
      </c>
      <c r="E85" s="102">
        <f xml:space="preserve"> defaultFit_Inclusive!$U85*defaultFit_Inclusive!E85</f>
        <v>49.511175106000003</v>
      </c>
      <c r="F85" s="102">
        <f xml:space="preserve"> E85*SQRT(POWER(defaultFit_Inclusive!$V85/defaultFit_Inclusive!$U85,2+POWER(defaultFit_Inclusive!F85/defaultFit_Inclusive!E85,2)))</f>
        <v>6.600775081684211</v>
      </c>
      <c r="G85" s="76" t="e">
        <f>SQRT(POWER(Z85,2)+POWER(fitSyst_NonPrompt!AE85/(PI()/8),2))</f>
        <v>#DIV/0!</v>
      </c>
      <c r="H85" s="102">
        <f xml:space="preserve"> defaultFit_Inclusive!$U85*defaultFit_Inclusive!H85</f>
        <v>51.579823945999998</v>
      </c>
      <c r="I85" s="102">
        <f xml:space="preserve"> H85*SQRT(POWER(defaultFit_Inclusive!$V85/defaultFit_Inclusive!$U85,2+POWER(defaultFit_Inclusive!I85/defaultFit_Inclusive!H85,2)))</f>
        <v>6.8807046160134675</v>
      </c>
      <c r="J85" s="76" t="e">
        <f>SQRT(POWER(AA85,2)+POWER(fitSyst_NonPrompt!AF85/(PI()/8),2))</f>
        <v>#DIV/0!</v>
      </c>
      <c r="K85" s="102"/>
      <c r="L85" s="131"/>
      <c r="M85" s="131"/>
      <c r="N85" s="131"/>
      <c r="O85" s="132"/>
      <c r="P85" s="75"/>
      <c r="Q85" s="130"/>
      <c r="R85" s="130"/>
      <c r="X85" s="3">
        <f t="shared" si="24"/>
        <v>0.65220023152752449</v>
      </c>
      <c r="Y85" s="3">
        <f t="shared" si="25"/>
        <v>0.73833167377759745</v>
      </c>
      <c r="Z85" s="3">
        <f t="shared" si="18"/>
        <v>8.6950613216486811E-2</v>
      </c>
      <c r="AA85" s="3">
        <f t="shared" si="19"/>
        <v>9.8492816905096009E-2</v>
      </c>
    </row>
    <row r="86" spans="1:27">
      <c r="A86" s="133"/>
      <c r="B86" s="133"/>
      <c r="C86" s="133"/>
      <c r="D86" s="80"/>
      <c r="E86" s="94">
        <f xml:space="preserve"> SUM(E82:E85)</f>
        <v>193.31359605199998</v>
      </c>
      <c r="F86" s="72"/>
      <c r="G86" s="72"/>
      <c r="H86" s="94">
        <f xml:space="preserve"> SUM(H82:H85)</f>
        <v>177.896936813</v>
      </c>
      <c r="I86" s="72"/>
      <c r="J86" s="72"/>
      <c r="K86" s="72"/>
      <c r="L86" s="72"/>
      <c r="M86" s="72"/>
      <c r="N86" s="72"/>
      <c r="O86" s="72"/>
      <c r="P86" s="72"/>
      <c r="Q86" s="72"/>
      <c r="R86" s="72"/>
    </row>
  </sheetData>
  <mergeCells count="106">
    <mergeCell ref="R82:R85"/>
    <mergeCell ref="L82:L85"/>
    <mergeCell ref="M82:M85"/>
    <mergeCell ref="N82:N85"/>
    <mergeCell ref="O82:O85"/>
    <mergeCell ref="Q82:Q85"/>
    <mergeCell ref="R70:R73"/>
    <mergeCell ref="L76:L79"/>
    <mergeCell ref="M76:M79"/>
    <mergeCell ref="N76:N79"/>
    <mergeCell ref="O76:O79"/>
    <mergeCell ref="Q76:Q79"/>
    <mergeCell ref="R76:R79"/>
    <mergeCell ref="L70:L73"/>
    <mergeCell ref="M70:M73"/>
    <mergeCell ref="N70:N73"/>
    <mergeCell ref="O70:O73"/>
    <mergeCell ref="Q70:Q73"/>
    <mergeCell ref="R58:R61"/>
    <mergeCell ref="L64:L67"/>
    <mergeCell ref="M64:M67"/>
    <mergeCell ref="N64:N67"/>
    <mergeCell ref="O64:O67"/>
    <mergeCell ref="Q64:Q67"/>
    <mergeCell ref="R64:R67"/>
    <mergeCell ref="L58:L61"/>
    <mergeCell ref="M58:M61"/>
    <mergeCell ref="N58:N61"/>
    <mergeCell ref="O58:O61"/>
    <mergeCell ref="Q58:Q61"/>
    <mergeCell ref="R46:R49"/>
    <mergeCell ref="L52:L55"/>
    <mergeCell ref="M52:M55"/>
    <mergeCell ref="N52:N55"/>
    <mergeCell ref="O52:O55"/>
    <mergeCell ref="Q52:Q55"/>
    <mergeCell ref="R52:R55"/>
    <mergeCell ref="L46:L49"/>
    <mergeCell ref="M46:M49"/>
    <mergeCell ref="N46:N49"/>
    <mergeCell ref="O46:O49"/>
    <mergeCell ref="Q46:Q49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N34:N37"/>
    <mergeCell ref="O34:O37"/>
    <mergeCell ref="Q34:Q37"/>
    <mergeCell ref="R34:R37"/>
    <mergeCell ref="L40:L43"/>
    <mergeCell ref="M40:M43"/>
    <mergeCell ref="N40:N43"/>
    <mergeCell ref="O40:O43"/>
    <mergeCell ref="Q40:Q43"/>
    <mergeCell ref="R40:R43"/>
    <mergeCell ref="A33:A62"/>
    <mergeCell ref="B33:B38"/>
    <mergeCell ref="C33:C62"/>
    <mergeCell ref="B39:B44"/>
    <mergeCell ref="B45:B50"/>
    <mergeCell ref="B51:B56"/>
    <mergeCell ref="B57:B62"/>
    <mergeCell ref="L34:L37"/>
    <mergeCell ref="M34:M37"/>
    <mergeCell ref="A3:A32"/>
    <mergeCell ref="B3:B32"/>
    <mergeCell ref="C3:C8"/>
    <mergeCell ref="C9:C14"/>
    <mergeCell ref="C15:C20"/>
    <mergeCell ref="C21:C26"/>
    <mergeCell ref="C27:C32"/>
    <mergeCell ref="O16:O19"/>
    <mergeCell ref="L22:L25"/>
    <mergeCell ref="M22:M25"/>
    <mergeCell ref="N22:N25"/>
    <mergeCell ref="L4:L7"/>
    <mergeCell ref="M4:M7"/>
    <mergeCell ref="N4:N7"/>
    <mergeCell ref="O4:O7"/>
    <mergeCell ref="L10:L13"/>
    <mergeCell ref="M10:M13"/>
    <mergeCell ref="N10:N13"/>
    <mergeCell ref="O10:O13"/>
    <mergeCell ref="L28:L31"/>
    <mergeCell ref="N28:N31"/>
    <mergeCell ref="L16:L19"/>
    <mergeCell ref="M16:M19"/>
    <mergeCell ref="N16:N19"/>
    <mergeCell ref="Q4:Q7"/>
    <mergeCell ref="R4:R7"/>
    <mergeCell ref="Q10:Q13"/>
    <mergeCell ref="R10:R13"/>
    <mergeCell ref="Q16:Q19"/>
    <mergeCell ref="R16:R19"/>
    <mergeCell ref="Q22:Q25"/>
    <mergeCell ref="R22:R25"/>
    <mergeCell ref="Q28:Q31"/>
    <mergeCell ref="R28:R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Ruler="0" workbookViewId="0">
      <pane xSplit="4" topLeftCell="E1" activePane="topRight" state="frozen"/>
      <selection pane="topRight" activeCell="H2" sqref="H2"/>
    </sheetView>
  </sheetViews>
  <sheetFormatPr baseColWidth="10" defaultRowHeight="15" x14ac:dyDescent="0"/>
  <cols>
    <col min="7" max="7" width="10.83203125" style="40"/>
    <col min="10" max="10" width="10.83203125" style="40"/>
    <col min="13" max="13" width="10.83203125" style="40"/>
  </cols>
  <sheetData>
    <row r="1" spans="1:14" ht="18">
      <c r="A1" s="6"/>
      <c r="B1" s="6"/>
      <c r="C1" s="6"/>
      <c r="D1" s="6"/>
      <c r="E1" s="6" t="s">
        <v>59</v>
      </c>
      <c r="F1" s="6"/>
      <c r="G1" s="39"/>
      <c r="H1" s="6" t="s">
        <v>96</v>
      </c>
      <c r="I1" s="6"/>
      <c r="J1" s="39"/>
      <c r="K1" s="27" t="s">
        <v>60</v>
      </c>
      <c r="L1" s="27"/>
      <c r="M1" s="39"/>
    </row>
    <row r="2" spans="1:14" ht="18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/>
    </row>
    <row r="3" spans="1:14" ht="18">
      <c r="A3" s="135" t="s">
        <v>55</v>
      </c>
      <c r="B3" s="135" t="s">
        <v>25</v>
      </c>
      <c r="C3" s="113" t="s">
        <v>35</v>
      </c>
      <c r="D3" s="22" t="s">
        <v>51</v>
      </c>
      <c r="E3" s="67">
        <v>1451.38</v>
      </c>
      <c r="F3" s="67">
        <v>1325.85</v>
      </c>
      <c r="H3" s="67">
        <v>1408.59</v>
      </c>
      <c r="I3" s="67">
        <v>1319.38</v>
      </c>
      <c r="K3" s="67">
        <v>1455.92</v>
      </c>
      <c r="L3" s="67">
        <v>1334.84</v>
      </c>
      <c r="N3" s="41"/>
    </row>
    <row r="4" spans="1:14" ht="18">
      <c r="A4" s="135"/>
      <c r="B4" s="135"/>
      <c r="C4" s="113"/>
      <c r="D4" s="4" t="s">
        <v>49</v>
      </c>
      <c r="E4" s="67">
        <v>382.31400000000002</v>
      </c>
      <c r="F4" s="67">
        <v>353.93400000000003</v>
      </c>
      <c r="H4" s="67">
        <v>370.11</v>
      </c>
      <c r="I4" s="67">
        <v>352.59800000000001</v>
      </c>
      <c r="K4" s="67">
        <v>387.81900000000002</v>
      </c>
      <c r="L4" s="67">
        <v>357.05</v>
      </c>
      <c r="N4" s="41"/>
    </row>
    <row r="5" spans="1:14" ht="18">
      <c r="A5" s="135"/>
      <c r="B5" s="135"/>
      <c r="C5" s="113"/>
      <c r="D5" s="4" t="s">
        <v>50</v>
      </c>
      <c r="E5" s="67">
        <v>361.233</v>
      </c>
      <c r="F5" s="67">
        <v>322.35899999999998</v>
      </c>
      <c r="H5" s="67">
        <v>350.95800000000003</v>
      </c>
      <c r="I5" s="67">
        <v>320.625</v>
      </c>
      <c r="K5" s="67">
        <v>363.13600000000002</v>
      </c>
      <c r="L5" s="67">
        <v>326.21899999999999</v>
      </c>
      <c r="N5" s="41"/>
    </row>
    <row r="6" spans="1:14" ht="18">
      <c r="A6" s="135"/>
      <c r="B6" s="135"/>
      <c r="C6" s="113"/>
      <c r="D6" s="28" t="s">
        <v>52</v>
      </c>
      <c r="E6" s="67">
        <v>341.76600000000002</v>
      </c>
      <c r="F6" s="67">
        <v>331.24700000000001</v>
      </c>
      <c r="H6" s="67">
        <v>332.66800000000001</v>
      </c>
      <c r="I6" s="67">
        <v>329.06700000000001</v>
      </c>
      <c r="K6" s="67">
        <v>345.57900000000001</v>
      </c>
      <c r="L6" s="67">
        <v>329.47500000000002</v>
      </c>
      <c r="N6" s="41"/>
    </row>
    <row r="7" spans="1:14" ht="18">
      <c r="A7" s="135"/>
      <c r="B7" s="135"/>
      <c r="C7" s="113"/>
      <c r="D7" s="28" t="s">
        <v>53</v>
      </c>
      <c r="E7" s="67">
        <v>347.709</v>
      </c>
      <c r="F7" s="67">
        <v>318.49599999999998</v>
      </c>
      <c r="H7" s="67">
        <v>337.53699999999998</v>
      </c>
      <c r="I7" s="67">
        <v>316.82799999999997</v>
      </c>
      <c r="K7" s="67">
        <v>342.49200000000002</v>
      </c>
      <c r="L7" s="67">
        <v>322.096</v>
      </c>
      <c r="N7" s="41"/>
    </row>
    <row r="8" spans="1:14" ht="18">
      <c r="A8" s="135"/>
      <c r="B8" s="135"/>
      <c r="C8" s="113"/>
      <c r="D8" s="72"/>
      <c r="E8" s="82">
        <f xml:space="preserve"> SUM(E4:E7)</f>
        <v>1433.0220000000002</v>
      </c>
      <c r="F8" s="82">
        <f xml:space="preserve"> SUM(F4:F7)</f>
        <v>1326.0360000000001</v>
      </c>
      <c r="G8" s="82"/>
      <c r="H8" s="82">
        <f xml:space="preserve"> SUM(H4:H7)</f>
        <v>1391.2729999999999</v>
      </c>
      <c r="I8" s="82">
        <f xml:space="preserve"> SUM(I4:I7)</f>
        <v>1319.1179999999999</v>
      </c>
      <c r="J8" s="82"/>
      <c r="K8" s="82">
        <f xml:space="preserve"> SUM(K4:K7)</f>
        <v>1439.0260000000001</v>
      </c>
      <c r="L8" s="82">
        <f xml:space="preserve"> SUM(L4:L7)</f>
        <v>1334.8400000000001</v>
      </c>
      <c r="M8" s="82"/>
      <c r="N8" s="81"/>
    </row>
    <row r="9" spans="1:14" ht="18">
      <c r="A9" s="135"/>
      <c r="B9" s="135"/>
      <c r="C9" s="136" t="s">
        <v>2</v>
      </c>
      <c r="D9" s="8"/>
      <c r="E9" s="37"/>
      <c r="F9" s="37"/>
      <c r="H9" s="37"/>
      <c r="I9" s="37"/>
      <c r="K9" s="42"/>
      <c r="L9" s="42"/>
      <c r="N9" s="42"/>
    </row>
    <row r="10" spans="1:14" ht="18">
      <c r="A10" s="135"/>
      <c r="B10" s="135"/>
      <c r="C10" s="136"/>
      <c r="D10" s="8"/>
      <c r="E10" s="37"/>
      <c r="F10" s="37"/>
      <c r="H10" s="37"/>
      <c r="I10" s="37"/>
      <c r="K10" s="42"/>
      <c r="L10" s="42"/>
      <c r="N10" s="42"/>
    </row>
    <row r="11" spans="1:14" ht="18">
      <c r="A11" s="135"/>
      <c r="B11" s="135"/>
      <c r="C11" s="136"/>
      <c r="D11" s="8"/>
      <c r="E11" s="37"/>
      <c r="F11" s="37"/>
      <c r="H11" s="37"/>
      <c r="I11" s="37"/>
      <c r="K11" s="42"/>
      <c r="L11" s="42"/>
      <c r="N11" s="42"/>
    </row>
    <row r="12" spans="1:14" ht="18">
      <c r="A12" s="135"/>
      <c r="B12" s="135"/>
      <c r="C12" s="136"/>
      <c r="D12" s="29"/>
      <c r="E12" s="37"/>
      <c r="F12" s="37"/>
      <c r="H12" s="37"/>
      <c r="I12" s="37"/>
      <c r="K12" s="42"/>
      <c r="L12" s="42"/>
      <c r="N12" s="42"/>
    </row>
    <row r="13" spans="1:14" ht="18">
      <c r="A13" s="135"/>
      <c r="B13" s="135"/>
      <c r="C13" s="136"/>
      <c r="D13" s="29"/>
      <c r="E13" s="37"/>
      <c r="F13" s="37"/>
      <c r="H13" s="37"/>
      <c r="I13" s="37"/>
      <c r="K13" s="42"/>
      <c r="L13" s="42"/>
      <c r="N13" s="42"/>
    </row>
    <row r="14" spans="1:14" ht="18">
      <c r="A14" s="135"/>
      <c r="B14" s="135"/>
      <c r="C14" s="136"/>
      <c r="D14" s="72"/>
      <c r="E14" s="82"/>
      <c r="F14" s="82"/>
      <c r="G14" s="82"/>
      <c r="H14" s="82"/>
      <c r="I14" s="82"/>
      <c r="J14" s="82"/>
      <c r="K14" s="81"/>
      <c r="L14" s="81"/>
      <c r="M14" s="82"/>
      <c r="N14" s="81"/>
    </row>
    <row r="15" spans="1:14" ht="18">
      <c r="A15" s="135"/>
      <c r="B15" s="135"/>
      <c r="C15" s="137" t="s">
        <v>54</v>
      </c>
      <c r="D15" s="22" t="s">
        <v>51</v>
      </c>
      <c r="E15" s="67">
        <v>1254.58</v>
      </c>
      <c r="F15" s="67">
        <v>1233.99</v>
      </c>
      <c r="H15" s="67">
        <v>1211.8699999999999</v>
      </c>
      <c r="I15" s="67">
        <v>1218.81</v>
      </c>
      <c r="K15" s="67">
        <v>1257.6500000000001</v>
      </c>
      <c r="L15" s="67">
        <v>1237.47</v>
      </c>
      <c r="N15" s="43"/>
    </row>
    <row r="16" spans="1:14" ht="18">
      <c r="A16" s="135"/>
      <c r="B16" s="135"/>
      <c r="C16" s="137"/>
      <c r="D16" s="30" t="s">
        <v>49</v>
      </c>
      <c r="E16" s="67">
        <v>315.642</v>
      </c>
      <c r="F16" s="67">
        <v>366.13400000000001</v>
      </c>
      <c r="H16" s="67">
        <v>306.06099999999998</v>
      </c>
      <c r="I16" s="67">
        <v>362.10399999999998</v>
      </c>
      <c r="K16" s="67">
        <v>315.072</v>
      </c>
      <c r="L16" s="67">
        <v>363.53699999999998</v>
      </c>
      <c r="N16" s="43"/>
    </row>
    <row r="17" spans="1:14" ht="18">
      <c r="A17" s="135"/>
      <c r="B17" s="135"/>
      <c r="C17" s="137"/>
      <c r="D17" s="30" t="s">
        <v>50</v>
      </c>
      <c r="E17" s="67">
        <v>344.97199999999998</v>
      </c>
      <c r="F17" s="67">
        <v>309.58999999999997</v>
      </c>
      <c r="H17" s="67">
        <v>331.65100000000001</v>
      </c>
      <c r="I17" s="67">
        <v>305.75099999999998</v>
      </c>
      <c r="K17" s="67">
        <v>347.18599999999998</v>
      </c>
      <c r="L17" s="67">
        <v>309.584</v>
      </c>
      <c r="N17" s="43"/>
    </row>
    <row r="18" spans="1:14" ht="18">
      <c r="A18" s="135"/>
      <c r="B18" s="135"/>
      <c r="C18" s="137"/>
      <c r="D18" s="31" t="s">
        <v>52</v>
      </c>
      <c r="E18" s="67">
        <v>296.23099999999999</v>
      </c>
      <c r="F18" s="67">
        <v>279.14400000000001</v>
      </c>
      <c r="H18" s="67">
        <v>284.79199999999997</v>
      </c>
      <c r="I18" s="67">
        <v>275.529</v>
      </c>
      <c r="K18" s="67">
        <v>296.25299999999999</v>
      </c>
      <c r="L18" s="67">
        <v>280.94499999999999</v>
      </c>
      <c r="N18" s="43"/>
    </row>
    <row r="19" spans="1:14" ht="18">
      <c r="A19" s="135"/>
      <c r="B19" s="135"/>
      <c r="C19" s="137"/>
      <c r="D19" s="31" t="s">
        <v>53</v>
      </c>
      <c r="E19" s="67">
        <v>298.85300000000001</v>
      </c>
      <c r="F19" s="67">
        <v>279.495</v>
      </c>
      <c r="H19" s="67">
        <v>290.47500000000002</v>
      </c>
      <c r="I19" s="67">
        <v>275.82</v>
      </c>
      <c r="K19" s="67">
        <v>299.76600000000002</v>
      </c>
      <c r="L19" s="67">
        <v>291.84800000000001</v>
      </c>
      <c r="N19" s="43"/>
    </row>
    <row r="20" spans="1:14" ht="18">
      <c r="A20" s="135"/>
      <c r="B20" s="135"/>
      <c r="C20" s="137"/>
      <c r="D20" s="80"/>
      <c r="E20" s="82">
        <f xml:space="preserve"> SUM(E16:E19)</f>
        <v>1255.6980000000001</v>
      </c>
      <c r="F20" s="82">
        <f xml:space="preserve"> SUM(F16:F19)</f>
        <v>1234.3629999999998</v>
      </c>
      <c r="G20" s="82"/>
      <c r="H20" s="82">
        <f xml:space="preserve"> SUM(H16:H19)</f>
        <v>1212.9789999999998</v>
      </c>
      <c r="I20" s="82">
        <f xml:space="preserve"> SUM(I16:I19)</f>
        <v>1219.204</v>
      </c>
      <c r="J20" s="82"/>
      <c r="K20" s="82">
        <f xml:space="preserve"> SUM(K16:K19)</f>
        <v>1258.277</v>
      </c>
      <c r="L20" s="82">
        <f xml:space="preserve"> SUM(L16:L19)</f>
        <v>1245.914</v>
      </c>
      <c r="M20" s="82"/>
      <c r="N20" s="81"/>
    </row>
    <row r="21" spans="1:14" ht="18">
      <c r="A21" s="135"/>
      <c r="B21" s="135"/>
      <c r="C21" s="115" t="s">
        <v>56</v>
      </c>
      <c r="D21" s="32" t="s">
        <v>51</v>
      </c>
      <c r="E21" s="67">
        <v>1225.32</v>
      </c>
      <c r="F21" s="67">
        <v>1091.3699999999999</v>
      </c>
      <c r="H21" s="67">
        <v>1189.77</v>
      </c>
      <c r="I21" s="67">
        <v>861.50099999999998</v>
      </c>
      <c r="K21" s="67">
        <v>1244.52</v>
      </c>
      <c r="L21" s="83">
        <v>1098.82</v>
      </c>
      <c r="N21" s="44"/>
    </row>
    <row r="22" spans="1:14" ht="18">
      <c r="A22" s="135"/>
      <c r="B22" s="135"/>
      <c r="C22" s="115"/>
      <c r="D22" s="32" t="s">
        <v>49</v>
      </c>
      <c r="E22" s="67">
        <v>326.178</v>
      </c>
      <c r="F22" s="67">
        <v>324.11099999999999</v>
      </c>
      <c r="H22" s="67">
        <v>316.608</v>
      </c>
      <c r="I22" s="67">
        <v>320.00799999999998</v>
      </c>
      <c r="K22" s="67">
        <v>327.16300000000001</v>
      </c>
      <c r="L22" s="83">
        <v>320.00799999999998</v>
      </c>
      <c r="N22" s="44"/>
    </row>
    <row r="23" spans="1:14" ht="18">
      <c r="A23" s="135"/>
      <c r="B23" s="135"/>
      <c r="C23" s="115"/>
      <c r="D23" s="32" t="s">
        <v>50</v>
      </c>
      <c r="E23" s="67">
        <v>323.73</v>
      </c>
      <c r="F23" s="67">
        <v>261.42200000000003</v>
      </c>
      <c r="H23" s="67">
        <v>313.69499999999999</v>
      </c>
      <c r="I23" s="67">
        <v>259.73899999999998</v>
      </c>
      <c r="K23" s="67">
        <v>329.89800000000002</v>
      </c>
      <c r="L23" s="83">
        <v>259.73899999999998</v>
      </c>
      <c r="N23" s="44"/>
    </row>
    <row r="24" spans="1:14" ht="18">
      <c r="A24" s="135"/>
      <c r="B24" s="135"/>
      <c r="C24" s="115"/>
      <c r="D24" s="34" t="s">
        <v>52</v>
      </c>
      <c r="E24" s="67">
        <v>308.23500000000001</v>
      </c>
      <c r="F24" s="67">
        <v>247.82900000000001</v>
      </c>
      <c r="H24" s="67">
        <v>300.99599999999998</v>
      </c>
      <c r="I24" s="67">
        <v>245.506</v>
      </c>
      <c r="K24" s="67">
        <v>314.738</v>
      </c>
      <c r="L24" s="83">
        <v>245.506</v>
      </c>
      <c r="N24" s="44"/>
    </row>
    <row r="25" spans="1:14" ht="18">
      <c r="A25" s="135"/>
      <c r="B25" s="135"/>
      <c r="C25" s="115"/>
      <c r="D25" s="34" t="s">
        <v>53</v>
      </c>
      <c r="E25" s="67">
        <v>264.19200000000001</v>
      </c>
      <c r="F25" s="67">
        <v>258.63799999999998</v>
      </c>
      <c r="H25" s="67">
        <v>256.01400000000001</v>
      </c>
      <c r="I25" s="67">
        <v>256.13200000000001</v>
      </c>
      <c r="K25" s="67">
        <v>269.95499999999998</v>
      </c>
      <c r="L25" s="83">
        <v>256.13200000000001</v>
      </c>
      <c r="N25" s="44"/>
    </row>
    <row r="26" spans="1:14" ht="18">
      <c r="A26" s="135"/>
      <c r="B26" s="135"/>
      <c r="C26" s="115"/>
      <c r="D26" s="80"/>
      <c r="E26" s="82">
        <f xml:space="preserve"> SUM(E22:E25)</f>
        <v>1222.335</v>
      </c>
      <c r="F26" s="82">
        <f xml:space="preserve"> SUM(F22:F25)</f>
        <v>1092</v>
      </c>
      <c r="G26" s="82"/>
      <c r="H26" s="82">
        <f xml:space="preserve"> SUM(H22:H25)</f>
        <v>1187.3130000000001</v>
      </c>
      <c r="I26" s="82">
        <f xml:space="preserve"> SUM(I22:I25)</f>
        <v>1081.385</v>
      </c>
      <c r="J26" s="82"/>
      <c r="K26" s="82">
        <f xml:space="preserve"> SUM(K22:K25)</f>
        <v>1241.7539999999999</v>
      </c>
      <c r="L26" s="82">
        <f xml:space="preserve"> SUM(L22:L25)</f>
        <v>1081.385</v>
      </c>
      <c r="M26" s="82"/>
      <c r="N26" s="74"/>
    </row>
    <row r="27" spans="1:14" ht="18">
      <c r="A27" s="135"/>
      <c r="B27" s="135"/>
      <c r="C27" s="138" t="s">
        <v>57</v>
      </c>
      <c r="D27" s="22" t="s">
        <v>51</v>
      </c>
      <c r="E27" s="67">
        <v>900.11099999999999</v>
      </c>
      <c r="F27" s="67">
        <v>873.947</v>
      </c>
      <c r="H27" s="67">
        <v>871.52800000000002</v>
      </c>
      <c r="I27" s="67">
        <v>861.50099999999998</v>
      </c>
      <c r="K27" s="67">
        <v>894.447</v>
      </c>
      <c r="L27" s="67">
        <v>872.73199999999997</v>
      </c>
      <c r="N27" s="45"/>
    </row>
    <row r="28" spans="1:14" ht="18">
      <c r="A28" s="135"/>
      <c r="B28" s="135"/>
      <c r="C28" s="138"/>
      <c r="D28" s="22" t="s">
        <v>49</v>
      </c>
      <c r="E28" s="67">
        <v>271.02600000000001</v>
      </c>
      <c r="F28" s="67">
        <v>245.23400000000001</v>
      </c>
      <c r="H28" s="67">
        <v>261.68</v>
      </c>
      <c r="I28" s="67">
        <v>240.63499999999999</v>
      </c>
      <c r="K28" s="67">
        <v>271.35700000000003</v>
      </c>
      <c r="L28" s="67">
        <v>244.35499999999999</v>
      </c>
      <c r="N28" s="45"/>
    </row>
    <row r="29" spans="1:14" ht="18">
      <c r="A29" s="135"/>
      <c r="B29" s="135"/>
      <c r="C29" s="138"/>
      <c r="D29" s="22" t="s">
        <v>50</v>
      </c>
      <c r="E29" s="67">
        <v>204.37299999999999</v>
      </c>
      <c r="F29" s="67">
        <v>229.84800000000001</v>
      </c>
      <c r="H29" s="67">
        <v>197.29900000000001</v>
      </c>
      <c r="I29" s="67">
        <v>227.05199999999999</v>
      </c>
      <c r="K29" s="67">
        <v>202.14</v>
      </c>
      <c r="L29" s="67">
        <v>229.63499999999999</v>
      </c>
      <c r="N29" s="45"/>
    </row>
    <row r="30" spans="1:14" ht="18">
      <c r="A30" s="135"/>
      <c r="B30" s="135"/>
      <c r="C30" s="138"/>
      <c r="D30" s="13" t="s">
        <v>52</v>
      </c>
      <c r="E30" s="67">
        <v>216.96100000000001</v>
      </c>
      <c r="F30" s="67">
        <v>201.172</v>
      </c>
      <c r="H30" s="67">
        <v>207.745</v>
      </c>
      <c r="I30" s="67">
        <v>199.434</v>
      </c>
      <c r="K30" s="67">
        <v>214.672</v>
      </c>
      <c r="L30" s="67">
        <v>203.06100000000001</v>
      </c>
      <c r="N30" s="45"/>
    </row>
    <row r="31" spans="1:14" ht="18">
      <c r="A31" s="135"/>
      <c r="B31" s="135"/>
      <c r="C31" s="138"/>
      <c r="D31" s="13" t="s">
        <v>53</v>
      </c>
      <c r="E31" s="67">
        <v>203.06800000000001</v>
      </c>
      <c r="F31" s="67">
        <v>194.77699999999999</v>
      </c>
      <c r="H31" s="67">
        <v>200.298</v>
      </c>
      <c r="I31" s="67">
        <v>191.934</v>
      </c>
      <c r="K31" s="67">
        <v>208.696</v>
      </c>
      <c r="L31" s="67">
        <v>194.45400000000001</v>
      </c>
      <c r="N31" s="45"/>
    </row>
    <row r="32" spans="1:14" ht="18">
      <c r="A32" s="135"/>
      <c r="B32" s="135"/>
      <c r="C32" s="138"/>
      <c r="D32" s="80"/>
      <c r="E32" s="82">
        <f xml:space="preserve"> SUM(E28:E31)</f>
        <v>895.428</v>
      </c>
      <c r="F32" s="82">
        <f xml:space="preserve"> SUM(F28:F31)</f>
        <v>871.03099999999995</v>
      </c>
      <c r="G32" s="82"/>
      <c r="H32" s="82">
        <f xml:space="preserve"> SUM(H28:H31)</f>
        <v>867.02200000000005</v>
      </c>
      <c r="I32" s="82">
        <f xml:space="preserve"> SUM(I28:I31)</f>
        <v>859.05499999999995</v>
      </c>
      <c r="J32" s="82"/>
      <c r="K32" s="82">
        <f xml:space="preserve"> SUM(K28:K31)</f>
        <v>896.86500000000001</v>
      </c>
      <c r="L32" s="82">
        <f xml:space="preserve"> SUM(L28:L31)</f>
        <v>871.50500000000011</v>
      </c>
      <c r="M32" s="82"/>
      <c r="N32" s="74"/>
    </row>
    <row r="33" spans="1:14" ht="18">
      <c r="A33" s="139" t="s">
        <v>55</v>
      </c>
      <c r="B33" s="117" t="s">
        <v>37</v>
      </c>
      <c r="C33" s="140" t="s">
        <v>17</v>
      </c>
      <c r="D33" s="48" t="s">
        <v>51</v>
      </c>
      <c r="E33" s="93">
        <v>1113.9000000000001</v>
      </c>
      <c r="F33" s="93">
        <v>1107.95</v>
      </c>
      <c r="H33" s="93">
        <v>1586.72</v>
      </c>
      <c r="I33" s="93">
        <v>1096.31</v>
      </c>
      <c r="K33" s="93">
        <v>1111.8800000000001</v>
      </c>
      <c r="L33" s="93">
        <v>1108.92</v>
      </c>
    </row>
    <row r="34" spans="1:14" ht="18">
      <c r="A34" s="139"/>
      <c r="B34" s="117"/>
      <c r="C34" s="140"/>
      <c r="D34" s="50" t="s">
        <v>49</v>
      </c>
      <c r="E34" s="93">
        <v>310.72300000000001</v>
      </c>
      <c r="F34" s="93">
        <v>320.22199999999998</v>
      </c>
      <c r="H34" s="93">
        <v>434.59100000000001</v>
      </c>
      <c r="I34" s="93">
        <v>316.56599999999997</v>
      </c>
      <c r="K34" s="93">
        <v>310.46899999999999</v>
      </c>
      <c r="L34" s="93">
        <v>320.14699999999999</v>
      </c>
    </row>
    <row r="35" spans="1:14" ht="18">
      <c r="A35" s="139"/>
      <c r="B35" s="117"/>
      <c r="C35" s="140"/>
      <c r="D35" s="50" t="s">
        <v>50</v>
      </c>
      <c r="E35" s="93">
        <v>268.995</v>
      </c>
      <c r="F35" s="93">
        <v>288.745</v>
      </c>
      <c r="H35" s="93">
        <v>385.88299999999998</v>
      </c>
      <c r="I35" s="93">
        <v>285.7</v>
      </c>
      <c r="K35" s="93">
        <v>267.31700000000001</v>
      </c>
      <c r="L35" s="93">
        <v>288.45299999999997</v>
      </c>
    </row>
    <row r="36" spans="1:14" ht="18">
      <c r="A36" s="139"/>
      <c r="B36" s="117"/>
      <c r="C36" s="140"/>
      <c r="D36" s="48" t="s">
        <v>52</v>
      </c>
      <c r="E36" s="93">
        <v>278.452</v>
      </c>
      <c r="F36" s="93">
        <v>247.24</v>
      </c>
      <c r="H36" s="93">
        <v>397.88</v>
      </c>
      <c r="I36" s="93">
        <v>244.64400000000001</v>
      </c>
      <c r="K36" s="93">
        <v>277.17399999999998</v>
      </c>
      <c r="L36" s="93">
        <v>249.62200000000001</v>
      </c>
    </row>
    <row r="37" spans="1:14" ht="18">
      <c r="A37" s="139"/>
      <c r="B37" s="117"/>
      <c r="C37" s="140"/>
      <c r="D37" s="48" t="s">
        <v>53</v>
      </c>
      <c r="E37" s="93">
        <v>248.61</v>
      </c>
      <c r="F37" s="93">
        <v>251.33799999999999</v>
      </c>
      <c r="H37" s="93">
        <v>343.29399999999998</v>
      </c>
      <c r="I37" s="93">
        <v>248.608</v>
      </c>
      <c r="K37" s="93">
        <v>249.41</v>
      </c>
      <c r="L37" s="93">
        <v>252.73400000000001</v>
      </c>
    </row>
    <row r="38" spans="1:14" ht="18">
      <c r="A38" s="139"/>
      <c r="B38" s="117"/>
      <c r="C38" s="140"/>
      <c r="D38" s="80"/>
      <c r="E38" s="82">
        <f xml:space="preserve"> SUM(E34:E37)</f>
        <v>1106.7800000000002</v>
      </c>
      <c r="F38" s="82">
        <f xml:space="preserve"> SUM(F34:F37)</f>
        <v>1107.5450000000001</v>
      </c>
      <c r="G38" s="82"/>
      <c r="H38" s="82">
        <f xml:space="preserve"> SUM(H34:H37)</f>
        <v>1561.6479999999997</v>
      </c>
      <c r="I38" s="82">
        <f xml:space="preserve"> SUM(I34:I37)</f>
        <v>1095.518</v>
      </c>
      <c r="J38" s="82"/>
      <c r="K38" s="82">
        <f xml:space="preserve"> SUM(K34:K37)</f>
        <v>1104.3700000000001</v>
      </c>
      <c r="L38" s="82">
        <f xml:space="preserve"> SUM(L34:L37)</f>
        <v>1110.9559999999999</v>
      </c>
      <c r="M38" s="82"/>
      <c r="N38" s="82"/>
    </row>
    <row r="39" spans="1:14" ht="18">
      <c r="A39" s="139"/>
      <c r="B39" s="139" t="s">
        <v>76</v>
      </c>
      <c r="C39" s="140"/>
      <c r="D39" s="51" t="s">
        <v>51</v>
      </c>
      <c r="E39" s="93">
        <v>1104.26</v>
      </c>
      <c r="F39" s="93">
        <v>995.77</v>
      </c>
      <c r="H39" s="105">
        <v>1071.71</v>
      </c>
      <c r="I39" s="93">
        <v>982.28499999999997</v>
      </c>
      <c r="K39" s="93">
        <v>1110.49</v>
      </c>
      <c r="L39" s="105">
        <v>990.18200000000002</v>
      </c>
    </row>
    <row r="40" spans="1:14" ht="18">
      <c r="A40" s="139"/>
      <c r="B40" s="139"/>
      <c r="C40" s="140"/>
      <c r="D40" s="52" t="s">
        <v>49</v>
      </c>
      <c r="E40" s="93">
        <v>313.78399999999999</v>
      </c>
      <c r="F40" s="93">
        <v>289.38600000000002</v>
      </c>
      <c r="H40" s="93">
        <v>305.69099999999997</v>
      </c>
      <c r="I40" s="93">
        <v>284.67</v>
      </c>
      <c r="K40" s="93">
        <v>307.42500000000001</v>
      </c>
      <c r="L40" s="93">
        <v>285.77699999999999</v>
      </c>
    </row>
    <row r="41" spans="1:14" ht="18">
      <c r="A41" s="139"/>
      <c r="B41" s="139"/>
      <c r="C41" s="140"/>
      <c r="D41" s="52" t="s">
        <v>50</v>
      </c>
      <c r="E41" s="93">
        <v>292.916</v>
      </c>
      <c r="F41" s="93">
        <v>256.90199999999999</v>
      </c>
      <c r="H41" s="93">
        <v>284.26299999999998</v>
      </c>
      <c r="I41" s="93">
        <v>255.25</v>
      </c>
      <c r="K41" s="93">
        <v>299.49</v>
      </c>
      <c r="L41" s="93">
        <v>253.37200000000001</v>
      </c>
    </row>
    <row r="42" spans="1:14" ht="18">
      <c r="A42" s="139"/>
      <c r="B42" s="139"/>
      <c r="C42" s="140"/>
      <c r="D42" s="51" t="s">
        <v>52</v>
      </c>
      <c r="E42" s="93">
        <v>267.40199999999999</v>
      </c>
      <c r="F42" s="93">
        <v>209.39400000000001</v>
      </c>
      <c r="H42" s="93">
        <v>258.14</v>
      </c>
      <c r="I42" s="93">
        <v>206.90799999999999</v>
      </c>
      <c r="K42" s="93">
        <v>269.11</v>
      </c>
      <c r="L42" s="93">
        <v>220.33699999999999</v>
      </c>
    </row>
    <row r="43" spans="1:14" ht="18">
      <c r="A43" s="139"/>
      <c r="B43" s="139"/>
      <c r="C43" s="140"/>
      <c r="D43" s="51" t="s">
        <v>53</v>
      </c>
      <c r="E43" s="93">
        <v>224.965</v>
      </c>
      <c r="F43" s="93">
        <v>231.10599999999999</v>
      </c>
      <c r="H43" s="93">
        <v>218.88900000000001</v>
      </c>
      <c r="I43" s="93">
        <v>227.006</v>
      </c>
      <c r="K43" s="93">
        <v>214.30099999999999</v>
      </c>
      <c r="L43" s="93">
        <v>236.45099999999999</v>
      </c>
    </row>
    <row r="44" spans="1:14" ht="18">
      <c r="A44" s="139"/>
      <c r="B44" s="139"/>
      <c r="C44" s="140"/>
      <c r="D44" s="80"/>
      <c r="E44" s="82">
        <f xml:space="preserve"> SUM(E40:E43)</f>
        <v>1099.067</v>
      </c>
      <c r="F44" s="82">
        <f xml:space="preserve"> SUM(F40:F43)</f>
        <v>986.78800000000001</v>
      </c>
      <c r="G44" s="82"/>
      <c r="H44" s="82">
        <f xml:space="preserve"> SUM(H40:H43)</f>
        <v>1066.9829999999999</v>
      </c>
      <c r="I44" s="82">
        <f xml:space="preserve"> SUM(I40:I43)</f>
        <v>973.83400000000006</v>
      </c>
      <c r="J44" s="82"/>
      <c r="K44" s="82">
        <f xml:space="preserve"> SUM(K40:K43)</f>
        <v>1090.326</v>
      </c>
      <c r="L44" s="82">
        <f xml:space="preserve"> SUM(L40:L43)</f>
        <v>995.93700000000001</v>
      </c>
      <c r="M44" s="82"/>
      <c r="N44" s="82"/>
    </row>
    <row r="45" spans="1:14" ht="18">
      <c r="A45" s="139"/>
      <c r="B45" s="117" t="s">
        <v>77</v>
      </c>
      <c r="C45" s="140"/>
      <c r="D45" s="53" t="s">
        <v>51</v>
      </c>
      <c r="E45" s="93">
        <v>1166.4100000000001</v>
      </c>
      <c r="F45" s="93">
        <v>1079.73</v>
      </c>
      <c r="H45" s="93">
        <v>1123.7</v>
      </c>
      <c r="I45" s="93">
        <v>1063.2</v>
      </c>
      <c r="K45" s="93">
        <v>1151.3800000000001</v>
      </c>
      <c r="L45" s="83">
        <v>1063.2</v>
      </c>
    </row>
    <row r="46" spans="1:14" ht="18">
      <c r="A46" s="139"/>
      <c r="B46" s="117"/>
      <c r="C46" s="140"/>
      <c r="D46" s="55" t="s">
        <v>49</v>
      </c>
      <c r="E46" s="93">
        <v>282.048</v>
      </c>
      <c r="F46" s="93">
        <v>315.60199999999998</v>
      </c>
      <c r="H46" s="93">
        <v>271.70999999999998</v>
      </c>
      <c r="I46" s="93">
        <v>309.62200000000001</v>
      </c>
      <c r="K46" s="93">
        <v>278.00299999999999</v>
      </c>
      <c r="L46" s="83">
        <v>309.62200000000001</v>
      </c>
    </row>
    <row r="47" spans="1:14" ht="18">
      <c r="A47" s="139"/>
      <c r="B47" s="117"/>
      <c r="C47" s="140"/>
      <c r="D47" s="55" t="s">
        <v>50</v>
      </c>
      <c r="E47" s="93">
        <v>312.39</v>
      </c>
      <c r="F47" s="93">
        <v>239.339</v>
      </c>
      <c r="H47" s="93">
        <v>299.233</v>
      </c>
      <c r="I47" s="93">
        <v>236.06899999999999</v>
      </c>
      <c r="K47" s="93">
        <v>309.291</v>
      </c>
      <c r="L47" s="83">
        <v>236.06899999999999</v>
      </c>
    </row>
    <row r="48" spans="1:14" ht="18">
      <c r="A48" s="139"/>
      <c r="B48" s="117"/>
      <c r="C48" s="140"/>
      <c r="D48" s="53" t="s">
        <v>52</v>
      </c>
      <c r="E48" s="93">
        <v>265.91199999999998</v>
      </c>
      <c r="F48" s="93">
        <v>259.77999999999997</v>
      </c>
      <c r="H48" s="93">
        <v>255.727</v>
      </c>
      <c r="I48" s="93">
        <v>256.702</v>
      </c>
      <c r="K48" s="93">
        <v>261.25900000000001</v>
      </c>
      <c r="L48" s="83">
        <v>256.702</v>
      </c>
    </row>
    <row r="49" spans="1:14" ht="18">
      <c r="A49" s="139"/>
      <c r="B49" s="117"/>
      <c r="C49" s="140"/>
      <c r="D49" s="53" t="s">
        <v>53</v>
      </c>
      <c r="E49" s="93">
        <v>284.60500000000002</v>
      </c>
      <c r="F49" s="93">
        <v>235.87799999999999</v>
      </c>
      <c r="H49" s="93">
        <v>276.33499999999998</v>
      </c>
      <c r="I49" s="93">
        <v>232.65799999999999</v>
      </c>
      <c r="K49" s="93">
        <v>285.62599999999998</v>
      </c>
      <c r="L49" s="83">
        <v>232.65799999999999</v>
      </c>
    </row>
    <row r="50" spans="1:14" ht="18">
      <c r="A50" s="139"/>
      <c r="B50" s="117"/>
      <c r="C50" s="140"/>
      <c r="D50" s="74"/>
      <c r="E50" s="82">
        <f xml:space="preserve"> SUM(E46:E49)</f>
        <v>1144.9549999999999</v>
      </c>
      <c r="F50" s="82">
        <f xml:space="preserve"> SUM(F46:F49)</f>
        <v>1050.5989999999999</v>
      </c>
      <c r="G50" s="82"/>
      <c r="H50" s="82">
        <f xml:space="preserve"> SUM(H46:H49)</f>
        <v>1103.0049999999999</v>
      </c>
      <c r="I50" s="82">
        <f xml:space="preserve"> SUM(I46:I49)</f>
        <v>1035.0509999999999</v>
      </c>
      <c r="J50" s="82"/>
      <c r="K50" s="82">
        <f xml:space="preserve"> SUM(K46:K49)</f>
        <v>1134.1790000000001</v>
      </c>
      <c r="L50" s="82">
        <f xml:space="preserve"> SUM(L46:L49)</f>
        <v>1035.0509999999999</v>
      </c>
      <c r="M50" s="82"/>
      <c r="N50" s="82"/>
    </row>
    <row r="51" spans="1:14" ht="18">
      <c r="A51" s="139"/>
      <c r="B51" s="117" t="s">
        <v>78</v>
      </c>
      <c r="C51" s="140"/>
      <c r="D51" s="56" t="s">
        <v>51</v>
      </c>
    </row>
    <row r="52" spans="1:14" ht="18">
      <c r="A52" s="139"/>
      <c r="B52" s="117"/>
      <c r="C52" s="140"/>
      <c r="D52" s="58" t="s">
        <v>49</v>
      </c>
    </row>
    <row r="53" spans="1:14" ht="18">
      <c r="A53" s="139"/>
      <c r="B53" s="117"/>
      <c r="C53" s="140"/>
      <c r="D53" s="58" t="s">
        <v>50</v>
      </c>
    </row>
    <row r="54" spans="1:14" ht="18">
      <c r="A54" s="139"/>
      <c r="B54" s="117"/>
      <c r="C54" s="140"/>
      <c r="D54" s="56" t="s">
        <v>52</v>
      </c>
    </row>
    <row r="55" spans="1:14" ht="18">
      <c r="A55" s="139"/>
      <c r="B55" s="117"/>
      <c r="C55" s="140"/>
      <c r="D55" s="56" t="s">
        <v>53</v>
      </c>
    </row>
    <row r="56" spans="1:14" ht="18">
      <c r="A56" s="139"/>
      <c r="B56" s="117"/>
      <c r="C56" s="140"/>
      <c r="D56" s="74"/>
      <c r="E56" s="82">
        <f xml:space="preserve"> SUM(E52:E55)</f>
        <v>0</v>
      </c>
      <c r="F56" s="82">
        <f xml:space="preserve"> SUM(F52:F55)</f>
        <v>0</v>
      </c>
      <c r="G56" s="82"/>
      <c r="H56" s="82">
        <f xml:space="preserve"> SUM(H52:H55)</f>
        <v>0</v>
      </c>
      <c r="I56" s="82">
        <f xml:space="preserve"> SUM(I52:I55)</f>
        <v>0</v>
      </c>
      <c r="J56" s="82"/>
      <c r="K56" s="82">
        <f xml:space="preserve"> SUM(K52:K55)</f>
        <v>0</v>
      </c>
      <c r="L56" s="82">
        <f xml:space="preserve"> SUM(L52:L55)</f>
        <v>0</v>
      </c>
      <c r="M56" s="82"/>
      <c r="N56" s="82"/>
    </row>
    <row r="57" spans="1:14" ht="18">
      <c r="A57" s="139"/>
      <c r="B57" s="117" t="s">
        <v>79</v>
      </c>
      <c r="C57" s="140"/>
      <c r="D57" s="59" t="s">
        <v>51</v>
      </c>
    </row>
    <row r="58" spans="1:14" ht="18">
      <c r="A58" s="139"/>
      <c r="B58" s="117"/>
      <c r="C58" s="140"/>
      <c r="D58" s="61" t="s">
        <v>49</v>
      </c>
    </row>
    <row r="59" spans="1:14" ht="18">
      <c r="A59" s="139"/>
      <c r="B59" s="117"/>
      <c r="C59" s="140"/>
      <c r="D59" s="61" t="s">
        <v>50</v>
      </c>
    </row>
    <row r="60" spans="1:14" ht="18">
      <c r="A60" s="139"/>
      <c r="B60" s="117"/>
      <c r="C60" s="140"/>
      <c r="D60" s="59" t="s">
        <v>52</v>
      </c>
    </row>
    <row r="61" spans="1:14" ht="18">
      <c r="A61" s="139"/>
      <c r="B61" s="117"/>
      <c r="C61" s="140"/>
      <c r="D61" s="59" t="s">
        <v>53</v>
      </c>
    </row>
    <row r="62" spans="1:14" ht="18">
      <c r="A62" s="139"/>
      <c r="B62" s="117"/>
      <c r="C62" s="140"/>
      <c r="D62" s="74"/>
      <c r="E62" s="82">
        <f xml:space="preserve"> SUM(E58:E61)</f>
        <v>0</v>
      </c>
      <c r="F62" s="82">
        <f xml:space="preserve"> SUM(F58:F61)</f>
        <v>0</v>
      </c>
      <c r="G62" s="82"/>
      <c r="H62" s="82">
        <f xml:space="preserve"> SUM(H58:H61)</f>
        <v>0</v>
      </c>
      <c r="I62" s="82">
        <f xml:space="preserve"> SUM(I58:I61)</f>
        <v>0</v>
      </c>
      <c r="J62" s="82"/>
      <c r="K62" s="82">
        <f xml:space="preserve"> SUM(K58:K61)</f>
        <v>0</v>
      </c>
      <c r="L62" s="82">
        <f xml:space="preserve"> SUM(L58:L61)</f>
        <v>0</v>
      </c>
      <c r="M62" s="82"/>
      <c r="N62" s="82"/>
    </row>
    <row r="63" spans="1:14" ht="18">
      <c r="A63" s="117" t="s">
        <v>80</v>
      </c>
      <c r="B63" s="117" t="s">
        <v>79</v>
      </c>
      <c r="C63" s="117" t="s">
        <v>17</v>
      </c>
      <c r="D63" s="62" t="s">
        <v>51</v>
      </c>
      <c r="E63" s="64">
        <v>1638.03</v>
      </c>
      <c r="F63" s="64">
        <v>1535.98</v>
      </c>
      <c r="H63" s="64">
        <v>1596.3</v>
      </c>
      <c r="I63" s="64">
        <v>1492.36</v>
      </c>
      <c r="K63" s="64">
        <v>1648.25</v>
      </c>
      <c r="L63" s="64">
        <v>1484.77</v>
      </c>
    </row>
    <row r="64" spans="1:14" ht="18">
      <c r="A64" s="117"/>
      <c r="B64" s="117"/>
      <c r="C64" s="117"/>
      <c r="D64" s="63" t="s">
        <v>49</v>
      </c>
      <c r="E64" s="64">
        <v>430.45499999999998</v>
      </c>
      <c r="F64" s="64">
        <v>445.41899999999998</v>
      </c>
      <c r="H64" s="64">
        <v>421.88200000000001</v>
      </c>
      <c r="I64" s="64">
        <v>432.70800000000003</v>
      </c>
      <c r="K64" s="64">
        <v>435.51400000000001</v>
      </c>
      <c r="L64" s="64">
        <v>432.166</v>
      </c>
    </row>
    <row r="65" spans="1:14" ht="18">
      <c r="A65" s="117"/>
      <c r="B65" s="117"/>
      <c r="C65" s="117"/>
      <c r="D65" s="63" t="s">
        <v>50</v>
      </c>
      <c r="E65" s="64">
        <v>422.71800000000002</v>
      </c>
      <c r="F65" s="64">
        <v>389.98899999999998</v>
      </c>
      <c r="H65" s="64">
        <v>410.15100000000001</v>
      </c>
      <c r="I65" s="64">
        <v>380.29</v>
      </c>
      <c r="K65" s="64">
        <v>431.81</v>
      </c>
      <c r="L65" s="64">
        <v>377.48</v>
      </c>
    </row>
    <row r="66" spans="1:14" ht="18">
      <c r="A66" s="117"/>
      <c r="B66" s="117"/>
      <c r="C66" s="117"/>
      <c r="D66" s="62" t="s">
        <v>52</v>
      </c>
      <c r="E66" s="64">
        <v>386.42399999999998</v>
      </c>
      <c r="F66" s="64">
        <v>351.22699999999998</v>
      </c>
      <c r="H66" s="64">
        <v>375.41399999999999</v>
      </c>
      <c r="I66" s="64">
        <v>342.15699999999998</v>
      </c>
      <c r="K66" s="64">
        <v>377.95800000000003</v>
      </c>
      <c r="L66" s="64">
        <v>341.00599999999997</v>
      </c>
    </row>
    <row r="67" spans="1:14" ht="18">
      <c r="A67" s="117"/>
      <c r="B67" s="117"/>
      <c r="C67" s="117"/>
      <c r="D67" s="62" t="s">
        <v>53</v>
      </c>
      <c r="E67" s="64">
        <v>378.51299999999998</v>
      </c>
      <c r="F67" s="64">
        <v>340.29599999999999</v>
      </c>
      <c r="H67" s="64">
        <v>371.04700000000003</v>
      </c>
      <c r="I67" s="64">
        <v>330.23200000000003</v>
      </c>
      <c r="K67" s="64">
        <v>378.99099999999999</v>
      </c>
      <c r="L67" s="64">
        <v>329.75200000000001</v>
      </c>
    </row>
    <row r="68" spans="1:14" ht="18">
      <c r="A68" s="117"/>
      <c r="B68" s="117"/>
      <c r="C68" s="117"/>
      <c r="D68" s="74"/>
      <c r="E68" s="82">
        <f xml:space="preserve"> SUM(E64:E67)</f>
        <v>1618.11</v>
      </c>
      <c r="F68" s="82">
        <f xml:space="preserve"> SUM(F64:F67)</f>
        <v>1526.9309999999998</v>
      </c>
      <c r="G68" s="82"/>
      <c r="H68" s="82">
        <f xml:space="preserve"> SUM(H64:H67)</f>
        <v>1578.4940000000001</v>
      </c>
      <c r="I68" s="82">
        <f xml:space="preserve"> SUM(I64:I67)</f>
        <v>1485.3869999999999</v>
      </c>
      <c r="J68" s="82"/>
      <c r="K68" s="82">
        <f xml:space="preserve"> SUM(K64:K67)</f>
        <v>1624.2730000000001</v>
      </c>
      <c r="L68" s="82">
        <f xml:space="preserve"> SUM(L64:L67)</f>
        <v>1480.404</v>
      </c>
      <c r="M68" s="82"/>
      <c r="N68" s="82"/>
    </row>
    <row r="69" spans="1:14" ht="18">
      <c r="A69" s="117" t="s">
        <v>82</v>
      </c>
      <c r="B69" s="117" t="s">
        <v>79</v>
      </c>
      <c r="C69" s="117" t="s">
        <v>17</v>
      </c>
      <c r="D69" s="65" t="s">
        <v>51</v>
      </c>
      <c r="E69" s="64">
        <v>867.97199999999998</v>
      </c>
      <c r="F69" s="64">
        <v>823.65499999999997</v>
      </c>
      <c r="H69" s="64">
        <v>812.29200000000003</v>
      </c>
      <c r="I69" s="64">
        <v>820.57</v>
      </c>
      <c r="K69" s="64">
        <v>853.59500000000003</v>
      </c>
      <c r="L69" s="64">
        <v>829.803</v>
      </c>
    </row>
    <row r="70" spans="1:14" ht="18">
      <c r="A70" s="117"/>
      <c r="B70" s="117"/>
      <c r="C70" s="117"/>
      <c r="D70" s="66" t="s">
        <v>49</v>
      </c>
      <c r="E70" s="64">
        <v>224.82900000000001</v>
      </c>
      <c r="F70" s="64">
        <v>263.64299999999997</v>
      </c>
      <c r="H70" s="64">
        <v>210.24700000000001</v>
      </c>
      <c r="I70" s="64">
        <v>262.53699999999998</v>
      </c>
      <c r="K70" s="64">
        <v>223.405</v>
      </c>
      <c r="L70" s="64">
        <v>260.505</v>
      </c>
    </row>
    <row r="71" spans="1:14" ht="18">
      <c r="A71" s="117"/>
      <c r="B71" s="117"/>
      <c r="C71" s="117"/>
      <c r="D71" s="66" t="s">
        <v>50</v>
      </c>
      <c r="E71" s="64">
        <v>229.25700000000001</v>
      </c>
      <c r="F71" s="64">
        <v>186.95599999999999</v>
      </c>
      <c r="H71" s="64">
        <v>215.703</v>
      </c>
      <c r="I71" s="64">
        <v>186.15600000000001</v>
      </c>
      <c r="K71" s="64">
        <v>209.465</v>
      </c>
      <c r="L71" s="64">
        <v>185.45</v>
      </c>
    </row>
    <row r="72" spans="1:14" ht="18">
      <c r="A72" s="117"/>
      <c r="B72" s="117"/>
      <c r="C72" s="117"/>
      <c r="D72" s="65" t="s">
        <v>52</v>
      </c>
      <c r="E72" s="64">
        <v>207.77199999999999</v>
      </c>
      <c r="F72" s="64">
        <v>188.22300000000001</v>
      </c>
      <c r="H72" s="64">
        <v>193.56899999999999</v>
      </c>
      <c r="I72" s="64">
        <v>187.69499999999999</v>
      </c>
      <c r="K72" s="64">
        <v>207.036</v>
      </c>
      <c r="L72" s="64">
        <v>192.02600000000001</v>
      </c>
    </row>
    <row r="73" spans="1:14" ht="18">
      <c r="A73" s="117"/>
      <c r="B73" s="117"/>
      <c r="C73" s="117"/>
      <c r="D73" s="65" t="s">
        <v>53</v>
      </c>
      <c r="E73" s="64">
        <v>194.92099999999999</v>
      </c>
      <c r="F73" s="64">
        <v>181.84800000000001</v>
      </c>
      <c r="H73" s="64">
        <v>181.87100000000001</v>
      </c>
      <c r="I73" s="64">
        <v>181.10300000000001</v>
      </c>
      <c r="K73" s="64">
        <v>186.21799999999999</v>
      </c>
      <c r="L73" s="64">
        <v>190.83699999999999</v>
      </c>
    </row>
    <row r="74" spans="1:14" ht="18">
      <c r="A74" s="117"/>
      <c r="B74" s="117"/>
      <c r="C74" s="117"/>
      <c r="D74" s="74"/>
      <c r="E74" s="82">
        <f xml:space="preserve"> SUM(E70:E73)</f>
        <v>856.779</v>
      </c>
      <c r="F74" s="82">
        <f xml:space="preserve"> SUM(F70:F73)</f>
        <v>820.66999999999985</v>
      </c>
      <c r="G74" s="82"/>
      <c r="H74" s="82">
        <f xml:space="preserve"> SUM(H70:H73)</f>
        <v>801.39</v>
      </c>
      <c r="I74" s="82">
        <f xml:space="preserve"> SUM(I70:I73)</f>
        <v>817.49099999999999</v>
      </c>
      <c r="J74" s="82"/>
      <c r="K74" s="82">
        <f xml:space="preserve"> SUM(K70:K73)</f>
        <v>826.12399999999991</v>
      </c>
      <c r="L74" s="82">
        <f xml:space="preserve"> SUM(L70:L73)</f>
        <v>828.81799999999998</v>
      </c>
      <c r="M74" s="82"/>
      <c r="N74" s="82"/>
    </row>
    <row r="75" spans="1:14" ht="18">
      <c r="A75" s="117" t="s">
        <v>81</v>
      </c>
      <c r="B75" s="117" t="s">
        <v>83</v>
      </c>
      <c r="C75" s="117" t="s">
        <v>17</v>
      </c>
      <c r="D75" s="68" t="s">
        <v>51</v>
      </c>
      <c r="E75" s="64">
        <v>1633.39</v>
      </c>
      <c r="F75" s="64">
        <v>1718.88</v>
      </c>
      <c r="H75" s="64">
        <v>1741.02</v>
      </c>
      <c r="I75" s="64">
        <v>1764.84</v>
      </c>
      <c r="K75" s="64">
        <v>1667.05</v>
      </c>
      <c r="L75" s="64">
        <v>1733.98</v>
      </c>
    </row>
    <row r="76" spans="1:14" ht="18">
      <c r="A76" s="117"/>
      <c r="B76" s="117"/>
      <c r="C76" s="117"/>
      <c r="D76" s="69" t="s">
        <v>49</v>
      </c>
      <c r="E76" s="64">
        <v>446.99900000000002</v>
      </c>
      <c r="F76" s="64">
        <v>496.66</v>
      </c>
      <c r="H76" s="64">
        <v>475.50799999999998</v>
      </c>
      <c r="I76" s="64">
        <v>508.27300000000002</v>
      </c>
      <c r="K76" s="64">
        <v>466.21199999999999</v>
      </c>
      <c r="L76" s="64">
        <v>488.39699999999999</v>
      </c>
    </row>
    <row r="77" spans="1:14" ht="18">
      <c r="A77" s="117"/>
      <c r="B77" s="117"/>
      <c r="C77" s="117"/>
      <c r="D77" s="69" t="s">
        <v>50</v>
      </c>
      <c r="E77" s="64">
        <v>399.22300000000001</v>
      </c>
      <c r="F77" s="64">
        <v>421.89499999999998</v>
      </c>
      <c r="H77" s="64">
        <v>426.88600000000002</v>
      </c>
      <c r="I77" s="64">
        <v>434.084</v>
      </c>
      <c r="K77" s="64">
        <v>416.27800000000002</v>
      </c>
      <c r="L77" s="64">
        <v>430.43299999999999</v>
      </c>
    </row>
    <row r="78" spans="1:14" ht="18">
      <c r="A78" s="117"/>
      <c r="B78" s="117"/>
      <c r="C78" s="117"/>
      <c r="D78" s="68" t="s">
        <v>52</v>
      </c>
      <c r="E78" s="64">
        <v>374.97500000000002</v>
      </c>
      <c r="F78" s="64">
        <v>402.12200000000001</v>
      </c>
      <c r="H78" s="64">
        <v>399.37400000000002</v>
      </c>
      <c r="I78" s="64">
        <v>412.714</v>
      </c>
      <c r="K78" s="64">
        <v>404.50400000000002</v>
      </c>
      <c r="L78" s="64">
        <v>398.83800000000002</v>
      </c>
    </row>
    <row r="79" spans="1:14" ht="18">
      <c r="A79" s="117"/>
      <c r="B79" s="117"/>
      <c r="C79" s="117"/>
      <c r="D79" s="68" t="s">
        <v>53</v>
      </c>
      <c r="E79" s="64">
        <v>411.82100000000003</v>
      </c>
      <c r="F79" s="64">
        <v>398.50799999999998</v>
      </c>
      <c r="H79" s="64">
        <v>440.17399999999998</v>
      </c>
      <c r="I79" s="64">
        <v>410.29899999999998</v>
      </c>
      <c r="K79" s="64">
        <v>447.892</v>
      </c>
      <c r="L79" s="64">
        <v>421.77100000000002</v>
      </c>
    </row>
    <row r="80" spans="1:14" ht="18">
      <c r="A80" s="117"/>
      <c r="B80" s="117"/>
      <c r="C80" s="117"/>
      <c r="D80" s="74"/>
      <c r="E80" s="82">
        <f xml:space="preserve"> SUM(E76:E79)</f>
        <v>1633.018</v>
      </c>
      <c r="F80" s="82">
        <f xml:space="preserve"> SUM(F76:F79)</f>
        <v>1719.1850000000002</v>
      </c>
      <c r="G80" s="82"/>
      <c r="H80" s="82">
        <f xml:space="preserve"> SUM(H76:H79)</f>
        <v>1741.942</v>
      </c>
      <c r="I80" s="82">
        <f xml:space="preserve"> SUM(I76:I79)</f>
        <v>1765.37</v>
      </c>
      <c r="J80" s="82"/>
      <c r="K80" s="82">
        <f xml:space="preserve"> SUM(K76:K79)</f>
        <v>1734.8860000000002</v>
      </c>
      <c r="L80" s="82">
        <f xml:space="preserve"> SUM(L76:L79)</f>
        <v>1739.4389999999999</v>
      </c>
      <c r="M80" s="82"/>
      <c r="N80" s="82"/>
    </row>
    <row r="81" spans="1:14" ht="18">
      <c r="A81" s="117"/>
      <c r="B81" s="117" t="s">
        <v>79</v>
      </c>
      <c r="C81" s="117" t="s">
        <v>17</v>
      </c>
      <c r="D81" s="70" t="s">
        <v>51</v>
      </c>
      <c r="E81" s="64">
        <v>947.88800000000003</v>
      </c>
      <c r="F81" s="64">
        <v>937.24699999999996</v>
      </c>
      <c r="H81" s="64">
        <v>949.00599999999997</v>
      </c>
      <c r="I81" s="64">
        <v>875.28099999999995</v>
      </c>
      <c r="K81" s="64">
        <v>943.36800000000005</v>
      </c>
      <c r="L81" s="64">
        <v>875.49599999999998</v>
      </c>
    </row>
    <row r="82" spans="1:14" ht="18">
      <c r="A82" s="117"/>
      <c r="B82" s="117"/>
      <c r="C82" s="117"/>
      <c r="D82" s="71" t="s">
        <v>49</v>
      </c>
      <c r="E82" s="64">
        <v>274.07400000000001</v>
      </c>
      <c r="F82" s="64">
        <v>253.56700000000001</v>
      </c>
      <c r="H82" s="64">
        <v>273.00700000000001</v>
      </c>
      <c r="I82" s="64">
        <v>237.07599999999999</v>
      </c>
      <c r="K82" s="64">
        <v>267.125</v>
      </c>
      <c r="L82" s="64">
        <v>235.846</v>
      </c>
    </row>
    <row r="83" spans="1:14" ht="18">
      <c r="A83" s="117"/>
      <c r="B83" s="117"/>
      <c r="C83" s="117"/>
      <c r="D83" s="71" t="s">
        <v>50</v>
      </c>
      <c r="E83" s="64">
        <v>228.07499999999999</v>
      </c>
      <c r="F83" s="64">
        <v>243.51300000000001</v>
      </c>
      <c r="H83" s="64">
        <v>228.953</v>
      </c>
      <c r="I83" s="64">
        <v>227.40899999999999</v>
      </c>
      <c r="K83" s="64">
        <v>223.40700000000001</v>
      </c>
      <c r="L83" s="64">
        <v>227.40299999999999</v>
      </c>
    </row>
    <row r="84" spans="1:14" ht="18">
      <c r="A84" s="117"/>
      <c r="B84" s="117"/>
      <c r="C84" s="117"/>
      <c r="D84" s="70" t="s">
        <v>52</v>
      </c>
      <c r="E84" s="64">
        <v>239.71100000000001</v>
      </c>
      <c r="F84" s="64">
        <v>207.589</v>
      </c>
      <c r="H84" s="64">
        <v>240.255</v>
      </c>
      <c r="I84" s="64">
        <v>192.85599999999999</v>
      </c>
      <c r="K84" s="64">
        <v>245.29900000000001</v>
      </c>
      <c r="L84" s="64">
        <v>194.39500000000001</v>
      </c>
    </row>
    <row r="85" spans="1:14" ht="18">
      <c r="A85" s="117"/>
      <c r="B85" s="117"/>
      <c r="C85" s="117"/>
      <c r="D85" s="70" t="s">
        <v>53</v>
      </c>
      <c r="E85" s="64">
        <v>205.239</v>
      </c>
      <c r="F85" s="64">
        <v>229.72800000000001</v>
      </c>
      <c r="H85" s="64">
        <v>206.93899999999999</v>
      </c>
      <c r="I85" s="64">
        <v>215.42</v>
      </c>
      <c r="K85" s="64">
        <v>207.30199999999999</v>
      </c>
      <c r="L85" s="64">
        <v>213.595</v>
      </c>
    </row>
    <row r="86" spans="1:14" ht="18">
      <c r="A86" s="117"/>
      <c r="B86" s="117"/>
      <c r="C86" s="117"/>
      <c r="D86" s="74"/>
      <c r="E86" s="82">
        <f xml:space="preserve"> SUM(E82:E85)</f>
        <v>947.09900000000005</v>
      </c>
      <c r="F86" s="82">
        <f xml:space="preserve"> SUM(F82:F85)</f>
        <v>934.39700000000016</v>
      </c>
      <c r="G86" s="82"/>
      <c r="H86" s="82">
        <f xml:space="preserve"> SUM(H82:H85)</f>
        <v>949.154</v>
      </c>
      <c r="I86" s="82">
        <f xml:space="preserve"> SUM(I82:I85)</f>
        <v>872.76099999999997</v>
      </c>
      <c r="J86" s="82"/>
      <c r="K86" s="82">
        <f xml:space="preserve"> SUM(K82:K85)</f>
        <v>943.13300000000004</v>
      </c>
      <c r="L86" s="82">
        <f xml:space="preserve"> SUM(L82:L85)</f>
        <v>871.23900000000003</v>
      </c>
      <c r="M86" s="82"/>
      <c r="N86" s="82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Ruler="0" workbookViewId="0">
      <pane xSplit="4" topLeftCell="E1" activePane="topRight" state="frozen"/>
      <selection pane="topRight" activeCell="G3" sqref="G3:G86"/>
    </sheetView>
  </sheetViews>
  <sheetFormatPr baseColWidth="10" defaultRowHeight="15" x14ac:dyDescent="0"/>
  <cols>
    <col min="5" max="5" width="22.33203125" style="83" customWidth="1"/>
    <col min="6" max="6" width="20" style="83" customWidth="1"/>
  </cols>
  <sheetData>
    <row r="1" spans="1:7" ht="18">
      <c r="A1" s="6"/>
      <c r="B1" s="6"/>
      <c r="C1" s="6"/>
      <c r="D1" s="6"/>
      <c r="E1" s="84" t="s">
        <v>88</v>
      </c>
      <c r="F1" s="84" t="s">
        <v>87</v>
      </c>
      <c r="G1" t="s">
        <v>86</v>
      </c>
    </row>
    <row r="2" spans="1:7" ht="18">
      <c r="A2" s="2" t="s">
        <v>18</v>
      </c>
      <c r="B2" s="2" t="s">
        <v>19</v>
      </c>
      <c r="C2" s="2" t="s">
        <v>20</v>
      </c>
      <c r="D2" s="2" t="s">
        <v>48</v>
      </c>
      <c r="E2" s="85" t="s">
        <v>84</v>
      </c>
      <c r="F2" s="85" t="s">
        <v>84</v>
      </c>
      <c r="G2" s="2" t="s">
        <v>84</v>
      </c>
    </row>
    <row r="3" spans="1:7" ht="18">
      <c r="A3" s="135" t="s">
        <v>55</v>
      </c>
      <c r="B3" s="135" t="s">
        <v>25</v>
      </c>
      <c r="C3" s="113" t="s">
        <v>35</v>
      </c>
      <c r="D3" s="4" t="s">
        <v>51</v>
      </c>
      <c r="E3" s="86">
        <v>0</v>
      </c>
      <c r="F3" s="86">
        <v>0</v>
      </c>
      <c r="G3" s="86">
        <v>0</v>
      </c>
    </row>
    <row r="4" spans="1:7" ht="18">
      <c r="A4" s="135"/>
      <c r="B4" s="135"/>
      <c r="C4" s="113"/>
      <c r="D4" s="4" t="s">
        <v>49</v>
      </c>
      <c r="E4" s="86">
        <v>0</v>
      </c>
      <c r="F4" s="86">
        <v>0</v>
      </c>
      <c r="G4" s="86">
        <v>0</v>
      </c>
    </row>
    <row r="5" spans="1:7" ht="18">
      <c r="A5" s="135"/>
      <c r="B5" s="135"/>
      <c r="C5" s="113"/>
      <c r="D5" s="4" t="s">
        <v>50</v>
      </c>
      <c r="E5" s="86">
        <v>0</v>
      </c>
      <c r="F5" s="86">
        <v>0</v>
      </c>
      <c r="G5" s="86">
        <v>0</v>
      </c>
    </row>
    <row r="6" spans="1:7" ht="18">
      <c r="A6" s="135"/>
      <c r="B6" s="135"/>
      <c r="C6" s="113"/>
      <c r="D6" s="28" t="s">
        <v>52</v>
      </c>
      <c r="E6" s="86">
        <v>0</v>
      </c>
      <c r="F6" s="86">
        <v>0</v>
      </c>
      <c r="G6" s="86">
        <v>0</v>
      </c>
    </row>
    <row r="7" spans="1:7" ht="18">
      <c r="A7" s="135"/>
      <c r="B7" s="135"/>
      <c r="C7" s="113"/>
      <c r="D7" s="28" t="s">
        <v>53</v>
      </c>
      <c r="E7" s="86">
        <v>0</v>
      </c>
      <c r="F7" s="86">
        <v>0</v>
      </c>
      <c r="G7" s="86">
        <v>0</v>
      </c>
    </row>
    <row r="8" spans="1:7" ht="18">
      <c r="A8" s="135"/>
      <c r="B8" s="135"/>
      <c r="C8" s="113"/>
      <c r="D8" s="72"/>
      <c r="E8" s="86"/>
      <c r="F8" s="86"/>
      <c r="G8" s="86"/>
    </row>
    <row r="9" spans="1:7" ht="18">
      <c r="A9" s="135"/>
      <c r="B9" s="135"/>
      <c r="C9" s="136" t="s">
        <v>2</v>
      </c>
      <c r="D9" s="8" t="s">
        <v>51</v>
      </c>
      <c r="E9" s="86">
        <v>0</v>
      </c>
      <c r="F9" s="86">
        <v>0</v>
      </c>
      <c r="G9" s="86">
        <v>0</v>
      </c>
    </row>
    <row r="10" spans="1:7" ht="18">
      <c r="A10" s="135"/>
      <c r="B10" s="135"/>
      <c r="C10" s="136"/>
      <c r="D10" s="8" t="s">
        <v>49</v>
      </c>
      <c r="E10" s="86">
        <v>0</v>
      </c>
      <c r="F10" s="86">
        <v>0</v>
      </c>
      <c r="G10" s="86">
        <v>0</v>
      </c>
    </row>
    <row r="11" spans="1:7" ht="18">
      <c r="A11" s="135"/>
      <c r="B11" s="135"/>
      <c r="C11" s="136"/>
      <c r="D11" s="8" t="s">
        <v>50</v>
      </c>
      <c r="E11" s="86">
        <v>0</v>
      </c>
      <c r="F11" s="86">
        <v>0</v>
      </c>
      <c r="G11" s="86">
        <v>0</v>
      </c>
    </row>
    <row r="12" spans="1:7" ht="18">
      <c r="A12" s="135"/>
      <c r="B12" s="135"/>
      <c r="C12" s="136"/>
      <c r="D12" s="29" t="s">
        <v>52</v>
      </c>
      <c r="E12" s="86">
        <v>0</v>
      </c>
      <c r="F12" s="86">
        <v>0</v>
      </c>
      <c r="G12" s="86">
        <v>0</v>
      </c>
    </row>
    <row r="13" spans="1:7" ht="18">
      <c r="A13" s="135"/>
      <c r="B13" s="135"/>
      <c r="C13" s="136"/>
      <c r="D13" s="29" t="s">
        <v>53</v>
      </c>
      <c r="E13" s="86">
        <v>0</v>
      </c>
      <c r="F13" s="86">
        <v>0</v>
      </c>
      <c r="G13" s="86">
        <v>0</v>
      </c>
    </row>
    <row r="14" spans="1:7" ht="18">
      <c r="A14" s="135"/>
      <c r="B14" s="135"/>
      <c r="C14" s="136"/>
      <c r="D14" s="72"/>
      <c r="E14" s="86"/>
      <c r="F14" s="86"/>
      <c r="G14" s="86"/>
    </row>
    <row r="15" spans="1:7" ht="18">
      <c r="A15" s="135"/>
      <c r="B15" s="135"/>
      <c r="C15" s="137" t="s">
        <v>54</v>
      </c>
      <c r="D15" s="30" t="s">
        <v>51</v>
      </c>
      <c r="E15" s="86">
        <v>0</v>
      </c>
      <c r="F15" s="86">
        <v>0</v>
      </c>
      <c r="G15" s="86">
        <v>0</v>
      </c>
    </row>
    <row r="16" spans="1:7" ht="18">
      <c r="A16" s="135"/>
      <c r="B16" s="135"/>
      <c r="C16" s="137"/>
      <c r="D16" s="30" t="s">
        <v>49</v>
      </c>
      <c r="E16" s="86">
        <v>0</v>
      </c>
      <c r="F16" s="86">
        <v>0</v>
      </c>
      <c r="G16" s="86">
        <v>0</v>
      </c>
    </row>
    <row r="17" spans="1:7" ht="18">
      <c r="A17" s="135"/>
      <c r="B17" s="135"/>
      <c r="C17" s="137"/>
      <c r="D17" s="30" t="s">
        <v>50</v>
      </c>
      <c r="E17" s="86">
        <v>0</v>
      </c>
      <c r="F17" s="86">
        <v>0</v>
      </c>
      <c r="G17" s="86">
        <v>0</v>
      </c>
    </row>
    <row r="18" spans="1:7" ht="18">
      <c r="A18" s="135"/>
      <c r="B18" s="135"/>
      <c r="C18" s="137"/>
      <c r="D18" s="31" t="s">
        <v>52</v>
      </c>
      <c r="E18" s="86">
        <v>0</v>
      </c>
      <c r="F18" s="86">
        <v>0</v>
      </c>
      <c r="G18" s="86">
        <v>0</v>
      </c>
    </row>
    <row r="19" spans="1:7" ht="18">
      <c r="A19" s="135"/>
      <c r="B19" s="135"/>
      <c r="C19" s="137"/>
      <c r="D19" s="31" t="s">
        <v>53</v>
      </c>
      <c r="E19" s="86">
        <v>0</v>
      </c>
      <c r="F19" s="86">
        <v>0</v>
      </c>
      <c r="G19" s="86">
        <v>0</v>
      </c>
    </row>
    <row r="20" spans="1:7" ht="18">
      <c r="A20" s="135"/>
      <c r="B20" s="135"/>
      <c r="C20" s="137"/>
      <c r="D20" s="80"/>
      <c r="E20" s="86">
        <v>0</v>
      </c>
      <c r="F20" s="86">
        <v>0</v>
      </c>
      <c r="G20" s="86">
        <v>0</v>
      </c>
    </row>
    <row r="21" spans="1:7" ht="18">
      <c r="A21" s="135"/>
      <c r="B21" s="135"/>
      <c r="C21" s="141" t="s">
        <v>56</v>
      </c>
      <c r="D21" s="32" t="s">
        <v>51</v>
      </c>
      <c r="E21" s="84">
        <v>0</v>
      </c>
      <c r="F21" s="84">
        <v>0</v>
      </c>
      <c r="G21" s="84">
        <v>0</v>
      </c>
    </row>
    <row r="22" spans="1:7" ht="18">
      <c r="A22" s="135"/>
      <c r="B22" s="135"/>
      <c r="C22" s="141"/>
      <c r="D22" s="32" t="s">
        <v>49</v>
      </c>
      <c r="E22" s="84">
        <v>0</v>
      </c>
      <c r="F22" s="84">
        <v>0</v>
      </c>
      <c r="G22" s="84">
        <v>0</v>
      </c>
    </row>
    <row r="23" spans="1:7" ht="18">
      <c r="A23" s="135"/>
      <c r="B23" s="135"/>
      <c r="C23" s="141"/>
      <c r="D23" s="32" t="s">
        <v>50</v>
      </c>
      <c r="E23" s="84">
        <v>0</v>
      </c>
      <c r="F23" s="84">
        <v>0</v>
      </c>
      <c r="G23" s="84">
        <v>0</v>
      </c>
    </row>
    <row r="24" spans="1:7" ht="18">
      <c r="A24" s="135"/>
      <c r="B24" s="135"/>
      <c r="C24" s="141"/>
      <c r="D24" s="34" t="s">
        <v>52</v>
      </c>
      <c r="E24" s="84">
        <v>0</v>
      </c>
      <c r="F24" s="84">
        <v>0</v>
      </c>
      <c r="G24" s="84">
        <v>0</v>
      </c>
    </row>
    <row r="25" spans="1:7" ht="18">
      <c r="A25" s="135"/>
      <c r="B25" s="135"/>
      <c r="C25" s="141"/>
      <c r="D25" s="34" t="s">
        <v>53</v>
      </c>
      <c r="E25" s="84">
        <v>0</v>
      </c>
      <c r="F25" s="84">
        <v>0</v>
      </c>
      <c r="G25" s="84">
        <v>0</v>
      </c>
    </row>
    <row r="26" spans="1:7" ht="18">
      <c r="A26" s="135"/>
      <c r="B26" s="135"/>
      <c r="C26" s="141"/>
      <c r="D26" s="80"/>
      <c r="E26" s="84">
        <v>0</v>
      </c>
      <c r="F26" s="84">
        <v>0</v>
      </c>
      <c r="G26" s="84">
        <v>0</v>
      </c>
    </row>
    <row r="27" spans="1:7" ht="18">
      <c r="A27" s="135"/>
      <c r="B27" s="135"/>
      <c r="C27" s="138" t="s">
        <v>57</v>
      </c>
      <c r="D27" s="22" t="s">
        <v>51</v>
      </c>
      <c r="E27" s="84">
        <v>0</v>
      </c>
      <c r="F27" s="84">
        <v>0</v>
      </c>
      <c r="G27" s="84">
        <v>0</v>
      </c>
    </row>
    <row r="28" spans="1:7" ht="18">
      <c r="A28" s="135"/>
      <c r="B28" s="135"/>
      <c r="C28" s="138"/>
      <c r="D28" s="22" t="s">
        <v>49</v>
      </c>
      <c r="E28" s="84">
        <v>0</v>
      </c>
      <c r="F28" s="84">
        <v>0</v>
      </c>
      <c r="G28" s="84">
        <v>0</v>
      </c>
    </row>
    <row r="29" spans="1:7" ht="18">
      <c r="A29" s="135"/>
      <c r="B29" s="135"/>
      <c r="C29" s="138"/>
      <c r="D29" s="22" t="s">
        <v>50</v>
      </c>
      <c r="E29" s="84">
        <v>0</v>
      </c>
      <c r="F29" s="84">
        <v>0</v>
      </c>
      <c r="G29" s="84">
        <v>0</v>
      </c>
    </row>
    <row r="30" spans="1:7" ht="18">
      <c r="A30" s="135"/>
      <c r="B30" s="135"/>
      <c r="C30" s="138"/>
      <c r="D30" s="13" t="s">
        <v>52</v>
      </c>
      <c r="E30" s="84">
        <v>0</v>
      </c>
      <c r="F30" s="84">
        <v>0</v>
      </c>
      <c r="G30" s="84">
        <v>0</v>
      </c>
    </row>
    <row r="31" spans="1:7" ht="18">
      <c r="A31" s="135"/>
      <c r="B31" s="135"/>
      <c r="C31" s="138"/>
      <c r="D31" s="13" t="s">
        <v>53</v>
      </c>
      <c r="E31" s="84">
        <v>0</v>
      </c>
      <c r="F31" s="84">
        <v>0</v>
      </c>
      <c r="G31" s="84">
        <v>0</v>
      </c>
    </row>
    <row r="32" spans="1:7" ht="18">
      <c r="A32" s="135"/>
      <c r="B32" s="135"/>
      <c r="C32" s="138"/>
      <c r="D32" s="80"/>
      <c r="E32" s="84">
        <v>0</v>
      </c>
      <c r="F32" s="84">
        <v>0</v>
      </c>
      <c r="G32" s="84">
        <v>0</v>
      </c>
    </row>
    <row r="33" spans="1:7" s="49" customFormat="1" ht="18">
      <c r="A33" s="139" t="s">
        <v>55</v>
      </c>
      <c r="B33" s="117" t="s">
        <v>37</v>
      </c>
      <c r="C33" s="140" t="s">
        <v>17</v>
      </c>
      <c r="D33" s="48" t="s">
        <v>51</v>
      </c>
      <c r="E33" s="84">
        <v>0</v>
      </c>
      <c r="F33" s="84">
        <v>0</v>
      </c>
      <c r="G33" s="84">
        <v>0</v>
      </c>
    </row>
    <row r="34" spans="1:7" s="49" customFormat="1" ht="18">
      <c r="A34" s="139"/>
      <c r="B34" s="117"/>
      <c r="C34" s="140"/>
      <c r="D34" s="50" t="s">
        <v>49</v>
      </c>
      <c r="E34" s="84">
        <v>0</v>
      </c>
      <c r="F34" s="84">
        <v>0</v>
      </c>
      <c r="G34" s="84">
        <v>0</v>
      </c>
    </row>
    <row r="35" spans="1:7" s="49" customFormat="1" ht="18">
      <c r="A35" s="139"/>
      <c r="B35" s="117"/>
      <c r="C35" s="140"/>
      <c r="D35" s="50" t="s">
        <v>50</v>
      </c>
      <c r="E35" s="84">
        <v>0</v>
      </c>
      <c r="F35" s="84">
        <v>0</v>
      </c>
      <c r="G35" s="84">
        <v>0</v>
      </c>
    </row>
    <row r="36" spans="1:7" s="49" customFormat="1" ht="18">
      <c r="A36" s="139"/>
      <c r="B36" s="117"/>
      <c r="C36" s="140"/>
      <c r="D36" s="48" t="s">
        <v>52</v>
      </c>
      <c r="E36" s="84">
        <v>0</v>
      </c>
      <c r="F36" s="84">
        <v>0</v>
      </c>
      <c r="G36" s="84">
        <v>0</v>
      </c>
    </row>
    <row r="37" spans="1:7" s="49" customFormat="1" ht="18">
      <c r="A37" s="139"/>
      <c r="B37" s="117"/>
      <c r="C37" s="140"/>
      <c r="D37" s="48" t="s">
        <v>53</v>
      </c>
      <c r="E37" s="84">
        <v>0</v>
      </c>
      <c r="F37" s="84">
        <v>0</v>
      </c>
      <c r="G37" s="84">
        <v>0</v>
      </c>
    </row>
    <row r="38" spans="1:7" s="49" customFormat="1" ht="18">
      <c r="A38" s="139"/>
      <c r="B38" s="117"/>
      <c r="C38" s="140"/>
      <c r="D38" s="80"/>
      <c r="E38" s="84">
        <v>0</v>
      </c>
      <c r="F38" s="84">
        <v>0</v>
      </c>
      <c r="G38" s="84">
        <v>0</v>
      </c>
    </row>
    <row r="39" spans="1:7" ht="18">
      <c r="A39" s="139"/>
      <c r="B39" s="139" t="s">
        <v>76</v>
      </c>
      <c r="C39" s="140"/>
      <c r="D39" s="51" t="s">
        <v>51</v>
      </c>
      <c r="E39" s="84">
        <v>0</v>
      </c>
      <c r="F39" s="84">
        <v>0</v>
      </c>
      <c r="G39" s="84">
        <v>0</v>
      </c>
    </row>
    <row r="40" spans="1:7" ht="18">
      <c r="A40" s="139"/>
      <c r="B40" s="139"/>
      <c r="C40" s="140"/>
      <c r="D40" s="52" t="s">
        <v>49</v>
      </c>
      <c r="E40" s="84">
        <v>0</v>
      </c>
      <c r="F40" s="84">
        <v>0</v>
      </c>
      <c r="G40" s="84">
        <v>0</v>
      </c>
    </row>
    <row r="41" spans="1:7" ht="18">
      <c r="A41" s="139"/>
      <c r="B41" s="139"/>
      <c r="C41" s="140"/>
      <c r="D41" s="52" t="s">
        <v>50</v>
      </c>
      <c r="E41" s="84">
        <v>0</v>
      </c>
      <c r="F41" s="84">
        <v>0</v>
      </c>
      <c r="G41" s="84">
        <v>0</v>
      </c>
    </row>
    <row r="42" spans="1:7" ht="18">
      <c r="A42" s="139"/>
      <c r="B42" s="139"/>
      <c r="C42" s="140"/>
      <c r="D42" s="51" t="s">
        <v>52</v>
      </c>
      <c r="E42" s="84">
        <v>0</v>
      </c>
      <c r="F42" s="84">
        <v>0</v>
      </c>
      <c r="G42" s="84">
        <v>0</v>
      </c>
    </row>
    <row r="43" spans="1:7" ht="18">
      <c r="A43" s="139"/>
      <c r="B43" s="139"/>
      <c r="C43" s="140"/>
      <c r="D43" s="51" t="s">
        <v>53</v>
      </c>
      <c r="E43" s="84">
        <v>0</v>
      </c>
      <c r="F43" s="84">
        <v>0</v>
      </c>
      <c r="G43" s="84">
        <v>0</v>
      </c>
    </row>
    <row r="44" spans="1:7" ht="18">
      <c r="A44" s="139"/>
      <c r="B44" s="139"/>
      <c r="C44" s="140"/>
      <c r="D44" s="80"/>
      <c r="E44" s="84">
        <v>0</v>
      </c>
      <c r="F44" s="84">
        <v>0</v>
      </c>
      <c r="G44" s="84">
        <v>0</v>
      </c>
    </row>
    <row r="45" spans="1:7" s="54" customFormat="1" ht="18">
      <c r="A45" s="139"/>
      <c r="B45" s="117" t="s">
        <v>77</v>
      </c>
      <c r="C45" s="140"/>
      <c r="D45" s="53" t="s">
        <v>51</v>
      </c>
      <c r="E45" s="84">
        <v>0</v>
      </c>
      <c r="F45" s="84">
        <v>0</v>
      </c>
      <c r="G45" s="84">
        <v>0</v>
      </c>
    </row>
    <row r="46" spans="1:7" s="54" customFormat="1" ht="18">
      <c r="A46" s="139"/>
      <c r="B46" s="117"/>
      <c r="C46" s="140"/>
      <c r="D46" s="55" t="s">
        <v>49</v>
      </c>
      <c r="E46" s="84">
        <v>0</v>
      </c>
      <c r="F46" s="84">
        <v>0</v>
      </c>
      <c r="G46" s="84">
        <v>0</v>
      </c>
    </row>
    <row r="47" spans="1:7" s="54" customFormat="1" ht="18">
      <c r="A47" s="139"/>
      <c r="B47" s="117"/>
      <c r="C47" s="140"/>
      <c r="D47" s="55" t="s">
        <v>50</v>
      </c>
      <c r="E47" s="84">
        <v>0</v>
      </c>
      <c r="F47" s="84">
        <v>0</v>
      </c>
      <c r="G47" s="84">
        <v>0</v>
      </c>
    </row>
    <row r="48" spans="1:7" s="54" customFormat="1" ht="18">
      <c r="A48" s="139"/>
      <c r="B48" s="117"/>
      <c r="C48" s="140"/>
      <c r="D48" s="53" t="s">
        <v>52</v>
      </c>
      <c r="E48" s="84">
        <v>0</v>
      </c>
      <c r="F48" s="84">
        <v>0</v>
      </c>
      <c r="G48" s="84">
        <v>0</v>
      </c>
    </row>
    <row r="49" spans="1:7" s="54" customFormat="1" ht="18">
      <c r="A49" s="139"/>
      <c r="B49" s="117"/>
      <c r="C49" s="140"/>
      <c r="D49" s="53" t="s">
        <v>53</v>
      </c>
      <c r="E49" s="84">
        <v>0</v>
      </c>
      <c r="F49" s="84">
        <v>0</v>
      </c>
      <c r="G49" s="84">
        <v>0</v>
      </c>
    </row>
    <row r="50" spans="1:7" s="54" customFormat="1" ht="18">
      <c r="A50" s="139"/>
      <c r="B50" s="117"/>
      <c r="C50" s="140"/>
      <c r="D50" s="80"/>
      <c r="E50" s="84">
        <v>0</v>
      </c>
      <c r="F50" s="84">
        <v>0</v>
      </c>
      <c r="G50" s="84">
        <v>0</v>
      </c>
    </row>
    <row r="51" spans="1:7" s="57" customFormat="1" ht="18">
      <c r="A51" s="139"/>
      <c r="B51" s="117" t="s">
        <v>78</v>
      </c>
      <c r="C51" s="140"/>
      <c r="D51" s="56" t="s">
        <v>51</v>
      </c>
      <c r="E51" s="84">
        <v>0</v>
      </c>
      <c r="F51" s="84">
        <v>0</v>
      </c>
      <c r="G51" s="84">
        <v>0</v>
      </c>
    </row>
    <row r="52" spans="1:7" s="57" customFormat="1" ht="18">
      <c r="A52" s="139"/>
      <c r="B52" s="117"/>
      <c r="C52" s="140"/>
      <c r="D52" s="58" t="s">
        <v>49</v>
      </c>
      <c r="E52" s="84">
        <v>0</v>
      </c>
      <c r="F52" s="84">
        <v>0</v>
      </c>
      <c r="G52" s="84">
        <v>0</v>
      </c>
    </row>
    <row r="53" spans="1:7" s="57" customFormat="1" ht="18">
      <c r="A53" s="139"/>
      <c r="B53" s="117"/>
      <c r="C53" s="140"/>
      <c r="D53" s="58" t="s">
        <v>50</v>
      </c>
      <c r="E53" s="84">
        <v>0</v>
      </c>
      <c r="F53" s="84">
        <v>0</v>
      </c>
      <c r="G53" s="84">
        <v>0</v>
      </c>
    </row>
    <row r="54" spans="1:7" s="57" customFormat="1" ht="18">
      <c r="A54" s="139"/>
      <c r="B54" s="117"/>
      <c r="C54" s="140"/>
      <c r="D54" s="56" t="s">
        <v>52</v>
      </c>
      <c r="E54" s="84">
        <v>0</v>
      </c>
      <c r="F54" s="84">
        <v>0</v>
      </c>
      <c r="G54" s="84">
        <v>0</v>
      </c>
    </row>
    <row r="55" spans="1:7" s="57" customFormat="1" ht="18">
      <c r="A55" s="139"/>
      <c r="B55" s="117"/>
      <c r="C55" s="140"/>
      <c r="D55" s="56" t="s">
        <v>53</v>
      </c>
      <c r="E55" s="84">
        <v>0</v>
      </c>
      <c r="F55" s="84">
        <v>0</v>
      </c>
      <c r="G55" s="84">
        <v>0</v>
      </c>
    </row>
    <row r="56" spans="1:7" s="57" customFormat="1" ht="18">
      <c r="A56" s="139"/>
      <c r="B56" s="117"/>
      <c r="C56" s="140"/>
      <c r="D56" s="80"/>
      <c r="E56" s="84">
        <v>0</v>
      </c>
      <c r="F56" s="84">
        <v>0</v>
      </c>
      <c r="G56" s="84">
        <v>0</v>
      </c>
    </row>
    <row r="57" spans="1:7" s="60" customFormat="1" ht="18">
      <c r="A57" s="139"/>
      <c r="B57" s="117" t="s">
        <v>79</v>
      </c>
      <c r="C57" s="140"/>
      <c r="D57" s="59" t="s">
        <v>51</v>
      </c>
      <c r="E57" s="84">
        <v>0</v>
      </c>
      <c r="F57" s="84">
        <v>0</v>
      </c>
      <c r="G57" s="84">
        <v>0</v>
      </c>
    </row>
    <row r="58" spans="1:7" s="60" customFormat="1" ht="18">
      <c r="A58" s="139"/>
      <c r="B58" s="117"/>
      <c r="C58" s="140"/>
      <c r="D58" s="61" t="s">
        <v>49</v>
      </c>
      <c r="E58" s="84">
        <v>0</v>
      </c>
      <c r="F58" s="84">
        <v>0</v>
      </c>
      <c r="G58" s="84">
        <v>0</v>
      </c>
    </row>
    <row r="59" spans="1:7" s="60" customFormat="1" ht="18">
      <c r="A59" s="139"/>
      <c r="B59" s="117"/>
      <c r="C59" s="140"/>
      <c r="D59" s="61" t="s">
        <v>50</v>
      </c>
      <c r="E59" s="84">
        <v>0</v>
      </c>
      <c r="F59" s="84">
        <v>0</v>
      </c>
      <c r="G59" s="84">
        <v>0</v>
      </c>
    </row>
    <row r="60" spans="1:7" s="60" customFormat="1" ht="18">
      <c r="A60" s="139"/>
      <c r="B60" s="117"/>
      <c r="C60" s="140"/>
      <c r="D60" s="59" t="s">
        <v>52</v>
      </c>
      <c r="E60" s="84">
        <v>0</v>
      </c>
      <c r="F60" s="84">
        <v>0</v>
      </c>
      <c r="G60" s="84">
        <v>0</v>
      </c>
    </row>
    <row r="61" spans="1:7" s="60" customFormat="1" ht="18">
      <c r="A61" s="139"/>
      <c r="B61" s="117"/>
      <c r="C61" s="140"/>
      <c r="D61" s="59" t="s">
        <v>53</v>
      </c>
      <c r="E61" s="84">
        <v>0</v>
      </c>
      <c r="F61" s="84">
        <v>0</v>
      </c>
      <c r="G61" s="84">
        <v>0</v>
      </c>
    </row>
    <row r="62" spans="1:7" s="60" customFormat="1" ht="18">
      <c r="A62" s="139"/>
      <c r="B62" s="117"/>
      <c r="C62" s="140"/>
      <c r="D62" s="80"/>
      <c r="E62" s="84">
        <v>0</v>
      </c>
      <c r="F62" s="84">
        <v>0</v>
      </c>
      <c r="G62" s="84">
        <v>0</v>
      </c>
    </row>
    <row r="63" spans="1:7" s="37" customFormat="1" ht="18">
      <c r="A63" s="117" t="s">
        <v>80</v>
      </c>
      <c r="B63" s="117" t="s">
        <v>79</v>
      </c>
      <c r="C63" s="117" t="s">
        <v>17</v>
      </c>
      <c r="D63" s="62" t="s">
        <v>51</v>
      </c>
      <c r="E63" s="84">
        <v>0</v>
      </c>
      <c r="F63" s="84">
        <v>0</v>
      </c>
      <c r="G63" s="84">
        <v>0</v>
      </c>
    </row>
    <row r="64" spans="1:7" s="37" customFormat="1" ht="18">
      <c r="A64" s="117"/>
      <c r="B64" s="117"/>
      <c r="C64" s="117"/>
      <c r="D64" s="63" t="s">
        <v>49</v>
      </c>
      <c r="E64" s="84">
        <v>0</v>
      </c>
      <c r="F64" s="84">
        <v>0</v>
      </c>
      <c r="G64" s="84">
        <v>0</v>
      </c>
    </row>
    <row r="65" spans="1:7" s="37" customFormat="1" ht="18">
      <c r="A65" s="117"/>
      <c r="B65" s="117"/>
      <c r="C65" s="117"/>
      <c r="D65" s="63" t="s">
        <v>50</v>
      </c>
      <c r="E65" s="84">
        <v>0</v>
      </c>
      <c r="F65" s="84">
        <v>0</v>
      </c>
      <c r="G65" s="84">
        <v>0</v>
      </c>
    </row>
    <row r="66" spans="1:7" s="37" customFormat="1" ht="18">
      <c r="A66" s="117"/>
      <c r="B66" s="117"/>
      <c r="C66" s="117"/>
      <c r="D66" s="62" t="s">
        <v>52</v>
      </c>
      <c r="E66" s="84">
        <v>0</v>
      </c>
      <c r="F66" s="84">
        <v>0</v>
      </c>
      <c r="G66" s="84">
        <v>0</v>
      </c>
    </row>
    <row r="67" spans="1:7" s="37" customFormat="1" ht="18">
      <c r="A67" s="117"/>
      <c r="B67" s="117"/>
      <c r="C67" s="117"/>
      <c r="D67" s="62" t="s">
        <v>53</v>
      </c>
      <c r="E67" s="84">
        <v>0</v>
      </c>
      <c r="F67" s="84">
        <v>0</v>
      </c>
      <c r="G67" s="84">
        <v>0</v>
      </c>
    </row>
    <row r="68" spans="1:7" s="37" customFormat="1" ht="18">
      <c r="A68" s="117"/>
      <c r="B68" s="117"/>
      <c r="C68" s="117"/>
      <c r="D68" s="80"/>
      <c r="E68" s="84"/>
      <c r="F68" s="84"/>
      <c r="G68" s="84"/>
    </row>
    <row r="69" spans="1:7" s="64" customFormat="1" ht="18">
      <c r="A69" s="117" t="s">
        <v>82</v>
      </c>
      <c r="B69" s="117" t="s">
        <v>79</v>
      </c>
      <c r="C69" s="117" t="s">
        <v>17</v>
      </c>
      <c r="D69" s="65" t="s">
        <v>51</v>
      </c>
      <c r="E69" s="84">
        <v>0</v>
      </c>
      <c r="F69" s="84">
        <v>0</v>
      </c>
      <c r="G69" s="84">
        <v>0</v>
      </c>
    </row>
    <row r="70" spans="1:7" s="64" customFormat="1" ht="18">
      <c r="A70" s="117"/>
      <c r="B70" s="117"/>
      <c r="C70" s="117"/>
      <c r="D70" s="66" t="s">
        <v>49</v>
      </c>
      <c r="E70" s="84">
        <v>0</v>
      </c>
      <c r="F70" s="84">
        <v>0</v>
      </c>
      <c r="G70" s="84">
        <v>0</v>
      </c>
    </row>
    <row r="71" spans="1:7" s="64" customFormat="1" ht="18">
      <c r="A71" s="117"/>
      <c r="B71" s="117"/>
      <c r="C71" s="117"/>
      <c r="D71" s="66" t="s">
        <v>50</v>
      </c>
      <c r="E71" s="84">
        <v>0</v>
      </c>
      <c r="F71" s="84">
        <v>0</v>
      </c>
      <c r="G71" s="84">
        <v>0</v>
      </c>
    </row>
    <row r="72" spans="1:7" s="64" customFormat="1" ht="18">
      <c r="A72" s="117"/>
      <c r="B72" s="117"/>
      <c r="C72" s="117"/>
      <c r="D72" s="65" t="s">
        <v>52</v>
      </c>
      <c r="E72" s="84">
        <v>0</v>
      </c>
      <c r="F72" s="84">
        <v>0</v>
      </c>
      <c r="G72" s="84">
        <v>0</v>
      </c>
    </row>
    <row r="73" spans="1:7" s="64" customFormat="1" ht="18">
      <c r="A73" s="117"/>
      <c r="B73" s="117"/>
      <c r="C73" s="117"/>
      <c r="D73" s="65" t="s">
        <v>53</v>
      </c>
      <c r="E73" s="84">
        <v>0</v>
      </c>
      <c r="F73" s="84">
        <v>0</v>
      </c>
      <c r="G73" s="84">
        <v>0</v>
      </c>
    </row>
    <row r="74" spans="1:7" s="64" customFormat="1" ht="18">
      <c r="A74" s="117"/>
      <c r="B74" s="117"/>
      <c r="C74" s="117"/>
      <c r="D74" s="80"/>
      <c r="E74" s="84">
        <v>0</v>
      </c>
      <c r="F74" s="84">
        <v>0</v>
      </c>
      <c r="G74" s="84">
        <v>0</v>
      </c>
    </row>
    <row r="75" spans="1:7" s="67" customFormat="1" ht="18">
      <c r="A75" s="117" t="s">
        <v>81</v>
      </c>
      <c r="B75" s="117" t="s">
        <v>83</v>
      </c>
      <c r="C75" s="117" t="s">
        <v>17</v>
      </c>
      <c r="D75" s="68" t="s">
        <v>51</v>
      </c>
      <c r="E75" s="84">
        <v>0</v>
      </c>
      <c r="F75" s="84">
        <v>0</v>
      </c>
      <c r="G75" s="84">
        <v>0</v>
      </c>
    </row>
    <row r="76" spans="1:7" s="67" customFormat="1" ht="18">
      <c r="A76" s="117"/>
      <c r="B76" s="117"/>
      <c r="C76" s="117"/>
      <c r="D76" s="69" t="s">
        <v>49</v>
      </c>
      <c r="E76" s="84">
        <v>0</v>
      </c>
      <c r="F76" s="84">
        <v>0</v>
      </c>
      <c r="G76" s="84">
        <v>0</v>
      </c>
    </row>
    <row r="77" spans="1:7" s="67" customFormat="1" ht="18">
      <c r="A77" s="117"/>
      <c r="B77" s="117"/>
      <c r="C77" s="117"/>
      <c r="D77" s="69" t="s">
        <v>50</v>
      </c>
      <c r="E77" s="84">
        <v>0</v>
      </c>
      <c r="F77" s="84">
        <v>0</v>
      </c>
      <c r="G77" s="84">
        <v>0</v>
      </c>
    </row>
    <row r="78" spans="1:7" s="67" customFormat="1" ht="18">
      <c r="A78" s="117"/>
      <c r="B78" s="117"/>
      <c r="C78" s="117"/>
      <c r="D78" s="68" t="s">
        <v>52</v>
      </c>
      <c r="E78" s="84">
        <v>0</v>
      </c>
      <c r="F78" s="84">
        <v>0</v>
      </c>
      <c r="G78" s="84">
        <v>0</v>
      </c>
    </row>
    <row r="79" spans="1:7" s="67" customFormat="1" ht="18">
      <c r="A79" s="117"/>
      <c r="B79" s="117"/>
      <c r="C79" s="117"/>
      <c r="D79" s="68" t="s">
        <v>53</v>
      </c>
      <c r="E79" s="84">
        <v>0</v>
      </c>
      <c r="F79" s="84">
        <v>0</v>
      </c>
      <c r="G79" s="84">
        <v>0</v>
      </c>
    </row>
    <row r="80" spans="1:7" s="67" customFormat="1" ht="18">
      <c r="A80" s="117"/>
      <c r="B80" s="117"/>
      <c r="C80" s="117"/>
      <c r="D80" s="80"/>
      <c r="E80" s="84">
        <v>0</v>
      </c>
      <c r="F80" s="84">
        <v>0</v>
      </c>
      <c r="G80" s="84">
        <v>0</v>
      </c>
    </row>
    <row r="81" spans="1:7" s="38" customFormat="1" ht="18">
      <c r="A81" s="117"/>
      <c r="B81" s="117" t="s">
        <v>79</v>
      </c>
      <c r="C81" s="117" t="s">
        <v>17</v>
      </c>
      <c r="D81" s="70" t="s">
        <v>51</v>
      </c>
      <c r="E81" s="84">
        <v>0</v>
      </c>
      <c r="F81" s="84">
        <v>0</v>
      </c>
      <c r="G81" s="84">
        <v>0</v>
      </c>
    </row>
    <row r="82" spans="1:7" s="38" customFormat="1" ht="18">
      <c r="A82" s="117"/>
      <c r="B82" s="117"/>
      <c r="C82" s="117"/>
      <c r="D82" s="71" t="s">
        <v>49</v>
      </c>
      <c r="E82" s="84">
        <v>0</v>
      </c>
      <c r="F82" s="84">
        <v>0</v>
      </c>
      <c r="G82" s="84">
        <v>0</v>
      </c>
    </row>
    <row r="83" spans="1:7" s="38" customFormat="1" ht="18">
      <c r="A83" s="117"/>
      <c r="B83" s="117"/>
      <c r="C83" s="117"/>
      <c r="D83" s="71" t="s">
        <v>50</v>
      </c>
      <c r="E83" s="84">
        <v>0</v>
      </c>
      <c r="F83" s="84">
        <v>0</v>
      </c>
      <c r="G83" s="84">
        <v>0</v>
      </c>
    </row>
    <row r="84" spans="1:7" s="38" customFormat="1" ht="18">
      <c r="A84" s="117"/>
      <c r="B84" s="117"/>
      <c r="C84" s="117"/>
      <c r="D84" s="70" t="s">
        <v>52</v>
      </c>
      <c r="E84" s="84">
        <v>0</v>
      </c>
      <c r="F84" s="84">
        <v>0</v>
      </c>
      <c r="G84" s="84">
        <v>0</v>
      </c>
    </row>
    <row r="85" spans="1:7" s="38" customFormat="1" ht="18">
      <c r="A85" s="117"/>
      <c r="B85" s="117"/>
      <c r="C85" s="117"/>
      <c r="D85" s="70" t="s">
        <v>53</v>
      </c>
      <c r="E85" s="84">
        <v>0</v>
      </c>
      <c r="F85" s="84">
        <v>0</v>
      </c>
      <c r="G85" s="84">
        <v>0</v>
      </c>
    </row>
    <row r="86" spans="1:7" s="38" customFormat="1" ht="18">
      <c r="A86" s="117"/>
      <c r="B86" s="117"/>
      <c r="C86" s="117"/>
      <c r="D86" s="80"/>
      <c r="E86" s="84">
        <v>0</v>
      </c>
      <c r="F86" s="84">
        <v>0</v>
      </c>
      <c r="G86" s="84">
        <v>0</v>
      </c>
    </row>
    <row r="87" spans="1:7" ht="18">
      <c r="E87" s="84"/>
    </row>
    <row r="88" spans="1:7" ht="18">
      <c r="E88" s="84"/>
    </row>
  </sheetData>
  <mergeCells count="25">
    <mergeCell ref="C69:C74"/>
    <mergeCell ref="C75:C80"/>
    <mergeCell ref="C81:C86"/>
    <mergeCell ref="B81:B86"/>
    <mergeCell ref="B51:B56"/>
    <mergeCell ref="B57:B62"/>
    <mergeCell ref="C33:C62"/>
    <mergeCell ref="C63:C68"/>
    <mergeCell ref="B63:B68"/>
    <mergeCell ref="A63:A68"/>
    <mergeCell ref="B33:B38"/>
    <mergeCell ref="B39:B44"/>
    <mergeCell ref="B45:B50"/>
    <mergeCell ref="A75:A86"/>
    <mergeCell ref="B75:B80"/>
    <mergeCell ref="B69:B74"/>
    <mergeCell ref="A69:A74"/>
    <mergeCell ref="A3:A32"/>
    <mergeCell ref="B3:B32"/>
    <mergeCell ref="A33:A6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showRuler="0" workbookViewId="0">
      <pane xSplit="4" topLeftCell="E1" activePane="topRight" state="frozen"/>
      <selection pane="topRight" activeCell="AF85" sqref="AE4:AF85"/>
    </sheetView>
  </sheetViews>
  <sheetFormatPr baseColWidth="10" defaultRowHeight="15" x14ac:dyDescent="0"/>
  <cols>
    <col min="7" max="7" width="10.83203125" style="40"/>
    <col min="10" max="10" width="10.83203125" style="40"/>
    <col min="13" max="13" width="10.83203125" style="40"/>
    <col min="16" max="16" width="10.83203125" style="40"/>
    <col min="19" max="19" width="10.83203125" style="40"/>
    <col min="22" max="22" width="10.83203125" style="40"/>
    <col min="25" max="25" width="10.83203125" style="40"/>
    <col min="28" max="28" width="10.83203125" style="40"/>
  </cols>
  <sheetData>
    <row r="1" spans="1:35" ht="18">
      <c r="A1" s="6"/>
      <c r="B1" s="6"/>
      <c r="C1" s="6"/>
      <c r="D1" s="6"/>
      <c r="E1" s="6" t="s">
        <v>58</v>
      </c>
      <c r="F1" s="6"/>
      <c r="G1" s="39"/>
      <c r="H1" s="6" t="s">
        <v>59</v>
      </c>
      <c r="I1" s="6"/>
      <c r="J1" s="39"/>
      <c r="K1" s="27" t="s">
        <v>60</v>
      </c>
      <c r="L1" s="27"/>
      <c r="M1" s="39"/>
      <c r="N1" s="27" t="s">
        <v>89</v>
      </c>
      <c r="O1" s="27"/>
      <c r="P1" s="39"/>
      <c r="Q1" s="27" t="s">
        <v>90</v>
      </c>
      <c r="R1" s="27"/>
      <c r="S1" s="39"/>
      <c r="T1" s="27" t="s">
        <v>91</v>
      </c>
      <c r="U1" s="27"/>
      <c r="V1" s="39"/>
      <c r="W1" s="27" t="s">
        <v>92</v>
      </c>
      <c r="X1" s="27"/>
      <c r="Y1" s="39"/>
      <c r="Z1" s="27" t="s">
        <v>94</v>
      </c>
      <c r="AA1" s="27"/>
      <c r="AB1" s="39"/>
      <c r="AC1" s="27" t="s">
        <v>93</v>
      </c>
      <c r="AD1" s="27"/>
      <c r="AE1" t="s">
        <v>95</v>
      </c>
      <c r="AH1" t="s">
        <v>97</v>
      </c>
    </row>
    <row r="2" spans="1:35" ht="18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 t="s">
        <v>63</v>
      </c>
      <c r="O2" s="2" t="s">
        <v>64</v>
      </c>
      <c r="Q2" s="26" t="s">
        <v>63</v>
      </c>
      <c r="R2" s="26" t="s">
        <v>64</v>
      </c>
      <c r="T2" s="26" t="s">
        <v>63</v>
      </c>
      <c r="U2" s="26" t="s">
        <v>64</v>
      </c>
      <c r="W2" s="26" t="s">
        <v>63</v>
      </c>
      <c r="X2" s="26" t="s">
        <v>64</v>
      </c>
      <c r="Z2" s="26" t="s">
        <v>63</v>
      </c>
      <c r="AA2" s="26" t="s">
        <v>64</v>
      </c>
      <c r="AC2" s="26" t="s">
        <v>63</v>
      </c>
      <c r="AD2" s="26" t="s">
        <v>64</v>
      </c>
      <c r="AE2" s="26" t="s">
        <v>63</v>
      </c>
      <c r="AF2" s="26" t="s">
        <v>64</v>
      </c>
      <c r="AH2" s="26" t="s">
        <v>99</v>
      </c>
      <c r="AI2" s="26" t="s">
        <v>100</v>
      </c>
    </row>
    <row r="3" spans="1:35" ht="18">
      <c r="A3" s="135" t="s">
        <v>55</v>
      </c>
      <c r="B3" s="135" t="s">
        <v>25</v>
      </c>
      <c r="C3" s="113" t="s">
        <v>35</v>
      </c>
      <c r="D3" s="4"/>
      <c r="E3" s="36"/>
      <c r="F3" s="36"/>
      <c r="H3" s="36"/>
      <c r="I3" s="36"/>
      <c r="K3" s="36"/>
      <c r="L3" s="36"/>
      <c r="N3" s="41"/>
      <c r="O3" s="41"/>
      <c r="Q3" s="41"/>
      <c r="R3" s="41"/>
      <c r="T3" s="41"/>
      <c r="U3" s="41"/>
      <c r="W3" s="36"/>
      <c r="X3" s="36"/>
      <c r="Z3" s="36"/>
      <c r="AA3" s="36"/>
      <c r="AC3" s="36"/>
      <c r="AD3" s="36"/>
    </row>
    <row r="4" spans="1:35" ht="18">
      <c r="A4" s="135"/>
      <c r="B4" s="135"/>
      <c r="C4" s="113"/>
      <c r="D4" s="4" t="s">
        <v>49</v>
      </c>
      <c r="E4" s="36">
        <f>(1-defaultFit_Inclusive!$U4)*fitSyst_Inclusive!E4</f>
        <v>269.51340124199999</v>
      </c>
      <c r="F4" s="36">
        <f>(1-defaultFit_Inclusive!$U4)*fitSyst_Inclusive!F4</f>
        <v>249.506835102</v>
      </c>
      <c r="H4" s="36">
        <f>(1-defaultFit_Inclusive!$U4)*fitSyst_Inclusive!H4</f>
        <v>260.91015483000001</v>
      </c>
      <c r="I4" s="36">
        <f>(1-defaultFit_Inclusive!$U4)*fitSyst_Inclusive!I4</f>
        <v>248.56501789399999</v>
      </c>
      <c r="K4" s="36">
        <f>(1-defaultFit_Inclusive!$U4)*fitSyst_Inclusive!K4</f>
        <v>273.39416750699996</v>
      </c>
      <c r="L4" s="36">
        <f>(1-defaultFit_Inclusive!$U4)*fitSyst_Inclusive!L4</f>
        <v>251.70346864999999</v>
      </c>
      <c r="N4" s="41"/>
      <c r="O4" s="41"/>
      <c r="Q4" s="41"/>
      <c r="R4" s="41"/>
      <c r="T4" s="41"/>
      <c r="U4" s="41"/>
      <c r="W4" s="36">
        <f>(1-defaultFit_Inclusive!$U4)*trgBiassing!E4</f>
        <v>246.88652480099998</v>
      </c>
      <c r="X4" s="36">
        <f>(1-defaultFit_Inclusive!$U4)*trgBiassing!F4</f>
        <v>217.41243987099998</v>
      </c>
      <c r="Z4" s="36">
        <f>(1-defaultFit_Inclusive!$U4)*trgBiassing!L4</f>
        <v>111.97684937899999</v>
      </c>
      <c r="AA4" s="36">
        <f>(1-defaultFit_Inclusive!$U4)*trgBiassing!M4</f>
        <v>117.50509080499999</v>
      </c>
      <c r="AC4" s="36">
        <f>(1-defaultFit_Inclusive!$U4)*epSystematic!E4</f>
        <v>263.21676104599999</v>
      </c>
      <c r="AD4" s="36">
        <f>(1-defaultFit_Inclusive!$U4)*epSystematic!F4</f>
        <v>254.67132077999997</v>
      </c>
      <c r="AE4" t="e">
        <f>SQRT(POWER(E4/$E$8-AH4,2)+POWER(H4/$H$8-AH4,2)+POWER(K4/$K$8-AH4,2)+POWER(N4/$N$8-AH4,2)+POWER(Q4/$Q$8-AH4,2)+POWER(T4/$T$8-AH4,2)+POWER(W4/$W$8-AH4,2)+POWER(Z4/$Z$8-AH4,2)+POWER(AC4/$AC$8-AH4,2))/SQRT(9)</f>
        <v>#DIV/0!</v>
      </c>
      <c r="AF4" t="e">
        <f>SQRT(POWER(F4/$F$8-AI4,2)+POWER(I4/$I$8-AI4,2)+POWER(L4/$L$8-AI4,2)+POWER(O4/$O$8-AI4,2)+POWER(R4/$R$8-AI4,2)+POWER(U4/$U$8-AI4,2)+POWER(X4/$X$8-AI4,2)+POWER(AA4/$AA$8-AI4,2)+POWER(AD4/$AD$8-AI4,2))/SQRT(9)</f>
        <v>#DIV/0!</v>
      </c>
      <c r="AH4">
        <f xml:space="preserve"> defaultFit_Prompt!E4/defaultFit_Prompt!$E$8</f>
        <v>0.25656691232826023</v>
      </c>
      <c r="AI4">
        <f xml:space="preserve"> defaultFit_Prompt!H4/defaultFit_Prompt!$H$8</f>
        <v>0.25673077470925137</v>
      </c>
    </row>
    <row r="5" spans="1:35" ht="18">
      <c r="A5" s="135"/>
      <c r="B5" s="135"/>
      <c r="C5" s="113"/>
      <c r="D5" s="4" t="s">
        <v>50</v>
      </c>
      <c r="E5" s="36">
        <f>(1-defaultFit_Inclusive!$U5)*fitSyst_Inclusive!E5</f>
        <v>265.98669488999997</v>
      </c>
      <c r="F5" s="36">
        <f>(1-defaultFit_Inclusive!$U5)*fitSyst_Inclusive!F5</f>
        <v>237.36260246999996</v>
      </c>
      <c r="H5" s="36">
        <f>(1-defaultFit_Inclusive!$U5)*fitSyst_Inclusive!H5</f>
        <v>258.42090414</v>
      </c>
      <c r="I5" s="36">
        <f>(1-defaultFit_Inclusive!$U5)*fitSyst_Inclusive!I5</f>
        <v>236.08580624999999</v>
      </c>
      <c r="K5" s="36">
        <f>(1-defaultFit_Inclusive!$U5)*fitSyst_Inclusive!K5</f>
        <v>267.38793088</v>
      </c>
      <c r="L5" s="36">
        <f>(1-defaultFit_Inclusive!$U5)*fitSyst_Inclusive!L5</f>
        <v>240.20483626999996</v>
      </c>
      <c r="N5" s="41"/>
      <c r="O5" s="41"/>
      <c r="Q5" s="41"/>
      <c r="R5" s="41"/>
      <c r="T5" s="41"/>
      <c r="U5" s="41"/>
      <c r="W5" s="36">
        <f>(1-defaultFit_Inclusive!$U5)*trgBiassing!E5</f>
        <v>227.46485460999995</v>
      </c>
      <c r="X5" s="36">
        <f>(1-defaultFit_Inclusive!$U5)*trgBiassing!F5</f>
        <v>211.52920074999997</v>
      </c>
      <c r="Z5" s="36">
        <f>(1-defaultFit_Inclusive!$U5)*trgBiassing!L5</f>
        <v>128.56174533999999</v>
      </c>
      <c r="AA5" s="36">
        <f>(1-defaultFit_Inclusive!$U5)*trgBiassing!M5</f>
        <v>104.21131223999998</v>
      </c>
      <c r="AC5" s="36">
        <f>(1-defaultFit_Inclusive!$U5)*epSystematic!E5</f>
        <v>270.09688894999999</v>
      </c>
      <c r="AD5" s="36">
        <f>(1-defaultFit_Inclusive!$U5)*epSystematic!F5</f>
        <v>229.89547994</v>
      </c>
      <c r="AE5" t="e">
        <f t="shared" ref="AE5:AE67" si="0">SQRT(POWER(E5/$E$8-AH5,2)+POWER(H5/$H$8-AH5,2)+POWER(K5/$K$8-AH5,2)+POWER(N5/$N$8-AH5,2)+POWER(Q5/$Q$8-AH5,2)+POWER(T5/$T$8-AH5,2)+POWER(W5/$W$8-AH5,2)+POWER(Z5/$Z$8-AH5,2)+POWER(AC5/$AC$8-AH5,2))/SQRT(9)</f>
        <v>#DIV/0!</v>
      </c>
      <c r="AF5" t="e">
        <f t="shared" ref="AF5:AF7" si="1">SQRT(POWER(F5/$F$8-AI5,2)+POWER(I5/$I$8-AI5,2)+POWER(L5/$L$8-AI5,2)+POWER(O5/$O$8-AI5,2)+POWER(R5/$R$8-AI5,2)+POWER(U5/$U$8-AI5,2)+POWER(X5/$X$8-AI5,2)+POWER(AA5/$AA$8-AI5,2)+POWER(AD5/$AD$8-AI5,2))/SQRT(9)</f>
        <v>#DIV/0!</v>
      </c>
      <c r="AH5">
        <f xml:space="preserve"> defaultFit_Prompt!E5/defaultFit_Prompt!$E$8</f>
        <v>0.25329651213668269</v>
      </c>
      <c r="AI5">
        <f xml:space="preserve"> defaultFit_Prompt!H5/defaultFit_Prompt!$H$8</f>
        <v>0.24448297621590123</v>
      </c>
    </row>
    <row r="6" spans="1:35" ht="18">
      <c r="A6" s="135"/>
      <c r="B6" s="135"/>
      <c r="C6" s="113"/>
      <c r="D6" s="28" t="s">
        <v>52</v>
      </c>
      <c r="E6" s="36">
        <f>(1-defaultFit_Inclusive!$U6)*fitSyst_Inclusive!E6</f>
        <v>254.37267437400001</v>
      </c>
      <c r="F6" s="36">
        <f>(1-defaultFit_Inclusive!$U6)*fitSyst_Inclusive!F6</f>
        <v>246.54349838300001</v>
      </c>
      <c r="H6" s="36">
        <f>(1-defaultFit_Inclusive!$U6)*fitSyst_Inclusive!H6</f>
        <v>247.60113305199999</v>
      </c>
      <c r="I6" s="36">
        <f>(1-defaultFit_Inclusive!$U6)*fitSyst_Inclusive!I6</f>
        <v>244.92094836300001</v>
      </c>
      <c r="K6" s="36">
        <f>(1-defaultFit_Inclusive!$U6)*fitSyst_Inclusive!K6</f>
        <v>257.21064833100002</v>
      </c>
      <c r="L6" s="36">
        <f>(1-defaultFit_Inclusive!$U6)*fitSyst_Inclusive!L6</f>
        <v>245.22461827500001</v>
      </c>
      <c r="N6" s="41"/>
      <c r="O6" s="41"/>
      <c r="Q6" s="41"/>
      <c r="R6" s="41"/>
      <c r="T6" s="41"/>
      <c r="U6" s="41"/>
      <c r="W6" s="36">
        <f>(1-defaultFit_Inclusive!$U6)*trgBiassing!E6</f>
        <v>234.30813151199999</v>
      </c>
      <c r="X6" s="36">
        <f>(1-defaultFit_Inclusive!$U6)*trgBiassing!F6</f>
        <v>215.40765664599999</v>
      </c>
      <c r="Z6" s="36">
        <f>(1-defaultFit_Inclusive!$U6)*trgBiassing!L6</f>
        <v>137.98820344399999</v>
      </c>
      <c r="AA6" s="36">
        <f>(1-defaultFit_Inclusive!$U6)*trgBiassing!M6</f>
        <v>123.78047072299999</v>
      </c>
      <c r="AC6" s="36">
        <f>(1-defaultFit_Inclusive!$U6)*epSystematic!E6</f>
        <v>254.09356599900002</v>
      </c>
      <c r="AD6" s="36">
        <f>(1-defaultFit_Inclusive!$U6)*epSystematic!F6</f>
        <v>253.76235739400002</v>
      </c>
      <c r="AE6" t="e">
        <f t="shared" si="0"/>
        <v>#DIV/0!</v>
      </c>
      <c r="AF6" t="e">
        <f t="shared" si="1"/>
        <v>#DIV/0!</v>
      </c>
      <c r="AH6">
        <f xml:space="preserve"> defaultFit_Prompt!E6/defaultFit_Prompt!$E$8</f>
        <v>0.24245271835862781</v>
      </c>
      <c r="AI6">
        <f xml:space="preserve"> defaultFit_Prompt!H6/defaultFit_Prompt!$H$8</f>
        <v>0.25358983343312425</v>
      </c>
    </row>
    <row r="7" spans="1:35" ht="18">
      <c r="A7" s="135"/>
      <c r="B7" s="135"/>
      <c r="C7" s="113"/>
      <c r="D7" s="28" t="s">
        <v>53</v>
      </c>
      <c r="E7" s="36">
        <f>(1-defaultFit_Inclusive!$U7)*fitSyst_Inclusive!E7</f>
        <v>260.17812717600003</v>
      </c>
      <c r="F7" s="36">
        <f>(1-defaultFit_Inclusive!$U7)*fitSyst_Inclusive!F7</f>
        <v>238.31909094400001</v>
      </c>
      <c r="H7" s="36">
        <f>(1-defaultFit_Inclusive!$U7)*fitSyst_Inclusive!H7</f>
        <v>252.56678576799999</v>
      </c>
      <c r="I7" s="36">
        <f>(1-defaultFit_Inclusive!$U7)*fitSyst_Inclusive!I7</f>
        <v>237.070986592</v>
      </c>
      <c r="K7" s="36">
        <f>(1-defaultFit_Inclusive!$U7)*fitSyst_Inclusive!K7</f>
        <v>256.27443388800003</v>
      </c>
      <c r="L7" s="36">
        <f>(1-defaultFit_Inclusive!$U7)*fitSyst_Inclusive!L7</f>
        <v>241.01284134400001</v>
      </c>
      <c r="N7" s="41"/>
      <c r="O7" s="41"/>
      <c r="Q7" s="41"/>
      <c r="R7" s="41"/>
      <c r="T7" s="41"/>
      <c r="U7" s="41"/>
      <c r="W7" s="36">
        <f>(1-defaultFit_Inclusive!$U7)*trgBiassing!E7</f>
        <v>231.70368891999999</v>
      </c>
      <c r="X7" s="36">
        <f>(1-defaultFit_Inclusive!$U7)*trgBiassing!F7</f>
        <v>211.86721027999999</v>
      </c>
      <c r="Z7" s="36">
        <f>(1-defaultFit_Inclusive!$U7)*trgBiassing!L7</f>
        <v>130.87661144800001</v>
      </c>
      <c r="AA7" s="36">
        <f>(1-defaultFit_Inclusive!$U7)*trgBiassing!M7</f>
        <v>117.32180908800001</v>
      </c>
      <c r="AC7" s="36">
        <f>(1-defaultFit_Inclusive!$U7)*epSystematic!E7</f>
        <v>263.74435340000002</v>
      </c>
      <c r="AD7" s="36">
        <f>(1-defaultFit_Inclusive!$U7)*epSystematic!F7</f>
        <v>233.72100866400001</v>
      </c>
      <c r="AE7" t="e">
        <f t="shared" si="0"/>
        <v>#DIV/0!</v>
      </c>
      <c r="AF7" t="e">
        <f t="shared" si="1"/>
        <v>#DIV/0!</v>
      </c>
      <c r="AH7">
        <f xml:space="preserve"> defaultFit_Prompt!E7/defaultFit_Prompt!$E$8</f>
        <v>0.24768385717642935</v>
      </c>
      <c r="AI7">
        <f xml:space="preserve"> defaultFit_Prompt!H7/defaultFit_Prompt!$H$8</f>
        <v>0.24519641564172312</v>
      </c>
    </row>
    <row r="8" spans="1:35" ht="18">
      <c r="A8" s="135"/>
      <c r="B8" s="135"/>
      <c r="C8" s="113"/>
      <c r="D8" s="72"/>
      <c r="E8" s="82">
        <f xml:space="preserve"> SUM(E4:E7)</f>
        <v>1050.0508976819999</v>
      </c>
      <c r="F8" s="82">
        <f xml:space="preserve"> SUM(F4:F7)</f>
        <v>971.73202689899995</v>
      </c>
      <c r="G8" s="82"/>
      <c r="H8" s="82">
        <f xml:space="preserve"> SUM(H4:H7)</f>
        <v>1019.49897779</v>
      </c>
      <c r="I8" s="82">
        <f xml:space="preserve"> SUM(I4:I7)</f>
        <v>966.64275909899993</v>
      </c>
      <c r="J8" s="82"/>
      <c r="K8" s="82">
        <f xml:space="preserve"> SUM(K4:K7)</f>
        <v>1054.267180606</v>
      </c>
      <c r="L8" s="82">
        <f xml:space="preserve"> SUM(L4:L7)</f>
        <v>978.14576453899997</v>
      </c>
      <c r="M8" s="82"/>
      <c r="N8" s="82"/>
      <c r="O8" s="82"/>
      <c r="P8" s="82"/>
      <c r="Q8" s="82"/>
      <c r="R8" s="82"/>
      <c r="S8" s="82"/>
      <c r="T8" s="82"/>
      <c r="U8" s="82"/>
      <c r="V8" s="82"/>
      <c r="W8" s="82">
        <f xml:space="preserve"> SUM(W4:W7)</f>
        <v>940.36319984299996</v>
      </c>
      <c r="X8" s="82">
        <f xml:space="preserve"> SUM(X4:X7)</f>
        <v>856.21650754699988</v>
      </c>
      <c r="Y8" s="82"/>
      <c r="Z8" s="82">
        <f xml:space="preserve"> SUM(Z4:Z7)</f>
        <v>509.40340961099997</v>
      </c>
      <c r="AA8" s="82">
        <f xml:space="preserve"> SUM(AA4:AA7)</f>
        <v>462.81868285600001</v>
      </c>
      <c r="AB8" s="82"/>
      <c r="AC8" s="82">
        <f xml:space="preserve"> SUM(AC4:AC7)</f>
        <v>1051.151569395</v>
      </c>
      <c r="AD8" s="82">
        <f xml:space="preserve"> SUM(AD4:AD7)</f>
        <v>972.05016677799995</v>
      </c>
      <c r="AE8" s="82"/>
      <c r="AF8" s="82"/>
      <c r="AG8" s="82"/>
      <c r="AH8" s="82"/>
      <c r="AI8" s="82"/>
    </row>
    <row r="9" spans="1:35" ht="18">
      <c r="A9" s="135"/>
      <c r="B9" s="135"/>
      <c r="C9" s="136" t="s">
        <v>2</v>
      </c>
      <c r="D9" s="8"/>
      <c r="E9" s="36"/>
      <c r="F9" s="36"/>
      <c r="H9" s="36"/>
      <c r="I9" s="36"/>
      <c r="K9" s="36"/>
      <c r="L9" s="36"/>
      <c r="N9" s="41"/>
      <c r="O9" s="41"/>
      <c r="Q9" s="41"/>
      <c r="R9" s="41"/>
      <c r="T9" s="41"/>
      <c r="U9" s="41"/>
      <c r="W9" s="36"/>
      <c r="X9" s="36"/>
      <c r="Z9" s="36"/>
      <c r="AA9" s="36"/>
      <c r="AC9" s="36"/>
      <c r="AD9" s="36"/>
    </row>
    <row r="10" spans="1:35" ht="18">
      <c r="A10" s="135"/>
      <c r="B10" s="135"/>
      <c r="C10" s="136"/>
      <c r="D10" s="8" t="s">
        <v>49</v>
      </c>
      <c r="E10" s="36"/>
      <c r="F10" s="36"/>
      <c r="H10" s="36"/>
      <c r="I10" s="36"/>
      <c r="K10" s="36"/>
      <c r="L10" s="36"/>
      <c r="N10" s="41"/>
      <c r="O10" s="41"/>
      <c r="Q10" s="41"/>
      <c r="R10" s="41"/>
      <c r="T10" s="41"/>
      <c r="U10" s="41"/>
      <c r="W10" s="36"/>
      <c r="X10" s="36"/>
      <c r="Z10" s="36"/>
      <c r="AA10" s="36"/>
      <c r="AC10" s="36"/>
      <c r="AD10" s="36"/>
    </row>
    <row r="11" spans="1:35" ht="18">
      <c r="A11" s="135"/>
      <c r="B11" s="135"/>
      <c r="C11" s="136"/>
      <c r="D11" s="8" t="s">
        <v>50</v>
      </c>
      <c r="E11" s="36"/>
      <c r="F11" s="36"/>
      <c r="H11" s="36"/>
      <c r="I11" s="36"/>
      <c r="K11" s="36"/>
      <c r="L11" s="36"/>
      <c r="N11" s="41"/>
      <c r="O11" s="41"/>
      <c r="Q11" s="41"/>
      <c r="R11" s="41"/>
      <c r="T11" s="41"/>
      <c r="U11" s="41"/>
      <c r="W11" s="36"/>
      <c r="X11" s="36"/>
      <c r="Z11" s="36"/>
      <c r="AA11" s="36"/>
      <c r="AC11" s="36"/>
      <c r="AD11" s="36"/>
    </row>
    <row r="12" spans="1:35" ht="18">
      <c r="A12" s="135"/>
      <c r="B12" s="135"/>
      <c r="C12" s="136"/>
      <c r="D12" s="29" t="s">
        <v>52</v>
      </c>
      <c r="E12" s="36"/>
      <c r="F12" s="36"/>
      <c r="H12" s="36"/>
      <c r="I12" s="36"/>
      <c r="K12" s="36"/>
      <c r="L12" s="36"/>
      <c r="N12" s="41"/>
      <c r="O12" s="41"/>
      <c r="Q12" s="41"/>
      <c r="R12" s="41"/>
      <c r="T12" s="41"/>
      <c r="U12" s="41"/>
      <c r="W12" s="36"/>
      <c r="X12" s="36"/>
      <c r="Z12" s="36"/>
      <c r="AA12" s="36"/>
      <c r="AC12" s="36"/>
      <c r="AD12" s="36"/>
    </row>
    <row r="13" spans="1:35" ht="18">
      <c r="A13" s="135"/>
      <c r="B13" s="135"/>
      <c r="C13" s="136"/>
      <c r="D13" s="29" t="s">
        <v>53</v>
      </c>
      <c r="E13" s="36"/>
      <c r="F13" s="36"/>
      <c r="H13" s="36"/>
      <c r="I13" s="36"/>
      <c r="K13" s="36"/>
      <c r="L13" s="36"/>
      <c r="N13" s="41"/>
      <c r="O13" s="41"/>
      <c r="Q13" s="41"/>
      <c r="R13" s="41"/>
      <c r="T13" s="41"/>
      <c r="U13" s="41"/>
      <c r="W13" s="36"/>
      <c r="X13" s="36"/>
      <c r="Z13" s="36"/>
      <c r="AA13" s="36"/>
      <c r="AC13" s="36"/>
      <c r="AD13" s="36"/>
    </row>
    <row r="14" spans="1:35" ht="18">
      <c r="A14" s="135"/>
      <c r="B14" s="135"/>
      <c r="C14" s="136"/>
      <c r="D14" s="7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1"/>
      <c r="R14" s="81"/>
      <c r="S14" s="82"/>
      <c r="T14" s="81"/>
      <c r="U14" s="81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</row>
    <row r="15" spans="1:35" ht="18">
      <c r="A15" s="135"/>
      <c r="B15" s="135"/>
      <c r="C15" s="137" t="s">
        <v>54</v>
      </c>
      <c r="D15" s="30"/>
      <c r="E15" s="36"/>
      <c r="F15" s="36"/>
      <c r="H15" s="36"/>
      <c r="I15" s="36"/>
      <c r="K15" s="36"/>
      <c r="L15" s="36"/>
      <c r="N15" s="41"/>
      <c r="O15" s="41"/>
      <c r="Q15" s="41"/>
      <c r="R15" s="41"/>
      <c r="T15" s="41"/>
      <c r="U15" s="41"/>
      <c r="W15" s="36"/>
      <c r="X15" s="36"/>
      <c r="Z15" s="36"/>
      <c r="AA15" s="36"/>
      <c r="AC15" s="36"/>
      <c r="AD15" s="36"/>
    </row>
    <row r="16" spans="1:35" ht="18">
      <c r="A16" s="135"/>
      <c r="B16" s="135"/>
      <c r="C16" s="137"/>
      <c r="D16" s="30" t="s">
        <v>49</v>
      </c>
      <c r="E16" s="36">
        <f>(1-defaultFit_Inclusive!$U16)*fitSyst_Inclusive!E16</f>
        <v>246.77806921799998</v>
      </c>
      <c r="F16" s="36">
        <f>(1-defaultFit_Inclusive!$U16)*fitSyst_Inclusive!F16</f>
        <v>286.25417908600002</v>
      </c>
      <c r="H16" s="36">
        <f>(1-defaultFit_Inclusive!$U16)*fitSyst_Inclusive!H16</f>
        <v>239.28736556899997</v>
      </c>
      <c r="I16" s="36">
        <f>(1-defaultFit_Inclusive!$U16)*fitSyst_Inclusive!I16</f>
        <v>283.10340821599999</v>
      </c>
      <c r="K16" s="36">
        <f>(1-defaultFit_Inclusive!$U16)*fitSyst_Inclusive!K16</f>
        <v>246.332426688</v>
      </c>
      <c r="L16" s="36">
        <f>(1-defaultFit_Inclusive!$U16)*fitSyst_Inclusive!L16</f>
        <v>284.22376917299999</v>
      </c>
      <c r="N16" s="41"/>
      <c r="O16" s="41"/>
      <c r="Q16" s="41"/>
      <c r="R16" s="41"/>
      <c r="T16" s="41"/>
      <c r="U16" s="41"/>
      <c r="W16" s="36">
        <f>(1-defaultFit_Inclusive!$U16)*trgBiassing!E16</f>
        <v>201.29125799799999</v>
      </c>
      <c r="X16" s="36">
        <f>(1-defaultFit_Inclusive!$U16)*trgBiassing!F16</f>
        <v>242.95648906600002</v>
      </c>
      <c r="Z16" s="36">
        <f>(1-defaultFit_Inclusive!$U16)*trgBiassing!L16</f>
        <v>111.09946455800001</v>
      </c>
      <c r="AA16" s="36">
        <f>(1-defaultFit_Inclusive!$U16)*trgBiassing!M16</f>
        <v>130.88286557399999</v>
      </c>
      <c r="AC16" s="36">
        <f>(1-defaultFit_Inclusive!$U16)*epSystematic!E16</f>
        <v>253.436906811</v>
      </c>
      <c r="AD16" s="36">
        <f>(1-defaultFit_Inclusive!$U16)*epSystematic!F16</f>
        <v>286.24636079600003</v>
      </c>
      <c r="AE16" t="e">
        <f>SQRT(POWER(E16/$E$20-AH16,2)+POWER(H16/$H$20-AH16,2)+POWER(K16/$K$20-AH16,2)+POWER(N16/$N$20-AH16,2)+POWER(Q16/$Q$20-AH16,2)+POWER(T16/$T$20-AH16,2)+POWER(W16/$W$20-AH16,2)+POWER(Z16/$Z$20-AH16,2)+POWER(AC16/$AC$20-AH16,2))/SQRT(9)</f>
        <v>#DIV/0!</v>
      </c>
      <c r="AF16" t="e">
        <f>SQRT(POWER(F16/$F$20-AI16,2)+POWER(I16/$I$20-AI16,2)+POWER(L16/$L$20-AI16,2)+POWER(O16/$O$20-AI16,2)+POWER(R16/$R$20-AI16,2)+POWER(U16/$U$20-AI16,2)+POWER(X16/$X$20-AI16,2)+POWER(AA16/$AA$20-AI16,2)+POWER(AD16/$AD$20-AI16,2))/SQRT(9)</f>
        <v>#DIV/0!</v>
      </c>
      <c r="AH16">
        <f xml:space="preserve"> defaultFit_Prompt!E16/defaultFit_Prompt!$E$20</f>
        <v>0.2534160623991879</v>
      </c>
      <c r="AI16">
        <f xml:space="preserve"> defaultFit_Prompt!H16/defaultFit_Prompt!$H$20</f>
        <v>0.29874093208790964</v>
      </c>
    </row>
    <row r="17" spans="1:35" ht="18">
      <c r="A17" s="135"/>
      <c r="B17" s="135"/>
      <c r="C17" s="137"/>
      <c r="D17" s="30" t="s">
        <v>50</v>
      </c>
      <c r="E17" s="36">
        <f>(1-defaultFit_Inclusive!$U17)*fitSyst_Inclusive!E17</f>
        <v>270.65088734799997</v>
      </c>
      <c r="F17" s="36">
        <f>(1-defaultFit_Inclusive!$U17)*fitSyst_Inclusive!F17</f>
        <v>242.89162080999998</v>
      </c>
      <c r="H17" s="36">
        <f>(1-defaultFit_Inclusive!$U17)*fitSyst_Inclusive!H17</f>
        <v>260.19977690900004</v>
      </c>
      <c r="I17" s="36">
        <f>(1-defaultFit_Inclusive!$U17)*fitSyst_Inclusive!I17</f>
        <v>239.87969880899999</v>
      </c>
      <c r="K17" s="36">
        <f>(1-defaultFit_Inclusive!$U17)*fitSyst_Inclusive!K17</f>
        <v>272.38790097399999</v>
      </c>
      <c r="L17" s="36">
        <f>(1-defaultFit_Inclusive!$U17)*fitSyst_Inclusive!L17</f>
        <v>242.886913456</v>
      </c>
      <c r="N17" s="41"/>
      <c r="O17" s="41"/>
      <c r="Q17" s="41"/>
      <c r="R17" s="41"/>
      <c r="T17" s="41"/>
      <c r="U17" s="41"/>
      <c r="W17" s="36">
        <f>(1-defaultFit_Inclusive!$U17)*trgBiassing!E17</f>
        <v>240.78507989499997</v>
      </c>
      <c r="X17" s="36">
        <f>(1-defaultFit_Inclusive!$U17)*trgBiassing!F17</f>
        <v>207.582543015</v>
      </c>
      <c r="Z17" s="36">
        <f>(1-defaultFit_Inclusive!$U17)*trgBiassing!L17</f>
        <v>123.40720790499999</v>
      </c>
      <c r="AA17" s="36">
        <f>(1-defaultFit_Inclusive!$U17)*trgBiassing!M17</f>
        <v>119.625633525</v>
      </c>
      <c r="AC17" s="36">
        <f>(1-defaultFit_Inclusive!$U17)*epSystematic!E17</f>
        <v>263.21954449999998</v>
      </c>
      <c r="AD17" s="36">
        <f>(1-defaultFit_Inclusive!$U17)*epSystematic!F17</f>
        <v>238.59537572599999</v>
      </c>
      <c r="AE17" t="e">
        <f t="shared" ref="AE17:AE19" si="2">SQRT(POWER(E17/$E$20-AH17,2)+POWER(H17/$H$20-AH17,2)+POWER(K17/$K$20-AH17,2)+POWER(N17/$N$20-AH17,2)+POWER(Q17/$Q$20-AH17,2)+POWER(T17/$T$20-AH17,2)+POWER(W17/$W$20-AH17,2)+POWER(Z17/$Z$20-AH17,2)+POWER(AC17/$AC$20-AH17,2))/SQRT(9)</f>
        <v>#DIV/0!</v>
      </c>
      <c r="AF17" t="e">
        <f t="shared" ref="AF17:AF19" si="3">SQRT(POWER(F17/$F$20-AI17,2)+POWER(I17/$I$20-AI17,2)+POWER(L17/$L$20-AI17,2)+POWER(O17/$O$20-AI17,2)+POWER(R17/$R$20-AI17,2)+POWER(U17/$U$20-AI17,2)+POWER(X17/$X$20-AI17,2)+POWER(AA17/$AA$20-AI17,2)+POWER(AD17/$AD$20-AI17,2))/SQRT(9)</f>
        <v>#DIV/0!</v>
      </c>
      <c r="AH17">
        <f xml:space="preserve"> defaultFit_Prompt!E17/defaultFit_Prompt!$E$20</f>
        <v>0.27767464041143552</v>
      </c>
      <c r="AI17">
        <f xml:space="preserve"> defaultFit_Prompt!H17/defaultFit_Prompt!$H$20</f>
        <v>0.25342078976056825</v>
      </c>
    </row>
    <row r="18" spans="1:35" ht="18">
      <c r="A18" s="135"/>
      <c r="B18" s="135"/>
      <c r="C18" s="137"/>
      <c r="D18" s="31" t="s">
        <v>52</v>
      </c>
      <c r="E18" s="36">
        <f>(1-defaultFit_Inclusive!$U18)*fitSyst_Inclusive!E18</f>
        <v>236.070631134</v>
      </c>
      <c r="F18" s="36">
        <f>(1-defaultFit_Inclusive!$U18)*fitSyst_Inclusive!F18</f>
        <v>222.45376161600001</v>
      </c>
      <c r="H18" s="36">
        <f>(1-defaultFit_Inclusive!$U18)*fitSyst_Inclusive!H18</f>
        <v>226.95473188799997</v>
      </c>
      <c r="I18" s="36">
        <f>(1-defaultFit_Inclusive!$U18)*fitSyst_Inclusive!I18</f>
        <v>219.57291750600001</v>
      </c>
      <c r="K18" s="36">
        <f>(1-defaultFit_Inclusive!$U18)*fitSyst_Inclusive!K18</f>
        <v>236.08816324199998</v>
      </c>
      <c r="L18" s="36">
        <f>(1-defaultFit_Inclusive!$U18)*fitSyst_Inclusive!L18</f>
        <v>223.88900372999998</v>
      </c>
      <c r="N18" s="41"/>
      <c r="O18" s="41"/>
      <c r="Q18" s="41"/>
      <c r="R18" s="41"/>
      <c r="T18" s="41"/>
      <c r="U18" s="41"/>
      <c r="W18" s="36">
        <f>(1-defaultFit_Inclusive!$U18)*trgBiassing!E18</f>
        <v>211.78786464000001</v>
      </c>
      <c r="X18" s="36">
        <f>(1-defaultFit_Inclusive!$U18)*trgBiassing!F18</f>
        <v>192.66113172599998</v>
      </c>
      <c r="Z18" s="36">
        <f>(1-defaultFit_Inclusive!$U18)*trgBiassing!L18</f>
        <v>109.46490395399999</v>
      </c>
      <c r="AA18" s="36">
        <f>(1-defaultFit_Inclusive!$U18)*trgBiassing!M18</f>
        <v>118.80553294799999</v>
      </c>
      <c r="AC18" s="36">
        <f>(1-defaultFit_Inclusive!$U18)*epSystematic!E18</f>
        <v>237.12733909800002</v>
      </c>
      <c r="AD18" s="36">
        <f>(1-defaultFit_Inclusive!$U18)*epSystematic!F18</f>
        <v>226.95393497399999</v>
      </c>
      <c r="AE18" t="e">
        <f t="shared" si="2"/>
        <v>#DIV/0!</v>
      </c>
      <c r="AF18" t="e">
        <f t="shared" si="3"/>
        <v>#DIV/0!</v>
      </c>
      <c r="AH18">
        <f xml:space="preserve"> defaultFit_Prompt!E18/defaultFit_Prompt!$E$20</f>
        <v>0.24183683257398844</v>
      </c>
      <c r="AI18">
        <f xml:space="preserve"> defaultFit_Prompt!H18/defaultFit_Prompt!$H$20</f>
        <v>0.23215634658400933</v>
      </c>
    </row>
    <row r="19" spans="1:35" ht="18">
      <c r="A19" s="135"/>
      <c r="B19" s="135"/>
      <c r="C19" s="137"/>
      <c r="D19" s="31" t="s">
        <v>53</v>
      </c>
      <c r="E19" s="36">
        <f>(1-defaultFit_Inclusive!$U19)*fitSyst_Inclusive!E19</f>
        <v>220.95905752100001</v>
      </c>
      <c r="F19" s="36">
        <f>(1-defaultFit_Inclusive!$U19)*fitSyst_Inclusive!F19</f>
        <v>206.64658471500002</v>
      </c>
      <c r="H19" s="36">
        <f>(1-defaultFit_Inclusive!$U19)*fitSyst_Inclusive!H19</f>
        <v>214.76472457500003</v>
      </c>
      <c r="I19" s="36">
        <f>(1-defaultFit_Inclusive!$U19)*fitSyst_Inclusive!I19</f>
        <v>203.92944774</v>
      </c>
      <c r="K19" s="36">
        <f>(1-defaultFit_Inclusive!$U19)*fitSyst_Inclusive!K19</f>
        <v>221.63409046200002</v>
      </c>
      <c r="L19" s="36">
        <f>(1-defaultFit_Inclusive!$U19)*fitSyst_Inclusive!L19</f>
        <v>215.77986173600002</v>
      </c>
      <c r="N19" s="41"/>
      <c r="O19" s="41"/>
      <c r="Q19" s="41"/>
      <c r="R19" s="41"/>
      <c r="T19" s="41"/>
      <c r="U19" s="41"/>
      <c r="W19" s="36">
        <f>(1-defaultFit_Inclusive!$U19)*trgBiassing!E19</f>
        <v>201.19160876900003</v>
      </c>
      <c r="X19" s="36">
        <f>(1-defaultFit_Inclusive!$U19)*trgBiassing!F19</f>
        <v>183.93279831800001</v>
      </c>
      <c r="Z19" s="36">
        <f>(1-defaultFit_Inclusive!$U19)*trgBiassing!L19</f>
        <v>110.50429722000001</v>
      </c>
      <c r="AA19" s="36">
        <f>(1-defaultFit_Inclusive!$U19)*trgBiassing!M19</f>
        <v>94.943789797999997</v>
      </c>
      <c r="AC19" s="36">
        <f>(1-defaultFit_Inclusive!$U19)*epSystematic!E19</f>
        <v>224.24180260100002</v>
      </c>
      <c r="AD19" s="36">
        <f>(1-defaultFit_Inclusive!$U19)*epSystematic!F19</f>
        <v>207.22106510400002</v>
      </c>
      <c r="AE19" t="e">
        <f t="shared" si="2"/>
        <v>#DIV/0!</v>
      </c>
      <c r="AF19" t="e">
        <f t="shared" si="3"/>
        <v>#DIV/0!</v>
      </c>
      <c r="AH19">
        <f xml:space="preserve"> defaultFit_Prompt!E19/defaultFit_Prompt!$E$20</f>
        <v>0.22707246461538816</v>
      </c>
      <c r="AI19">
        <f xml:space="preserve"> defaultFit_Prompt!H19/defaultFit_Prompt!$H$20</f>
        <v>0.21568193156751281</v>
      </c>
    </row>
    <row r="20" spans="1:35" ht="18">
      <c r="A20" s="135"/>
      <c r="B20" s="135"/>
      <c r="C20" s="137"/>
      <c r="D20" s="80"/>
      <c r="E20" s="82">
        <f xml:space="preserve"> SUM(E16:E19)</f>
        <v>974.45864522099987</v>
      </c>
      <c r="F20" s="82">
        <f xml:space="preserve"> SUM(F16:F19)</f>
        <v>958.24614622700005</v>
      </c>
      <c r="G20" s="82"/>
      <c r="H20" s="82">
        <f xml:space="preserve"> SUM(H16:H19)</f>
        <v>941.20659894100004</v>
      </c>
      <c r="I20" s="82">
        <f xml:space="preserve"> SUM(I16:I19)</f>
        <v>946.48547227100005</v>
      </c>
      <c r="J20" s="82"/>
      <c r="K20" s="82">
        <f xml:space="preserve"> SUM(K16:K19)</f>
        <v>976.44258136600001</v>
      </c>
      <c r="L20" s="82">
        <f xml:space="preserve"> SUM(L16:L19)</f>
        <v>966.779548095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>
        <f xml:space="preserve"> SUM(W16:W19)</f>
        <v>855.05581130200005</v>
      </c>
      <c r="X20" s="82">
        <f xml:space="preserve"> SUM(X16:X19)</f>
        <v>827.13296212499995</v>
      </c>
      <c r="Y20" s="82"/>
      <c r="Z20" s="82">
        <f xml:space="preserve"> SUM(Z16:Z19)</f>
        <v>454.47587363700001</v>
      </c>
      <c r="AA20" s="82">
        <f xml:space="preserve"> SUM(AA16:AA19)</f>
        <v>464.25782184500002</v>
      </c>
      <c r="AB20" s="82"/>
      <c r="AC20" s="82">
        <f xml:space="preserve"> SUM(AC16:AC19)</f>
        <v>978.02559300999997</v>
      </c>
      <c r="AD20" s="82">
        <f xml:space="preserve"> SUM(AD16:AD19)</f>
        <v>959.01673660000006</v>
      </c>
      <c r="AE20" s="82"/>
      <c r="AF20" s="82"/>
      <c r="AG20" s="82"/>
      <c r="AH20" s="82"/>
      <c r="AI20" s="82"/>
    </row>
    <row r="21" spans="1:35" ht="18">
      <c r="A21" s="135"/>
      <c r="B21" s="135"/>
      <c r="C21" s="141" t="s">
        <v>56</v>
      </c>
      <c r="D21" s="32"/>
      <c r="E21" s="36"/>
      <c r="F21" s="36"/>
      <c r="H21" s="36"/>
      <c r="I21" s="36"/>
      <c r="K21" s="36"/>
      <c r="L21" s="36"/>
      <c r="N21" s="41"/>
      <c r="O21" s="41"/>
      <c r="Q21" s="41"/>
      <c r="R21" s="41"/>
      <c r="T21" s="41"/>
      <c r="U21" s="41"/>
      <c r="W21" s="36"/>
      <c r="X21" s="36"/>
      <c r="Z21" s="36"/>
      <c r="AA21" s="36"/>
      <c r="AC21" s="36"/>
      <c r="AD21" s="36"/>
    </row>
    <row r="22" spans="1:35" ht="18">
      <c r="A22" s="135"/>
      <c r="B22" s="135"/>
      <c r="C22" s="141"/>
      <c r="D22" s="32" t="s">
        <v>49</v>
      </c>
      <c r="E22" s="36">
        <f>(1-defaultFit_Inclusive!$U22)*fitSyst_Inclusive!E22</f>
        <v>237.94130597399999</v>
      </c>
      <c r="F22" s="36">
        <f>(1-defaultFit_Inclusive!$U22)*fitSyst_Inclusive!F22</f>
        <v>236.43346461299998</v>
      </c>
      <c r="H22" s="36">
        <f>(1-defaultFit_Inclusive!$U22)*fitSyst_Inclusive!H22</f>
        <v>230.96015366399999</v>
      </c>
      <c r="I22" s="36">
        <f>(1-defaultFit_Inclusive!$U22)*fitSyst_Inclusive!I22</f>
        <v>233.44039586399998</v>
      </c>
      <c r="K22" s="36">
        <f>(1-defaultFit_Inclusive!$U22)*fitSyst_Inclusive!K22</f>
        <v>238.65984672900001</v>
      </c>
      <c r="L22" s="36">
        <f>(1-defaultFit_Inclusive!$U22)*fitSyst_Inclusive!L22</f>
        <v>233.44039586399998</v>
      </c>
      <c r="N22" s="41"/>
      <c r="O22" s="41"/>
      <c r="Q22" s="41"/>
      <c r="R22" s="41"/>
      <c r="T22" s="41"/>
      <c r="U22" s="41"/>
      <c r="W22" s="36">
        <f>(1-defaultFit_Inclusive!$U22)*trgBiassing!E22</f>
        <v>201.24174572700002</v>
      </c>
      <c r="X22" s="36">
        <f>(1-defaultFit_Inclusive!$U22)*trgBiassing!F22</f>
        <v>197.68843403399998</v>
      </c>
      <c r="Z22" s="36">
        <f>(1-defaultFit_Inclusive!$U22)*trgBiassing!L22</f>
        <v>104.04980770499999</v>
      </c>
      <c r="AA22" s="36">
        <f>(1-defaultFit_Inclusive!$U22)*trgBiassing!M22</f>
        <v>98.59035693300001</v>
      </c>
      <c r="AC22" s="36">
        <f>(1-defaultFit_Inclusive!$U22)*epSystematic!E22</f>
        <v>234.66665678700002</v>
      </c>
      <c r="AD22" s="36">
        <f>(1-defaultFit_Inclusive!$U22)*epSystematic!F22</f>
        <v>232.79261496000001</v>
      </c>
      <c r="AE22" t="e">
        <f>SQRT(POWER(E22/$E$26-AH22,2)+POWER(H22/$H$26-AH22,2)+POWER(K22/$K$26-AH22,2)+POWER(N22/$N$26-AH22,2)+POWER(Q22/$Q$26-AH22,2)+POWER(T22/$T$26-AH22,2)+POWER(W22/$W$26-AH22,2)+POWER(Z22/$Z$26-AH22,2)+POWER(AC22/$AC$26-AH22,2))/SQRT(9)</f>
        <v>#DIV/0!</v>
      </c>
      <c r="AF22" t="e">
        <f>SQRT(POWER(F22/$F$26-AI22,2)+POWER(I22/$I$26-AI22,2)+POWER(L22/$L$26-AI22,2)+POWER(O22/$O$26-AI22,2)+POWER(R22/$R$26-AI22,2)+POWER(U22/$U$26-AI22,2)+POWER(X22/$X$26-AI22,2)+POWER(AA22/$AA$26-AI22,2)+POWER(AD22/$AD$26-AI22,2))/SQRT(9)</f>
        <v>#DIV/0!</v>
      </c>
      <c r="AH22">
        <f xml:space="preserve"> defaultFit_Prompt!E22/defaultFit_Prompt!$E$26</f>
        <v>0.25786620697504875</v>
      </c>
      <c r="AI22">
        <f xml:space="preserve"> defaultFit_Prompt!H22/defaultFit_Prompt!$H$26</f>
        <v>0.28742701852744162</v>
      </c>
    </row>
    <row r="23" spans="1:35" ht="18">
      <c r="A23" s="135"/>
      <c r="B23" s="135"/>
      <c r="C23" s="141"/>
      <c r="D23" s="32" t="s">
        <v>50</v>
      </c>
      <c r="E23" s="36">
        <f>(1-defaultFit_Inclusive!$U23)*fitSyst_Inclusive!E23</f>
        <v>250.70719509000003</v>
      </c>
      <c r="F23" s="36">
        <f>(1-defaultFit_Inclusive!$U23)*fitSyst_Inclusive!F23</f>
        <v>202.45382372600002</v>
      </c>
      <c r="H23" s="36">
        <f>(1-defaultFit_Inclusive!$U23)*fitSyst_Inclusive!H23</f>
        <v>242.93575993499999</v>
      </c>
      <c r="I23" s="36">
        <f>(1-defaultFit_Inclusive!$U23)*fitSyst_Inclusive!I23</f>
        <v>201.15045298699999</v>
      </c>
      <c r="K23" s="36">
        <f>(1-defaultFit_Inclusive!$U23)*fitSyst_Inclusive!K23</f>
        <v>255.48389783400003</v>
      </c>
      <c r="L23" s="36">
        <f>(1-defaultFit_Inclusive!$U23)*fitSyst_Inclusive!L23</f>
        <v>201.15045298699999</v>
      </c>
      <c r="N23" s="41"/>
      <c r="O23" s="41"/>
      <c r="Q23" s="41"/>
      <c r="R23" s="41"/>
      <c r="T23" s="41"/>
      <c r="U23" s="41"/>
      <c r="W23" s="36">
        <f>(1-defaultFit_Inclusive!$U23)*trgBiassing!E23</f>
        <v>221.45918397900002</v>
      </c>
      <c r="X23" s="36">
        <f>(1-defaultFit_Inclusive!$U23)*trgBiassing!F23</f>
        <v>183.50035048400002</v>
      </c>
      <c r="Z23" s="36">
        <f>(1-defaultFit_Inclusive!$U23)*trgBiassing!L23</f>
        <v>127.51349118200001</v>
      </c>
      <c r="AA23" s="36">
        <f>(1-defaultFit_Inclusive!$U23)*trgBiassing!M23</f>
        <v>94.96252332600001</v>
      </c>
      <c r="AC23" s="36">
        <f>(1-defaultFit_Inclusive!$U23)*epSystematic!E23</f>
        <v>256.22038361699998</v>
      </c>
      <c r="AD23" s="36">
        <f>(1-defaultFit_Inclusive!$U23)*epSystematic!F23</f>
        <v>203.60850332900003</v>
      </c>
      <c r="AE23" t="e">
        <f t="shared" ref="AE23:AE25" si="4">SQRT(POWER(E23/$E$26-AH23,2)+POWER(H23/$H$26-AH23,2)+POWER(K23/$K$26-AH23,2)+POWER(N23/$N$26-AH23,2)+POWER(Q23/$Q$26-AH23,2)+POWER(T23/$T$26-AH23,2)+POWER(W23/$W$26-AH23,2)+POWER(Z23/$Z$26-AH23,2)+POWER(AC23/$AC$26-AH23,2))/SQRT(9)</f>
        <v>#DIV/0!</v>
      </c>
      <c r="AF23" t="e">
        <f t="shared" ref="AF23:AF25" si="5">SQRT(POWER(F23/$F$26-AI23,2)+POWER(I23/$I$26-AI23,2)+POWER(L23/$L$26-AI23,2)+POWER(O23/$O$26-AI23,2)+POWER(R23/$R$26-AI23,2)+POWER(U23/$U$26-AI23,2)+POWER(X23/$X$26-AI23,2)+POWER(AA23/$AA$26-AI23,2)+POWER(AD23/$AD$26-AI23,2))/SQRT(9)</f>
        <v>#DIV/0!</v>
      </c>
      <c r="AH23">
        <f xml:space="preserve"> defaultFit_Prompt!E23/defaultFit_Prompt!$E$26</f>
        <v>0.27202638399566009</v>
      </c>
      <c r="AI23">
        <f xml:space="preserve"> defaultFit_Prompt!H23/defaultFit_Prompt!$H$26</f>
        <v>0.24641408964049166</v>
      </c>
    </row>
    <row r="24" spans="1:35" ht="18">
      <c r="A24" s="135"/>
      <c r="B24" s="135"/>
      <c r="C24" s="141"/>
      <c r="D24" s="34" t="s">
        <v>52</v>
      </c>
      <c r="E24" s="36">
        <f>(1-defaultFit_Inclusive!$U24)*fitSyst_Inclusive!E24</f>
        <v>235.21474497</v>
      </c>
      <c r="F24" s="36">
        <f>(1-defaultFit_Inclusive!$U24)*fitSyst_Inclusive!F24</f>
        <v>189.11880555799999</v>
      </c>
      <c r="H24" s="36">
        <f>(1-defaultFit_Inclusive!$U24)*fitSyst_Inclusive!H24</f>
        <v>229.69064959199997</v>
      </c>
      <c r="I24" s="36">
        <f>(1-defaultFit_Inclusive!$U24)*fitSyst_Inclusive!I24</f>
        <v>187.346119612</v>
      </c>
      <c r="K24" s="36">
        <f>(1-defaultFit_Inclusive!$U24)*fitSyst_Inclusive!K24</f>
        <v>240.17719727599999</v>
      </c>
      <c r="L24" s="36">
        <f>(1-defaultFit_Inclusive!$U24)*fitSyst_Inclusive!L24</f>
        <v>187.346119612</v>
      </c>
      <c r="N24" s="41"/>
      <c r="O24" s="41"/>
      <c r="Q24" s="41"/>
      <c r="R24" s="41"/>
      <c r="T24" s="41"/>
      <c r="U24" s="41"/>
      <c r="W24" s="36">
        <f>(1-defaultFit_Inclusive!$U24)*trgBiassing!E24</f>
        <v>208.98387682199998</v>
      </c>
      <c r="X24" s="36">
        <f>(1-defaultFit_Inclusive!$U24)*trgBiassing!F24</f>
        <v>169.78714259200001</v>
      </c>
      <c r="Z24" s="36">
        <f>(1-defaultFit_Inclusive!$U24)*trgBiassing!L24</f>
        <v>104.105427248</v>
      </c>
      <c r="AA24" s="36">
        <f>(1-defaultFit_Inclusive!$U24)*trgBiassing!M24</f>
        <v>101.375811394</v>
      </c>
      <c r="AC24" s="36">
        <f>(1-defaultFit_Inclusive!$U24)*epSystematic!E24</f>
        <v>225.29212966400002</v>
      </c>
      <c r="AD24" s="36">
        <f>(1-defaultFit_Inclusive!$U24)*epSystematic!F24</f>
        <v>193.96221395199998</v>
      </c>
      <c r="AE24" t="e">
        <f t="shared" si="4"/>
        <v>#DIV/0!</v>
      </c>
      <c r="AF24" t="e">
        <f t="shared" si="5"/>
        <v>#DIV/0!</v>
      </c>
      <c r="AH24">
        <f xml:space="preserve"> defaultFit_Prompt!E24/defaultFit_Prompt!$E$26</f>
        <v>0.25526811443567238</v>
      </c>
      <c r="AI24">
        <f xml:space="preserve"> defaultFit_Prompt!H24/defaultFit_Prompt!$H$26</f>
        <v>0.23039694659293411</v>
      </c>
    </row>
    <row r="25" spans="1:35" ht="18">
      <c r="A25" s="135"/>
      <c r="B25" s="135"/>
      <c r="C25" s="141"/>
      <c r="D25" s="34" t="s">
        <v>53</v>
      </c>
      <c r="E25" s="36">
        <f>(1-defaultFit_Inclusive!$U25)*fitSyst_Inclusive!E25</f>
        <v>197.889847296</v>
      </c>
      <c r="F25" s="36">
        <f>(1-defaultFit_Inclusive!$U25)*fitSyst_Inclusive!F25</f>
        <v>193.72969024399998</v>
      </c>
      <c r="H25" s="36">
        <f>(1-defaultFit_Inclusive!$U25)*fitSyst_Inclusive!H25</f>
        <v>191.76421453200001</v>
      </c>
      <c r="I25" s="36">
        <f>(1-defaultFit_Inclusive!$U25)*fitSyst_Inclusive!I25</f>
        <v>191.85260101599999</v>
      </c>
      <c r="K25" s="36">
        <f>(1-defaultFit_Inclusive!$U25)*fitSyst_Inclusive!K25</f>
        <v>202.20655328999999</v>
      </c>
      <c r="L25" s="36">
        <f>(1-defaultFit_Inclusive!$U25)*fitSyst_Inclusive!L25</f>
        <v>191.85260101599999</v>
      </c>
      <c r="N25" s="41"/>
      <c r="O25" s="41"/>
      <c r="Q25" s="41"/>
      <c r="R25" s="41"/>
      <c r="T25" s="41"/>
      <c r="U25" s="41"/>
      <c r="W25" s="36">
        <f>(1-defaultFit_Inclusive!$U25)*trgBiassing!E25</f>
        <v>179.63429316</v>
      </c>
      <c r="X25" s="36">
        <f>(1-defaultFit_Inclusive!$U25)*trgBiassing!F25</f>
        <v>167.96278304399999</v>
      </c>
      <c r="Z25" s="36">
        <f>(1-defaultFit_Inclusive!$U25)*trgBiassing!L25</f>
        <v>107.60979523199998</v>
      </c>
      <c r="AA25" s="36">
        <f>(1-defaultFit_Inclusive!$U25)*trgBiassing!M25</f>
        <v>101.854936278</v>
      </c>
      <c r="AC25" s="36">
        <f>(1-defaultFit_Inclusive!$U25)*epSystematic!E25</f>
        <v>208.06178333599999</v>
      </c>
      <c r="AD25" s="36">
        <f>(1-defaultFit_Inclusive!$U25)*epSystematic!F25</f>
        <v>192.20839406600001</v>
      </c>
      <c r="AE25" t="e">
        <f t="shared" si="4"/>
        <v>#DIV/0!</v>
      </c>
      <c r="AF25" t="e">
        <f t="shared" si="5"/>
        <v>#DIV/0!</v>
      </c>
      <c r="AH25">
        <f xml:space="preserve"> defaultFit_Prompt!E25/defaultFit_Prompt!$E$26</f>
        <v>0.21483929459361889</v>
      </c>
      <c r="AI25">
        <f xml:space="preserve"> defaultFit_Prompt!H25/defaultFit_Prompt!$H$26</f>
        <v>0.23576194523913269</v>
      </c>
    </row>
    <row r="26" spans="1:35" ht="18">
      <c r="A26" s="135"/>
      <c r="B26" s="135"/>
      <c r="C26" s="141"/>
      <c r="D26" s="80"/>
      <c r="E26" s="82">
        <f xml:space="preserve"> SUM(E22:E25)</f>
        <v>921.75309332999996</v>
      </c>
      <c r="F26" s="82">
        <f xml:space="preserve"> SUM(F22:F25)</f>
        <v>821.73578414100007</v>
      </c>
      <c r="G26" s="82"/>
      <c r="H26" s="82">
        <f xml:space="preserve"> SUM(H22:H25)</f>
        <v>895.35077772299996</v>
      </c>
      <c r="I26" s="82">
        <f xml:space="preserve"> SUM(I22:I25)</f>
        <v>813.78956947899997</v>
      </c>
      <c r="J26" s="82"/>
      <c r="K26" s="82">
        <f xml:space="preserve"> SUM(K22:K25)</f>
        <v>936.52749512900004</v>
      </c>
      <c r="L26" s="82">
        <f xml:space="preserve"> SUM(L22:L25)</f>
        <v>813.78956947899997</v>
      </c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>
        <f xml:space="preserve"> SUM(W22:W25)</f>
        <v>811.31909968799994</v>
      </c>
      <c r="X26" s="82">
        <f xml:space="preserve"> SUM(X22:X25)</f>
        <v>718.93871015400009</v>
      </c>
      <c r="Y26" s="82"/>
      <c r="Z26" s="82">
        <f xml:space="preserve"> SUM(Z22:Z25)</f>
        <v>443.27852136699994</v>
      </c>
      <c r="AA26" s="82">
        <f xml:space="preserve"> SUM(AA22:AA25)</f>
        <v>396.78362793099996</v>
      </c>
      <c r="AB26" s="82"/>
      <c r="AC26" s="82">
        <f xml:space="preserve"> SUM(AC22:AC25)</f>
        <v>924.24095340400004</v>
      </c>
      <c r="AD26" s="82">
        <f xml:space="preserve"> SUM(AD22:AD25)</f>
        <v>822.57172630699995</v>
      </c>
      <c r="AE26" s="82"/>
      <c r="AF26" s="82"/>
      <c r="AG26" s="82"/>
      <c r="AH26" s="82"/>
      <c r="AI26" s="82"/>
    </row>
    <row r="27" spans="1:35" ht="18">
      <c r="A27" s="135"/>
      <c r="B27" s="135"/>
      <c r="C27" s="138" t="s">
        <v>57</v>
      </c>
      <c r="D27" s="22"/>
      <c r="E27" s="36"/>
      <c r="F27" s="36"/>
      <c r="H27" s="36"/>
      <c r="I27" s="36"/>
      <c r="K27" s="36"/>
      <c r="L27" s="36"/>
      <c r="N27" s="41"/>
      <c r="O27" s="41"/>
      <c r="Q27" s="41"/>
      <c r="R27" s="41"/>
      <c r="T27" s="41"/>
      <c r="U27" s="41"/>
      <c r="W27" s="36"/>
      <c r="X27" s="36"/>
      <c r="Z27" s="36"/>
      <c r="AA27" s="36"/>
      <c r="AC27" s="36"/>
      <c r="AD27" s="36"/>
    </row>
    <row r="28" spans="1:35" ht="18">
      <c r="A28" s="135"/>
      <c r="B28" s="135"/>
      <c r="C28" s="138"/>
      <c r="D28" s="22" t="s">
        <v>49</v>
      </c>
      <c r="E28" s="36">
        <f>(1-defaultFit_Inclusive!$U28)*fitSyst_Inclusive!E28</f>
        <v>223.420012074</v>
      </c>
      <c r="F28" s="36">
        <f>(1-defaultFit_Inclusive!$U28)*fitSyst_Inclusive!F28</f>
        <v>202.158402666</v>
      </c>
      <c r="H28" s="36">
        <f>(1-defaultFit_Inclusive!$U28)*fitSyst_Inclusive!H28</f>
        <v>215.71564632000002</v>
      </c>
      <c r="I28" s="36">
        <f>(1-defaultFit_Inclusive!$U28)*fitSyst_Inclusive!I28</f>
        <v>198.36722161500001</v>
      </c>
      <c r="K28" s="36">
        <f>(1-defaultFit_Inclusive!$U28)*fitSyst_Inclusive!K28</f>
        <v>223.69287159300004</v>
      </c>
      <c r="L28" s="36">
        <f>(1-defaultFit_Inclusive!$U28)*fitSyst_Inclusive!L28</f>
        <v>201.43379989499999</v>
      </c>
      <c r="N28" s="41"/>
      <c r="O28" s="41"/>
      <c r="Q28" s="41"/>
      <c r="R28" s="41"/>
      <c r="T28" s="41"/>
      <c r="U28" s="41"/>
      <c r="W28" s="36">
        <f>(1-defaultFit_Inclusive!$U28)*trgBiassing!E28</f>
        <v>185.54117552399998</v>
      </c>
      <c r="X28" s="36">
        <f>(1-defaultFit_Inclusive!$U28)*trgBiassing!F28</f>
        <v>165.276204057</v>
      </c>
      <c r="Z28" s="36">
        <f>(1-defaultFit_Inclusive!$U28)*trgBiassing!L28</f>
        <v>93.918081570000012</v>
      </c>
      <c r="AA28" s="36">
        <f>(1-defaultFit_Inclusive!$U28)*trgBiassing!M28</f>
        <v>91.321382220000004</v>
      </c>
      <c r="AC28" s="36">
        <f>(1-defaultFit_Inclusive!$U28)*epSystematic!E28</f>
        <v>223.24937183100002</v>
      </c>
      <c r="AD28" s="36">
        <f>(1-defaultFit_Inclusive!$U28)*epSystematic!F28</f>
        <v>204.969432756</v>
      </c>
      <c r="AE28" t="e">
        <f>SQRT(POWER(E28/$E$32-AH28,2)+POWER(H28/$H$32-AH28,2)+POWER(K28/$K$32-AH28,2)+POWER(N28/$N$32-AH28,2)+POWER(Q28/$Q$32-AH28,2)+POWER(T28/$T$32-AH28,2)+POWER(W28/$W$32-AH28,2)+POWER(Z28/$Z$32-AH28,2)+POWER(AC28/$AC$32-AH28,2))/SQRT(9)</f>
        <v>#DIV/0!</v>
      </c>
      <c r="AF28" t="e">
        <f>SQRT(POWER(F28/$F$32-AI28,2)+POWER(I28/$I$32-AI28,2)+POWER(L28/$L$32-AI28,2)+POWER(O28/$O$32-AI28,2)+POWER(R28/$R$32-AI28,2)+POWER(U28/$U$32-AI28,2)+POWER(X28/$X$32-AI28,2)+POWER(AA28/$AA$32-AI28,2)+POWER(AD28/$AD$32-AI28,2))/SQRT(9)</f>
        <v>#DIV/0!</v>
      </c>
      <c r="AH28">
        <f xml:space="preserve"> defaultFit_Prompt!E28/defaultFit_Prompt!$E$32</f>
        <v>0.32336132527388406</v>
      </c>
      <c r="AI28">
        <f xml:space="preserve"> defaultFit_Prompt!H28/defaultFit_Prompt!$H$32</f>
        <v>0.30099250122033444</v>
      </c>
    </row>
    <row r="29" spans="1:35" ht="18">
      <c r="A29" s="135"/>
      <c r="B29" s="135"/>
      <c r="C29" s="138"/>
      <c r="D29" s="22" t="s">
        <v>50</v>
      </c>
      <c r="E29" s="36">
        <f>(1-defaultFit_Inclusive!$U29)*fitSyst_Inclusive!E29</f>
        <v>156.45529767400001</v>
      </c>
      <c r="F29" s="36">
        <f>(1-defaultFit_Inclusive!$U29)*fitSyst_Inclusive!F29</f>
        <v>175.95737822400002</v>
      </c>
      <c r="H29" s="36">
        <f>(1-defaultFit_Inclusive!$U29)*fitSyst_Inclusive!H29</f>
        <v>151.03988186200002</v>
      </c>
      <c r="I29" s="36">
        <f>(1-defaultFit_Inclusive!$U29)*fitSyst_Inclusive!I29</f>
        <v>173.816933976</v>
      </c>
      <c r="K29" s="36">
        <f>(1-defaultFit_Inclusive!$U29)*fitSyst_Inclusive!K29</f>
        <v>154.74585132000001</v>
      </c>
      <c r="L29" s="36">
        <f>(1-defaultFit_Inclusive!$U29)*fitSyst_Inclusive!L29</f>
        <v>175.79431862999999</v>
      </c>
      <c r="N29" s="41"/>
      <c r="O29" s="41"/>
      <c r="Q29" s="41"/>
      <c r="R29" s="41"/>
      <c r="T29" s="41"/>
      <c r="U29" s="41"/>
      <c r="W29" s="36">
        <f>(1-defaultFit_Inclusive!$U29)*trgBiassing!E29</f>
        <v>131.788897776</v>
      </c>
      <c r="X29" s="36">
        <f>(1-defaultFit_Inclusive!$U29)*trgBiassing!F29</f>
        <v>162.76179971799999</v>
      </c>
      <c r="Z29" s="36">
        <f>(1-defaultFit_Inclusive!$U29)*trgBiassing!L29</f>
        <v>58.517341950999999</v>
      </c>
      <c r="AA29" s="36">
        <f>(1-defaultFit_Inclusive!$U29)*trgBiassing!M29</f>
        <v>83.553879472000006</v>
      </c>
      <c r="AC29" s="36">
        <f>(1-defaultFit_Inclusive!$U29)*epSystematic!E29</f>
        <v>160.86785870600002</v>
      </c>
      <c r="AD29" s="36">
        <f>(1-defaultFit_Inclusive!$U29)*epSystematic!F29</f>
        <v>175.525614792</v>
      </c>
      <c r="AE29" t="e">
        <f t="shared" ref="AE29:AE31" si="6">SQRT(POWER(E29/$E$32-AH29,2)+POWER(H29/$H$32-AH29,2)+POWER(K29/$K$32-AH29,2)+POWER(N29/$N$32-AH29,2)+POWER(Q29/$Q$32-AH29,2)+POWER(T29/$T$32-AH29,2)+POWER(W29/$W$32-AH29,2)+POWER(Z29/$Z$32-AH29,2)+POWER(AC29/$AC$32-AH29,2))/SQRT(9)</f>
        <v>#DIV/0!</v>
      </c>
      <c r="AF29" t="e">
        <f t="shared" ref="AF29:AF31" si="7">SQRT(POWER(F29/$F$32-AI29,2)+POWER(I29/$I$32-AI29,2)+POWER(L29/$L$32-AI29,2)+POWER(O29/$O$32-AI29,2)+POWER(R29/$R$32-AI29,2)+POWER(U29/$U$32-AI29,2)+POWER(X29/$X$32-AI29,2)+POWER(AA29/$AA$32-AI29,2)+POWER(AD29/$AD$32-AI29,2))/SQRT(9)</f>
        <v>#DIV/0!</v>
      </c>
      <c r="AH29">
        <f xml:space="preserve"> defaultFit_Prompt!E29/defaultFit_Prompt!$E$32</f>
        <v>0.22647437416261457</v>
      </c>
      <c r="AI29">
        <f xml:space="preserve"> defaultFit_Prompt!H29/defaultFit_Prompt!$H$32</f>
        <v>0.26205923211422993</v>
      </c>
    </row>
    <row r="30" spans="1:35" ht="18">
      <c r="A30" s="135"/>
      <c r="B30" s="135"/>
      <c r="C30" s="138"/>
      <c r="D30" s="13" t="s">
        <v>52</v>
      </c>
      <c r="E30" s="36">
        <f>(1-defaultFit_Inclusive!$U30)*fitSyst_Inclusive!E30</f>
        <v>151.79546188399999</v>
      </c>
      <c r="F30" s="36">
        <f>(1-defaultFit_Inclusive!$U30)*fitSyst_Inclusive!F30</f>
        <v>140.74878276799998</v>
      </c>
      <c r="H30" s="36">
        <f>(1-defaultFit_Inclusive!$U30)*fitSyst_Inclusive!H30</f>
        <v>145.34754278</v>
      </c>
      <c r="I30" s="36">
        <f>(1-defaultFit_Inclusive!$U30)*fitSyst_Inclusive!I30</f>
        <v>139.53280149599999</v>
      </c>
      <c r="K30" s="36">
        <f>(1-defaultFit_Inclusive!$U30)*fitSyst_Inclusive!K30</f>
        <v>150.19397676799997</v>
      </c>
      <c r="L30" s="36">
        <f>(1-defaultFit_Inclusive!$U30)*fitSyst_Inclusive!L30</f>
        <v>142.07041028399999</v>
      </c>
      <c r="N30" s="41"/>
      <c r="O30" s="41"/>
      <c r="Q30" s="41"/>
      <c r="R30" s="41"/>
      <c r="T30" s="41"/>
      <c r="U30" s="41"/>
      <c r="W30" s="36">
        <f>(1-defaultFit_Inclusive!$U30)*trgBiassing!E30</f>
        <v>127.32471334</v>
      </c>
      <c r="X30" s="36">
        <f>(1-defaultFit_Inclusive!$U30)*trgBiassing!F30</f>
        <v>125.14182405999999</v>
      </c>
      <c r="Z30" s="36">
        <f>(1-defaultFit_Inclusive!$U30)*trgBiassing!L30</f>
        <v>64.362700313999994</v>
      </c>
      <c r="AA30" s="36">
        <f>(1-defaultFit_Inclusive!$U30)*trgBiassing!M30</f>
        <v>70.515719471999986</v>
      </c>
      <c r="AC30" s="36">
        <f>(1-defaultFit_Inclusive!$U30)*epSystematic!E30</f>
        <v>150.05614689999999</v>
      </c>
      <c r="AD30" s="36">
        <f>(1-defaultFit_Inclusive!$U30)*epSystematic!F30</f>
        <v>140.724994872</v>
      </c>
      <c r="AE30" t="e">
        <f t="shared" si="6"/>
        <v>#DIV/0!</v>
      </c>
      <c r="AF30" t="e">
        <f t="shared" si="7"/>
        <v>#DIV/0!</v>
      </c>
      <c r="AH30">
        <f xml:space="preserve"> defaultFit_Prompt!E30/defaultFit_Prompt!$E$32</f>
        <v>0.21982605732100555</v>
      </c>
      <c r="AI30">
        <f xml:space="preserve"> defaultFit_Prompt!H30/defaultFit_Prompt!$H$32</f>
        <v>0.20978855908313845</v>
      </c>
    </row>
    <row r="31" spans="1:35" ht="18">
      <c r="A31" s="135"/>
      <c r="B31" s="135"/>
      <c r="C31" s="138"/>
      <c r="D31" s="13" t="s">
        <v>53</v>
      </c>
      <c r="E31" s="36">
        <f>(1-defaultFit_Inclusive!$U31)*fitSyst_Inclusive!E31</f>
        <v>159.061539856</v>
      </c>
      <c r="F31" s="36">
        <f>(1-defaultFit_Inclusive!$U31)*fitSyst_Inclusive!F31</f>
        <v>152.56726588399999</v>
      </c>
      <c r="H31" s="36">
        <f>(1-defaultFit_Inclusive!$U31)*fitSyst_Inclusive!H31</f>
        <v>156.89182101599999</v>
      </c>
      <c r="I31" s="36">
        <f>(1-defaultFit_Inclusive!$U31)*fitSyst_Inclusive!I31</f>
        <v>150.34036672799999</v>
      </c>
      <c r="K31" s="36">
        <f>(1-defaultFit_Inclusive!$U31)*fitSyst_Inclusive!K31</f>
        <v>163.469907232</v>
      </c>
      <c r="L31" s="36">
        <f>(1-defaultFit_Inclusive!$U31)*fitSyst_Inclusive!L31</f>
        <v>152.314262568</v>
      </c>
      <c r="N31" s="41"/>
      <c r="O31" s="41"/>
      <c r="Q31" s="41"/>
      <c r="R31" s="41"/>
      <c r="T31" s="41"/>
      <c r="U31" s="41"/>
      <c r="W31" s="36">
        <f>(1-defaultFit_Inclusive!$U31)*trgBiassing!E31</f>
        <v>142.01318947600001</v>
      </c>
      <c r="X31" s="36">
        <f>(1-defaultFit_Inclusive!$U31)*trgBiassing!F31</f>
        <v>135.09123807200001</v>
      </c>
      <c r="Z31" s="36">
        <f>(1-defaultFit_Inclusive!$U31)*trgBiassing!L31</f>
        <v>79.186121447999994</v>
      </c>
      <c r="AA31" s="36">
        <f>(1-defaultFit_Inclusive!$U31)*trgBiassing!M31</f>
        <v>69.59549419999999</v>
      </c>
      <c r="AC31" s="36">
        <f>(1-defaultFit_Inclusive!$U31)*epSystematic!E31</f>
        <v>157.78164072799999</v>
      </c>
      <c r="AD31" s="36">
        <f>(1-defaultFit_Inclusive!$U31)*epSystematic!F31</f>
        <v>151.17300612400001</v>
      </c>
      <c r="AE31" t="e">
        <f t="shared" si="6"/>
        <v>#DIV/0!</v>
      </c>
      <c r="AF31" t="e">
        <f t="shared" si="7"/>
        <v>#DIV/0!</v>
      </c>
      <c r="AH31">
        <f xml:space="preserve"> defaultFit_Prompt!E31/defaultFit_Prompt!$E$32</f>
        <v>0.23033824324249572</v>
      </c>
      <c r="AI31">
        <f xml:space="preserve"> defaultFit_Prompt!H31/defaultFit_Prompt!$H$32</f>
        <v>0.22715970758229723</v>
      </c>
    </row>
    <row r="32" spans="1:35" ht="18">
      <c r="A32" s="135"/>
      <c r="B32" s="135"/>
      <c r="C32" s="138"/>
      <c r="D32" s="80"/>
      <c r="E32" s="82">
        <f xml:space="preserve"> SUM(E28:E31)</f>
        <v>690.73231148799994</v>
      </c>
      <c r="F32" s="82">
        <f xml:space="preserve"> SUM(F28:F31)</f>
        <v>671.43182954199995</v>
      </c>
      <c r="G32" s="82"/>
      <c r="H32" s="82">
        <f xml:space="preserve"> SUM(H28:H31)</f>
        <v>668.99489197800006</v>
      </c>
      <c r="I32" s="82">
        <f xml:space="preserve"> SUM(I28:I31)</f>
        <v>662.05732381500002</v>
      </c>
      <c r="J32" s="82"/>
      <c r="K32" s="82">
        <f xml:space="preserve"> SUM(K28:K31)</f>
        <v>692.10260691300005</v>
      </c>
      <c r="L32" s="82">
        <f xml:space="preserve"> SUM(L28:L31)</f>
        <v>671.61279137700001</v>
      </c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>
        <f xml:space="preserve"> SUM(W28:W31)</f>
        <v>586.66797611599998</v>
      </c>
      <c r="X32" s="82">
        <f xml:space="preserve"> SUM(X28:X31)</f>
        <v>588.27106590699998</v>
      </c>
      <c r="Y32" s="82"/>
      <c r="Z32" s="82">
        <f xml:space="preserve"> SUM(Z28:Z31)</f>
        <v>295.98424528300001</v>
      </c>
      <c r="AA32" s="82">
        <f xml:space="preserve"> SUM(AA28:AA31)</f>
        <v>314.98647536399994</v>
      </c>
      <c r="AB32" s="82"/>
      <c r="AC32" s="82">
        <f xml:space="preserve"> SUM(AC28:AC31)</f>
        <v>691.95501816499996</v>
      </c>
      <c r="AD32" s="82">
        <f xml:space="preserve"> SUM(AD28:AD31)</f>
        <v>672.39304854400007</v>
      </c>
      <c r="AE32" s="82"/>
      <c r="AF32" s="82"/>
      <c r="AG32" s="82"/>
      <c r="AH32" s="82"/>
      <c r="AI32" s="82"/>
    </row>
    <row r="33" spans="1:35" ht="18">
      <c r="A33" s="139" t="s">
        <v>55</v>
      </c>
      <c r="B33" s="117" t="s">
        <v>37</v>
      </c>
      <c r="C33" s="140" t="s">
        <v>17</v>
      </c>
      <c r="D33" s="48" t="s">
        <v>51</v>
      </c>
      <c r="E33" s="36">
        <f>(1-defaultFit_Inclusive!$U33)*fitSyst_Inclusive!E33</f>
        <v>904.42107990000011</v>
      </c>
      <c r="F33" s="36">
        <f>(1-defaultFit_Inclusive!$U33)*fitSyst_Inclusive!F33</f>
        <v>899.59003095000003</v>
      </c>
      <c r="H33" s="36">
        <f>(1-defaultFit_Inclusive!$U33)*fitSyst_Inclusive!H33</f>
        <v>1288.3230235200001</v>
      </c>
      <c r="I33" s="36">
        <f>(1-defaultFit_Inclusive!$U33)*fitSyst_Inclusive!I33</f>
        <v>890.13903771000003</v>
      </c>
      <c r="K33" s="36">
        <f>(1-defaultFit_Inclusive!$U33)*fitSyst_Inclusive!K33</f>
        <v>902.78095908000012</v>
      </c>
      <c r="L33" s="36">
        <f>(1-defaultFit_Inclusive!$U33)*fitSyst_Inclusive!L33</f>
        <v>900.37761372000011</v>
      </c>
      <c r="N33" s="41"/>
      <c r="O33" s="41"/>
      <c r="Q33" s="41"/>
      <c r="R33" s="41"/>
      <c r="T33" s="41"/>
      <c r="U33" s="41"/>
      <c r="W33" s="36">
        <f>(1-defaultFit_Inclusive!$U33)*trgBiassing!E33</f>
        <v>732.72641215800002</v>
      </c>
      <c r="X33" s="36">
        <f>(1-defaultFit_Inclusive!$U33)*trgBiassing!F33</f>
        <v>717.04377174300009</v>
      </c>
      <c r="Z33" s="36">
        <f>(1-defaultFit_Inclusive!$U33)*trgBiassing!L33</f>
        <v>388.66803729000003</v>
      </c>
      <c r="AA33" s="36">
        <f>(1-defaultFit_Inclusive!$U33)*trgBiassing!M33</f>
        <v>384.07082734800002</v>
      </c>
      <c r="AC33" s="36">
        <f>(1-defaultFit_Inclusive!$U33)*epSystematic!E33</f>
        <v>905.68770786000005</v>
      </c>
      <c r="AD33" s="36">
        <f>(1-defaultFit_Inclusive!$U33)*epSystematic!F33</f>
        <v>889.26214143000004</v>
      </c>
    </row>
    <row r="34" spans="1:35" ht="18">
      <c r="A34" s="139"/>
      <c r="B34" s="117"/>
      <c r="C34" s="140"/>
      <c r="D34" s="50" t="s">
        <v>49</v>
      </c>
      <c r="E34" s="36">
        <f>(1-defaultFit_Inclusive!$U34)*fitSyst_Inclusive!E34</f>
        <v>259.747959681</v>
      </c>
      <c r="F34" s="36">
        <f>(1-defaultFit_Inclusive!$U34)*fitSyst_Inclusive!F34</f>
        <v>267.68862023399998</v>
      </c>
      <c r="H34" s="36">
        <f>(1-defaultFit_Inclusive!$U34)*fitSyst_Inclusive!H34</f>
        <v>363.29504267700003</v>
      </c>
      <c r="I34" s="36">
        <f>(1-defaultFit_Inclusive!$U34)*fitSyst_Inclusive!I34</f>
        <v>264.632398002</v>
      </c>
      <c r="K34" s="36">
        <f>(1-defaultFit_Inclusive!$U34)*fitSyst_Inclusive!K34</f>
        <v>259.53562914299999</v>
      </c>
      <c r="L34" s="36">
        <f>(1-defaultFit_Inclusive!$U34)*fitSyst_Inclusive!L34</f>
        <v>267.625924209</v>
      </c>
      <c r="N34" s="41"/>
      <c r="O34" s="41"/>
      <c r="Q34" s="41"/>
      <c r="R34" s="41"/>
      <c r="T34" s="41"/>
      <c r="U34" s="41"/>
      <c r="W34" s="36">
        <f>(1-defaultFit_Inclusive!$U34)*trgBiassing!E34</f>
        <v>194.20302730500001</v>
      </c>
      <c r="X34" s="36">
        <f>(1-defaultFit_Inclusive!$U34)*trgBiassing!F34</f>
        <v>197.48411928000002</v>
      </c>
      <c r="Z34" s="36">
        <f>(1-defaultFit_Inclusive!$U34)*trgBiassing!L34</f>
        <v>95.149995380999997</v>
      </c>
      <c r="AA34" s="36">
        <f>(1-defaultFit_Inclusive!$U34)*trgBiassing!M34</f>
        <v>95.378208912000005</v>
      </c>
      <c r="AC34" s="36">
        <f>(1-defaultFit_Inclusive!$U34)*epSystematic!E34</f>
        <v>263.31828931800004</v>
      </c>
      <c r="AD34" s="36">
        <f>(1-defaultFit_Inclusive!$U34)*epSystematic!F34</f>
        <v>263.87001433799998</v>
      </c>
      <c r="AE34" t="e">
        <f>SQRT(POWER(E34/$E$38-AH34,2)+POWER(H34/$H$38-AH34,2)+POWER(K34/$K$38-AH34,2)+POWER(N34/$N$38-AH34,2)+POWER(Q34/$Q$38-AH34,2)+POWER(T34/$T$38-AH34,2)+POWER(W34/$W$38-AH34,2)+POWER(Z34/$Z$38-AH34,2)+POWER(AC34/$AC$38-AH34,2))/SQRT(9)</f>
        <v>#DIV/0!</v>
      </c>
      <c r="AF34" t="e">
        <f>SQRT(POWER(F34/$F$38-AI34,2)+POWER(I34/$I$38-AI34,2)+POWER(L34/$L$38-AI34,2)+POWER(O34/$O$38-AI34,2)+POWER(R34/$R$38-AI34,2)+POWER(U34/$U$38-AI34,2)+POWER(X34/$X$38-AI34,2)+POWER(AA34/$AA$38-AI34,2)+POWER(AD34/$AD$38-AI34,2))/SQRT(9)</f>
        <v>#DIV/0!</v>
      </c>
      <c r="AH34">
        <f xml:space="preserve"> defaultFit_Prompt!E34/defaultFit_Prompt!$E$38</f>
        <v>0.28933229709469344</v>
      </c>
      <c r="AI34">
        <f xml:space="preserve"> defaultFit_Prompt!H34/defaultFit_Prompt!$H$38</f>
        <v>0.29767743659334395</v>
      </c>
    </row>
    <row r="35" spans="1:35" ht="18">
      <c r="A35" s="139"/>
      <c r="B35" s="117"/>
      <c r="C35" s="140"/>
      <c r="D35" s="50" t="s">
        <v>50</v>
      </c>
      <c r="E35" s="36">
        <f>(1-defaultFit_Inclusive!$U35)*fitSyst_Inclusive!E35</f>
        <v>223.494764745</v>
      </c>
      <c r="F35" s="36">
        <f>(1-defaultFit_Inclusive!$U35)*fitSyst_Inclusive!F35</f>
        <v>239.90407199500001</v>
      </c>
      <c r="H35" s="36">
        <f>(1-defaultFit_Inclusive!$U35)*fitSyst_Inclusive!H35</f>
        <v>320.611276433</v>
      </c>
      <c r="I35" s="36">
        <f>(1-defaultFit_Inclusive!$U35)*fitSyst_Inclusive!I35</f>
        <v>237.37413069999999</v>
      </c>
      <c r="K35" s="36">
        <f>(1-defaultFit_Inclusive!$U35)*fitSyst_Inclusive!K35</f>
        <v>222.10059676700001</v>
      </c>
      <c r="L35" s="36">
        <f>(1-defaultFit_Inclusive!$U35)*fitSyst_Inclusive!L35</f>
        <v>239.66146350299999</v>
      </c>
      <c r="N35" s="41"/>
      <c r="O35" s="41"/>
      <c r="Q35" s="41"/>
      <c r="R35" s="41"/>
      <c r="T35" s="41"/>
      <c r="U35" s="41"/>
      <c r="W35" s="36">
        <f>(1-defaultFit_Inclusive!$U35)*trgBiassing!E35</f>
        <v>181.66972540500001</v>
      </c>
      <c r="X35" s="36">
        <f>(1-defaultFit_Inclusive!$U35)*trgBiassing!F35</f>
        <v>195.529981787</v>
      </c>
      <c r="Z35" s="36">
        <f>(1-defaultFit_Inclusive!$U35)*trgBiassing!L35</f>
        <v>93.770674710999998</v>
      </c>
      <c r="AA35" s="36">
        <f>(1-defaultFit_Inclusive!$U35)*trgBiassing!M35</f>
        <v>96.374561745000008</v>
      </c>
      <c r="AC35" s="36">
        <f>(1-defaultFit_Inclusive!$U35)*epSystematic!E35</f>
        <v>215.117294112</v>
      </c>
      <c r="AD35" s="36">
        <f>(1-defaultFit_Inclusive!$U35)*epSystematic!F35</f>
        <v>233.273881015</v>
      </c>
      <c r="AE35" t="e">
        <f t="shared" ref="AE35:AE37" si="8">SQRT(POWER(E35/$E$38-AH35,2)+POWER(H35/$H$38-AH35,2)+POWER(K35/$K$38-AH35,2)+POWER(N35/$N$38-AH35,2)+POWER(Q35/$Q$38-AH35,2)+POWER(T35/$T$38-AH35,2)+POWER(W35/$W$38-AH35,2)+POWER(Z35/$Z$38-AH35,2)+POWER(AC35/$AC$38-AH35,2))/SQRT(9)</f>
        <v>#DIV/0!</v>
      </c>
      <c r="AF35" t="e">
        <f t="shared" ref="AF35:AF37" si="9">SQRT(POWER(F35/$F$38-AI35,2)+POWER(I35/$I$38-AI35,2)+POWER(L35/$L$38-AI35,2)+POWER(O35/$O$38-AI35,2)+POWER(R35/$R$38-AI35,2)+POWER(U35/$U$38-AI35,2)+POWER(X35/$X$38-AI35,2)+POWER(AA35/$AA$38-AI35,2)+POWER(AD35/$AD$38-AI35,2))/SQRT(9)</f>
        <v>#DIV/0!</v>
      </c>
      <c r="AH35">
        <f xml:space="preserve"> defaultFit_Prompt!E35/defaultFit_Prompt!$E$38</f>
        <v>0.24910996690737647</v>
      </c>
      <c r="AI35">
        <f xml:space="preserve"> defaultFit_Prompt!H35/defaultFit_Prompt!$H$38</f>
        <v>0.26701122507883929</v>
      </c>
    </row>
    <row r="36" spans="1:35" ht="18">
      <c r="A36" s="139"/>
      <c r="B36" s="117"/>
      <c r="C36" s="140"/>
      <c r="D36" s="48" t="s">
        <v>52</v>
      </c>
      <c r="E36" s="36">
        <f>(1-defaultFit_Inclusive!$U36)*fitSyst_Inclusive!E36</f>
        <v>221.51135051999998</v>
      </c>
      <c r="F36" s="36">
        <f>(1-defaultFit_Inclusive!$U36)*fitSyst_Inclusive!F36</f>
        <v>196.68189239999998</v>
      </c>
      <c r="H36" s="36">
        <f>(1-defaultFit_Inclusive!$U36)*fitSyst_Inclusive!H36</f>
        <v>316.51751879999995</v>
      </c>
      <c r="I36" s="36">
        <f>(1-defaultFit_Inclusive!$U36)*fitSyst_Inclusive!I36</f>
        <v>194.61674843999998</v>
      </c>
      <c r="K36" s="36">
        <f>(1-defaultFit_Inclusive!$U36)*fitSyst_Inclusive!K36</f>
        <v>220.49468873999996</v>
      </c>
      <c r="L36" s="36">
        <f>(1-defaultFit_Inclusive!$U36)*fitSyst_Inclusive!L36</f>
        <v>198.57679722</v>
      </c>
      <c r="N36" s="41"/>
      <c r="O36" s="41"/>
      <c r="Q36" s="41"/>
      <c r="R36" s="41"/>
      <c r="T36" s="41"/>
      <c r="U36" s="41"/>
      <c r="W36" s="36">
        <f>(1-defaultFit_Inclusive!$U36)*trgBiassing!E36</f>
        <v>182.72944250999998</v>
      </c>
      <c r="X36" s="36">
        <f>(1-defaultFit_Inclusive!$U36)*trgBiassing!F36</f>
        <v>165.22822250999999</v>
      </c>
      <c r="Z36" s="36">
        <f>(1-defaultFit_Inclusive!$U36)*trgBiassing!L36</f>
        <v>91.369096559999988</v>
      </c>
      <c r="AA36" s="36">
        <f>(1-defaultFit_Inclusive!$U36)*trgBiassing!M36</f>
        <v>107.48692466999998</v>
      </c>
      <c r="AC36" s="36">
        <f>(1-defaultFit_Inclusive!$U36)*epSystematic!E36</f>
        <v>223.86526461</v>
      </c>
      <c r="AD36" s="36">
        <f>(1-defaultFit_Inclusive!$U36)*epSystematic!F36</f>
        <v>201.07151657999998</v>
      </c>
      <c r="AE36" t="e">
        <f t="shared" si="8"/>
        <v>#DIV/0!</v>
      </c>
      <c r="AF36" t="e">
        <f t="shared" si="9"/>
        <v>#DIV/0!</v>
      </c>
      <c r="AH36">
        <f xml:space="preserve"> defaultFit_Prompt!E36/defaultFit_Prompt!$E$38</f>
        <v>0.24710834394783254</v>
      </c>
      <c r="AI36">
        <f xml:space="preserve"> defaultFit_Prompt!H36/defaultFit_Prompt!$H$38</f>
        <v>0.21892181291498461</v>
      </c>
    </row>
    <row r="37" spans="1:35" ht="18">
      <c r="A37" s="139"/>
      <c r="B37" s="117"/>
      <c r="C37" s="140"/>
      <c r="D37" s="48" t="s">
        <v>53</v>
      </c>
      <c r="E37" s="36">
        <f>(1-defaultFit_Inclusive!$U37)*fitSyst_Inclusive!E37</f>
        <v>192.37939019999999</v>
      </c>
      <c r="F37" s="36">
        <f>(1-defaultFit_Inclusive!$U37)*fitSyst_Inclusive!F37</f>
        <v>194.49037116</v>
      </c>
      <c r="H37" s="36">
        <f>(1-defaultFit_Inclusive!$U37)*fitSyst_Inclusive!H37</f>
        <v>265.64776307999995</v>
      </c>
      <c r="I37" s="36">
        <f>(1-defaultFit_Inclusive!$U37)*fitSyst_Inclusive!I37</f>
        <v>192.37784256</v>
      </c>
      <c r="K37" s="36">
        <f>(1-defaultFit_Inclusive!$U37)*fitSyst_Inclusive!K37</f>
        <v>192.99844619999999</v>
      </c>
      <c r="L37" s="36">
        <f>(1-defaultFit_Inclusive!$U37)*fitSyst_Inclusive!L37</f>
        <v>195.57062388</v>
      </c>
      <c r="N37" s="41"/>
      <c r="O37" s="41"/>
      <c r="Q37" s="41"/>
      <c r="R37" s="41"/>
      <c r="T37" s="41"/>
      <c r="U37" s="41"/>
      <c r="W37" s="36">
        <f>(1-defaultFit_Inclusive!$U37)*trgBiassing!E37</f>
        <v>166.60576745999998</v>
      </c>
      <c r="X37" s="36">
        <f>(1-defaultFit_Inclusive!$U37)*trgBiassing!F37</f>
        <v>156.51979757999999</v>
      </c>
      <c r="Z37" s="36">
        <f>(1-defaultFit_Inclusive!$U37)*trgBiassing!L37</f>
        <v>105.1195779</v>
      </c>
      <c r="AA37" s="36">
        <f>(1-defaultFit_Inclusive!$U37)*trgBiassing!M37</f>
        <v>84.035304359999998</v>
      </c>
      <c r="AC37" s="36">
        <f>(1-defaultFit_Inclusive!$U37)*epSystematic!E37</f>
        <v>195.68514923999999</v>
      </c>
      <c r="AD37" s="36">
        <f>(1-defaultFit_Inclusive!$U37)*epSystematic!F37</f>
        <v>190.34424359999997</v>
      </c>
      <c r="AE37" t="e">
        <f t="shared" si="8"/>
        <v>#DIV/0!</v>
      </c>
      <c r="AF37" t="e">
        <f t="shared" si="9"/>
        <v>#DIV/0!</v>
      </c>
      <c r="AH37">
        <f xml:space="preserve"> defaultFit_Prompt!E37/defaultFit_Prompt!$E$38</f>
        <v>0.21444939205009753</v>
      </c>
      <c r="AI37">
        <f xml:space="preserve"> defaultFit_Prompt!H37/defaultFit_Prompt!$H$38</f>
        <v>0.21638952541283218</v>
      </c>
    </row>
    <row r="38" spans="1:35" ht="18">
      <c r="A38" s="139"/>
      <c r="B38" s="117"/>
      <c r="C38" s="140"/>
      <c r="D38" s="80"/>
      <c r="E38" s="82">
        <f xml:space="preserve"> SUM(E34:E37)</f>
        <v>897.13346514599993</v>
      </c>
      <c r="F38" s="82">
        <f xml:space="preserve"> SUM(F34:F37)</f>
        <v>898.76495578899994</v>
      </c>
      <c r="G38" s="82"/>
      <c r="H38" s="82">
        <f xml:space="preserve"> SUM(H34:H37)</f>
        <v>1266.07160099</v>
      </c>
      <c r="I38" s="82">
        <f xml:space="preserve"> SUM(I34:I37)</f>
        <v>889.00111970199998</v>
      </c>
      <c r="J38" s="82"/>
      <c r="K38" s="82">
        <f xml:space="preserve"> SUM(K34:K37)</f>
        <v>895.12936085000001</v>
      </c>
      <c r="L38" s="82">
        <f xml:space="preserve"> SUM(L34:L37)</f>
        <v>901.43480881199991</v>
      </c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>
        <f xml:space="preserve"> SUM(W34:W37)</f>
        <v>725.20796268000004</v>
      </c>
      <c r="X38" s="82">
        <f xml:space="preserve"> SUM(X34:X37)</f>
        <v>714.76212115699991</v>
      </c>
      <c r="Y38" s="82"/>
      <c r="Z38" s="82">
        <f xml:space="preserve"> SUM(Z34:Z37)</f>
        <v>385.40934455199999</v>
      </c>
      <c r="AA38" s="82">
        <f xml:space="preserve"> SUM(AA34:AA37)</f>
        <v>383.27499968699999</v>
      </c>
      <c r="AB38" s="82"/>
      <c r="AC38" s="82">
        <f xml:space="preserve"> SUM(AC34:AC37)</f>
        <v>897.98599728000011</v>
      </c>
      <c r="AD38" s="82">
        <f xml:space="preserve"> SUM(AD34:AD37)</f>
        <v>888.55965553299984</v>
      </c>
      <c r="AE38" s="82"/>
      <c r="AF38" s="82"/>
      <c r="AG38" s="82"/>
      <c r="AH38" s="82"/>
      <c r="AI38" s="82"/>
    </row>
    <row r="39" spans="1:35" ht="18">
      <c r="A39" s="139"/>
      <c r="B39" s="139" t="s">
        <v>76</v>
      </c>
      <c r="C39" s="140"/>
      <c r="D39" s="51" t="s">
        <v>51</v>
      </c>
      <c r="E39" s="36">
        <f>(1-defaultFit_Inclusive!$U39)*fitSyst_Inclusive!E39</f>
        <v>854.38804719999996</v>
      </c>
      <c r="F39" s="36">
        <f>(1-defaultFit_Inclusive!$U39)*fitSyst_Inclusive!F39</f>
        <v>770.44716439999991</v>
      </c>
      <c r="H39" s="36">
        <f>(1-defaultFit_Inclusive!$U39)*fitSyst_Inclusive!H39</f>
        <v>829.20346119999999</v>
      </c>
      <c r="I39" s="36">
        <f>(1-defaultFit_Inclusive!$U39)*fitSyst_Inclusive!I39</f>
        <v>760.01355019999994</v>
      </c>
      <c r="K39" s="36">
        <f>(1-defaultFit_Inclusive!$U39)*fitSyst_Inclusive!K39</f>
        <v>859.20832280000002</v>
      </c>
      <c r="L39" s="36">
        <f>(1-defaultFit_Inclusive!$U39)*fitSyst_Inclusive!L39</f>
        <v>766.12361704</v>
      </c>
      <c r="N39" s="41"/>
      <c r="O39" s="41"/>
      <c r="Q39" s="41"/>
      <c r="R39" s="41"/>
      <c r="T39" s="41"/>
      <c r="U39" s="41"/>
      <c r="W39" s="36">
        <f>(1-defaultFit_Inclusive!$U39)*trgBiassing!E39</f>
        <v>757.8432656</v>
      </c>
      <c r="X39" s="36">
        <f>(1-defaultFit_Inclusive!$U39)*trgBiassing!F39</f>
        <v>682.09685131999993</v>
      </c>
      <c r="Z39" s="36">
        <f>(1-defaultFit_Inclusive!$U39)*trgBiassing!L39</f>
        <v>392.09885811999999</v>
      </c>
      <c r="AA39" s="36">
        <f>(1-defaultFit_Inclusive!$U39)*trgBiassing!M39</f>
        <v>373.38411875999998</v>
      </c>
      <c r="AC39" s="36">
        <f>(1-defaultFit_Inclusive!$U39)*epSystematic!E39</f>
        <v>854.57373999999993</v>
      </c>
      <c r="AD39" s="36">
        <f>(1-defaultFit_Inclusive!$U39)*epSystematic!F39</f>
        <v>770.75046264000002</v>
      </c>
    </row>
    <row r="40" spans="1:35" ht="18">
      <c r="A40" s="139"/>
      <c r="B40" s="139"/>
      <c r="C40" s="140"/>
      <c r="D40" s="52" t="s">
        <v>49</v>
      </c>
      <c r="E40" s="36">
        <f>(1-defaultFit_Inclusive!$U40)*fitSyst_Inclusive!E40</f>
        <v>250.56687887199996</v>
      </c>
      <c r="F40" s="36">
        <f>(1-defaultFit_Inclusive!$U40)*fitSyst_Inclusive!F40</f>
        <v>231.08427073800001</v>
      </c>
      <c r="H40" s="36">
        <f>(1-defaultFit_Inclusive!$U40)*fitSyst_Inclusive!H40</f>
        <v>244.10435130299996</v>
      </c>
      <c r="I40" s="36">
        <f>(1-defaultFit_Inclusive!$U40)*fitSyst_Inclusive!I40</f>
        <v>227.31838911</v>
      </c>
      <c r="K40" s="36">
        <f>(1-defaultFit_Inclusive!$U40)*fitSyst_Inclusive!K40</f>
        <v>245.48900752499998</v>
      </c>
      <c r="L40" s="36">
        <f>(1-defaultFit_Inclusive!$U40)*fitSyst_Inclusive!L40</f>
        <v>228.20236514099997</v>
      </c>
      <c r="N40" s="41"/>
      <c r="O40" s="41"/>
      <c r="Q40" s="41"/>
      <c r="R40" s="41"/>
      <c r="T40" s="41"/>
      <c r="U40" s="41"/>
      <c r="W40" s="36">
        <f>(1-defaultFit_Inclusive!$U40)*trgBiassing!E40</f>
        <v>214.53547284599998</v>
      </c>
      <c r="X40" s="36">
        <f>(1-defaultFit_Inclusive!$U40)*trgBiassing!F40</f>
        <v>200.75439033199999</v>
      </c>
      <c r="Z40" s="36">
        <f>(1-defaultFit_Inclusive!$U40)*trgBiassing!L40</f>
        <v>113.01877108899998</v>
      </c>
      <c r="AA40" s="36">
        <f>(1-defaultFit_Inclusive!$U40)*trgBiassing!M40</f>
        <v>112.498926106</v>
      </c>
      <c r="AC40" s="36">
        <f>(1-defaultFit_Inclusive!$U40)*epSystematic!E40</f>
        <v>248.81489746999995</v>
      </c>
      <c r="AD40" s="36">
        <f>(1-defaultFit_Inclusive!$U40)*epSystematic!F40</f>
        <v>233.43195775800001</v>
      </c>
      <c r="AE40" t="e">
        <f>SQRT(POWER(E40/$E$44-AH40,2)+POWER(H40/$H$44-AH40,2)+POWER(K40/$K$44-AH40,2)+POWER(N40/$N$44-AH40,2)+POWER(Q40/$Q$44-AH40,2)+POWER(T40/$T$44-AH40,2)+POWER(W40/$W$44-AH40,2)+POWER(Z40/$Z$44-AH40,2)+POWER(AC40/$AC$44-AH40,2))/SQRT(9)</f>
        <v>#DIV/0!</v>
      </c>
      <c r="AF40" t="e">
        <f>SQRT(POWER(F40/$F$44-AI40,2)+POWER(I40/$I$44-AI40,2)+POWER(L40/$L$44-AI40,2)+POWER(O40/$O$44-AI40,2)+POWER(R40/$R$44-AI40,2)+POWER(U40/$U$44-AI40,2)+POWER(X40/$X$44-AI40,2)+POWER(AA40/$AA$44-AI40,2)+POWER(AD40/$AD$44-AI40,2))/SQRT(9)</f>
        <v>#DIV/0!</v>
      </c>
      <c r="AH40">
        <f xml:space="preserve"> defaultFit_Prompt!E40/defaultFit_Prompt!$E$44</f>
        <v>0.29550657700341015</v>
      </c>
      <c r="AI40">
        <f xml:space="preserve"> defaultFit_Prompt!H40/defaultFit_Prompt!$H$44</f>
        <v>0.30339824914904373</v>
      </c>
    </row>
    <row r="41" spans="1:35" ht="18">
      <c r="A41" s="139"/>
      <c r="B41" s="139"/>
      <c r="C41" s="140"/>
      <c r="D41" s="52" t="s">
        <v>50</v>
      </c>
      <c r="E41" s="36">
        <f>(1-defaultFit_Inclusive!$U41)*fitSyst_Inclusive!E41</f>
        <v>224.53886062399999</v>
      </c>
      <c r="F41" s="36">
        <f>(1-defaultFit_Inclusive!$U41)*fitSyst_Inclusive!F41</f>
        <v>196.93182472800001</v>
      </c>
      <c r="H41" s="36">
        <f>(1-defaultFit_Inclusive!$U41)*fitSyst_Inclusive!H41</f>
        <v>217.905782332</v>
      </c>
      <c r="I41" s="36">
        <f>(1-defaultFit_Inclusive!$U41)*fitSyst_Inclusive!I41</f>
        <v>195.66546099999999</v>
      </c>
      <c r="K41" s="36">
        <f>(1-defaultFit_Inclusive!$U41)*fitSyst_Inclusive!K41</f>
        <v>229.57825236000002</v>
      </c>
      <c r="L41" s="36">
        <f>(1-defaultFit_Inclusive!$U41)*fitSyst_Inclusive!L41</f>
        <v>194.22585380800001</v>
      </c>
      <c r="N41" s="41"/>
      <c r="O41" s="41"/>
      <c r="Q41" s="41"/>
      <c r="R41" s="41"/>
      <c r="T41" s="41"/>
      <c r="U41" s="41"/>
      <c r="W41" s="36">
        <f>(1-defaultFit_Inclusive!$U41)*trgBiassing!E41</f>
        <v>201.58410164400001</v>
      </c>
      <c r="X41" s="36">
        <f>(1-defaultFit_Inclusive!$U41)*trgBiassing!F41</f>
        <v>179.00035964</v>
      </c>
      <c r="Z41" s="36">
        <f>(1-defaultFit_Inclusive!$U41)*trgBiassing!L41</f>
        <v>98.521104972000003</v>
      </c>
      <c r="AA41" s="36">
        <f>(1-defaultFit_Inclusive!$U41)*trgBiassing!M41</f>
        <v>93.906389692000005</v>
      </c>
      <c r="AC41" s="36">
        <f>(1-defaultFit_Inclusive!$U41)*epSystematic!E41</f>
        <v>229.88181170400003</v>
      </c>
      <c r="AD41" s="36">
        <f>(1-defaultFit_Inclusive!$U41)*epSystematic!F41</f>
        <v>194.62216739600001</v>
      </c>
      <c r="AE41" t="e">
        <f t="shared" ref="AE41:AE43" si="10">SQRT(POWER(E41/$E$44-AH41,2)+POWER(H41/$H$44-AH41,2)+POWER(K41/$K$44-AH41,2)+POWER(N41/$N$44-AH41,2)+POWER(Q41/$Q$44-AH41,2)+POWER(T41/$T$44-AH41,2)+POWER(W41/$W$44-AH41,2)+POWER(Z41/$Z$44-AH41,2)+POWER(AC41/$AC$44-AH41,2))/SQRT(9)</f>
        <v>#DIV/0!</v>
      </c>
      <c r="AF41" t="e">
        <f t="shared" ref="AF41:AF43" si="11">SQRT(POWER(F41/$F$44-AI41,2)+POWER(I41/$I$44-AI41,2)+POWER(L41/$L$44-AI41,2)+POWER(O41/$O$44-AI41,2)+POWER(R41/$R$44-AI41,2)+POWER(U41/$U$44-AI41,2)+POWER(X41/$X$44-AI41,2)+POWER(AA41/$AA$44-AI41,2)+POWER(AD41/$AD$44-AI41,2))/SQRT(9)</f>
        <v>#DIV/0!</v>
      </c>
      <c r="AH41">
        <f xml:space="preserve"> defaultFit_Prompt!E41/defaultFit_Prompt!$E$44</f>
        <v>0.26515659200805924</v>
      </c>
      <c r="AI41">
        <f xml:space="preserve"> defaultFit_Prompt!H41/defaultFit_Prompt!$H$44</f>
        <v>0.25861893046849921</v>
      </c>
    </row>
    <row r="42" spans="1:35" ht="18">
      <c r="A42" s="139"/>
      <c r="B42" s="139"/>
      <c r="C42" s="140"/>
      <c r="D42" s="51" t="s">
        <v>52</v>
      </c>
      <c r="E42" s="36">
        <f>(1-defaultFit_Inclusive!$U42)*fitSyst_Inclusive!E42</f>
        <v>201.67030996799997</v>
      </c>
      <c r="F42" s="36">
        <f>(1-defaultFit_Inclusive!$U42)*fitSyst_Inclusive!F42</f>
        <v>157.92160449599999</v>
      </c>
      <c r="H42" s="36">
        <f>(1-defaultFit_Inclusive!$U42)*fitSyst_Inclusive!H42</f>
        <v>194.68505775999998</v>
      </c>
      <c r="I42" s="36">
        <f>(1-defaultFit_Inclusive!$U42)*fitSyst_Inclusive!I42</f>
        <v>156.04670307199999</v>
      </c>
      <c r="K42" s="36">
        <f>(1-defaultFit_Inclusive!$U42)*fitSyst_Inclusive!K42</f>
        <v>202.95845624</v>
      </c>
      <c r="L42" s="36">
        <f>(1-defaultFit_Inclusive!$U42)*fitSyst_Inclusive!L42</f>
        <v>166.17464000799998</v>
      </c>
      <c r="N42" s="41"/>
      <c r="O42" s="41"/>
      <c r="Q42" s="41"/>
      <c r="R42" s="41"/>
      <c r="T42" s="41"/>
      <c r="U42" s="41"/>
      <c r="W42" s="36">
        <f>(1-defaultFit_Inclusive!$U42)*trgBiassing!E42</f>
        <v>180.82240165599998</v>
      </c>
      <c r="X42" s="36">
        <f>(1-defaultFit_Inclusive!$U42)*trgBiassing!F42</f>
        <v>139.31814776799999</v>
      </c>
      <c r="Z42" s="36">
        <f>(1-defaultFit_Inclusive!$U42)*trgBiassing!L42</f>
        <v>86.775656855999998</v>
      </c>
      <c r="AA42" s="36">
        <f>(1-defaultFit_Inclusive!$U42)*trgBiassing!M42</f>
        <v>75.959149928000002</v>
      </c>
      <c r="AC42" s="36">
        <f>(1-defaultFit_Inclusive!$U42)*epSystematic!E42</f>
        <v>194.046263912</v>
      </c>
      <c r="AD42" s="36">
        <f>(1-defaultFit_Inclusive!$U42)*epSystematic!F42</f>
        <v>161.88861233599999</v>
      </c>
      <c r="AE42" t="e">
        <f t="shared" si="10"/>
        <v>#DIV/0!</v>
      </c>
      <c r="AF42" t="e">
        <f t="shared" si="11"/>
        <v>#DIV/0!</v>
      </c>
      <c r="AH42">
        <f xml:space="preserve"> defaultFit_Prompt!E42/defaultFit_Prompt!$E$44</f>
        <v>0.23793318553685472</v>
      </c>
      <c r="AI42">
        <f xml:space="preserve"> defaultFit_Prompt!H42/defaultFit_Prompt!$H$44</f>
        <v>0.20751000077898113</v>
      </c>
    </row>
    <row r="43" spans="1:35" ht="18">
      <c r="A43" s="139"/>
      <c r="B43" s="139"/>
      <c r="C43" s="140"/>
      <c r="D43" s="51" t="s">
        <v>53</v>
      </c>
      <c r="E43" s="36">
        <f>(1-defaultFit_Inclusive!$U43)*fitSyst_Inclusive!E43</f>
        <v>170.81772422</v>
      </c>
      <c r="F43" s="36">
        <f>(1-defaultFit_Inclusive!$U43)*fitSyst_Inclusive!F43</f>
        <v>175.48063464800001</v>
      </c>
      <c r="H43" s="36">
        <f>(1-defaultFit_Inclusive!$U43)*fitSyst_Inclusive!H43</f>
        <v>166.20416881200001</v>
      </c>
      <c r="I43" s="36">
        <f>(1-defaultFit_Inclusive!$U43)*fitSyst_Inclusive!I43</f>
        <v>172.36747184800001</v>
      </c>
      <c r="K43" s="36">
        <f>(1-defaultFit_Inclusive!$U43)*fitSyst_Inclusive!K43</f>
        <v>162.72046370799998</v>
      </c>
      <c r="L43" s="36">
        <f>(1-defaultFit_Inclusive!$U43)*fitSyst_Inclusive!L43</f>
        <v>179.53913590799999</v>
      </c>
      <c r="N43" s="41"/>
      <c r="O43" s="41"/>
      <c r="Q43" s="41"/>
      <c r="R43" s="41"/>
      <c r="T43" s="41"/>
      <c r="U43" s="41"/>
      <c r="W43" s="36">
        <f>(1-defaultFit_Inclusive!$U43)*trgBiassing!E43</f>
        <v>153.64597379999998</v>
      </c>
      <c r="X43" s="36">
        <f>(1-defaultFit_Inclusive!$U43)*trgBiassing!F43</f>
        <v>157.46833027199997</v>
      </c>
      <c r="Z43" s="36">
        <f>(1-defaultFit_Inclusive!$U43)*trgBiassing!L43</f>
        <v>88.353838187999997</v>
      </c>
      <c r="AA43" s="36">
        <f>(1-defaultFit_Inclusive!$U43)*trgBiassing!M43</f>
        <v>88.088839695999994</v>
      </c>
      <c r="AC43" s="36">
        <f>(1-defaultFit_Inclusive!$U43)*epSystematic!E43</f>
        <v>174.82307392000001</v>
      </c>
      <c r="AD43" s="36">
        <f>(1-defaultFit_Inclusive!$U43)*epSystematic!F43</f>
        <v>172.72738383999999</v>
      </c>
      <c r="AE43" t="e">
        <f t="shared" si="10"/>
        <v>#DIV/0!</v>
      </c>
      <c r="AF43" t="e">
        <f t="shared" si="11"/>
        <v>#DIV/0!</v>
      </c>
      <c r="AH43">
        <f xml:space="preserve"> defaultFit_Prompt!E43/defaultFit_Prompt!$E$44</f>
        <v>0.20140364545167588</v>
      </c>
      <c r="AI43">
        <f xml:space="preserve"> defaultFit_Prompt!H43/defaultFit_Prompt!$H$44</f>
        <v>0.23047281960347601</v>
      </c>
    </row>
    <row r="44" spans="1:35" ht="18">
      <c r="A44" s="139"/>
      <c r="B44" s="139"/>
      <c r="C44" s="140"/>
      <c r="D44" s="80"/>
      <c r="E44" s="82">
        <f xml:space="preserve"> SUM(E40:E43)</f>
        <v>847.59377368399987</v>
      </c>
      <c r="F44" s="82">
        <f xml:space="preserve"> SUM(F40:F43)</f>
        <v>761.41833460999999</v>
      </c>
      <c r="G44" s="82"/>
      <c r="H44" s="82">
        <f xml:space="preserve"> SUM(H40:H43)</f>
        <v>822.89936020699997</v>
      </c>
      <c r="I44" s="82">
        <f xml:space="preserve"> SUM(I40:I43)</f>
        <v>751.39802502999999</v>
      </c>
      <c r="J44" s="82"/>
      <c r="K44" s="82">
        <f xml:space="preserve"> SUM(K40:K43)</f>
        <v>840.74617983300004</v>
      </c>
      <c r="L44" s="82">
        <f xml:space="preserve"> SUM(L40:L43)</f>
        <v>768.14199486500002</v>
      </c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>
        <f xml:space="preserve"> SUM(W40:W43)</f>
        <v>750.58794994599998</v>
      </c>
      <c r="X44" s="82">
        <f xml:space="preserve"> SUM(X40:X43)</f>
        <v>676.54122801200003</v>
      </c>
      <c r="Y44" s="82"/>
      <c r="Z44" s="82">
        <f xml:space="preserve"> SUM(Z40:Z43)</f>
        <v>386.66937110499998</v>
      </c>
      <c r="AA44" s="82">
        <f xml:space="preserve"> SUM(AA40:AA43)</f>
        <v>370.45330542199997</v>
      </c>
      <c r="AB44" s="82"/>
      <c r="AC44" s="82">
        <f xml:space="preserve"> SUM(AC40:AC43)</f>
        <v>847.56604700599996</v>
      </c>
      <c r="AD44" s="82">
        <f xml:space="preserve"> SUM(AD40:AD43)</f>
        <v>762.67012133000003</v>
      </c>
      <c r="AE44" s="82"/>
      <c r="AF44" s="82"/>
      <c r="AG44" s="82"/>
      <c r="AH44" s="82"/>
      <c r="AI44" s="82"/>
    </row>
    <row r="45" spans="1:35" ht="18">
      <c r="A45" s="139"/>
      <c r="B45" s="117" t="s">
        <v>77</v>
      </c>
      <c r="C45" s="140"/>
      <c r="D45" s="53" t="s">
        <v>51</v>
      </c>
      <c r="E45" s="36">
        <f>(1-defaultFit_Inclusive!$U45)*fitSyst_Inclusive!E45</f>
        <v>828.56050990999995</v>
      </c>
      <c r="F45" s="36">
        <f>(1-defaultFit_Inclusive!$U45)*fitSyst_Inclusive!F45</f>
        <v>766.98728523</v>
      </c>
      <c r="H45" s="36">
        <f>(1-defaultFit_Inclusive!$U45)*fitSyst_Inclusive!H45</f>
        <v>798.22141869999996</v>
      </c>
      <c r="I45" s="36">
        <f>(1-defaultFit_Inclusive!$U45)*fitSyst_Inclusive!I45</f>
        <v>755.24518319999993</v>
      </c>
      <c r="K45" s="36">
        <f>(1-defaultFit_Inclusive!$U45)*fitSyst_Inclusive!K45</f>
        <v>817.88393438000003</v>
      </c>
      <c r="L45" s="36">
        <f>(1-defaultFit_Inclusive!$U45)*fitSyst_Inclusive!L45</f>
        <v>755.24518319999993</v>
      </c>
      <c r="N45" s="41"/>
      <c r="O45" s="41"/>
      <c r="Q45" s="41"/>
      <c r="R45" s="41"/>
      <c r="T45" s="41"/>
      <c r="U45" s="41"/>
      <c r="W45" s="36">
        <f>(1-defaultFit_Inclusive!$U45)*trgBiassing!E45</f>
        <v>735.76735877999988</v>
      </c>
      <c r="X45" s="36">
        <f>(1-defaultFit_Inclusive!$U45)*trgBiassing!F45</f>
        <v>712.19080909000002</v>
      </c>
      <c r="Z45" s="36">
        <f>(1-defaultFit_Inclusive!$U45)*trgBiassing!L45</f>
        <v>404.61663995099997</v>
      </c>
      <c r="AA45" s="36">
        <f>(1-defaultFit_Inclusive!$U45)*trgBiassing!M45</f>
        <v>407.25275251199997</v>
      </c>
      <c r="AC45" s="36">
        <f>(1-defaultFit_Inclusive!$U45)*epSystematic!E45</f>
        <v>839.24418894999997</v>
      </c>
      <c r="AD45" s="36">
        <f>(1-defaultFit_Inclusive!$U45)*epSystematic!F45</f>
        <v>767.37087476999989</v>
      </c>
    </row>
    <row r="46" spans="1:35" ht="18">
      <c r="A46" s="139"/>
      <c r="B46" s="117"/>
      <c r="C46" s="140"/>
      <c r="D46" s="55" t="s">
        <v>49</v>
      </c>
      <c r="E46" s="36">
        <f>(1-defaultFit_Inclusive!$U46)*fitSyst_Inclusive!E46</f>
        <v>196.004462784</v>
      </c>
      <c r="F46" s="36">
        <f>(1-defaultFit_Inclusive!$U46)*fitSyst_Inclusive!F46</f>
        <v>219.32224466599999</v>
      </c>
      <c r="H46" s="36">
        <f>(1-defaultFit_Inclusive!$U46)*fitSyst_Inclusive!H46</f>
        <v>188.82024543</v>
      </c>
      <c r="I46" s="36">
        <f>(1-defaultFit_Inclusive!$U46)*fitSyst_Inclusive!I46</f>
        <v>215.166545326</v>
      </c>
      <c r="K46" s="36">
        <f>(1-defaultFit_Inclusive!$U46)*fitSyst_Inclusive!K46</f>
        <v>193.19345879899998</v>
      </c>
      <c r="L46" s="36">
        <f>(1-defaultFit_Inclusive!$U46)*fitSyst_Inclusive!L46</f>
        <v>215.166545326</v>
      </c>
      <c r="N46" s="41"/>
      <c r="O46" s="41"/>
      <c r="Q46" s="41"/>
      <c r="R46" s="41"/>
      <c r="T46" s="41"/>
      <c r="U46" s="41"/>
      <c r="W46" s="36">
        <f>(1-defaultFit_Inclusive!$U46)*trgBiassing!E46</f>
        <v>170.5365582</v>
      </c>
      <c r="X46" s="36">
        <f>(1-defaultFit_Inclusive!$U46)*trgBiassing!F46</f>
        <v>199.30191986900002</v>
      </c>
      <c r="Z46" s="36">
        <f>(1-defaultFit_Inclusive!$U46)*trgBiassing!L46</f>
        <v>95.371909987000009</v>
      </c>
      <c r="AA46" s="36">
        <f>(1-defaultFit_Inclusive!$U46)*trgBiassing!M46</f>
        <v>108.579806585</v>
      </c>
      <c r="AC46" s="36">
        <f>(1-defaultFit_Inclusive!$U46)*epSystematic!E46</f>
        <v>197.05311668100001</v>
      </c>
      <c r="AD46" s="36">
        <f>(1-defaultFit_Inclusive!$U46)*epSystematic!F46</f>
        <v>215.593234188</v>
      </c>
      <c r="AE46" t="e">
        <f>SQRT(POWER(E46/$E$50-AH46,2)+POWER(H46/$H$50-AH46,2)+POWER(K46/$K$50-AH46,2)+POWER(N46/$N$50-AH46,2)+POWER(Q46/$Q$50-AH46,2)+POWER(T46/$T$50-AH46,2)+POWER(W46/$W$50-AH46,2)+POWER(Z46/$Z$50-AH46,2)+POWER(AC46/$AC$50-AH46,2))/SQRT(9)</f>
        <v>#DIV/0!</v>
      </c>
      <c r="AF46" t="e">
        <f>SQRT(POWER(F46/$F$50-AI46,2)+POWER(I46/$I$50-AI46,2)+POWER(L46/$L$50-AI46,2)+POWER(O46/$O$50-AI46,2)+POWER(R46/$R$50-AI46,2)+POWER(U46/$U$50-AI46,2)+POWER(X46/$X$50-AI46,2)+POWER(AA46/$AA$50-AI46,2)+POWER(AD46/$AD$50-AI46,2))/SQRT(9)</f>
        <v>#DIV/0!</v>
      </c>
      <c r="AH46">
        <f xml:space="preserve"> defaultFit_Prompt!E46/defaultFit_Prompt!$E$50</f>
        <v>0.24020760661970567</v>
      </c>
      <c r="AI46">
        <f xml:space="preserve"> defaultFit_Prompt!H46/defaultFit_Prompt!$H$50</f>
        <v>0.29441357935806944</v>
      </c>
    </row>
    <row r="47" spans="1:35" ht="18">
      <c r="A47" s="139"/>
      <c r="B47" s="117"/>
      <c r="C47" s="140"/>
      <c r="D47" s="55" t="s">
        <v>50</v>
      </c>
      <c r="E47" s="36">
        <f>(1-defaultFit_Inclusive!$U47)*fitSyst_Inclusive!E47</f>
        <v>228.33241118999996</v>
      </c>
      <c r="F47" s="36">
        <f>(1-defaultFit_Inclusive!$U47)*fitSyst_Inclusive!F47</f>
        <v>174.937901219</v>
      </c>
      <c r="H47" s="36">
        <f>(1-defaultFit_Inclusive!$U47)*fitSyst_Inclusive!H47</f>
        <v>218.71568359299999</v>
      </c>
      <c r="I47" s="36">
        <f>(1-defaultFit_Inclusive!$U47)*fitSyst_Inclusive!I47</f>
        <v>172.54778954899999</v>
      </c>
      <c r="K47" s="36">
        <f>(1-defaultFit_Inclusive!$U47)*fitSyst_Inclusive!K47</f>
        <v>226.06728701099999</v>
      </c>
      <c r="L47" s="36">
        <f>(1-defaultFit_Inclusive!$U47)*fitSyst_Inclusive!L47</f>
        <v>172.54778954899999</v>
      </c>
      <c r="N47" s="41"/>
      <c r="O47" s="41"/>
      <c r="Q47" s="41"/>
      <c r="R47" s="41"/>
      <c r="T47" s="41"/>
      <c r="U47" s="41"/>
      <c r="W47" s="36">
        <f>(1-defaultFit_Inclusive!$U47)*trgBiassing!E47</f>
        <v>202.12962426099998</v>
      </c>
      <c r="X47" s="36">
        <f>(1-defaultFit_Inclusive!$U47)*trgBiassing!F47</f>
        <v>168.86906415599998</v>
      </c>
      <c r="Z47" s="36">
        <f>(1-defaultFit_Inclusive!$U47)*trgBiassing!L47</f>
        <v>112.36667809299999</v>
      </c>
      <c r="AA47" s="36">
        <f>(1-defaultFit_Inclusive!$U47)*trgBiassing!M47</f>
        <v>102.421036046</v>
      </c>
      <c r="AC47" s="36">
        <f>(1-defaultFit_Inclusive!$U47)*epSystematic!E47</f>
        <v>235.19283569599997</v>
      </c>
      <c r="AD47" s="36">
        <f>(1-defaultFit_Inclusive!$U47)*epSystematic!F47</f>
        <v>178.20584900999998</v>
      </c>
      <c r="AE47" t="e">
        <f t="shared" ref="AE47:AE49" si="12">SQRT(POWER(E47/$E$50-AH47,2)+POWER(H47/$H$50-AH47,2)+POWER(K47/$K$50-AH47,2)+POWER(N47/$N$50-AH47,2)+POWER(Q47/$Q$50-AH47,2)+POWER(T47/$T$50-AH47,2)+POWER(W47/$W$50-AH47,2)+POWER(Z47/$Z$50-AH47,2)+POWER(AC47/$AC$50-AH47,2))/SQRT(9)</f>
        <v>#DIV/0!</v>
      </c>
      <c r="AF47" t="e">
        <f t="shared" ref="AF47:AF49" si="13">SQRT(POWER(F47/$F$50-AI47,2)+POWER(I47/$I$50-AI47,2)+POWER(L47/$L$50-AI47,2)+POWER(O47/$O$50-AI47,2)+POWER(R47/$R$50-AI47,2)+POWER(U47/$U$50-AI47,2)+POWER(X47/$X$50-AI47,2)+POWER(AA47/$AA$50-AI47,2)+POWER(AD47/$AD$50-AI47,2))/SQRT(9)</f>
        <v>#DIV/0!</v>
      </c>
      <c r="AH47">
        <f xml:space="preserve"> defaultFit_Prompt!E47/defaultFit_Prompt!$E$50</f>
        <v>0.28000120899155434</v>
      </c>
      <c r="AI47">
        <f xml:space="preserve"> defaultFit_Prompt!H47/defaultFit_Prompt!$H$50</f>
        <v>0.23471421295974623</v>
      </c>
    </row>
    <row r="48" spans="1:35" ht="18">
      <c r="A48" s="139"/>
      <c r="B48" s="117"/>
      <c r="C48" s="140"/>
      <c r="D48" s="53" t="s">
        <v>52</v>
      </c>
      <c r="E48" s="36">
        <f>(1-defaultFit_Inclusive!$U48)*fitSyst_Inclusive!E48</f>
        <v>186.88933548799997</v>
      </c>
      <c r="F48" s="36">
        <f>(1-defaultFit_Inclusive!$U48)*fitSyst_Inclusive!F48</f>
        <v>182.57961871999998</v>
      </c>
      <c r="H48" s="36">
        <f>(1-defaultFit_Inclusive!$U48)*fitSyst_Inclusive!H48</f>
        <v>179.73107304800001</v>
      </c>
      <c r="I48" s="36">
        <f>(1-defaultFit_Inclusive!$U48)*fitSyst_Inclusive!I48</f>
        <v>180.41632644800001</v>
      </c>
      <c r="K48" s="36">
        <f>(1-defaultFit_Inclusive!$U48)*fitSyst_Inclusive!K48</f>
        <v>183.61909541600002</v>
      </c>
      <c r="L48" s="36">
        <f>(1-defaultFit_Inclusive!$U48)*fitSyst_Inclusive!L48</f>
        <v>180.41632644800001</v>
      </c>
      <c r="N48" s="41"/>
      <c r="O48" s="41"/>
      <c r="Q48" s="41"/>
      <c r="R48" s="41"/>
      <c r="T48" s="41"/>
      <c r="U48" s="41"/>
      <c r="W48" s="36">
        <f>(1-defaultFit_Inclusive!$U48)*trgBiassing!E48</f>
        <v>168.33267341599998</v>
      </c>
      <c r="X48" s="36">
        <f>(1-defaultFit_Inclusive!$U48)*trgBiassing!F48</f>
        <v>168.94061617599999</v>
      </c>
      <c r="Z48" s="36">
        <f>(1-defaultFit_Inclusive!$U48)*trgBiassing!L48</f>
        <v>91.946949799999999</v>
      </c>
      <c r="AA48" s="36">
        <f>(1-defaultFit_Inclusive!$U48)*trgBiassing!M48</f>
        <v>104.24426132800001</v>
      </c>
      <c r="AC48" s="36">
        <f>(1-defaultFit_Inclusive!$U48)*epSystematic!E48</f>
        <v>183.41949340000002</v>
      </c>
      <c r="AD48" s="36">
        <f>(1-defaultFit_Inclusive!$U48)*epSystematic!F48</f>
        <v>181.23511640800001</v>
      </c>
      <c r="AE48" t="e">
        <f t="shared" si="12"/>
        <v>#DIV/0!</v>
      </c>
      <c r="AF48" t="e">
        <f t="shared" si="13"/>
        <v>#DIV/0!</v>
      </c>
      <c r="AH48">
        <f xml:space="preserve"> defaultFit_Prompt!E48/defaultFit_Prompt!$E$50</f>
        <v>0.22913390113241075</v>
      </c>
      <c r="AI48">
        <f xml:space="preserve"> defaultFit_Prompt!H48/defaultFit_Prompt!$H$50</f>
        <v>0.2454139963633177</v>
      </c>
    </row>
    <row r="49" spans="1:35" ht="18">
      <c r="A49" s="139"/>
      <c r="B49" s="117"/>
      <c r="C49" s="140"/>
      <c r="D49" s="53" t="s">
        <v>53</v>
      </c>
      <c r="E49" s="36">
        <f>(1-defaultFit_Inclusive!$U49)*fitSyst_Inclusive!E49</f>
        <v>202.34561685</v>
      </c>
      <c r="F49" s="36">
        <f>(1-defaultFit_Inclusive!$U49)*fitSyst_Inclusive!F49</f>
        <v>167.70218165999998</v>
      </c>
      <c r="H49" s="36">
        <f>(1-defaultFit_Inclusive!$U49)*fitSyst_Inclusive!H49</f>
        <v>196.46589494999998</v>
      </c>
      <c r="I49" s="36">
        <f>(1-defaultFit_Inclusive!$U49)*fitSyst_Inclusive!I49</f>
        <v>165.41285825999998</v>
      </c>
      <c r="K49" s="36">
        <f>(1-defaultFit_Inclusive!$U49)*fitSyst_Inclusive!K49</f>
        <v>203.07151721999998</v>
      </c>
      <c r="L49" s="36">
        <f>(1-defaultFit_Inclusive!$U49)*fitSyst_Inclusive!L49</f>
        <v>165.41285825999998</v>
      </c>
      <c r="N49" s="41"/>
      <c r="O49" s="41"/>
      <c r="Q49" s="41"/>
      <c r="R49" s="41"/>
      <c r="T49" s="41"/>
      <c r="U49" s="41"/>
      <c r="W49" s="36">
        <f>(1-defaultFit_Inclusive!$U49)*trgBiassing!E49</f>
        <v>185.07686651999998</v>
      </c>
      <c r="X49" s="36">
        <f>(1-defaultFit_Inclusive!$U49)*trgBiassing!F49</f>
        <v>158.37070040999998</v>
      </c>
      <c r="Z49" s="36">
        <f>(1-defaultFit_Inclusive!$U49)*trgBiassing!L49</f>
        <v>97.093618050000003</v>
      </c>
      <c r="AA49" s="36">
        <f>(1-defaultFit_Inclusive!$U49)*trgBiassing!M49</f>
        <v>84.775351830000005</v>
      </c>
      <c r="AC49" s="36">
        <f>(1-defaultFit_Inclusive!$U49)*epSystematic!E49</f>
        <v>208.76496498</v>
      </c>
      <c r="AD49" s="36">
        <f>(1-defaultFit_Inclusive!$U49)*epSystematic!F49</f>
        <v>170.6328</v>
      </c>
      <c r="AE49" t="e">
        <f t="shared" si="12"/>
        <v>#DIV/0!</v>
      </c>
      <c r="AF49" t="e">
        <f t="shared" si="13"/>
        <v>#DIV/0!</v>
      </c>
      <c r="AH49">
        <f xml:space="preserve"> defaultFit_Prompt!E49/defaultFit_Prompt!$E$50</f>
        <v>0.25065728325632919</v>
      </c>
      <c r="AI49">
        <f xml:space="preserve"> defaultFit_Prompt!H49/defaultFit_Prompt!$H$50</f>
        <v>0.22545821131886659</v>
      </c>
    </row>
    <row r="50" spans="1:35" ht="18">
      <c r="A50" s="139"/>
      <c r="B50" s="117"/>
      <c r="C50" s="140"/>
      <c r="D50" s="74"/>
      <c r="E50" s="82">
        <f xml:space="preserve"> SUM(E46:E49)</f>
        <v>813.57182631199998</v>
      </c>
      <c r="F50" s="82">
        <f xml:space="preserve"> SUM(F46:F49)</f>
        <v>744.54194626499998</v>
      </c>
      <c r="G50" s="82"/>
      <c r="H50" s="82">
        <f xml:space="preserve"> SUM(H46:H49)</f>
        <v>783.73289702099999</v>
      </c>
      <c r="I50" s="82">
        <f xml:space="preserve"> SUM(I46:I49)</f>
        <v>733.54351958299992</v>
      </c>
      <c r="J50" s="82"/>
      <c r="K50" s="82">
        <f xml:space="preserve"> SUM(K46:K49)</f>
        <v>805.95135844600009</v>
      </c>
      <c r="L50" s="82">
        <f xml:space="preserve"> SUM(L46:L49)</f>
        <v>733.54351958299992</v>
      </c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>
        <f xml:space="preserve"> SUM(W46:W49)</f>
        <v>726.07572239699982</v>
      </c>
      <c r="X50" s="82">
        <f xml:space="preserve"> SUM(X46:X49)</f>
        <v>695.48230061100003</v>
      </c>
      <c r="Y50" s="82"/>
      <c r="Z50" s="82">
        <f xml:space="preserve"> SUM(Z46:Z49)</f>
        <v>396.77915593</v>
      </c>
      <c r="AA50" s="82">
        <f xml:space="preserve"> SUM(AA46:AA49)</f>
        <v>400.02045578900004</v>
      </c>
      <c r="AB50" s="82"/>
      <c r="AC50" s="82">
        <f xml:space="preserve"> SUM(AC46:AC49)</f>
        <v>824.43041075700012</v>
      </c>
      <c r="AD50" s="82">
        <f xml:space="preserve"> SUM(AD46:AD49)</f>
        <v>745.66699960599988</v>
      </c>
      <c r="AE50" s="82"/>
      <c r="AF50" s="82"/>
      <c r="AG50" s="82"/>
      <c r="AH50" s="82"/>
      <c r="AI50" s="82"/>
    </row>
    <row r="51" spans="1:35" ht="18">
      <c r="A51" s="139"/>
      <c r="B51" s="117" t="s">
        <v>78</v>
      </c>
      <c r="C51" s="140"/>
      <c r="D51" s="56" t="s">
        <v>51</v>
      </c>
      <c r="E51" s="36"/>
      <c r="F51" s="36"/>
      <c r="H51" s="36"/>
      <c r="I51" s="36"/>
      <c r="K51" s="36"/>
      <c r="L51" s="36"/>
      <c r="N51" s="41"/>
      <c r="O51" s="41"/>
      <c r="Q51" s="41"/>
      <c r="R51" s="41"/>
      <c r="T51" s="41"/>
      <c r="U51" s="41"/>
      <c r="W51" s="36"/>
      <c r="X51" s="36"/>
      <c r="Z51" s="36"/>
      <c r="AA51" s="36"/>
      <c r="AC51" s="36"/>
      <c r="AD51" s="36"/>
    </row>
    <row r="52" spans="1:35" ht="18">
      <c r="A52" s="139"/>
      <c r="B52" s="117"/>
      <c r="C52" s="140"/>
      <c r="D52" s="58" t="s">
        <v>49</v>
      </c>
      <c r="E52" s="36"/>
      <c r="F52" s="36"/>
      <c r="H52" s="36"/>
      <c r="I52" s="36"/>
      <c r="K52" s="36"/>
      <c r="L52" s="36"/>
      <c r="N52" s="41"/>
      <c r="O52" s="41"/>
      <c r="Q52" s="41"/>
      <c r="R52" s="41"/>
      <c r="T52" s="41"/>
      <c r="U52" s="41"/>
      <c r="W52" s="36"/>
      <c r="X52" s="36"/>
      <c r="Z52" s="36"/>
      <c r="AA52" s="36"/>
      <c r="AC52" s="36"/>
      <c r="AD52" s="36"/>
    </row>
    <row r="53" spans="1:35" ht="18">
      <c r="A53" s="139"/>
      <c r="B53" s="117"/>
      <c r="C53" s="140"/>
      <c r="D53" s="58" t="s">
        <v>50</v>
      </c>
      <c r="E53" s="36"/>
      <c r="F53" s="36"/>
      <c r="H53" s="36"/>
      <c r="I53" s="36"/>
      <c r="K53" s="36"/>
      <c r="L53" s="36"/>
      <c r="N53" s="41"/>
      <c r="O53" s="41"/>
      <c r="Q53" s="41"/>
      <c r="R53" s="41"/>
      <c r="T53" s="41"/>
      <c r="U53" s="41"/>
      <c r="W53" s="36"/>
      <c r="X53" s="36"/>
      <c r="Z53" s="36"/>
      <c r="AA53" s="36"/>
      <c r="AC53" s="36"/>
      <c r="AD53" s="36"/>
    </row>
    <row r="54" spans="1:35" ht="18">
      <c r="A54" s="139"/>
      <c r="B54" s="117"/>
      <c r="C54" s="140"/>
      <c r="D54" s="56" t="s">
        <v>52</v>
      </c>
      <c r="E54" s="36"/>
      <c r="F54" s="36"/>
      <c r="H54" s="36"/>
      <c r="I54" s="36"/>
      <c r="K54" s="36"/>
      <c r="L54" s="36"/>
      <c r="N54" s="41"/>
      <c r="O54" s="41"/>
      <c r="Q54" s="41"/>
      <c r="R54" s="41"/>
      <c r="T54" s="41"/>
      <c r="U54" s="41"/>
      <c r="W54" s="36"/>
      <c r="X54" s="36"/>
      <c r="Z54" s="36"/>
      <c r="AA54" s="36"/>
      <c r="AC54" s="36"/>
      <c r="AD54" s="36"/>
    </row>
    <row r="55" spans="1:35" ht="18">
      <c r="A55" s="139"/>
      <c r="B55" s="117"/>
      <c r="C55" s="140"/>
      <c r="D55" s="56" t="s">
        <v>53</v>
      </c>
      <c r="E55" s="36"/>
      <c r="F55" s="36"/>
      <c r="H55" s="36"/>
      <c r="I55" s="36"/>
      <c r="K55" s="36"/>
      <c r="L55" s="36"/>
      <c r="N55" s="41"/>
      <c r="O55" s="41"/>
      <c r="Q55" s="41"/>
      <c r="R55" s="41"/>
      <c r="T55" s="41"/>
      <c r="U55" s="41"/>
      <c r="W55" s="36"/>
      <c r="X55" s="36"/>
      <c r="Z55" s="36"/>
      <c r="AA55" s="36"/>
      <c r="AC55" s="36"/>
      <c r="AD55" s="36"/>
    </row>
    <row r="56" spans="1:35" ht="18">
      <c r="A56" s="139"/>
      <c r="B56" s="117"/>
      <c r="C56" s="140"/>
      <c r="D56" s="74"/>
      <c r="E56" s="36"/>
      <c r="F56" s="36"/>
      <c r="G56" s="82"/>
      <c r="H56" s="36"/>
      <c r="I56" s="36"/>
      <c r="J56" s="82"/>
      <c r="K56" s="36"/>
      <c r="L56" s="36"/>
      <c r="M56" s="82"/>
      <c r="N56" s="41"/>
      <c r="O56" s="41"/>
      <c r="P56" s="82"/>
      <c r="Q56" s="41"/>
      <c r="R56" s="41"/>
      <c r="S56" s="82"/>
      <c r="T56" s="41"/>
      <c r="U56" s="41"/>
      <c r="V56" s="82"/>
      <c r="W56" s="36"/>
      <c r="X56" s="36"/>
      <c r="Y56" s="82"/>
      <c r="Z56" s="36"/>
      <c r="AA56" s="36"/>
      <c r="AB56" s="82"/>
      <c r="AC56" s="36"/>
      <c r="AD56" s="36"/>
      <c r="AE56" s="82"/>
      <c r="AF56" s="82"/>
    </row>
    <row r="57" spans="1:35" ht="18">
      <c r="A57" s="139"/>
      <c r="B57" s="117" t="s">
        <v>79</v>
      </c>
      <c r="C57" s="140"/>
      <c r="D57" s="59" t="s">
        <v>51</v>
      </c>
      <c r="E57" s="36"/>
      <c r="F57" s="36"/>
      <c r="H57" s="36"/>
      <c r="I57" s="36"/>
      <c r="K57" s="36"/>
      <c r="L57" s="36"/>
      <c r="N57" s="41"/>
      <c r="O57" s="41"/>
      <c r="Q57" s="41"/>
      <c r="R57" s="41"/>
      <c r="T57" s="41"/>
      <c r="U57" s="41"/>
      <c r="W57" s="36"/>
      <c r="X57" s="36"/>
      <c r="Z57" s="36"/>
      <c r="AA57" s="36"/>
      <c r="AC57" s="36"/>
      <c r="AD57" s="36"/>
    </row>
    <row r="58" spans="1:35" ht="18">
      <c r="A58" s="139"/>
      <c r="B58" s="117"/>
      <c r="C58" s="140"/>
      <c r="D58" s="61" t="s">
        <v>49</v>
      </c>
      <c r="E58" s="36"/>
      <c r="F58" s="36"/>
      <c r="H58" s="36"/>
      <c r="I58" s="36"/>
      <c r="K58" s="36"/>
      <c r="L58" s="36"/>
      <c r="N58" s="41"/>
      <c r="O58" s="41"/>
      <c r="Q58" s="41"/>
      <c r="R58" s="41"/>
      <c r="T58" s="41"/>
      <c r="U58" s="41"/>
      <c r="W58" s="36"/>
      <c r="X58" s="36"/>
      <c r="Z58" s="36"/>
      <c r="AA58" s="36"/>
      <c r="AC58" s="36"/>
      <c r="AD58" s="36"/>
    </row>
    <row r="59" spans="1:35" ht="18">
      <c r="A59" s="139"/>
      <c r="B59" s="117"/>
      <c r="C59" s="140"/>
      <c r="D59" s="61" t="s">
        <v>50</v>
      </c>
      <c r="E59" s="36"/>
      <c r="F59" s="36"/>
      <c r="H59" s="36"/>
      <c r="I59" s="36"/>
      <c r="K59" s="36"/>
      <c r="L59" s="36"/>
      <c r="N59" s="41"/>
      <c r="O59" s="41"/>
      <c r="Q59" s="41"/>
      <c r="R59" s="41"/>
      <c r="T59" s="41"/>
      <c r="U59" s="41"/>
      <c r="W59" s="36"/>
      <c r="X59" s="36"/>
      <c r="Z59" s="36"/>
      <c r="AA59" s="36"/>
      <c r="AC59" s="36"/>
      <c r="AD59" s="36"/>
    </row>
    <row r="60" spans="1:35" ht="18">
      <c r="A60" s="139"/>
      <c r="B60" s="117"/>
      <c r="C60" s="140"/>
      <c r="D60" s="59" t="s">
        <v>52</v>
      </c>
      <c r="E60" s="36"/>
      <c r="F60" s="36"/>
      <c r="H60" s="36"/>
      <c r="I60" s="36"/>
      <c r="K60" s="36"/>
      <c r="L60" s="36"/>
      <c r="N60" s="41"/>
      <c r="O60" s="41"/>
      <c r="Q60" s="41"/>
      <c r="R60" s="41"/>
      <c r="T60" s="41"/>
      <c r="U60" s="41"/>
      <c r="W60" s="36"/>
      <c r="X60" s="36"/>
      <c r="Z60" s="36"/>
      <c r="AA60" s="36"/>
      <c r="AC60" s="36"/>
      <c r="AD60" s="36"/>
    </row>
    <row r="61" spans="1:35" ht="18">
      <c r="A61" s="139"/>
      <c r="B61" s="117"/>
      <c r="C61" s="140"/>
      <c r="D61" s="59" t="s">
        <v>53</v>
      </c>
      <c r="E61" s="36"/>
      <c r="F61" s="36"/>
      <c r="H61" s="36"/>
      <c r="I61" s="36"/>
      <c r="K61" s="36"/>
      <c r="L61" s="36"/>
      <c r="N61" s="41"/>
      <c r="O61" s="41"/>
      <c r="Q61" s="41"/>
      <c r="R61" s="41"/>
      <c r="T61" s="41"/>
      <c r="U61" s="41"/>
      <c r="W61" s="36"/>
      <c r="X61" s="36"/>
      <c r="Z61" s="36"/>
      <c r="AA61" s="36"/>
      <c r="AC61" s="36"/>
      <c r="AD61" s="36"/>
    </row>
    <row r="62" spans="1:35" ht="18">
      <c r="A62" s="139"/>
      <c r="B62" s="117"/>
      <c r="C62" s="140"/>
      <c r="D62" s="74"/>
      <c r="E62" s="82"/>
      <c r="F62" s="82"/>
      <c r="G62" s="82"/>
      <c r="H62" s="82"/>
      <c r="I62" s="82"/>
      <c r="J62" s="82"/>
      <c r="K62" s="82"/>
      <c r="L62" s="82"/>
      <c r="M62" s="82"/>
      <c r="N62" s="81"/>
      <c r="O62" s="81"/>
      <c r="P62" s="82"/>
      <c r="Q62" s="81"/>
      <c r="R62" s="81"/>
      <c r="S62" s="82"/>
      <c r="T62" s="81"/>
      <c r="U62" s="81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</row>
    <row r="63" spans="1:35" ht="18">
      <c r="A63" s="117" t="s">
        <v>80</v>
      </c>
      <c r="B63" s="117" t="s">
        <v>79</v>
      </c>
      <c r="C63" s="117" t="s">
        <v>17</v>
      </c>
      <c r="D63" s="62" t="s">
        <v>51</v>
      </c>
      <c r="E63" s="36">
        <f>(1-defaultFit_Inclusive!$U63)*fitSyst_Inclusive!E63</f>
        <v>1211.47388376</v>
      </c>
      <c r="F63" s="36">
        <f>(1-defaultFit_Inclusive!$U63)*fitSyst_Inclusive!F63</f>
        <v>1135.99852016</v>
      </c>
      <c r="H63" s="36">
        <f>(1-defaultFit_Inclusive!$U63)*fitSyst_Inclusive!H63</f>
        <v>1180.6107096000001</v>
      </c>
      <c r="I63" s="36">
        <f>(1-defaultFit_Inclusive!$U63)*fitSyst_Inclusive!I63</f>
        <v>1103.7375171199999</v>
      </c>
      <c r="K63" s="36">
        <f>(1-defaultFit_Inclusive!$U63)*fitSyst_Inclusive!K63</f>
        <v>1219.032514</v>
      </c>
      <c r="L63" s="36">
        <f>(1-defaultFit_Inclusive!$U63)*fitSyst_Inclusive!L63</f>
        <v>1098.1240138400001</v>
      </c>
      <c r="N63" s="41"/>
      <c r="O63" s="41"/>
      <c r="Q63" s="41"/>
      <c r="R63" s="41"/>
      <c r="T63" s="41"/>
      <c r="U63" s="41"/>
      <c r="W63" s="36">
        <f>(1-defaultFit_Inclusive!$U63)*trgBiassing!E63</f>
        <v>1079.1904586400001</v>
      </c>
      <c r="X63" s="36">
        <f>(1-defaultFit_Inclusive!$U63)*trgBiassing!F63</f>
        <v>1046.6410147200002</v>
      </c>
      <c r="Z63" s="36">
        <f>(1-defaultFit_Inclusive!$U63)*trgBiassing!L63</f>
        <v>552.98998003200006</v>
      </c>
      <c r="AA63" s="36">
        <f>(1-defaultFit_Inclusive!$U63)*trgBiassing!M63</f>
        <v>555.61775040800001</v>
      </c>
      <c r="AC63" s="36">
        <f>(1-defaultFit_Inclusive!$U63)*epSystematic!E63</f>
        <v>1274.6276446400002</v>
      </c>
      <c r="AD63" s="36">
        <f>(1-defaultFit_Inclusive!$U63)*epSystematic!F63</f>
        <v>1125.3631872000001</v>
      </c>
    </row>
    <row r="64" spans="1:35" ht="18">
      <c r="A64" s="117"/>
      <c r="B64" s="117"/>
      <c r="C64" s="117"/>
      <c r="D64" s="63" t="s">
        <v>49</v>
      </c>
      <c r="E64" s="36">
        <f>(1-defaultFit_Inclusive!$U64)*fitSyst_Inclusive!E64</f>
        <v>317.26298365500003</v>
      </c>
      <c r="F64" s="36">
        <f>(1-defaultFit_Inclusive!$U64)*fitSyst_Inclusive!F64</f>
        <v>328.29206517900002</v>
      </c>
      <c r="H64" s="36">
        <f>(1-defaultFit_Inclusive!$U64)*fitSyst_Inclusive!H64</f>
        <v>310.94433116200003</v>
      </c>
      <c r="I64" s="36">
        <f>(1-defaultFit_Inclusive!$U64)*fitSyst_Inclusive!I64</f>
        <v>318.92353702800006</v>
      </c>
      <c r="K64" s="36">
        <f>(1-defaultFit_Inclusive!$U64)*fitSyst_Inclusive!K64</f>
        <v>320.99167407400006</v>
      </c>
      <c r="L64" s="36">
        <f>(1-defaultFit_Inclusive!$U64)*fitSyst_Inclusive!L64</f>
        <v>318.52406080600002</v>
      </c>
      <c r="N64" s="41"/>
      <c r="O64" s="41"/>
      <c r="Q64" s="41"/>
      <c r="R64" s="41"/>
      <c r="T64" s="41"/>
      <c r="U64" s="41"/>
      <c r="W64" s="36">
        <f>(1-defaultFit_Inclusive!$U64)*trgBiassing!E64</f>
        <v>273.77682761400001</v>
      </c>
      <c r="X64" s="36">
        <f>(1-defaultFit_Inclusive!$U64)*trgBiassing!F64</f>
        <v>296.59193176900004</v>
      </c>
      <c r="Z64" s="36">
        <f>(1-defaultFit_Inclusive!$U64)*trgBiassing!L64</f>
        <v>142.177420023</v>
      </c>
      <c r="AA64" s="36">
        <f>(1-defaultFit_Inclusive!$U64)*trgBiassing!M64</f>
        <v>153.598607359</v>
      </c>
      <c r="AC64" s="36">
        <f>(1-defaultFit_Inclusive!$U64)*epSystematic!E64</f>
        <v>329.93492956800003</v>
      </c>
      <c r="AD64" s="36">
        <f>(1-defaultFit_Inclusive!$U64)*epSystematic!F64</f>
        <v>324.98938445800002</v>
      </c>
      <c r="AE64" t="e">
        <f t="shared" si="0"/>
        <v>#DIV/0!</v>
      </c>
      <c r="AF64" t="e">
        <f>SQRT(POWER(F64/$F$68-AI64,2)+POWER(I64/$I$68-AI64,2)+POWER(L64/$L$68-AI64,2)+POWER(O64/$O$68-AI64,2)+POWER(R64/$R$68-AI64,2)+POWER(U64/$U$68-AI64,2)+POWER(X64/$X$68-AI64,2)+POWER(AA64/$AA$68-AI64,2)+POWER(AD64/$AD$68-AI64,2))/SQRT(9)</f>
        <v>#DIV/0!</v>
      </c>
      <c r="AH64">
        <f xml:space="preserve"> defaultFit_Prompt!E64/defaultFit_Prompt!$E$68</f>
        <v>0.26701518501761817</v>
      </c>
      <c r="AI64">
        <f xml:space="preserve"> defaultFit_Prompt!H64/defaultFit_Prompt!$H$68</f>
        <v>0.29179914994186601</v>
      </c>
    </row>
    <row r="65" spans="1:35" ht="18">
      <c r="A65" s="117"/>
      <c r="B65" s="117"/>
      <c r="C65" s="117"/>
      <c r="D65" s="63" t="s">
        <v>50</v>
      </c>
      <c r="E65" s="36">
        <f>(1-defaultFit_Inclusive!$U65)*fitSyst_Inclusive!E65</f>
        <v>322.80564167400001</v>
      </c>
      <c r="F65" s="36">
        <f>(1-defaultFit_Inclusive!$U65)*fitSyst_Inclusive!F65</f>
        <v>297.81236992699996</v>
      </c>
      <c r="H65" s="36">
        <f>(1-defaultFit_Inclusive!$U65)*fitSyst_Inclusive!H65</f>
        <v>313.20894009299997</v>
      </c>
      <c r="I65" s="36">
        <f>(1-defaultFit_Inclusive!$U65)*fitSyst_Inclusive!I65</f>
        <v>290.40579646999998</v>
      </c>
      <c r="K65" s="36">
        <f>(1-defaultFit_Inclusive!$U65)*fitSyst_Inclusive!K65</f>
        <v>329.74868383</v>
      </c>
      <c r="L65" s="36">
        <f>(1-defaultFit_Inclusive!$U65)*fitSyst_Inclusive!L65</f>
        <v>288.25995963999998</v>
      </c>
      <c r="N65" s="41"/>
      <c r="O65" s="41"/>
      <c r="Q65" s="41"/>
      <c r="R65" s="41"/>
      <c r="T65" s="41"/>
      <c r="U65" s="41"/>
      <c r="W65" s="36">
        <f>(1-defaultFit_Inclusive!$U65)*trgBiassing!E65</f>
        <v>291.20762161999994</v>
      </c>
      <c r="X65" s="36">
        <f>(1-defaultFit_Inclusive!$U65)*trgBiassing!F65</f>
        <v>279.247444954</v>
      </c>
      <c r="Z65" s="36">
        <f>(1-defaultFit_Inclusive!$U65)*trgBiassing!L65</f>
        <v>151.82597397399999</v>
      </c>
      <c r="AA65" s="36">
        <f>(1-defaultFit_Inclusive!$U65)*trgBiassing!M65</f>
        <v>145.337299403</v>
      </c>
      <c r="AC65" s="36">
        <f>(1-defaultFit_Inclusive!$U65)*epSystematic!E65</f>
        <v>350.22577087499997</v>
      </c>
      <c r="AD65" s="36">
        <f>(1-defaultFit_Inclusive!$U65)*epSystematic!F65</f>
        <v>294.72190670599997</v>
      </c>
      <c r="AE65" t="e">
        <f t="shared" si="0"/>
        <v>#DIV/0!</v>
      </c>
      <c r="AF65" t="e">
        <f t="shared" ref="AF65:AF67" si="14">SQRT(POWER(F65/$F$68-AI65,2)+POWER(I65/$I$68-AI65,2)+POWER(L65/$L$68-AI65,2)+POWER(O65/$O$68-AI65,2)+POWER(R65/$R$68-AI65,2)+POWER(U65/$U$68-AI65,2)+POWER(X65/$X$68-AI65,2)+POWER(AA65/$AA$68-AI65,2)+POWER(AD65/$AD$68-AI65,2))/SQRT(9)</f>
        <v>#DIV/0!</v>
      </c>
      <c r="AH65">
        <f xml:space="preserve"> defaultFit_Prompt!E65/defaultFit_Prompt!$E$68</f>
        <v>0.27050405993820442</v>
      </c>
      <c r="AI65">
        <f xml:space="preserve"> defaultFit_Prompt!H65/defaultFit_Prompt!$H$68</f>
        <v>0.26467185349533429</v>
      </c>
    </row>
    <row r="66" spans="1:35" ht="18">
      <c r="A66" s="117"/>
      <c r="B66" s="117"/>
      <c r="C66" s="117"/>
      <c r="D66" s="62" t="s">
        <v>52</v>
      </c>
      <c r="E66" s="36">
        <f>(1-defaultFit_Inclusive!$U66)*fitSyst_Inclusive!E66</f>
        <v>271.57299083999999</v>
      </c>
      <c r="F66" s="36">
        <f>(1-defaultFit_Inclusive!$U66)*fitSyst_Inclusive!F66</f>
        <v>246.83706719499997</v>
      </c>
      <c r="H66" s="36">
        <f>(1-defaultFit_Inclusive!$U66)*fitSyst_Inclusive!H66</f>
        <v>263.83532799</v>
      </c>
      <c r="I66" s="36">
        <f>(1-defaultFit_Inclusive!$U66)*fitSyst_Inclusive!I66</f>
        <v>240.46280724499999</v>
      </c>
      <c r="K66" s="36">
        <f>(1-defaultFit_Inclusive!$U66)*fitSyst_Inclusive!K66</f>
        <v>265.62321302999999</v>
      </c>
      <c r="L66" s="36">
        <f>(1-defaultFit_Inclusive!$U66)*fitSyst_Inclusive!L66</f>
        <v>239.65390170999999</v>
      </c>
      <c r="N66" s="41"/>
      <c r="O66" s="41"/>
      <c r="Q66" s="41"/>
      <c r="R66" s="41"/>
      <c r="T66" s="41"/>
      <c r="U66" s="41"/>
      <c r="W66" s="36">
        <f>(1-defaultFit_Inclusive!$U66)*trgBiassing!E66</f>
        <v>245.78640362000002</v>
      </c>
      <c r="X66" s="36">
        <f>(1-defaultFit_Inclusive!$U66)*trgBiassing!F66</f>
        <v>228.99897832500002</v>
      </c>
      <c r="Z66" s="36">
        <f>(1-defaultFit_Inclusive!$U66)*trgBiassing!L66</f>
        <v>116.61452061999999</v>
      </c>
      <c r="AA66" s="36">
        <f>(1-defaultFit_Inclusive!$U66)*trgBiassing!M66</f>
        <v>128.63636083</v>
      </c>
      <c r="AC66" s="36">
        <f>(1-defaultFit_Inclusive!$U66)*epSystematic!E66</f>
        <v>275.10870217499996</v>
      </c>
      <c r="AD66" s="36">
        <f>(1-defaultFit_Inclusive!$U66)*epSystematic!F66</f>
        <v>244.79969347999997</v>
      </c>
      <c r="AE66" t="e">
        <f t="shared" si="0"/>
        <v>#DIV/0!</v>
      </c>
      <c r="AF66" t="e">
        <f t="shared" si="14"/>
        <v>#DIV/0!</v>
      </c>
      <c r="AH66">
        <f xml:space="preserve"> defaultFit_Prompt!E66/defaultFit_Prompt!$E$68</f>
        <v>0.22654967993876793</v>
      </c>
      <c r="AI66">
        <f xml:space="preserve"> defaultFit_Prompt!H66/defaultFit_Prompt!$H$68</f>
        <v>0.21925434990453804</v>
      </c>
    </row>
    <row r="67" spans="1:35" ht="18">
      <c r="A67" s="117"/>
      <c r="B67" s="117"/>
      <c r="C67" s="117"/>
      <c r="D67" s="62" t="s">
        <v>53</v>
      </c>
      <c r="E67" s="36">
        <f>(1-defaultFit_Inclusive!$U67)*fitSyst_Inclusive!E67</f>
        <v>281.20071431700001</v>
      </c>
      <c r="F67" s="36">
        <f>(1-defaultFit_Inclusive!$U67)*fitSyst_Inclusive!F67</f>
        <v>252.80896106400002</v>
      </c>
      <c r="H67" s="36">
        <f>(1-defaultFit_Inclusive!$U67)*fitSyst_Inclusive!H67</f>
        <v>275.65415572300003</v>
      </c>
      <c r="I67" s="36">
        <f>(1-defaultFit_Inclusive!$U67)*fitSyst_Inclusive!I67</f>
        <v>245.33232488800004</v>
      </c>
      <c r="K67" s="36">
        <f>(1-defaultFit_Inclusive!$U67)*fitSyst_Inclusive!K67</f>
        <v>281.55582481900001</v>
      </c>
      <c r="L67" s="36">
        <f>(1-defaultFit_Inclusive!$U67)*fitSyst_Inclusive!L67</f>
        <v>244.97572856800002</v>
      </c>
      <c r="N67" s="41"/>
      <c r="O67" s="41"/>
      <c r="Q67" s="41"/>
      <c r="R67" s="41"/>
      <c r="T67" s="41"/>
      <c r="U67" s="41"/>
      <c r="W67" s="36">
        <f>(1-defaultFit_Inclusive!$U67)*trgBiassing!E67</f>
        <v>255.73156507000002</v>
      </c>
      <c r="X67" s="36">
        <f>(1-defaultFit_Inclusive!$U67)*trgBiassing!F67</f>
        <v>235.41969010100001</v>
      </c>
      <c r="Z67" s="36">
        <f>(1-defaultFit_Inclusive!$U67)*trgBiassing!L67</f>
        <v>137.94780057400001</v>
      </c>
      <c r="AA67" s="36">
        <f>(1-defaultFit_Inclusive!$U67)*trgBiassing!M67</f>
        <v>124.92089125900002</v>
      </c>
      <c r="AC67" s="36">
        <f>(1-defaultFit_Inclusive!$U67)*epSystematic!E67</f>
        <v>301.85804197100003</v>
      </c>
      <c r="AD67" s="36">
        <f>(1-defaultFit_Inclusive!$U67)*epSystematic!F67</f>
        <v>252.05119388400001</v>
      </c>
      <c r="AE67" t="e">
        <f t="shared" si="0"/>
        <v>#DIV/0!</v>
      </c>
      <c r="AF67" t="e">
        <f t="shared" si="14"/>
        <v>#DIV/0!</v>
      </c>
      <c r="AH67">
        <f xml:space="preserve"> defaultFit_Prompt!E67/defaultFit_Prompt!$E$68</f>
        <v>0.2359310751054095</v>
      </c>
      <c r="AI67">
        <f xml:space="preserve"> defaultFit_Prompt!H67/defaultFit_Prompt!$H$68</f>
        <v>0.22427464665826163</v>
      </c>
    </row>
    <row r="68" spans="1:35" ht="18">
      <c r="A68" s="117"/>
      <c r="B68" s="117"/>
      <c r="C68" s="117"/>
      <c r="D68" s="74"/>
      <c r="E68" s="82">
        <f xml:space="preserve"> SUM(E64:E67)</f>
        <v>1192.842330486</v>
      </c>
      <c r="F68" s="82">
        <f xml:space="preserve"> SUM(F64:F67)</f>
        <v>1125.7504633649999</v>
      </c>
      <c r="G68" s="82"/>
      <c r="H68" s="82">
        <f xml:space="preserve"> SUM(H64:H67)</f>
        <v>1163.642754968</v>
      </c>
      <c r="I68" s="82">
        <f xml:space="preserve"> SUM(I64:I67)</f>
        <v>1095.1244656310002</v>
      </c>
      <c r="J68" s="82"/>
      <c r="K68" s="82">
        <f xml:space="preserve"> SUM(K64:K67)</f>
        <v>1197.9193957530001</v>
      </c>
      <c r="L68" s="82">
        <f xml:space="preserve"> SUM(L64:L67)</f>
        <v>1091.413650724</v>
      </c>
      <c r="M68" s="82"/>
      <c r="N68" s="81"/>
      <c r="O68" s="81"/>
      <c r="P68" s="82"/>
      <c r="Q68" s="81"/>
      <c r="R68" s="81"/>
      <c r="S68" s="82"/>
      <c r="T68" s="81"/>
      <c r="U68" s="81"/>
      <c r="V68" s="82"/>
      <c r="W68" s="82">
        <f xml:space="preserve"> SUM(W64:W67)</f>
        <v>1066.5024179239999</v>
      </c>
      <c r="X68" s="82">
        <f xml:space="preserve"> SUM(X64:X67)</f>
        <v>1040.2580451490001</v>
      </c>
      <c r="Y68" s="82"/>
      <c r="Z68" s="82">
        <f xml:space="preserve"> SUM(Z64:Z67)</f>
        <v>548.56571519099998</v>
      </c>
      <c r="AA68" s="82">
        <f xml:space="preserve"> SUM(AA64:AA67)</f>
        <v>552.49315885099998</v>
      </c>
      <c r="AB68" s="82"/>
      <c r="AC68" s="82">
        <f xml:space="preserve"> SUM(AC64:AC67)</f>
        <v>1257.1274445889999</v>
      </c>
      <c r="AD68" s="82">
        <f xml:space="preserve"> SUM(AD64:AD67)</f>
        <v>1116.562178528</v>
      </c>
      <c r="AE68" s="82"/>
      <c r="AF68" s="82"/>
      <c r="AG68" s="82"/>
      <c r="AH68" s="82"/>
      <c r="AI68" s="82"/>
    </row>
    <row r="69" spans="1:35" ht="18">
      <c r="A69" s="117" t="s">
        <v>82</v>
      </c>
      <c r="B69" s="117" t="s">
        <v>79</v>
      </c>
      <c r="C69" s="117" t="s">
        <v>17</v>
      </c>
      <c r="D69" s="65" t="s">
        <v>51</v>
      </c>
      <c r="E69" s="36">
        <f>(1-defaultFit_Inclusive!$U69)*fitSyst_Inclusive!E69</f>
        <v>688.03619656800004</v>
      </c>
      <c r="F69" s="36">
        <f>(1-defaultFit_Inclusive!$U69)*fitSyst_Inclusive!F69</f>
        <v>652.90637657000002</v>
      </c>
      <c r="H69" s="36">
        <f>(1-defaultFit_Inclusive!$U69)*fitSyst_Inclusive!H69</f>
        <v>643.89899464799998</v>
      </c>
      <c r="I69" s="36">
        <f>(1-defaultFit_Inclusive!$U69)*fitSyst_Inclusive!I69</f>
        <v>650.46091558000001</v>
      </c>
      <c r="K69" s="36">
        <f>(1-defaultFit_Inclusive!$U69)*fitSyst_Inclusive!K69</f>
        <v>676.63963493000006</v>
      </c>
      <c r="L69" s="36">
        <f>(1-defaultFit_Inclusive!$U69)*fitSyst_Inclusive!L69</f>
        <v>657.77985928199996</v>
      </c>
      <c r="N69" s="41"/>
      <c r="O69" s="41"/>
      <c r="Q69" s="41"/>
      <c r="R69" s="41"/>
      <c r="T69" s="41"/>
      <c r="U69" s="41"/>
      <c r="W69" s="36">
        <f>(1-defaultFit_Inclusive!$U69)*trgBiassing!E69</f>
        <v>559.10055399800001</v>
      </c>
      <c r="X69" s="36">
        <f>(1-defaultFit_Inclusive!$U69)*trgBiassing!F69</f>
        <v>542.21934257399994</v>
      </c>
      <c r="Z69" s="36">
        <f>(1-defaultFit_Inclusive!$U69)*trgBiassing!L69</f>
        <v>322.987926464</v>
      </c>
      <c r="AA69" s="36">
        <f>(1-defaultFit_Inclusive!$U69)*trgBiassing!M69</f>
        <v>281.46265127400005</v>
      </c>
      <c r="AC69" s="36">
        <f>(1-defaultFit_Inclusive!$U69)*epSystematic!E69</f>
        <v>643.82448141199995</v>
      </c>
      <c r="AD69" s="36">
        <f>(1-defaultFit_Inclusive!$U69)*epSystematic!F69</f>
        <v>652.87308342200004</v>
      </c>
    </row>
    <row r="70" spans="1:35" ht="18">
      <c r="A70" s="117"/>
      <c r="B70" s="117"/>
      <c r="C70" s="117"/>
      <c r="D70" s="66" t="s">
        <v>49</v>
      </c>
      <c r="E70" s="36">
        <f>(1-defaultFit_Inclusive!$U70)*fitSyst_Inclusive!E70</f>
        <v>185.385899556</v>
      </c>
      <c r="F70" s="36">
        <f>(1-defaultFit_Inclusive!$U70)*fitSyst_Inclusive!F70</f>
        <v>217.39052665199998</v>
      </c>
      <c r="H70" s="36">
        <f>(1-defaultFit_Inclusive!$U70)*fitSyst_Inclusive!H70</f>
        <v>173.36210730799999</v>
      </c>
      <c r="I70" s="36">
        <f>(1-defaultFit_Inclusive!$U70)*fitSyst_Inclusive!I70</f>
        <v>216.47855886799996</v>
      </c>
      <c r="K70" s="36">
        <f>(1-defaultFit_Inclusive!$U70)*fitSyst_Inclusive!K70</f>
        <v>184.21172042000001</v>
      </c>
      <c r="L70" s="36">
        <f>(1-defaultFit_Inclusive!$U70)*fitSyst_Inclusive!L70</f>
        <v>214.80304482</v>
      </c>
      <c r="N70" s="41"/>
      <c r="O70" s="41"/>
      <c r="Q70" s="41"/>
      <c r="R70" s="41"/>
      <c r="T70" s="41"/>
      <c r="U70" s="41"/>
      <c r="W70" s="36">
        <f>(1-defaultFit_Inclusive!$U70)*trgBiassing!E70</f>
        <v>145.27086095600001</v>
      </c>
      <c r="X70" s="36">
        <f>(1-defaultFit_Inclusive!$U70)*trgBiassing!F70</f>
        <v>171.271837568</v>
      </c>
      <c r="Z70" s="36">
        <f>(1-defaultFit_Inclusive!$U70)*trgBiassing!L70</f>
        <v>73.785284975999986</v>
      </c>
      <c r="AA70" s="36">
        <f>(1-defaultFit_Inclusive!$U70)*trgBiassing!M70</f>
        <v>90.504144640000007</v>
      </c>
      <c r="AC70" s="36">
        <f>(1-defaultFit_Inclusive!$U70)*epSystematic!E70</f>
        <v>175.89681704399999</v>
      </c>
      <c r="AD70" s="36">
        <f>(1-defaultFit_Inclusive!$U70)*epSystematic!F70</f>
        <v>212.98817945599995</v>
      </c>
      <c r="AE70" t="e">
        <f>SQRT(POWER(E70/$E$74-AH70,2)+POWER(H70/$H$74-AH70,2)+POWER(K70/$K$74-AH70,2)+POWER(N70/$N$74-AH70,2)+POWER(Q70/$Q$74-AH70,2)+POWER(T70/$T$74-AH70,2)+POWER(W70/$W$74-AH70,2)+POWER(Z70/$Z$74-AH70,2)+POWER(AC70/$AC$74-AH70,2))/SQRT(9)</f>
        <v>#DIV/0!</v>
      </c>
      <c r="AF70" t="e">
        <f>SQRT(POWER(F70/$F$74-AI70,2)+POWER(I70/$I$74-AI70,2)+POWER(L70/$L$74-AI70,2)+POWER(O70/$O$74-AI70,2)+POWER(R70/$R$74-AI70,2)+POWER(U70/$U$74-AI70,2)+POWER(X70/$X$74-AI70,2)+POWER(AA70/$AA$74-AI70,2)+POWER(AD70/$AD$74-AI70,2))/SQRT(9)</f>
        <v>#DIV/0!</v>
      </c>
      <c r="AH70">
        <f xml:space="preserve"> defaultFit_Prompt!E70/defaultFit_Prompt!$E$74</f>
        <v>0.27294189599576041</v>
      </c>
      <c r="AI70">
        <f xml:space="preserve"> defaultFit_Prompt!H70/defaultFit_Prompt!$H$74</f>
        <v>0.33319728419967304</v>
      </c>
    </row>
    <row r="71" spans="1:35" ht="18">
      <c r="A71" s="117"/>
      <c r="B71" s="117"/>
      <c r="C71" s="117"/>
      <c r="D71" s="66" t="s">
        <v>50</v>
      </c>
      <c r="E71" s="36">
        <f>(1-defaultFit_Inclusive!$U71)*fitSyst_Inclusive!E71</f>
        <v>176.44604525099999</v>
      </c>
      <c r="F71" s="36">
        <f>(1-defaultFit_Inclusive!$U71)*fitSyst_Inclusive!F71</f>
        <v>143.88937670799999</v>
      </c>
      <c r="H71" s="36">
        <f>(1-defaultFit_Inclusive!$U71)*fitSyst_Inclusive!H71</f>
        <v>166.01430402899999</v>
      </c>
      <c r="I71" s="36">
        <f>(1-defaultFit_Inclusive!$U71)*fitSyst_Inclusive!I71</f>
        <v>143.27366230799998</v>
      </c>
      <c r="K71" s="36">
        <f>(1-defaultFit_Inclusive!$U71)*fitSyst_Inclusive!K71</f>
        <v>161.21327099499999</v>
      </c>
      <c r="L71" s="36">
        <f>(1-defaultFit_Inclusive!$U71)*fitSyst_Inclusive!L71</f>
        <v>142.73029434999998</v>
      </c>
      <c r="N71" s="41"/>
      <c r="O71" s="41"/>
      <c r="Q71" s="41"/>
      <c r="R71" s="41"/>
      <c r="T71" s="41"/>
      <c r="U71" s="41"/>
      <c r="W71" s="36">
        <f>(1-defaultFit_Inclusive!$U71)*trgBiassing!E71</f>
        <v>136.63857000499999</v>
      </c>
      <c r="X71" s="36">
        <f>(1-defaultFit_Inclusive!$U71)*trgBiassing!F71</f>
        <v>123.55848721999999</v>
      </c>
      <c r="Z71" s="36">
        <f>(1-defaultFit_Inclusive!$U71)*trgBiassing!L71</f>
        <v>75.927744807599993</v>
      </c>
      <c r="AA71" s="36">
        <f>(1-defaultFit_Inclusive!$U71)*trgBiassing!M71</f>
        <v>59.402586026000002</v>
      </c>
      <c r="AC71" s="36">
        <f>(1-defaultFit_Inclusive!$U71)*epSystematic!E71</f>
        <v>164.72823057599999</v>
      </c>
      <c r="AD71" s="36">
        <f>(1-defaultFit_Inclusive!$U71)*epSystematic!F71</f>
        <v>142.895767595</v>
      </c>
      <c r="AE71" t="e">
        <f t="shared" ref="AE71:AE73" si="15">SQRT(POWER(E71/$E$74-AH71,2)+POWER(H71/$H$74-AH71,2)+POWER(K71/$K$74-AH71,2)+POWER(N71/$N$74-AH71,2)+POWER(Q71/$Q$74-AH71,2)+POWER(T71/$T$74-AH71,2)+POWER(W71/$W$74-AH71,2)+POWER(Z71/$Z$74-AH71,2)+POWER(AC71/$AC$74-AH71,2))/SQRT(9)</f>
        <v>#DIV/0!</v>
      </c>
      <c r="AF71" t="e">
        <f t="shared" ref="AF71:AF73" si="16">SQRT(POWER(F71/$F$74-AI71,2)+POWER(I71/$I$74-AI71,2)+POWER(L71/$L$74-AI71,2)+POWER(O71/$O$74-AI71,2)+POWER(R71/$R$74-AI71,2)+POWER(U71/$U$74-AI71,2)+POWER(X71/$X$74-AI71,2)+POWER(AA71/$AA$74-AI71,2)+POWER(AD71/$AD$74-AI71,2))/SQRT(9)</f>
        <v>#DIV/0!</v>
      </c>
      <c r="AH71">
        <f xml:space="preserve"> defaultFit_Prompt!E71/defaultFit_Prompt!$E$74</f>
        <v>0.25986591818311255</v>
      </c>
      <c r="AI71">
        <f xml:space="preserve"> defaultFit_Prompt!H71/defaultFit_Prompt!$H$74</f>
        <v>0.22049305097701077</v>
      </c>
    </row>
    <row r="72" spans="1:35" ht="18">
      <c r="A72" s="117"/>
      <c r="B72" s="117"/>
      <c r="C72" s="117"/>
      <c r="D72" s="65" t="s">
        <v>52</v>
      </c>
      <c r="E72" s="36">
        <f>(1-defaultFit_Inclusive!$U72)*fitSyst_Inclusive!E72</f>
        <v>166.653713428</v>
      </c>
      <c r="F72" s="36">
        <f>(1-defaultFit_Inclusive!$U72)*fitSyst_Inclusive!F72</f>
        <v>150.973480077</v>
      </c>
      <c r="H72" s="36">
        <f>(1-defaultFit_Inclusive!$U72)*fitSyst_Inclusive!H72</f>
        <v>155.26150133100001</v>
      </c>
      <c r="I72" s="36">
        <f>(1-defaultFit_Inclusive!$U72)*fitSyst_Inclusive!I72</f>
        <v>150.54997180499998</v>
      </c>
      <c r="K72" s="36">
        <f>(1-defaultFit_Inclusive!$U72)*fitSyst_Inclusive!K72</f>
        <v>166.063368564</v>
      </c>
      <c r="L72" s="36">
        <f>(1-defaultFit_Inclusive!$U72)*fitSyst_Inclusive!L72</f>
        <v>154.02386257400002</v>
      </c>
      <c r="N72" s="41"/>
      <c r="O72" s="41"/>
      <c r="Q72" s="41"/>
      <c r="R72" s="41"/>
      <c r="T72" s="41"/>
      <c r="U72" s="41"/>
      <c r="W72" s="36">
        <f>(1-defaultFit_Inclusive!$U72)*trgBiassing!E72</f>
        <v>143.20354706399999</v>
      </c>
      <c r="X72" s="36">
        <f>(1-defaultFit_Inclusive!$U72)*trgBiassing!F72</f>
        <v>129.75796152699999</v>
      </c>
      <c r="Z72" s="36">
        <f>(1-defaultFit_Inclusive!$U72)*trgBiassing!L72</f>
        <v>85.746789397000001</v>
      </c>
      <c r="AA72" s="36">
        <f>(1-defaultFit_Inclusive!$U72)*trgBiassing!M72</f>
        <v>72.840455017699995</v>
      </c>
      <c r="AC72" s="36">
        <f>(1-defaultFit_Inclusive!$U72)*epSystematic!E72</f>
        <v>151.667295712</v>
      </c>
      <c r="AD72" s="36">
        <f>(1-defaultFit_Inclusive!$U72)*epSystematic!F72</f>
        <v>156.86088673699999</v>
      </c>
      <c r="AE72" t="e">
        <f t="shared" si="15"/>
        <v>#DIV/0!</v>
      </c>
      <c r="AF72" t="e">
        <f t="shared" si="16"/>
        <v>#DIV/0!</v>
      </c>
      <c r="AH72">
        <f xml:space="preserve"> defaultFit_Prompt!E72/defaultFit_Prompt!$E$74</f>
        <v>0.24595923095756525</v>
      </c>
      <c r="AI72">
        <f xml:space="preserve"> defaultFit_Prompt!H72/defaultFit_Prompt!$H$74</f>
        <v>0.23146943946012341</v>
      </c>
    </row>
    <row r="73" spans="1:35" ht="18">
      <c r="A73" s="117"/>
      <c r="B73" s="117"/>
      <c r="C73" s="117"/>
      <c r="D73" s="65" t="s">
        <v>53</v>
      </c>
      <c r="E73" s="36">
        <f>(1-defaultFit_Inclusive!$U73)*fitSyst_Inclusive!E73</f>
        <v>150.28292147399998</v>
      </c>
      <c r="F73" s="36">
        <f>(1-defaultFit_Inclusive!$U73)*fitSyst_Inclusive!F73</f>
        <v>140.203716912</v>
      </c>
      <c r="H73" s="36">
        <f>(1-defaultFit_Inclusive!$U73)*fitSyst_Inclusive!H73</f>
        <v>140.22144977400001</v>
      </c>
      <c r="I73" s="36">
        <f>(1-defaultFit_Inclusive!$U73)*fitSyst_Inclusive!I73</f>
        <v>139.62932638199999</v>
      </c>
      <c r="K73" s="36">
        <f>(1-defaultFit_Inclusive!$U73)*fitSyst_Inclusive!K73</f>
        <v>143.57296069199998</v>
      </c>
      <c r="L73" s="36">
        <f>(1-defaultFit_Inclusive!$U73)*fitSyst_Inclusive!L73</f>
        <v>147.13418197799999</v>
      </c>
      <c r="N73" s="41"/>
      <c r="O73" s="41"/>
      <c r="Q73" s="41"/>
      <c r="R73" s="41"/>
      <c r="T73" s="41"/>
      <c r="U73" s="41"/>
      <c r="W73" s="36">
        <f>(1-defaultFit_Inclusive!$U73)*trgBiassing!E73</f>
        <v>128.59023428999998</v>
      </c>
      <c r="X73" s="36">
        <f>(1-defaultFit_Inclusive!$U73)*trgBiassing!F73</f>
        <v>117.49640162399999</v>
      </c>
      <c r="Z73" s="36">
        <f>(1-defaultFit_Inclusive!$U73)*trgBiassing!L73</f>
        <v>83.712986532000002</v>
      </c>
      <c r="AA73" s="36">
        <f>(1-defaultFit_Inclusive!$U73)*trgBiassing!M73</f>
        <v>58.295473135199998</v>
      </c>
      <c r="AC73" s="36">
        <f>(1-defaultFit_Inclusive!$U73)*epSystematic!E73</f>
        <v>142.740287172</v>
      </c>
      <c r="AD73" s="36">
        <f>(1-defaultFit_Inclusive!$U73)*epSystematic!F73</f>
        <v>139.58846370000001</v>
      </c>
      <c r="AE73" t="e">
        <f t="shared" si="15"/>
        <v>#DIV/0!</v>
      </c>
      <c r="AF73" t="e">
        <f t="shared" si="16"/>
        <v>#DIV/0!</v>
      </c>
      <c r="AH73">
        <f xml:space="preserve"> defaultFit_Prompt!E73/defaultFit_Prompt!$E$74</f>
        <v>0.22123295486356176</v>
      </c>
      <c r="AI73">
        <f xml:space="preserve"> defaultFit_Prompt!H73/defaultFit_Prompt!$H$74</f>
        <v>0.21484022536319278</v>
      </c>
    </row>
    <row r="74" spans="1:35" ht="18">
      <c r="A74" s="117"/>
      <c r="B74" s="117"/>
      <c r="C74" s="117"/>
      <c r="D74" s="74"/>
      <c r="E74" s="82">
        <f xml:space="preserve"> SUM(E70:E73)</f>
        <v>678.76857970900005</v>
      </c>
      <c r="F74" s="82">
        <f xml:space="preserve"> SUM(F70:F73)</f>
        <v>652.45710034899992</v>
      </c>
      <c r="G74" s="82"/>
      <c r="H74" s="82">
        <f xml:space="preserve"> SUM(H70:H73)</f>
        <v>634.85936244200002</v>
      </c>
      <c r="I74" s="82">
        <f xml:space="preserve"> SUM(I70:I73)</f>
        <v>649.93151936299989</v>
      </c>
      <c r="J74" s="82"/>
      <c r="K74" s="82">
        <f xml:space="preserve"> SUM(K70:K73)</f>
        <v>655.06132067099998</v>
      </c>
      <c r="L74" s="82">
        <f xml:space="preserve"> SUM(L70:L73)</f>
        <v>658.69138372199996</v>
      </c>
      <c r="M74" s="82"/>
      <c r="N74" s="81"/>
      <c r="O74" s="81"/>
      <c r="P74" s="82"/>
      <c r="Q74" s="81"/>
      <c r="R74" s="81"/>
      <c r="S74" s="82"/>
      <c r="T74" s="81"/>
      <c r="U74" s="81"/>
      <c r="V74" s="82"/>
      <c r="W74" s="82">
        <f xml:space="preserve"> SUM(W70:W73)</f>
        <v>553.70321231499997</v>
      </c>
      <c r="X74" s="82">
        <f xml:space="preserve"> SUM(X70:X73)</f>
        <v>542.08468793899999</v>
      </c>
      <c r="Y74" s="82"/>
      <c r="Z74" s="82">
        <f xml:space="preserve"> SUM(Z70:Z73)</f>
        <v>319.1728057126</v>
      </c>
      <c r="AA74" s="82">
        <f xml:space="preserve"> SUM(AA70:AA73)</f>
        <v>281.04265881890001</v>
      </c>
      <c r="AB74" s="82"/>
      <c r="AC74" s="82">
        <f xml:space="preserve"> SUM(AC70:AC73)</f>
        <v>635.03263050399994</v>
      </c>
      <c r="AD74" s="82">
        <f xml:space="preserve"> SUM(AD70:AD73)</f>
        <v>652.33329748799997</v>
      </c>
      <c r="AE74" s="82"/>
      <c r="AF74" s="82"/>
      <c r="AG74" s="82"/>
      <c r="AH74" s="82"/>
      <c r="AI74" s="82"/>
    </row>
    <row r="75" spans="1:35" ht="18">
      <c r="A75" s="117" t="s">
        <v>81</v>
      </c>
      <c r="B75" s="117" t="s">
        <v>83</v>
      </c>
      <c r="C75" s="117" t="s">
        <v>17</v>
      </c>
      <c r="D75" s="68" t="s">
        <v>51</v>
      </c>
      <c r="E75" s="36">
        <f>(1-defaultFit_Inclusive!$U75)*fitSyst_Inclusive!E75</f>
        <v>1435.7220423700001</v>
      </c>
      <c r="F75" s="36">
        <f>(1-defaultFit_Inclusive!$U75)*fitSyst_Inclusive!F75</f>
        <v>1510.8662990400001</v>
      </c>
      <c r="H75" s="36">
        <f>(1-defaultFit_Inclusive!$U75)*fitSyst_Inclusive!H75</f>
        <v>1530.3269826599999</v>
      </c>
      <c r="I75" s="36">
        <f>(1-defaultFit_Inclusive!$U75)*fitSyst_Inclusive!I75</f>
        <v>1551.2643577199999</v>
      </c>
      <c r="K75" s="36">
        <f>(1-defaultFit_Inclusive!$U75)*fitSyst_Inclusive!K75</f>
        <v>1465.3086101499998</v>
      </c>
      <c r="L75" s="36">
        <f>(1-defaultFit_Inclusive!$U75)*fitSyst_Inclusive!L75</f>
        <v>1524.1389423399999</v>
      </c>
      <c r="N75" s="41"/>
      <c r="O75" s="41"/>
      <c r="Q75" s="41"/>
      <c r="R75" s="41"/>
      <c r="T75" s="41"/>
      <c r="U75" s="41"/>
      <c r="W75" s="36">
        <f>(1-defaultFit_Inclusive!$U75)*trgBiassing!E75</f>
        <v>1242.1084569599998</v>
      </c>
      <c r="X75" s="36">
        <f>(1-defaultFit_Inclusive!$U75)*trgBiassing!F75</f>
        <v>1273.00470941</v>
      </c>
      <c r="Z75" s="36">
        <f>(1-defaultFit_Inclusive!$U75)*trgBiassing!L75</f>
        <v>694.31658254699994</v>
      </c>
      <c r="AA75" s="36">
        <f>(1-defaultFit_Inclusive!$U75)*trgBiassing!M75</f>
        <v>721.98872535299995</v>
      </c>
      <c r="AC75" s="36">
        <f>(1-defaultFit_Inclusive!$U75)*epSystematic!E75</f>
        <v>1448.3618179099999</v>
      </c>
      <c r="AD75" s="36">
        <f>(1-defaultFit_Inclusive!$U75)*epSystematic!F75</f>
        <v>1504.6870485499999</v>
      </c>
    </row>
    <row r="76" spans="1:35" ht="18">
      <c r="A76" s="117"/>
      <c r="B76" s="117"/>
      <c r="C76" s="117"/>
      <c r="D76" s="69" t="s">
        <v>49</v>
      </c>
      <c r="E76" s="36">
        <f>(1-defaultFit_Inclusive!$U76)*fitSyst_Inclusive!E76</f>
        <v>408.67665823250002</v>
      </c>
      <c r="F76" s="36">
        <f>(1-defaultFit_Inclusive!$U76)*fitSyst_Inclusive!F76</f>
        <v>454.08009655000001</v>
      </c>
      <c r="H76" s="36">
        <f>(1-defaultFit_Inclusive!$U76)*fitSyst_Inclusive!H76</f>
        <v>434.74151038999997</v>
      </c>
      <c r="I76" s="36">
        <f>(1-defaultFit_Inclusive!$U76)*fitSyst_Inclusive!I76</f>
        <v>464.69748502750002</v>
      </c>
      <c r="K76" s="36">
        <f>(1-defaultFit_Inclusive!$U76)*fitSyst_Inclusive!K76</f>
        <v>426.24247971</v>
      </c>
      <c r="L76" s="36">
        <f>(1-defaultFit_Inclusive!$U76)*fitSyst_Inclusive!L76</f>
        <v>446.52550419749997</v>
      </c>
      <c r="N76" s="41"/>
      <c r="O76" s="41"/>
      <c r="Q76" s="41"/>
      <c r="R76" s="41"/>
      <c r="T76" s="41"/>
      <c r="U76" s="41"/>
      <c r="W76" s="36">
        <f>(1-defaultFit_Inclusive!$U76)*trgBiassing!E76</f>
        <v>357.63858931250002</v>
      </c>
      <c r="X76" s="36">
        <f>(1-defaultFit_Inclusive!$U76)*trgBiassing!F76</f>
        <v>389.99817320750003</v>
      </c>
      <c r="Z76" s="36">
        <f>(1-defaultFit_Inclusive!$U76)*trgBiassing!L76</f>
        <v>201.740438015</v>
      </c>
      <c r="AA76" s="36">
        <f>(1-defaultFit_Inclusive!$U76)*trgBiassing!M76</f>
        <v>211.20310664000002</v>
      </c>
      <c r="AC76" s="36">
        <f>(1-defaultFit_Inclusive!$U76)*epSystematic!E76</f>
        <v>410.69261807000004</v>
      </c>
      <c r="AD76" s="36">
        <f>(1-defaultFit_Inclusive!$U76)*epSystematic!F76</f>
        <v>448.65391893750001</v>
      </c>
      <c r="AE76" t="e">
        <f>SQRT(POWER(E76/$E$80-AH76,2)+POWER(H76/$H$80-AH76,2)+POWER(K76/$K$80-AH76,2)+POWER(N76/$N$80-AH76,2)+POWER(Q76/$Q$80-AH76,2)+POWER(T76/$T$80-AH76,2)+POWER(W76/$W$80-AH76,2)+POWER(Z76/$Z$80-AH76,2)+POWER(AC76/$AC$80-AH76,2))/SQRT(9)</f>
        <v>#DIV/0!</v>
      </c>
      <c r="AF76" t="e">
        <f>SQRT(POWER(F76/$F$80-AI76,2)+POWER(I76/$I$80-AI76,2)+POWER(L76/$L$80-AI76,2)+POWER(O76/$O$80-AI76,2)+POWER(R76/$R$80-AI76,2)+POWER(U76/$U$80-AI76,2)+POWER(X76/$X$80-AI76,2)+POWER(AA76/$AA$80-AI76,2)+POWER(AD76/$AD$80-AI76,2))/SQRT(9)</f>
        <v>#DIV/0!</v>
      </c>
      <c r="AH76">
        <f xml:space="preserve"> defaultFit_Prompt!E76/defaultFit_Prompt!$E$80</f>
        <v>0.28385274093407059</v>
      </c>
      <c r="AI76">
        <f xml:space="preserve"> defaultFit_Prompt!H76/defaultFit_Prompt!$H$80</f>
        <v>0.26900303787905466</v>
      </c>
    </row>
    <row r="77" spans="1:35" ht="18">
      <c r="A77" s="117"/>
      <c r="B77" s="117"/>
      <c r="C77" s="117"/>
      <c r="D77" s="69" t="s">
        <v>50</v>
      </c>
      <c r="E77" s="36">
        <f>(1-defaultFit_Inclusive!$U77)*fitSyst_Inclusive!E77</f>
        <v>332.22819070100002</v>
      </c>
      <c r="F77" s="36">
        <f>(1-defaultFit_Inclusive!$U77)*fitSyst_Inclusive!F77</f>
        <v>351.09553436499999</v>
      </c>
      <c r="H77" s="36">
        <f>(1-defaultFit_Inclusive!$U77)*fitSyst_Inclusive!H77</f>
        <v>355.24897968200003</v>
      </c>
      <c r="I77" s="36">
        <f>(1-defaultFit_Inclusive!$U77)*fitSyst_Inclusive!I77</f>
        <v>361.23906170800001</v>
      </c>
      <c r="K77" s="36">
        <f>(1-defaultFit_Inclusive!$U77)*fitSyst_Inclusive!K77</f>
        <v>346.42113998600001</v>
      </c>
      <c r="L77" s="36">
        <f>(1-defaultFit_Inclusive!$U77)*fitSyst_Inclusive!L77</f>
        <v>358.200746971</v>
      </c>
      <c r="N77" s="41"/>
      <c r="O77" s="41"/>
      <c r="Q77" s="41"/>
      <c r="R77" s="41"/>
      <c r="T77" s="41"/>
      <c r="U77" s="41"/>
      <c r="W77" s="36">
        <f>(1-defaultFit_Inclusive!$U77)*trgBiassing!E77</f>
        <v>294.72734792</v>
      </c>
      <c r="X77" s="36">
        <f>(1-defaultFit_Inclusive!$U77)*trgBiassing!F77</f>
        <v>300.76153585700001</v>
      </c>
      <c r="Z77" s="36">
        <f>(1-defaultFit_Inclusive!$U77)*trgBiassing!L77</f>
        <v>163.04124485300002</v>
      </c>
      <c r="AA77" s="36">
        <f>(1-defaultFit_Inclusive!$U77)*trgBiassing!M77</f>
        <v>181.63895992900001</v>
      </c>
      <c r="AC77" s="36">
        <f>(1-defaultFit_Inclusive!$U77)*epSystematic!E77</f>
        <v>333.20850698700002</v>
      </c>
      <c r="AD77" s="36">
        <f>(1-defaultFit_Inclusive!$U77)*epSystematic!F77</f>
        <v>352.66171029899999</v>
      </c>
      <c r="AE77" t="e">
        <f t="shared" ref="AE77:AE79" si="17">SQRT(POWER(E77/$E$80-AH77,2)+POWER(H77/$H$80-AH77,2)+POWER(K77/$K$80-AH77,2)+POWER(N77/$N$80-AH77,2)+POWER(Q77/$Q$80-AH77,2)+POWER(T77/$T$80-AH77,2)+POWER(W77/$W$80-AH77,2)+POWER(Z77/$Z$80-AH77,2)+POWER(AC77/$AC$80-AH77,2))/SQRT(9)</f>
        <v>#DIV/0!</v>
      </c>
      <c r="AF77" t="e">
        <f t="shared" ref="AF77:AF79" si="18">SQRT(POWER(F77/$F$80-AI77,2)+POWER(I77/$I$80-AI77,2)+POWER(L77/$L$80-AI77,2)+POWER(O77/$O$80-AI77,2)+POWER(R77/$R$80-AI77,2)+POWER(U77/$U$80-AI77,2)+POWER(X77/$X$80-AI77,2)+POWER(AA77/$AA$80-AI77,2)+POWER(AD77/$AD$80-AI77,2))/SQRT(9)</f>
        <v>#DIV/0!</v>
      </c>
      <c r="AH77">
        <f xml:space="preserve"> defaultFit_Prompt!E77/defaultFit_Prompt!$E$80</f>
        <v>0.23077623239018918</v>
      </c>
      <c r="AI77">
        <f xml:space="preserve"> defaultFit_Prompt!H77/defaultFit_Prompt!$H$80</f>
        <v>0.24163019887803891</v>
      </c>
    </row>
    <row r="78" spans="1:35" ht="18">
      <c r="A78" s="117"/>
      <c r="B78" s="117"/>
      <c r="C78" s="117"/>
      <c r="D78" s="68" t="s">
        <v>52</v>
      </c>
      <c r="E78" s="36">
        <f>(1-defaultFit_Inclusive!$U78)*fitSyst_Inclusive!E78</f>
        <v>331.03355462500002</v>
      </c>
      <c r="F78" s="36">
        <f>(1-defaultFit_Inclusive!$U78)*fitSyst_Inclusive!F78</f>
        <v>354.99933343000004</v>
      </c>
      <c r="H78" s="36">
        <f>(1-defaultFit_Inclusive!$U78)*fitSyst_Inclusive!H78</f>
        <v>352.57335781</v>
      </c>
      <c r="I78" s="36">
        <f>(1-defaultFit_Inclusive!$U78)*fitSyst_Inclusive!I78</f>
        <v>364.35010991000001</v>
      </c>
      <c r="K78" s="36">
        <f>(1-defaultFit_Inclusive!$U78)*fitSyst_Inclusive!K78</f>
        <v>357.10219876000002</v>
      </c>
      <c r="L78" s="36">
        <f>(1-defaultFit_Inclusive!$U78)*fitSyst_Inclusive!L78</f>
        <v>352.10016897000003</v>
      </c>
      <c r="N78" s="41"/>
      <c r="O78" s="41"/>
      <c r="Q78" s="41"/>
      <c r="R78" s="41"/>
      <c r="T78" s="41"/>
      <c r="U78" s="41"/>
      <c r="W78" s="36">
        <f>(1-defaultFit_Inclusive!$U78)*trgBiassing!E78</f>
        <v>282.57319082999999</v>
      </c>
      <c r="X78" s="36">
        <f>(1-defaultFit_Inclusive!$U78)*trgBiassing!F78</f>
        <v>284.66634519499996</v>
      </c>
      <c r="Z78" s="36">
        <f>(1-defaultFit_Inclusive!$U78)*trgBiassing!L78</f>
        <v>146.37072700000002</v>
      </c>
      <c r="AA78" s="36">
        <f>(1-defaultFit_Inclusive!$U78)*trgBiassing!M78</f>
        <v>154.479382775</v>
      </c>
      <c r="AC78" s="36">
        <f>(1-defaultFit_Inclusive!$U78)*epSystematic!E78</f>
        <v>343.27025334000001</v>
      </c>
      <c r="AD78" s="36">
        <f>(1-defaultFit_Inclusive!$U78)*epSystematic!F78</f>
        <v>358.06181866500003</v>
      </c>
      <c r="AE78" t="e">
        <f t="shared" si="17"/>
        <v>#DIV/0!</v>
      </c>
      <c r="AF78" t="e">
        <f t="shared" si="18"/>
        <v>#DIV/0!</v>
      </c>
      <c r="AH78">
        <f xml:space="preserve"> defaultFit_Prompt!E78/defaultFit_Prompt!$E$80</f>
        <v>0.22932409639148887</v>
      </c>
      <c r="AI78">
        <f xml:space="preserve"> defaultFit_Prompt!H78/defaultFit_Prompt!$H$80</f>
        <v>0.24054963483873976</v>
      </c>
    </row>
    <row r="79" spans="1:35" ht="18">
      <c r="A79" s="117"/>
      <c r="B79" s="117"/>
      <c r="C79" s="117"/>
      <c r="D79" s="68" t="s">
        <v>53</v>
      </c>
      <c r="E79" s="36">
        <f>(1-defaultFit_Inclusive!$U79)*fitSyst_Inclusive!E79</f>
        <v>369.52327691100004</v>
      </c>
      <c r="F79" s="36">
        <f>(1-defaultFit_Inclusive!$U79)*fitSyst_Inclusive!F79</f>
        <v>357.57764182800003</v>
      </c>
      <c r="H79" s="36">
        <f>(1-defaultFit_Inclusive!$U79)*fitSyst_Inclusive!H79</f>
        <v>394.96416863400003</v>
      </c>
      <c r="I79" s="36">
        <f>(1-defaultFit_Inclusive!$U79)*fitSyst_Inclusive!I79</f>
        <v>368.15760000900002</v>
      </c>
      <c r="K79" s="36">
        <f>(1-defaultFit_Inclusive!$U79)*fitSyst_Inclusive!K79</f>
        <v>401.88946057200002</v>
      </c>
      <c r="L79" s="36">
        <f>(1-defaultFit_Inclusive!$U79)*fitSyst_Inclusive!L79</f>
        <v>378.45132236100005</v>
      </c>
      <c r="N79" s="41"/>
      <c r="O79" s="41"/>
      <c r="Q79" s="41"/>
      <c r="R79" s="41"/>
      <c r="T79" s="41"/>
      <c r="U79" s="41"/>
      <c r="W79" s="36">
        <f>(1-defaultFit_Inclusive!$U79)*trgBiassing!E79</f>
        <v>312.50222844300004</v>
      </c>
      <c r="X79" s="36">
        <f>(1-defaultFit_Inclusive!$U79)*trgBiassing!F79</f>
        <v>303.691728114</v>
      </c>
      <c r="Z79" s="36">
        <f>(1-defaultFit_Inclusive!$U79)*trgBiassing!L79</f>
        <v>186.99185523599999</v>
      </c>
      <c r="AA79" s="36">
        <f>(1-defaultFit_Inclusive!$U79)*trgBiassing!M79</f>
        <v>177.05256282900001</v>
      </c>
      <c r="AC79" s="36">
        <f>(1-defaultFit_Inclusive!$U79)*epSystematic!E79</f>
        <v>367.63358206499998</v>
      </c>
      <c r="AD79" s="36">
        <f>(1-defaultFit_Inclusive!$U79)*epSystematic!F79</f>
        <v>351.97944327900001</v>
      </c>
      <c r="AE79" t="e">
        <f t="shared" si="17"/>
        <v>#DIV/0!</v>
      </c>
      <c r="AF79" t="e">
        <f t="shared" si="18"/>
        <v>#DIV/0!</v>
      </c>
      <c r="AH79">
        <f xml:space="preserve"> defaultFit_Prompt!E79/defaultFit_Prompt!$E$80</f>
        <v>0.25604693028425135</v>
      </c>
      <c r="AI79">
        <f xml:space="preserve"> defaultFit_Prompt!H79/defaultFit_Prompt!$H$80</f>
        <v>0.24881712840416664</v>
      </c>
    </row>
    <row r="80" spans="1:35" ht="18">
      <c r="A80" s="117"/>
      <c r="B80" s="117"/>
      <c r="C80" s="117"/>
      <c r="D80" s="74"/>
      <c r="E80" s="82">
        <f xml:space="preserve"> SUM(E76:E79)</f>
        <v>1441.4616804695002</v>
      </c>
      <c r="F80" s="82">
        <f xml:space="preserve"> SUM(F76:F79)</f>
        <v>1517.752606173</v>
      </c>
      <c r="G80" s="82"/>
      <c r="H80" s="82">
        <f xml:space="preserve"> SUM(H76:H79)</f>
        <v>1537.5280165160002</v>
      </c>
      <c r="I80" s="82">
        <f xml:space="preserve"> SUM(I76:I79)</f>
        <v>1558.4442566544999</v>
      </c>
      <c r="J80" s="82"/>
      <c r="K80" s="82">
        <f xml:space="preserve"> SUM(K76:K79)</f>
        <v>1531.655279028</v>
      </c>
      <c r="L80" s="82">
        <f xml:space="preserve"> SUM(L76:L79)</f>
        <v>1535.2777424995002</v>
      </c>
      <c r="M80" s="82"/>
      <c r="N80" s="81"/>
      <c r="O80" s="81"/>
      <c r="P80" s="82"/>
      <c r="Q80" s="81"/>
      <c r="R80" s="81"/>
      <c r="S80" s="82"/>
      <c r="T80" s="81"/>
      <c r="U80" s="81"/>
      <c r="V80" s="82"/>
      <c r="W80" s="82">
        <f xml:space="preserve"> SUM(W76:W79)</f>
        <v>1247.4413565055002</v>
      </c>
      <c r="X80" s="82">
        <f xml:space="preserve"> SUM(X76:X79)</f>
        <v>1279.1177823734999</v>
      </c>
      <c r="Y80" s="82"/>
      <c r="Z80" s="82">
        <f xml:space="preserve"> SUM(Z76:Z79)</f>
        <v>698.14426510400006</v>
      </c>
      <c r="AA80" s="82">
        <f xml:space="preserve"> SUM(AA76:AA79)</f>
        <v>724.37401217299998</v>
      </c>
      <c r="AB80" s="82"/>
      <c r="AC80" s="82">
        <f xml:space="preserve"> SUM(AC76:AC79)</f>
        <v>1454.8049604620001</v>
      </c>
      <c r="AD80" s="82">
        <f xml:space="preserve"> SUM(AD76:AD79)</f>
        <v>1511.3568911805</v>
      </c>
      <c r="AE80" s="82"/>
      <c r="AF80" s="82"/>
      <c r="AG80" s="82"/>
      <c r="AH80" s="82"/>
      <c r="AI80" s="82"/>
    </row>
    <row r="81" spans="1:35" ht="18">
      <c r="A81" s="117"/>
      <c r="B81" s="117" t="s">
        <v>79</v>
      </c>
      <c r="C81" s="117" t="s">
        <v>17</v>
      </c>
      <c r="D81" s="70" t="s">
        <v>51</v>
      </c>
      <c r="E81" s="36">
        <f>(1-defaultFit_Inclusive!$U81)*fitSyst_Inclusive!E81</f>
        <v>756.05727022400004</v>
      </c>
      <c r="F81" s="36">
        <f>(1-defaultFit_Inclusive!$U81)*fitSyst_Inclusive!F81</f>
        <v>747.56976388099997</v>
      </c>
      <c r="H81" s="36">
        <f>(1-defaultFit_Inclusive!$U81)*fitSyst_Inclusive!H81</f>
        <v>756.94901273799996</v>
      </c>
      <c r="I81" s="36">
        <f>(1-defaultFit_Inclusive!$U81)*fitSyst_Inclusive!I81</f>
        <v>698.14425706299994</v>
      </c>
      <c r="K81" s="36">
        <f>(1-defaultFit_Inclusive!$U81)*fitSyst_Inclusive!K81</f>
        <v>752.45201426400001</v>
      </c>
      <c r="L81" s="36">
        <f>(1-defaultFit_Inclusive!$U81)*fitSyst_Inclusive!L81</f>
        <v>698.31574600799991</v>
      </c>
      <c r="N81" s="41"/>
      <c r="O81" s="41"/>
      <c r="Q81" s="41"/>
      <c r="R81" s="41"/>
      <c r="T81" s="41"/>
      <c r="U81" s="41"/>
      <c r="W81" s="36">
        <f>(1-defaultFit_Inclusive!$U81)*trgBiassing!E81</f>
        <v>635.901746258</v>
      </c>
      <c r="X81" s="36">
        <f>(1-defaultFit_Inclusive!$U81)*trgBiassing!F81</f>
        <v>625.57332603099997</v>
      </c>
      <c r="Z81" s="36">
        <f>(1-defaultFit_Inclusive!$U81)*trgBiassing!L81</f>
        <v>389.69865722499998</v>
      </c>
      <c r="AA81" s="36">
        <f>(1-defaultFit_Inclusive!$U81)*trgBiassing!M81</f>
        <v>363.86125538599998</v>
      </c>
      <c r="AC81" s="36">
        <f>(1-defaultFit_Inclusive!$U81)*epSystematic!E81</f>
        <v>762.31940839699996</v>
      </c>
      <c r="AD81" s="36">
        <f>(1-defaultFit_Inclusive!$U81)*epSystematic!F81</f>
        <v>702.24483690600005</v>
      </c>
    </row>
    <row r="82" spans="1:35" ht="18">
      <c r="A82" s="117"/>
      <c r="B82" s="117"/>
      <c r="C82" s="117"/>
      <c r="D82" s="71" t="s">
        <v>49</v>
      </c>
      <c r="E82" s="36">
        <f>(1-defaultFit_Inclusive!$U82)*fitSyst_Inclusive!E82</f>
        <v>219.50175549000002</v>
      </c>
      <c r="F82" s="36">
        <f>(1-defaultFit_Inclusive!$U82)*fitSyst_Inclusive!F82</f>
        <v>203.07800679500002</v>
      </c>
      <c r="H82" s="36">
        <f>(1-defaultFit_Inclusive!$U82)*fitSyst_Inclusive!H82</f>
        <v>218.64721119500001</v>
      </c>
      <c r="I82" s="36">
        <f>(1-defaultFit_Inclusive!$U82)*fitSyst_Inclusive!I82</f>
        <v>189.87061226</v>
      </c>
      <c r="K82" s="36">
        <f>(1-defaultFit_Inclusive!$U82)*fitSyst_Inclusive!K82</f>
        <v>213.93640562500002</v>
      </c>
      <c r="L82" s="36">
        <f>(1-defaultFit_Inclusive!$U82)*fitSyst_Inclusive!L82</f>
        <v>188.88552371000003</v>
      </c>
      <c r="N82" s="41"/>
      <c r="O82" s="41"/>
      <c r="Q82" s="41"/>
      <c r="R82" s="41"/>
      <c r="T82" s="41"/>
      <c r="U82" s="41"/>
      <c r="W82" s="36">
        <f>(1-defaultFit_Inclusive!$U82)*trgBiassing!E82</f>
        <v>173.281881255</v>
      </c>
      <c r="X82" s="36">
        <f>(1-defaultFit_Inclusive!$U82)*trgBiassing!F82</f>
        <v>160.63030091000002</v>
      </c>
      <c r="Z82" s="36">
        <f>(1-defaultFit_Inclusive!$U82)*trgBiassing!L82</f>
        <v>111.240523845</v>
      </c>
      <c r="AA82" s="36">
        <f>(1-defaultFit_Inclusive!$U82)*trgBiassing!M82</f>
        <v>85.169314440000008</v>
      </c>
      <c r="AC82" s="36">
        <f>(1-defaultFit_Inclusive!$U82)*epSystematic!E82</f>
        <v>227.55465416500004</v>
      </c>
      <c r="AD82" s="36">
        <f>(1-defaultFit_Inclusive!$U82)*epSystematic!F82</f>
        <v>194.43245322000001</v>
      </c>
      <c r="AE82" t="e">
        <f>SQRT(POWER(E82/$E$86-AH82,2)+POWER(H82/$H$86-AH82,2)+POWER(K82/$K$86-AH82,2)+POWER(N82/$N$86-AH82,2)+POWER(Q82/$Q$86-AH82,2)+POWER(T82/$T$86-AH82,2)+POWER(W82/$W$86-AH82,2)+POWER(Z82/$Z$86-AH82,2)+POWER(AC82/$AC$86-AH82,2))/SQRT(9)</f>
        <v>#DIV/0!</v>
      </c>
      <c r="AF82" t="e">
        <f>SQRT(POWER(F82/$F$86-AI82,2)+POWER(I82/$I$86-AI82,2)+POWER(L82/$L$86-AI82,2)+POWER(O82/$O$86-AI82,2)+POWER(R82/$R$86-AI82,2)+POWER(U82/$U$86-AI82,2)+POWER(X82/$X$86-AI82,2)+POWER(AA82/$AA$86-AI82,2)+POWER(AD82/$AD$86-AI82,2))/SQRT(9)</f>
        <v>#DIV/0!</v>
      </c>
      <c r="AH82">
        <f xml:space="preserve"> defaultFit_Prompt!E82/defaultFit_Prompt!$E$86</f>
        <v>0.28952540510111635</v>
      </c>
      <c r="AI82">
        <f xml:space="preserve"> defaultFit_Prompt!H82/defaultFit_Prompt!$H$86</f>
        <v>0.27325695783146553</v>
      </c>
    </row>
    <row r="83" spans="1:35" ht="18">
      <c r="A83" s="117"/>
      <c r="B83" s="117"/>
      <c r="C83" s="117"/>
      <c r="D83" s="71" t="s">
        <v>50</v>
      </c>
      <c r="E83" s="36">
        <f>(1-defaultFit_Inclusive!$U83)*fitSyst_Inclusive!E83</f>
        <v>189.20531812499999</v>
      </c>
      <c r="F83" s="36">
        <f>(1-defaultFit_Inclusive!$U83)*fitSyst_Inclusive!F83</f>
        <v>202.012296975</v>
      </c>
      <c r="H83" s="36">
        <f>(1-defaultFit_Inclusive!$U83)*fitSyst_Inclusive!H83</f>
        <v>189.93368497499998</v>
      </c>
      <c r="I83" s="36">
        <f>(1-defaultFit_Inclusive!$U83)*fitSyst_Inclusive!I83</f>
        <v>188.65282117499999</v>
      </c>
      <c r="K83" s="36">
        <f>(1-defaultFit_Inclusive!$U83)*fitSyst_Inclusive!K83</f>
        <v>185.332862025</v>
      </c>
      <c r="L83" s="36">
        <f>(1-defaultFit_Inclusive!$U83)*fitSyst_Inclusive!L83</f>
        <v>188.64784372499997</v>
      </c>
      <c r="N83" s="41"/>
      <c r="O83" s="41"/>
      <c r="Q83" s="41"/>
      <c r="R83" s="41"/>
      <c r="T83" s="41"/>
      <c r="U83" s="41"/>
      <c r="W83" s="36">
        <f>(1-defaultFit_Inclusive!$U83)*trgBiassing!E83</f>
        <v>167.33191409999998</v>
      </c>
      <c r="X83" s="36">
        <f>(1-defaultFit_Inclusive!$U83)*trgBiassing!F83</f>
        <v>175.56461640000001</v>
      </c>
      <c r="Z83" s="36">
        <f>(1-defaultFit_Inclusive!$U83)*trgBiassing!L83</f>
        <v>99.169884225000004</v>
      </c>
      <c r="AA83" s="36">
        <f>(1-defaultFit_Inclusive!$U83)*trgBiassing!M83</f>
        <v>102.46329697499999</v>
      </c>
      <c r="AC83" s="36">
        <f>(1-defaultFit_Inclusive!$U83)*epSystematic!E83</f>
        <v>181.88100044999999</v>
      </c>
      <c r="AD83" s="36">
        <f>(1-defaultFit_Inclusive!$U83)*epSystematic!F83</f>
        <v>188.04723142499998</v>
      </c>
      <c r="AE83" t="e">
        <f t="shared" ref="AE83:AE85" si="19">SQRT(POWER(E83/$E$86-AH83,2)+POWER(H83/$H$86-AH83,2)+POWER(K83/$K$86-AH83,2)+POWER(N83/$N$86-AH83,2)+POWER(Q83/$Q$86-AH83,2)+POWER(T83/$T$86-AH83,2)+POWER(W83/$W$86-AH83,2)+POWER(Z83/$Z$86-AH83,2)+POWER(AC83/$AC$86-AH83,2))/SQRT(9)</f>
        <v>#DIV/0!</v>
      </c>
      <c r="AF83" t="e">
        <f t="shared" ref="AF83:AF85" si="20">SQRT(POWER(F83/$F$86-AI83,2)+POWER(I83/$I$86-AI83,2)+POWER(L83/$L$86-AI83,2)+POWER(O83/$O$86-AI83,2)+POWER(R83/$R$86-AI83,2)+POWER(U83/$U$86-AI83,2)+POWER(X83/$X$86-AI83,2)+POWER(AA83/$AA$86-AI83,2)+POWER(AD83/$AD$86-AI83,2))/SQRT(9)</f>
        <v>#DIV/0!</v>
      </c>
      <c r="AH83">
        <f xml:space="preserve"> defaultFit_Prompt!E83/defaultFit_Prompt!$E$86</f>
        <v>0.25211595319173064</v>
      </c>
      <c r="AI83">
        <f xml:space="preserve"> defaultFit_Prompt!H83/defaultFit_Prompt!$H$86</f>
        <v>0.27101035687849101</v>
      </c>
    </row>
    <row r="84" spans="1:35" ht="18">
      <c r="A84" s="117"/>
      <c r="B84" s="117"/>
      <c r="C84" s="117"/>
      <c r="D84" s="70" t="s">
        <v>52</v>
      </c>
      <c r="E84" s="36">
        <f>(1-defaultFit_Inclusive!$U84)*fitSyst_Inclusive!E84</f>
        <v>190.65222616200001</v>
      </c>
      <c r="F84" s="36">
        <f>(1-defaultFit_Inclusive!$U84)*fitSyst_Inclusive!F84</f>
        <v>165.10425043800001</v>
      </c>
      <c r="H84" s="36">
        <f>(1-defaultFit_Inclusive!$U84)*fitSyst_Inclusive!H84</f>
        <v>191.08489220999999</v>
      </c>
      <c r="I84" s="36">
        <f>(1-defaultFit_Inclusive!$U84)*fitSyst_Inclusive!I84</f>
        <v>153.38647675199999</v>
      </c>
      <c r="K84" s="36">
        <f>(1-defaultFit_Inclusive!$U84)*fitSyst_Inclusive!K84</f>
        <v>195.096597258</v>
      </c>
      <c r="L84" s="36">
        <f>(1-defaultFit_Inclusive!$U84)*fitSyst_Inclusive!L84</f>
        <v>154.61050809</v>
      </c>
      <c r="N84" s="41"/>
      <c r="O84" s="41"/>
      <c r="Q84" s="41"/>
      <c r="R84" s="41"/>
      <c r="T84" s="41"/>
      <c r="U84" s="41"/>
      <c r="W84" s="36">
        <f>(1-defaultFit_Inclusive!$U84)*trgBiassing!E84</f>
        <v>156.21471290400001</v>
      </c>
      <c r="X84" s="36">
        <f>(1-defaultFit_Inclusive!$U84)*trgBiassing!F84</f>
        <v>139.06475335799999</v>
      </c>
      <c r="Z84" s="36">
        <f>(1-defaultFit_Inclusive!$U84)*trgBiassing!L84</f>
        <v>90.710345783999998</v>
      </c>
      <c r="AA84" s="36">
        <f>(1-defaultFit_Inclusive!$U84)*trgBiassing!M84</f>
        <v>91.27344792000001</v>
      </c>
      <c r="AC84" s="36">
        <f>(1-defaultFit_Inclusive!$U84)*epSystematic!E84</f>
        <v>193.12653512400001</v>
      </c>
      <c r="AD84" s="36">
        <f>(1-defaultFit_Inclusive!$U84)*epSystematic!F84</f>
        <v>156.84223774199998</v>
      </c>
      <c r="AE84" t="e">
        <f t="shared" si="19"/>
        <v>#DIV/0!</v>
      </c>
      <c r="AF84" t="e">
        <f t="shared" si="20"/>
        <v>#DIV/0!</v>
      </c>
      <c r="AH84">
        <f xml:space="preserve"> defaultFit_Prompt!E84/defaultFit_Prompt!$E$86</f>
        <v>0.25155843910209419</v>
      </c>
      <c r="AI84">
        <f xml:space="preserve"> defaultFit_Prompt!H84/defaultFit_Prompt!$H$86</f>
        <v>0.22093475223983625</v>
      </c>
    </row>
    <row r="85" spans="1:35" ht="18">
      <c r="A85" s="117"/>
      <c r="B85" s="117"/>
      <c r="C85" s="117"/>
      <c r="D85" s="70" t="s">
        <v>53</v>
      </c>
      <c r="E85" s="36">
        <f>(1-defaultFit_Inclusive!$U85)*fitSyst_Inclusive!E85</f>
        <v>156.21273911399999</v>
      </c>
      <c r="F85" s="36">
        <f>(1-defaultFit_Inclusive!$U85)*fitSyst_Inclusive!F85</f>
        <v>174.85195372800001</v>
      </c>
      <c r="H85" s="36">
        <f>(1-defaultFit_Inclusive!$U85)*fitSyst_Inclusive!H85</f>
        <v>157.50665331399998</v>
      </c>
      <c r="I85" s="36">
        <f>(1-defaultFit_Inclusive!$U85)*fitSyst_Inclusive!I85</f>
        <v>163.96176291999998</v>
      </c>
      <c r="K85" s="36">
        <f>(1-defaultFit_Inclusive!$U85)*fitSyst_Inclusive!K85</f>
        <v>157.78294205199998</v>
      </c>
      <c r="L85" s="36">
        <f>(1-defaultFit_Inclusive!$U85)*fitSyst_Inclusive!L85</f>
        <v>162.57270796999998</v>
      </c>
      <c r="N85" s="41"/>
      <c r="O85" s="41"/>
      <c r="Q85" s="41"/>
      <c r="R85" s="41"/>
      <c r="T85" s="41"/>
      <c r="U85" s="41"/>
      <c r="W85" s="36">
        <f>(1-defaultFit_Inclusive!$U85)*trgBiassing!E85</f>
        <v>139.024991782</v>
      </c>
      <c r="X85" s="36">
        <f>(1-defaultFit_Inclusive!$U85)*trgBiassing!F85</f>
        <v>148.20036571199998</v>
      </c>
      <c r="Z85" s="36">
        <f>(1-defaultFit_Inclusive!$U85)*trgBiassing!L85</f>
        <v>88.118601523999999</v>
      </c>
      <c r="AA85" s="36">
        <f>(1-defaultFit_Inclusive!$U85)*trgBiassing!M85</f>
        <v>85.874040949999994</v>
      </c>
      <c r="AC85" s="36">
        <f>(1-defaultFit_Inclusive!$U85)*epSystematic!E85</f>
        <v>159.57539378199999</v>
      </c>
      <c r="AD85" s="36">
        <f>(1-defaultFit_Inclusive!$U85)*epSystematic!F85</f>
        <v>161.211053556</v>
      </c>
      <c r="AE85" t="e">
        <f t="shared" si="19"/>
        <v>#DIV/0!</v>
      </c>
      <c r="AF85" t="e">
        <f t="shared" si="20"/>
        <v>#DIV/0!</v>
      </c>
      <c r="AH85">
        <f xml:space="preserve"> defaultFit_Prompt!E85/defaultFit_Prompt!$E$86</f>
        <v>0.20680020260505888</v>
      </c>
      <c r="AI85">
        <f xml:space="preserve"> defaultFit_Prompt!H85/defaultFit_Prompt!$H$86</f>
        <v>0.23479793305020713</v>
      </c>
    </row>
    <row r="86" spans="1:35" ht="18">
      <c r="A86" s="117"/>
      <c r="B86" s="117"/>
      <c r="C86" s="117"/>
      <c r="D86" s="74"/>
      <c r="E86" s="82">
        <f xml:space="preserve"> SUM(E82:E85)</f>
        <v>755.57203889100003</v>
      </c>
      <c r="F86" s="82">
        <f xml:space="preserve"> SUM(F82:F85)</f>
        <v>745.04650793600001</v>
      </c>
      <c r="G86" s="82"/>
      <c r="H86" s="82">
        <f xml:space="preserve"> SUM(H82:H85)</f>
        <v>757.17244169399999</v>
      </c>
      <c r="I86" s="82">
        <f xml:space="preserve"> SUM(I82:I85)</f>
        <v>695.87167310699999</v>
      </c>
      <c r="J86" s="82"/>
      <c r="K86" s="82">
        <f xml:space="preserve"> SUM(K82:K85)</f>
        <v>752.14880696</v>
      </c>
      <c r="L86" s="82">
        <f xml:space="preserve"> SUM(L82:L85)</f>
        <v>694.71658349500001</v>
      </c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>
        <f xml:space="preserve"> SUM(W82:W85)</f>
        <v>635.85350004099996</v>
      </c>
      <c r="X86" s="82">
        <f xml:space="preserve"> SUM(X82:X85)</f>
        <v>623.46003638000002</v>
      </c>
      <c r="Y86" s="82"/>
      <c r="Z86" s="82">
        <f xml:space="preserve"> SUM(Z82:Z85)</f>
        <v>389.23935537799997</v>
      </c>
      <c r="AA86" s="82">
        <f xml:space="preserve"> SUM(AA82:AA85)</f>
        <v>364.780100285</v>
      </c>
      <c r="AB86" s="82"/>
      <c r="AC86" s="82">
        <f xml:space="preserve"> SUM(AC82:AC85)</f>
        <v>762.13758352100001</v>
      </c>
      <c r="AD86" s="82">
        <f xml:space="preserve"> SUM(AD82:AD85)</f>
        <v>700.532975943</v>
      </c>
      <c r="AE86" s="82"/>
      <c r="AF86" s="82"/>
      <c r="AG86" s="82"/>
      <c r="AH86" s="82"/>
      <c r="AI86" s="82"/>
    </row>
  </sheetData>
  <mergeCells count="25">
    <mergeCell ref="A3:A32"/>
    <mergeCell ref="B3:B32"/>
    <mergeCell ref="C3:C8"/>
    <mergeCell ref="C9:C14"/>
    <mergeCell ref="C15:C20"/>
    <mergeCell ref="C21:C26"/>
    <mergeCell ref="C27:C32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showRuler="0" workbookViewId="0">
      <pane xSplit="4" topLeftCell="E1" activePane="topRight" state="frozen"/>
      <selection pane="topRight" activeCell="AF86" sqref="AF86"/>
    </sheetView>
  </sheetViews>
  <sheetFormatPr baseColWidth="10" defaultRowHeight="15" x14ac:dyDescent="0"/>
  <cols>
    <col min="7" max="7" width="10.83203125" style="40"/>
    <col min="10" max="10" width="10.83203125" style="40"/>
    <col min="13" max="13" width="10.83203125" style="40"/>
  </cols>
  <sheetData>
    <row r="1" spans="1:35" ht="18">
      <c r="A1" s="6"/>
      <c r="B1" s="6"/>
      <c r="C1" s="6"/>
      <c r="D1" s="6"/>
      <c r="E1" s="6" t="s">
        <v>58</v>
      </c>
      <c r="F1" s="6"/>
      <c r="G1" s="39"/>
      <c r="H1" s="6" t="s">
        <v>59</v>
      </c>
      <c r="I1" s="6"/>
      <c r="J1" s="39"/>
      <c r="K1" s="27" t="s">
        <v>60</v>
      </c>
      <c r="L1" s="27"/>
      <c r="M1" s="39"/>
      <c r="N1" s="27" t="s">
        <v>89</v>
      </c>
      <c r="O1" s="27"/>
      <c r="P1" s="39"/>
      <c r="Q1" s="27" t="s">
        <v>90</v>
      </c>
      <c r="R1" s="27"/>
      <c r="S1" s="39"/>
      <c r="T1" s="27" t="s">
        <v>91</v>
      </c>
      <c r="U1" s="27"/>
      <c r="V1" s="39"/>
      <c r="W1" s="27" t="s">
        <v>92</v>
      </c>
      <c r="X1" s="27"/>
      <c r="Y1" s="39"/>
      <c r="Z1" s="27" t="s">
        <v>94</v>
      </c>
      <c r="AA1" s="27"/>
      <c r="AB1" s="39"/>
      <c r="AC1" s="27" t="s">
        <v>93</v>
      </c>
      <c r="AD1" s="27"/>
      <c r="AE1" t="s">
        <v>95</v>
      </c>
      <c r="AH1" t="s">
        <v>98</v>
      </c>
    </row>
    <row r="2" spans="1:35" ht="18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 t="s">
        <v>63</v>
      </c>
      <c r="O2" s="2" t="s">
        <v>64</v>
      </c>
      <c r="P2" s="40"/>
      <c r="Q2" s="26" t="s">
        <v>63</v>
      </c>
      <c r="R2" s="26" t="s">
        <v>64</v>
      </c>
      <c r="S2" s="40"/>
      <c r="T2" s="26" t="s">
        <v>63</v>
      </c>
      <c r="U2" s="26" t="s">
        <v>64</v>
      </c>
      <c r="V2" s="40"/>
      <c r="W2" s="26" t="s">
        <v>63</v>
      </c>
      <c r="X2" s="26" t="s">
        <v>64</v>
      </c>
      <c r="Y2" s="40"/>
      <c r="Z2" s="26" t="s">
        <v>63</v>
      </c>
      <c r="AA2" s="26" t="s">
        <v>64</v>
      </c>
      <c r="AB2" s="40"/>
      <c r="AC2" s="26" t="s">
        <v>63</v>
      </c>
      <c r="AD2" s="26" t="s">
        <v>64</v>
      </c>
      <c r="AE2" s="26" t="s">
        <v>63</v>
      </c>
      <c r="AF2" s="26" t="s">
        <v>64</v>
      </c>
      <c r="AH2" s="26" t="s">
        <v>99</v>
      </c>
      <c r="AI2" s="26" t="s">
        <v>100</v>
      </c>
    </row>
    <row r="3" spans="1:35" ht="18">
      <c r="A3" s="135" t="s">
        <v>55</v>
      </c>
      <c r="B3" s="135" t="s">
        <v>25</v>
      </c>
      <c r="C3" s="113" t="s">
        <v>35</v>
      </c>
      <c r="D3" s="4"/>
      <c r="E3" s="36"/>
      <c r="F3" s="36"/>
      <c r="H3" s="36"/>
      <c r="I3" s="36"/>
      <c r="K3" s="36"/>
      <c r="L3" s="36"/>
      <c r="N3" s="41"/>
      <c r="O3" s="41"/>
      <c r="P3" s="40"/>
      <c r="Q3" s="41"/>
      <c r="R3" s="41"/>
      <c r="S3" s="40"/>
      <c r="T3" s="41"/>
      <c r="U3" s="41"/>
      <c r="V3" s="40"/>
      <c r="W3" s="36"/>
      <c r="X3" s="36"/>
      <c r="Y3" s="40"/>
      <c r="Z3" s="36"/>
      <c r="AA3" s="36"/>
      <c r="AB3" s="40"/>
      <c r="AC3" s="36"/>
      <c r="AD3" s="36"/>
    </row>
    <row r="4" spans="1:35" ht="18">
      <c r="A4" s="135"/>
      <c r="B4" s="135"/>
      <c r="C4" s="113"/>
      <c r="D4" s="4" t="s">
        <v>49</v>
      </c>
      <c r="E4" s="36">
        <f>defaultFit_Inclusive!$U4*fitSyst_Inclusive!E4</f>
        <v>112.80059875800001</v>
      </c>
      <c r="F4" s="36">
        <f>defaultFit_Inclusive!$U4*fitSyst_Inclusive!F4</f>
        <v>104.42716489800002</v>
      </c>
      <c r="H4" s="36">
        <f>defaultFit_Inclusive!$U4*fitSyst_Inclusive!H4</f>
        <v>109.19984517</v>
      </c>
      <c r="I4" s="36">
        <f>defaultFit_Inclusive!$U4*fitSyst_Inclusive!I4</f>
        <v>104.03298210600001</v>
      </c>
      <c r="K4" s="36">
        <f>defaultFit_Inclusive!$U4*fitSyst_Inclusive!K4</f>
        <v>114.42483249300001</v>
      </c>
      <c r="L4" s="36">
        <f>defaultFit_Inclusive!$U4*fitSyst_Inclusive!L4</f>
        <v>105.34653135000001</v>
      </c>
      <c r="N4" s="41"/>
      <c r="O4" s="41"/>
      <c r="P4" s="40"/>
      <c r="Q4" s="41"/>
      <c r="R4" s="41"/>
      <c r="S4" s="40"/>
      <c r="T4" s="41">
        <f>fitSyst_bFrac!$G4*defaultFit_Inclusive!$E4</f>
        <v>0</v>
      </c>
      <c r="U4" s="41">
        <f>fitSyst_bFrac!$G4*defaultFit_Inclusive!$H4</f>
        <v>0</v>
      </c>
      <c r="V4" s="40"/>
      <c r="W4" s="36">
        <f>defaultFit_Inclusive!$U4*trgBiassing!E4</f>
        <v>103.33047519899999</v>
      </c>
      <c r="X4" s="36">
        <f>defaultFit_Inclusive!$U4*trgBiassing!F4</f>
        <v>90.994560128999993</v>
      </c>
      <c r="Y4" s="40"/>
      <c r="Z4" s="36">
        <f>defaultFit_Inclusive!$U4*trgBiassing!L4</f>
        <v>46.866150620999996</v>
      </c>
      <c r="AA4" s="36">
        <f>defaultFit_Inclusive!$U4*trgBiassing!M4</f>
        <v>49.179909195</v>
      </c>
      <c r="AB4" s="40"/>
      <c r="AC4" s="36">
        <f>defaultFit_Inclusive!$U4*epSystematic!E4</f>
        <v>110.165238954</v>
      </c>
      <c r="AD4" s="36">
        <f>defaultFit_Inclusive!$U4*epSystematic!F4</f>
        <v>106.58867922</v>
      </c>
      <c r="AE4" t="e">
        <f>SQRT(POWER(E4/$E$8-AH4,2)+POWER(H4/$H$8-AH4,2)+POWER(K4/$K$8-AH4,2)+POWER(N4/$N$8-AH4,2)+POWER(Q4/$Q$8-AH4,2)+POWER(T4/$T$8-AH4,2)+POWER(W4/$W$8-AH4,2)+POWER(Z4/$Z$8-AH4,2)+POWER(AC4/$AC$8-AH4,2))/SQRT(9)</f>
        <v>#DIV/0!</v>
      </c>
      <c r="AF4" t="e">
        <f>SQRT(POWER(F4/$F$8-AI4,2)+POWER(I4/$I$8-AI4,2)+POWER(L4/$L$8-AI4,2)+POWER(O4/$O$8-AI4,2)+POWER(R4/$R$8-AI4,2)+POWER(U4/$U$8-AI4,2)+POWER(X4/$X$8-AI4,2)+POWER(AA4/$AA$8-AI4,2)+POWER(AD4/$AD$8-AI4,2))/SQRT(9)</f>
        <v>#DIV/0!</v>
      </c>
      <c r="AH4">
        <f xml:space="preserve"> defaultFit_NonPrompt!E4/defaultFit_NonPrompt!$E$8</f>
        <v>0.29443157620326543</v>
      </c>
      <c r="AI4">
        <f xml:space="preserve"> defaultFit_NonPrompt!H4/defaultFit_NonPrompt!$H$8</f>
        <v>0.29469877439320502</v>
      </c>
    </row>
    <row r="5" spans="1:35" ht="18">
      <c r="A5" s="135"/>
      <c r="B5" s="135"/>
      <c r="C5" s="113"/>
      <c r="D5" s="4" t="s">
        <v>50</v>
      </c>
      <c r="E5" s="36">
        <f>defaultFit_Inclusive!$U5*fitSyst_Inclusive!E5</f>
        <v>95.246305110000009</v>
      </c>
      <c r="F5" s="36">
        <f>defaultFit_Inclusive!$U5*fitSyst_Inclusive!F5</f>
        <v>84.996397529999996</v>
      </c>
      <c r="H5" s="36">
        <f>defaultFit_Inclusive!$U5*fitSyst_Inclusive!H5</f>
        <v>92.537095860000008</v>
      </c>
      <c r="I5" s="36">
        <f>defaultFit_Inclusive!$U5*fitSyst_Inclusive!I5</f>
        <v>84.53919375000001</v>
      </c>
      <c r="K5" s="36">
        <f>defaultFit_Inclusive!$U5*fitSyst_Inclusive!K5</f>
        <v>95.748069120000011</v>
      </c>
      <c r="L5" s="36">
        <f>defaultFit_Inclusive!$U5*fitSyst_Inclusive!L5</f>
        <v>86.014163730000007</v>
      </c>
      <c r="N5" s="41"/>
      <c r="O5" s="41"/>
      <c r="P5" s="40"/>
      <c r="Q5" s="41"/>
      <c r="R5" s="41"/>
      <c r="S5" s="40"/>
      <c r="T5" s="41">
        <f>fitSyst_bFrac!$G5*defaultFit_Inclusive!$E5</f>
        <v>0</v>
      </c>
      <c r="U5" s="41">
        <f>fitSyst_bFrac!$G5*defaultFit_Inclusive!$H5</f>
        <v>0</v>
      </c>
      <c r="V5" s="40"/>
      <c r="W5" s="36">
        <f>defaultFit_Inclusive!$U5*trgBiassing!E5</f>
        <v>81.452145389999998</v>
      </c>
      <c r="X5" s="36">
        <f>defaultFit_Inclusive!$U5*trgBiassing!F5</f>
        <v>75.745799250000005</v>
      </c>
      <c r="Y5" s="40"/>
      <c r="Z5" s="36">
        <f>defaultFit_Inclusive!$U5*trgBiassing!L5</f>
        <v>46.036254660000004</v>
      </c>
      <c r="AA5" s="36">
        <f>defaultFit_Inclusive!$U5*trgBiassing!M5</f>
        <v>37.316687760000001</v>
      </c>
      <c r="AB5" s="40"/>
      <c r="AC5" s="36">
        <f>defaultFit_Inclusive!$U5*epSystematic!E5</f>
        <v>96.718111050000005</v>
      </c>
      <c r="AD5" s="36">
        <f>defaultFit_Inclusive!$U5*epSystematic!F5</f>
        <v>82.322520060000016</v>
      </c>
      <c r="AE5" t="e">
        <f t="shared" ref="AE5:AE67" si="0">SQRT(POWER(E5/$E$8-AH5,2)+POWER(H5/$H$8-AH5,2)+POWER(K5/$K$8-AH5,2)+POWER(N5/$N$8-AH5,2)+POWER(Q5/$Q$8-AH5,2)+POWER(T5/$T$8-AH5,2)+POWER(W5/$W$8-AH5,2)+POWER(Z5/$Z$8-AH5,2)+POWER(AC5/$AC$8-AH5,2))/SQRT(9)</f>
        <v>#DIV/0!</v>
      </c>
      <c r="AF5" t="e">
        <f t="shared" ref="AF5:AF7" si="1">SQRT(POWER(F5/$F$8-AI5,2)+POWER(I5/$I$8-AI5,2)+POWER(L5/$L$8-AI5,2)+POWER(O5/$O$8-AI5,2)+POWER(R5/$R$8-AI5,2)+POWER(U5/$U$8-AI5,2)+POWER(X5/$X$8-AI5,2)+POWER(AA5/$AA$8-AI5,2)+POWER(AD5/$AD$8-AI5,2))/SQRT(9)</f>
        <v>#DIV/0!</v>
      </c>
      <c r="AH5">
        <f xml:space="preserve"> defaultFit_NonPrompt!E5/defaultFit_NonPrompt!$E$8</f>
        <v>0.24869676143696745</v>
      </c>
      <c r="AI5">
        <f xml:space="preserve"> defaultFit_NonPrompt!H5/defaultFit_NonPrompt!$H$8</f>
        <v>0.24010776551972174</v>
      </c>
    </row>
    <row r="6" spans="1:35" ht="18">
      <c r="A6" s="135"/>
      <c r="B6" s="135"/>
      <c r="C6" s="113"/>
      <c r="D6" s="28" t="s">
        <v>52</v>
      </c>
      <c r="E6" s="36">
        <f>defaultFit_Inclusive!$U6*fitSyst_Inclusive!E6</f>
        <v>87.393325626000006</v>
      </c>
      <c r="F6" s="36">
        <f>defaultFit_Inclusive!$U6*fitSyst_Inclusive!F6</f>
        <v>84.703501617000015</v>
      </c>
      <c r="H6" s="36">
        <f>defaultFit_Inclusive!$U6*fitSyst_Inclusive!H6</f>
        <v>85.066866948000012</v>
      </c>
      <c r="I6" s="36">
        <f>defaultFit_Inclusive!$U6*fitSyst_Inclusive!I6</f>
        <v>84.146051637000014</v>
      </c>
      <c r="K6" s="36">
        <f>defaultFit_Inclusive!$U6*fitSyst_Inclusive!K6</f>
        <v>88.368351669000006</v>
      </c>
      <c r="L6" s="36">
        <f>defaultFit_Inclusive!$U6*fitSyst_Inclusive!L6</f>
        <v>84.250381725000011</v>
      </c>
      <c r="N6" s="41"/>
      <c r="O6" s="41"/>
      <c r="P6" s="40"/>
      <c r="Q6" s="41"/>
      <c r="R6" s="41"/>
      <c r="S6" s="40"/>
      <c r="T6" s="41">
        <f>fitSyst_bFrac!$G6*defaultFit_Inclusive!$E6</f>
        <v>0</v>
      </c>
      <c r="U6" s="41">
        <f>fitSyst_bFrac!$G6*defaultFit_Inclusive!$H6</f>
        <v>0</v>
      </c>
      <c r="V6" s="40"/>
      <c r="W6" s="36">
        <f>defaultFit_Inclusive!$U6*trgBiassing!E6</f>
        <v>80.499868488000004</v>
      </c>
      <c r="X6" s="36">
        <f>defaultFit_Inclusive!$U6*trgBiassing!F6</f>
        <v>74.006343354000009</v>
      </c>
      <c r="Y6" s="40"/>
      <c r="Z6" s="36">
        <f>defaultFit_Inclusive!$U6*trgBiassing!L6</f>
        <v>47.407796556000001</v>
      </c>
      <c r="AA6" s="36">
        <f>defaultFit_Inclusive!$U6*trgBiassing!M6</f>
        <v>42.526529277000002</v>
      </c>
      <c r="AB6" s="40"/>
      <c r="AC6" s="36">
        <f>defaultFit_Inclusive!$U6*epSystematic!E6</f>
        <v>87.297434001000013</v>
      </c>
      <c r="AD6" s="36">
        <f>defaultFit_Inclusive!$U6*epSystematic!F6</f>
        <v>87.183642606000021</v>
      </c>
      <c r="AE6" t="e">
        <f t="shared" si="0"/>
        <v>#DIV/0!</v>
      </c>
      <c r="AF6" t="e">
        <f t="shared" si="1"/>
        <v>#DIV/0!</v>
      </c>
      <c r="AH6">
        <f xml:space="preserve"> defaultFit_NonPrompt!E6/defaultFit_NonPrompt!$E$8</f>
        <v>0.22839551109574849</v>
      </c>
      <c r="AI6">
        <f xml:space="preserve"> defaultFit_NonPrompt!H6/defaultFit_NonPrompt!$H$8</f>
        <v>0.23895108497272288</v>
      </c>
    </row>
    <row r="7" spans="1:35" ht="18">
      <c r="A7" s="135"/>
      <c r="B7" s="135"/>
      <c r="C7" s="113"/>
      <c r="D7" s="28" t="s">
        <v>53</v>
      </c>
      <c r="E7" s="36">
        <f>defaultFit_Inclusive!$U7*fitSyst_Inclusive!E7</f>
        <v>87.530872823999999</v>
      </c>
      <c r="F7" s="36">
        <f>defaultFit_Inclusive!$U7*fitSyst_Inclusive!F7</f>
        <v>80.176909056</v>
      </c>
      <c r="H7" s="36">
        <f>defaultFit_Inclusive!$U7*fitSyst_Inclusive!H7</f>
        <v>84.970214232000004</v>
      </c>
      <c r="I7" s="36">
        <f>defaultFit_Inclusive!$U7*fitSyst_Inclusive!I7</f>
        <v>79.757013407999992</v>
      </c>
      <c r="K7" s="36">
        <f>defaultFit_Inclusive!$U7*fitSyst_Inclusive!K7</f>
        <v>86.217566112000014</v>
      </c>
      <c r="L7" s="36">
        <f>defaultFit_Inclusive!$U7*fitSyst_Inclusive!L7</f>
        <v>81.083158656000009</v>
      </c>
      <c r="N7" s="41"/>
      <c r="O7" s="41"/>
      <c r="P7" s="40"/>
      <c r="Q7" s="41"/>
      <c r="R7" s="41"/>
      <c r="S7" s="40"/>
      <c r="T7" s="41">
        <f>fitSyst_bFrac!$G7*defaultFit_Inclusive!$E7</f>
        <v>0</v>
      </c>
      <c r="U7" s="41">
        <f>fitSyst_bFrac!$G7*defaultFit_Inclusive!$H7</f>
        <v>0</v>
      </c>
      <c r="V7" s="40"/>
      <c r="W7" s="36">
        <f>defaultFit_Inclusive!$U7*trgBiassing!E7</f>
        <v>77.951311079999996</v>
      </c>
      <c r="X7" s="36">
        <f>defaultFit_Inclusive!$U7*trgBiassing!F7</f>
        <v>71.277789720000001</v>
      </c>
      <c r="Y7" s="40"/>
      <c r="Z7" s="36">
        <f>defaultFit_Inclusive!$U7*trgBiassing!L7</f>
        <v>44.030388552000005</v>
      </c>
      <c r="AA7" s="36">
        <f>defaultFit_Inclusive!$U7*trgBiassing!M7</f>
        <v>39.470190912</v>
      </c>
      <c r="AB7" s="40"/>
      <c r="AC7" s="36">
        <f>defaultFit_Inclusive!$U7*epSystematic!E7</f>
        <v>88.730646600000014</v>
      </c>
      <c r="AD7" s="36">
        <f>defaultFit_Inclusive!$U7*epSystematic!F7</f>
        <v>78.629991336000003</v>
      </c>
      <c r="AE7" t="e">
        <f t="shared" si="0"/>
        <v>#DIV/0!</v>
      </c>
      <c r="AF7" t="e">
        <f t="shared" si="1"/>
        <v>#DIV/0!</v>
      </c>
      <c r="AH7">
        <f xml:space="preserve"> defaultFit_NonPrompt!E7/defaultFit_NonPrompt!$E$8</f>
        <v>0.2284761512640186</v>
      </c>
      <c r="AI7">
        <f xml:space="preserve"> defaultFit_NonPrompt!H7/defaultFit_NonPrompt!$H$8</f>
        <v>0.22624237511435033</v>
      </c>
    </row>
    <row r="8" spans="1:35" ht="18">
      <c r="A8" s="135"/>
      <c r="B8" s="135"/>
      <c r="C8" s="113"/>
      <c r="D8" s="72"/>
      <c r="E8" s="82">
        <f xml:space="preserve"> SUM(E4:E7)</f>
        <v>382.97110231800002</v>
      </c>
      <c r="F8" s="82">
        <f xml:space="preserve"> SUM(F4:F7)</f>
        <v>354.30397310100005</v>
      </c>
      <c r="G8" s="82"/>
      <c r="H8" s="82">
        <f xml:space="preserve"> SUM(H4:H7)</f>
        <v>371.77402221</v>
      </c>
      <c r="I8" s="82">
        <f xml:space="preserve"> SUM(I4:I7)</f>
        <v>352.47524090100001</v>
      </c>
      <c r="J8" s="82"/>
      <c r="K8" s="82">
        <f xml:space="preserve"> SUM(K4:K7)</f>
        <v>384.75881939400006</v>
      </c>
      <c r="L8" s="82">
        <f xml:space="preserve"> SUM(L4:L7)</f>
        <v>356.69423546100006</v>
      </c>
      <c r="M8" s="82"/>
      <c r="N8" s="82">
        <f xml:space="preserve"> SUM(N4:N7)</f>
        <v>0</v>
      </c>
      <c r="O8" s="82">
        <f xml:space="preserve"> SUM(O4:O7)</f>
        <v>0</v>
      </c>
      <c r="P8" s="82"/>
      <c r="Q8" s="82">
        <f xml:space="preserve"> SUM(Q4:Q7)</f>
        <v>0</v>
      </c>
      <c r="R8" s="82">
        <f xml:space="preserve"> SUM(R4:R7)</f>
        <v>0</v>
      </c>
      <c r="S8" s="82"/>
      <c r="T8" s="82">
        <f xml:space="preserve"> SUM(T4:T7)</f>
        <v>0</v>
      </c>
      <c r="U8" s="82">
        <f xml:space="preserve"> SUM(U4:U7)</f>
        <v>0</v>
      </c>
      <c r="V8" s="82"/>
      <c r="W8" s="82">
        <f xml:space="preserve"> SUM(W4:W7)</f>
        <v>343.23380015699996</v>
      </c>
      <c r="X8" s="82">
        <f xml:space="preserve"> SUM(X4:X7)</f>
        <v>312.02449245299999</v>
      </c>
      <c r="Y8" s="82"/>
      <c r="Z8" s="82">
        <f xml:space="preserve"> SUM(Z4:Z7)</f>
        <v>184.340590389</v>
      </c>
      <c r="AA8" s="82">
        <f xml:space="preserve"> SUM(AA4:AA7)</f>
        <v>168.493317144</v>
      </c>
      <c r="AB8" s="82"/>
      <c r="AC8" s="82">
        <f xml:space="preserve"> SUM(AC4:AC7)</f>
        <v>382.91143060500002</v>
      </c>
      <c r="AD8" s="82">
        <f xml:space="preserve"> SUM(AD4:AD7)</f>
        <v>354.72483322200003</v>
      </c>
      <c r="AE8" s="82"/>
      <c r="AF8" s="82"/>
      <c r="AG8" s="82"/>
      <c r="AH8" s="82"/>
      <c r="AI8" s="82"/>
    </row>
    <row r="9" spans="1:35" ht="18">
      <c r="A9" s="135"/>
      <c r="B9" s="135"/>
      <c r="C9" s="136" t="s">
        <v>2</v>
      </c>
      <c r="D9" s="8"/>
      <c r="E9" s="36"/>
      <c r="F9" s="36"/>
      <c r="H9" s="36"/>
      <c r="I9" s="36"/>
      <c r="K9" s="36"/>
      <c r="L9" s="36"/>
      <c r="N9" s="41"/>
      <c r="O9" s="41"/>
      <c r="P9" s="40"/>
      <c r="Q9" s="41"/>
      <c r="R9" s="41"/>
      <c r="S9" s="40"/>
      <c r="T9" s="41"/>
      <c r="U9" s="41"/>
      <c r="V9" s="40"/>
      <c r="W9" s="36"/>
      <c r="X9" s="36"/>
      <c r="Y9" s="40"/>
      <c r="Z9" s="36"/>
      <c r="AA9" s="36"/>
      <c r="AB9" s="40"/>
      <c r="AC9" s="36"/>
      <c r="AD9" s="36"/>
    </row>
    <row r="10" spans="1:35" ht="18">
      <c r="A10" s="135"/>
      <c r="B10" s="135"/>
      <c r="C10" s="136"/>
      <c r="D10" s="8" t="s">
        <v>49</v>
      </c>
      <c r="E10" s="36"/>
      <c r="F10" s="36"/>
      <c r="H10" s="36"/>
      <c r="I10" s="36"/>
      <c r="K10" s="36"/>
      <c r="L10" s="36"/>
      <c r="N10" s="41"/>
      <c r="O10" s="41"/>
      <c r="P10" s="40"/>
      <c r="Q10" s="41"/>
      <c r="R10" s="41"/>
      <c r="S10" s="40"/>
      <c r="T10" s="41"/>
      <c r="U10" s="41"/>
      <c r="V10" s="40"/>
      <c r="W10" s="36"/>
      <c r="X10" s="36"/>
      <c r="Y10" s="40"/>
      <c r="Z10" s="36"/>
      <c r="AA10" s="36"/>
      <c r="AB10" s="40"/>
      <c r="AC10" s="36"/>
      <c r="AD10" s="36"/>
    </row>
    <row r="11" spans="1:35" ht="18">
      <c r="A11" s="135"/>
      <c r="B11" s="135"/>
      <c r="C11" s="136"/>
      <c r="D11" s="8" t="s">
        <v>50</v>
      </c>
      <c r="E11" s="36"/>
      <c r="F11" s="36"/>
      <c r="H11" s="36"/>
      <c r="I11" s="36"/>
      <c r="K11" s="36"/>
      <c r="L11" s="36"/>
      <c r="N11" s="41"/>
      <c r="O11" s="41"/>
      <c r="P11" s="40"/>
      <c r="Q11" s="41"/>
      <c r="R11" s="41"/>
      <c r="S11" s="40"/>
      <c r="T11" s="41"/>
      <c r="U11" s="41"/>
      <c r="V11" s="40"/>
      <c r="W11" s="36"/>
      <c r="X11" s="36"/>
      <c r="Y11" s="40"/>
      <c r="Z11" s="36"/>
      <c r="AA11" s="36"/>
      <c r="AB11" s="40"/>
      <c r="AC11" s="36"/>
      <c r="AD11" s="36"/>
    </row>
    <row r="12" spans="1:35" ht="18">
      <c r="A12" s="135"/>
      <c r="B12" s="135"/>
      <c r="C12" s="136"/>
      <c r="D12" s="29" t="s">
        <v>52</v>
      </c>
      <c r="E12" s="36"/>
      <c r="F12" s="36"/>
      <c r="H12" s="36"/>
      <c r="I12" s="36"/>
      <c r="K12" s="36"/>
      <c r="L12" s="36"/>
      <c r="N12" s="41"/>
      <c r="O12" s="41"/>
      <c r="P12" s="40"/>
      <c r="Q12" s="41"/>
      <c r="R12" s="41"/>
      <c r="S12" s="40"/>
      <c r="T12" s="41"/>
      <c r="U12" s="41"/>
      <c r="V12" s="40"/>
      <c r="W12" s="36"/>
      <c r="X12" s="36"/>
      <c r="Y12" s="40"/>
      <c r="Z12" s="36"/>
      <c r="AA12" s="36"/>
      <c r="AB12" s="40"/>
      <c r="AC12" s="36"/>
      <c r="AD12" s="36"/>
    </row>
    <row r="13" spans="1:35" ht="18">
      <c r="A13" s="135"/>
      <c r="B13" s="135"/>
      <c r="C13" s="136"/>
      <c r="D13" s="29" t="s">
        <v>53</v>
      </c>
      <c r="E13" s="36"/>
      <c r="F13" s="36"/>
      <c r="H13" s="36"/>
      <c r="I13" s="36"/>
      <c r="K13" s="36"/>
      <c r="L13" s="36"/>
      <c r="N13" s="41"/>
      <c r="O13" s="41"/>
      <c r="P13" s="40"/>
      <c r="Q13" s="41"/>
      <c r="R13" s="41"/>
      <c r="S13" s="40"/>
      <c r="T13" s="41"/>
      <c r="U13" s="41"/>
      <c r="V13" s="40"/>
      <c r="W13" s="36"/>
      <c r="X13" s="36"/>
      <c r="Y13" s="40"/>
      <c r="Z13" s="36"/>
      <c r="AA13" s="36"/>
      <c r="AB13" s="40"/>
      <c r="AC13" s="36"/>
      <c r="AD13" s="36"/>
    </row>
    <row r="14" spans="1:35" ht="18">
      <c r="A14" s="135"/>
      <c r="B14" s="135"/>
      <c r="C14" s="136"/>
      <c r="D14" s="72"/>
      <c r="E14" s="82"/>
      <c r="F14" s="82"/>
      <c r="G14" s="82"/>
      <c r="H14" s="82"/>
      <c r="I14" s="82"/>
      <c r="J14" s="82"/>
      <c r="K14" s="82"/>
      <c r="L14" s="82"/>
      <c r="M14" s="82"/>
      <c r="N14" s="82">
        <f xml:space="preserve"> SUM(N10:N13)</f>
        <v>0</v>
      </c>
      <c r="O14" s="82">
        <f xml:space="preserve"> SUM(O10:O13)</f>
        <v>0</v>
      </c>
      <c r="P14" s="82"/>
      <c r="Q14" s="82">
        <f xml:space="preserve"> SUM(Q10:Q13)</f>
        <v>0</v>
      </c>
      <c r="R14" s="82">
        <f xml:space="preserve"> SUM(R10:R13)</f>
        <v>0</v>
      </c>
      <c r="S14" s="82"/>
      <c r="T14" s="82">
        <f xml:space="preserve"> SUM(T10:T13)</f>
        <v>0</v>
      </c>
      <c r="U14" s="82">
        <f xml:space="preserve"> SUM(U10:U13)</f>
        <v>0</v>
      </c>
      <c r="V14" s="82"/>
      <c r="W14" s="82">
        <f xml:space="preserve"> SUM(W10:W13)</f>
        <v>0</v>
      </c>
      <c r="X14" s="82">
        <f xml:space="preserve"> SUM(X10:X13)</f>
        <v>0</v>
      </c>
      <c r="Y14" s="82"/>
      <c r="Z14" s="82">
        <f xml:space="preserve"> SUM(Z10:Z13)</f>
        <v>0</v>
      </c>
      <c r="AA14" s="82">
        <f xml:space="preserve"> SUM(AA10:AA13)</f>
        <v>0</v>
      </c>
      <c r="AB14" s="82"/>
      <c r="AC14" s="82">
        <f xml:space="preserve"> SUM(AC10:AC13)</f>
        <v>0</v>
      </c>
      <c r="AD14" s="82">
        <f xml:space="preserve"> SUM(AD10:AD13)</f>
        <v>0</v>
      </c>
      <c r="AE14" s="82"/>
      <c r="AF14" s="82"/>
      <c r="AG14" s="82"/>
      <c r="AH14" s="82"/>
      <c r="AI14" s="82"/>
    </row>
    <row r="15" spans="1:35" ht="18">
      <c r="A15" s="135"/>
      <c r="B15" s="135"/>
      <c r="C15" s="137" t="s">
        <v>54</v>
      </c>
      <c r="D15" s="30"/>
      <c r="E15" s="36"/>
      <c r="F15" s="36"/>
      <c r="H15" s="36"/>
      <c r="I15" s="36"/>
      <c r="K15" s="36"/>
      <c r="L15" s="36"/>
      <c r="N15" s="41"/>
      <c r="O15" s="41"/>
      <c r="P15" s="40"/>
      <c r="Q15" s="41"/>
      <c r="R15" s="41"/>
      <c r="S15" s="40"/>
      <c r="T15" s="41"/>
      <c r="U15" s="41"/>
      <c r="V15" s="40"/>
      <c r="W15" s="36"/>
      <c r="X15" s="36"/>
      <c r="Y15" s="40"/>
      <c r="Z15" s="36"/>
      <c r="AA15" s="36"/>
      <c r="AB15" s="40"/>
      <c r="AC15" s="36"/>
      <c r="AD15" s="36"/>
    </row>
    <row r="16" spans="1:35" ht="18">
      <c r="A16" s="135"/>
      <c r="B16" s="135"/>
      <c r="C16" s="137"/>
      <c r="D16" s="30" t="s">
        <v>49</v>
      </c>
      <c r="E16" s="36">
        <f>defaultFit_Inclusive!$U16*fitSyst_Inclusive!E16</f>
        <v>68.863930781999997</v>
      </c>
      <c r="F16" s="36">
        <f>defaultFit_Inclusive!$U16*fitSyst_Inclusive!F16</f>
        <v>79.879820914000007</v>
      </c>
      <c r="H16" s="36">
        <f>defaultFit_Inclusive!$U16*fitSyst_Inclusive!H16</f>
        <v>66.773634430999991</v>
      </c>
      <c r="I16" s="36">
        <f>defaultFit_Inclusive!$U16*fitSyst_Inclusive!I16</f>
        <v>79.000591783999994</v>
      </c>
      <c r="K16" s="36">
        <f>defaultFit_Inclusive!$U16*fitSyst_Inclusive!K16</f>
        <v>68.739573312000005</v>
      </c>
      <c r="L16" s="36">
        <f>defaultFit_Inclusive!$U16*fitSyst_Inclusive!L16</f>
        <v>79.313230826999998</v>
      </c>
      <c r="N16" s="41"/>
      <c r="O16" s="41"/>
      <c r="P16" s="40"/>
      <c r="Q16" s="41"/>
      <c r="R16" s="41"/>
      <c r="S16" s="40"/>
      <c r="T16" s="41">
        <f>fitSyst_bFrac!$G16*defaultFit_Inclusive!$E16</f>
        <v>0</v>
      </c>
      <c r="U16" s="41">
        <f>fitSyst_bFrac!$G16*defaultFit_Inclusive!$H16</f>
        <v>0</v>
      </c>
      <c r="V16" s="40"/>
      <c r="W16" s="36">
        <f>defaultFit_Inclusive!$U16*trgBiassing!E16</f>
        <v>56.170742001999997</v>
      </c>
      <c r="X16" s="36">
        <f>defaultFit_Inclusive!$U16*trgBiassing!F16</f>
        <v>67.797510934000002</v>
      </c>
      <c r="Y16" s="40"/>
      <c r="Z16" s="36">
        <f>defaultFit_Inclusive!$U16*trgBiassing!L16</f>
        <v>31.002535442000003</v>
      </c>
      <c r="AA16" s="36">
        <f>defaultFit_Inclusive!$U16*trgBiassing!M16</f>
        <v>36.523134425999999</v>
      </c>
      <c r="AB16" s="40"/>
      <c r="AC16" s="36">
        <f>defaultFit_Inclusive!$U16*epSystematic!E16</f>
        <v>70.722093189000006</v>
      </c>
      <c r="AD16" s="36">
        <f>defaultFit_Inclusive!$U16*epSystematic!F16</f>
        <v>79.877639204000005</v>
      </c>
      <c r="AE16" t="e">
        <f>SQRT(POWER(E16/$E$20-AH16,2)+POWER(H16/$H$20-AH16,2)+POWER(K16/$K$20-AH16,2)+POWER(N16/$N$20-AH16,2)+POWER(Q16/$Q$20-AH16,2)+POWER(T16/$T$20-AH16,2)+POWER(W16/$W$20-AH16,2)+POWER(Z16/$Z$20-AH16,2)+POWER(AC16/$AC$20-AH16,2))/SQRT(9)</f>
        <v>#DIV/0!</v>
      </c>
      <c r="AF16" t="e">
        <f>SQRT(POWER(F16/$F$20-AI16,2)+POWER(I16/$I$20-AI16,2)+POWER(L16/$L$20-AI16,2)+POWER(O16/$O$20-AI16,2)+POWER(R16/$R$20-AI16,2)+POWER(U16/$U$20-AI16,2)+POWER(X16/$X$20-AI16,2)+POWER(AA16/$AA$20-AI16,2)+POWER(AD16/$AD$20-AI16,2))/SQRT(9)</f>
        <v>#DIV/0!</v>
      </c>
      <c r="AH16">
        <f xml:space="preserve"> defaultFit_NonPrompt!E16/defaultFit_NonPrompt!$E$8</f>
        <v>0.18038571981396337</v>
      </c>
      <c r="AI16">
        <f xml:space="preserve"> defaultFit_NonPrompt!H16/defaultFit_NonPrompt!$H$20</f>
        <v>0.2893081608177564</v>
      </c>
    </row>
    <row r="17" spans="1:35" ht="18">
      <c r="A17" s="135"/>
      <c r="B17" s="135"/>
      <c r="C17" s="137"/>
      <c r="D17" s="30" t="s">
        <v>50</v>
      </c>
      <c r="E17" s="36">
        <f>defaultFit_Inclusive!$U17*fitSyst_Inclusive!E17</f>
        <v>74.321112651999997</v>
      </c>
      <c r="F17" s="36">
        <f>defaultFit_Inclusive!$U17*fitSyst_Inclusive!F17</f>
        <v>66.698379189999997</v>
      </c>
      <c r="H17" s="36">
        <f>defaultFit_Inclusive!$U17*fitSyst_Inclusive!H17</f>
        <v>71.451223091000003</v>
      </c>
      <c r="I17" s="36">
        <f>defaultFit_Inclusive!$U17*fitSyst_Inclusive!I17</f>
        <v>65.871301190999986</v>
      </c>
      <c r="K17" s="36">
        <f>defaultFit_Inclusive!$U17*fitSyst_Inclusive!K17</f>
        <v>74.798099025999988</v>
      </c>
      <c r="L17" s="36">
        <f>defaultFit_Inclusive!$U17*fitSyst_Inclusive!L17</f>
        <v>66.697086544000001</v>
      </c>
      <c r="N17" s="41"/>
      <c r="O17" s="41"/>
      <c r="P17" s="40"/>
      <c r="Q17" s="41"/>
      <c r="R17" s="41"/>
      <c r="S17" s="40"/>
      <c r="T17" s="41">
        <f>fitSyst_bFrac!$G17*defaultFit_Inclusive!$E17</f>
        <v>0</v>
      </c>
      <c r="U17" s="41">
        <f>fitSyst_bFrac!$G17*defaultFit_Inclusive!$H17</f>
        <v>0</v>
      </c>
      <c r="V17" s="40"/>
      <c r="W17" s="36">
        <f>defaultFit_Inclusive!$U17*trgBiassing!E17</f>
        <v>66.119920104999991</v>
      </c>
      <c r="X17" s="36">
        <f>defaultFit_Inclusive!$U17*trgBiassing!F17</f>
        <v>57.002456984999995</v>
      </c>
      <c r="Y17" s="40"/>
      <c r="Z17" s="36">
        <f>defaultFit_Inclusive!$U17*trgBiassing!L17</f>
        <v>33.887792094999995</v>
      </c>
      <c r="AA17" s="36">
        <f>defaultFit_Inclusive!$U17*trgBiassing!M17</f>
        <v>32.849366474999997</v>
      </c>
      <c r="AB17" s="40"/>
      <c r="AC17" s="36">
        <f>defaultFit_Inclusive!$U17*epSystematic!E17</f>
        <v>72.280455500000002</v>
      </c>
      <c r="AD17" s="36">
        <f>defaultFit_Inclusive!$U17*epSystematic!F17</f>
        <v>65.51862427399999</v>
      </c>
      <c r="AE17" t="e">
        <f t="shared" ref="AE17:AE19" si="2">SQRT(POWER(E17/$E$20-AH17,2)+POWER(H17/$H$20-AH17,2)+POWER(K17/$K$20-AH17,2)+POWER(N17/$N$20-AH17,2)+POWER(Q17/$Q$20-AH17,2)+POWER(T17/$T$20-AH17,2)+POWER(W17/$W$20-AH17,2)+POWER(Z17/$Z$20-AH17,2)+POWER(AC17/$AC$20-AH17,2))/SQRT(9)</f>
        <v>#DIV/0!</v>
      </c>
      <c r="AF17" t="e">
        <f t="shared" ref="AF17:AF19" si="3">SQRT(POWER(F17/$F$20-AI17,2)+POWER(I17/$I$20-AI17,2)+POWER(L17/$L$20-AI17,2)+POWER(O17/$O$20-AI17,2)+POWER(R17/$R$20-AI17,2)+POWER(U17/$U$20-AI17,2)+POWER(X17/$X$20-AI17,2)+POWER(AA17/$AA$20-AI17,2)+POWER(AD17/$AD$20-AI17,2))/SQRT(9)</f>
        <v>#DIV/0!</v>
      </c>
      <c r="AH17">
        <f xml:space="preserve"> defaultFit_NonPrompt!E17/defaultFit_NonPrompt!$E$8</f>
        <v>0.19450095322386632</v>
      </c>
      <c r="AI17">
        <f xml:space="preserve"> defaultFit_NonPrompt!H17/defaultFit_NonPrompt!$H$20</f>
        <v>0.24150475914772418</v>
      </c>
    </row>
    <row r="18" spans="1:35" ht="18">
      <c r="A18" s="135"/>
      <c r="B18" s="135"/>
      <c r="C18" s="137"/>
      <c r="D18" s="31" t="s">
        <v>52</v>
      </c>
      <c r="E18" s="36">
        <f>defaultFit_Inclusive!$U18*fitSyst_Inclusive!E18</f>
        <v>60.160368865999999</v>
      </c>
      <c r="F18" s="36">
        <f>defaultFit_Inclusive!$U18*fitSyst_Inclusive!F18</f>
        <v>56.690238383999997</v>
      </c>
      <c r="H18" s="36">
        <f>defaultFit_Inclusive!$U18*fitSyst_Inclusive!H18</f>
        <v>57.83726811199999</v>
      </c>
      <c r="I18" s="36">
        <f>defaultFit_Inclusive!$U18*fitSyst_Inclusive!I18</f>
        <v>55.956082493999993</v>
      </c>
      <c r="K18" s="36">
        <f>defaultFit_Inclusive!$U18*fitSyst_Inclusive!K18</f>
        <v>60.164836757999993</v>
      </c>
      <c r="L18" s="36">
        <f>defaultFit_Inclusive!$U18*fitSyst_Inclusive!L18</f>
        <v>57.055996269999994</v>
      </c>
      <c r="N18" s="41"/>
      <c r="O18" s="41"/>
      <c r="P18" s="40"/>
      <c r="Q18" s="41"/>
      <c r="R18" s="41"/>
      <c r="S18" s="40"/>
      <c r="T18" s="41">
        <f>fitSyst_bFrac!$G18*defaultFit_Inclusive!$E18</f>
        <v>0</v>
      </c>
      <c r="U18" s="41">
        <f>fitSyst_bFrac!$G18*defaultFit_Inclusive!$H18</f>
        <v>0</v>
      </c>
      <c r="V18" s="40"/>
      <c r="W18" s="36">
        <f>defaultFit_Inclusive!$U18*trgBiassing!E18</f>
        <v>53.972135359999996</v>
      </c>
      <c r="X18" s="36">
        <f>defaultFit_Inclusive!$U18*trgBiassing!F18</f>
        <v>49.097868273999993</v>
      </c>
      <c r="Y18" s="40"/>
      <c r="Z18" s="36">
        <f>defaultFit_Inclusive!$U18*trgBiassing!L18</f>
        <v>27.896096045999997</v>
      </c>
      <c r="AA18" s="36">
        <f>defaultFit_Inclusive!$U18*trgBiassing!M18</f>
        <v>30.276467051999997</v>
      </c>
      <c r="AB18" s="40"/>
      <c r="AC18" s="36">
        <f>defaultFit_Inclusive!$U18*epSystematic!E18</f>
        <v>60.429660902000002</v>
      </c>
      <c r="AD18" s="36">
        <f>defaultFit_Inclusive!$U18*epSystematic!F18</f>
        <v>57.837065025999998</v>
      </c>
      <c r="AE18" t="e">
        <f t="shared" si="2"/>
        <v>#DIV/0!</v>
      </c>
      <c r="AF18" t="e">
        <f t="shared" si="3"/>
        <v>#DIV/0!</v>
      </c>
      <c r="AH18">
        <f xml:space="preserve"> defaultFit_NonPrompt!E18/defaultFit_NonPrompt!$E$8</f>
        <v>0.15720767464906815</v>
      </c>
      <c r="AI18">
        <f xml:space="preserve"> defaultFit_NonPrompt!H18/defaultFit_NonPrompt!$H$20</f>
        <v>0.20531930993705991</v>
      </c>
    </row>
    <row r="19" spans="1:35" ht="18">
      <c r="A19" s="135"/>
      <c r="B19" s="135"/>
      <c r="C19" s="137"/>
      <c r="D19" s="31" t="s">
        <v>53</v>
      </c>
      <c r="E19" s="36">
        <f>defaultFit_Inclusive!$U19*fitSyst_Inclusive!E19</f>
        <v>77.893942479000003</v>
      </c>
      <c r="F19" s="36">
        <f>defaultFit_Inclusive!$U19*fitSyst_Inclusive!F19</f>
        <v>72.848415285000002</v>
      </c>
      <c r="H19" s="36">
        <f>defaultFit_Inclusive!$U19*fitSyst_Inclusive!H19</f>
        <v>75.710275425000006</v>
      </c>
      <c r="I19" s="36">
        <f>defaultFit_Inclusive!$U19*fitSyst_Inclusive!I19</f>
        <v>71.890552260000007</v>
      </c>
      <c r="K19" s="36">
        <f>defaultFit_Inclusive!$U19*fitSyst_Inclusive!K19</f>
        <v>78.131909538000002</v>
      </c>
      <c r="L19" s="36">
        <f>defaultFit_Inclusive!$U19*fitSyst_Inclusive!L19</f>
        <v>76.068138264000012</v>
      </c>
      <c r="N19" s="41"/>
      <c r="O19" s="41"/>
      <c r="P19" s="40"/>
      <c r="Q19" s="41"/>
      <c r="R19" s="41"/>
      <c r="S19" s="40"/>
      <c r="T19" s="41">
        <f>fitSyst_bFrac!$G19*defaultFit_Inclusive!$E19</f>
        <v>0</v>
      </c>
      <c r="U19" s="41">
        <f>fitSyst_bFrac!$G19*defaultFit_Inclusive!$H19</f>
        <v>0</v>
      </c>
      <c r="V19" s="40"/>
      <c r="W19" s="36">
        <f>defaultFit_Inclusive!$U19*trgBiassing!E19</f>
        <v>70.925391231000006</v>
      </c>
      <c r="X19" s="36">
        <f>defaultFit_Inclusive!$U19*trgBiassing!F19</f>
        <v>64.841201682000005</v>
      </c>
      <c r="Y19" s="40"/>
      <c r="Z19" s="36">
        <f>defaultFit_Inclusive!$U19*trgBiassing!L19</f>
        <v>38.955702780000003</v>
      </c>
      <c r="AA19" s="36">
        <f>defaultFit_Inclusive!$U19*trgBiassing!M19</f>
        <v>33.470210201999997</v>
      </c>
      <c r="AB19" s="40"/>
      <c r="AC19" s="36">
        <f>defaultFit_Inclusive!$U19*epSystematic!E19</f>
        <v>79.051197399000003</v>
      </c>
      <c r="AD19" s="36">
        <f>defaultFit_Inclusive!$U19*epSystematic!F19</f>
        <v>73.050934896000001</v>
      </c>
      <c r="AE19" t="e">
        <f t="shared" si="2"/>
        <v>#DIV/0!</v>
      </c>
      <c r="AF19" t="e">
        <f t="shared" si="3"/>
        <v>#DIV/0!</v>
      </c>
      <c r="AH19">
        <f xml:space="preserve"> defaultFit_NonPrompt!E19/defaultFit_NonPrompt!$E$8</f>
        <v>0.2041921861850394</v>
      </c>
      <c r="AI19">
        <f xml:space="preserve"> defaultFit_NonPrompt!H19/defaultFit_NonPrompt!$H$20</f>
        <v>0.26386777009745954</v>
      </c>
    </row>
    <row r="20" spans="1:35" ht="18">
      <c r="A20" s="135"/>
      <c r="B20" s="135"/>
      <c r="C20" s="137"/>
      <c r="D20" s="80"/>
      <c r="E20" s="82">
        <f xml:space="preserve"> SUM(E16:E19)</f>
        <v>281.239354779</v>
      </c>
      <c r="F20" s="82">
        <f xml:space="preserve"> SUM(F16:F19)</f>
        <v>276.116853773</v>
      </c>
      <c r="G20" s="82"/>
      <c r="H20" s="82">
        <f xml:space="preserve"> SUM(H16:H19)</f>
        <v>271.772401059</v>
      </c>
      <c r="I20" s="82">
        <f xml:space="preserve"> SUM(I16:I19)</f>
        <v>272.71852772899996</v>
      </c>
      <c r="J20" s="82"/>
      <c r="K20" s="82">
        <f xml:space="preserve"> SUM(K16:K19)</f>
        <v>281.83441863399997</v>
      </c>
      <c r="L20" s="82">
        <f xml:space="preserve"> SUM(L16:L19)</f>
        <v>279.13445190499999</v>
      </c>
      <c r="M20" s="82"/>
      <c r="N20" s="82">
        <f xml:space="preserve"> SUM(N16:N19)</f>
        <v>0</v>
      </c>
      <c r="O20" s="82">
        <f xml:space="preserve"> SUM(O16:O19)</f>
        <v>0</v>
      </c>
      <c r="P20" s="82"/>
      <c r="Q20" s="82">
        <f xml:space="preserve"> SUM(Q16:Q19)</f>
        <v>0</v>
      </c>
      <c r="R20" s="82">
        <f xml:space="preserve"> SUM(R16:R19)</f>
        <v>0</v>
      </c>
      <c r="S20" s="82"/>
      <c r="T20" s="82">
        <f xml:space="preserve"> SUM(T16:T19)</f>
        <v>0</v>
      </c>
      <c r="U20" s="82">
        <f xml:space="preserve"> SUM(U16:U19)</f>
        <v>0</v>
      </c>
      <c r="V20" s="82"/>
      <c r="W20" s="82">
        <f xml:space="preserve"> SUM(W16:W19)</f>
        <v>247.18818869799998</v>
      </c>
      <c r="X20" s="82">
        <f xml:space="preserve"> SUM(X16:X19)</f>
        <v>238.73903787500001</v>
      </c>
      <c r="Y20" s="82"/>
      <c r="Z20" s="82">
        <f xml:space="preserve"> SUM(Z16:Z19)</f>
        <v>131.74212636299998</v>
      </c>
      <c r="AA20" s="82">
        <f xml:space="preserve"> SUM(AA16:AA19)</f>
        <v>133.11917815499999</v>
      </c>
      <c r="AB20" s="82"/>
      <c r="AC20" s="82">
        <f xml:space="preserve"> SUM(AC16:AC19)</f>
        <v>282.48340698999999</v>
      </c>
      <c r="AD20" s="82">
        <f xml:space="preserve"> SUM(AD16:AD19)</f>
        <v>276.28426339999999</v>
      </c>
      <c r="AE20" s="82"/>
      <c r="AF20" s="82"/>
      <c r="AG20" s="82"/>
      <c r="AH20" s="82"/>
      <c r="AI20" s="82"/>
    </row>
    <row r="21" spans="1:35" ht="18">
      <c r="A21" s="135"/>
      <c r="B21" s="135"/>
      <c r="C21" s="141" t="s">
        <v>56</v>
      </c>
      <c r="D21" s="32"/>
      <c r="E21" s="36"/>
      <c r="F21" s="36"/>
      <c r="H21" s="36"/>
      <c r="I21" s="36"/>
      <c r="K21" s="36"/>
      <c r="L21" s="36"/>
      <c r="N21" s="41"/>
      <c r="O21" s="41"/>
      <c r="P21" s="40"/>
      <c r="Q21" s="41"/>
      <c r="R21" s="41"/>
      <c r="S21" s="40"/>
      <c r="T21" s="41"/>
      <c r="U21" s="41"/>
      <c r="V21" s="40"/>
      <c r="W21" s="36"/>
      <c r="X21" s="36"/>
      <c r="Y21" s="40"/>
      <c r="Z21" s="36"/>
      <c r="AA21" s="36"/>
      <c r="AB21" s="40"/>
      <c r="AC21" s="36"/>
      <c r="AD21" s="36"/>
    </row>
    <row r="22" spans="1:35" ht="18">
      <c r="A22" s="135"/>
      <c r="B22" s="135"/>
      <c r="C22" s="141"/>
      <c r="D22" s="32" t="s">
        <v>49</v>
      </c>
      <c r="E22" s="36">
        <f>defaultFit_Inclusive!$U22*fitSyst_Inclusive!E22</f>
        <v>88.236694025999995</v>
      </c>
      <c r="F22" s="36">
        <f>defaultFit_Inclusive!$U22*fitSyst_Inclusive!F22</f>
        <v>87.677535387000006</v>
      </c>
      <c r="H22" s="36">
        <f>defaultFit_Inclusive!$U22*fitSyst_Inclusive!H22</f>
        <v>85.647846336000001</v>
      </c>
      <c r="I22" s="36">
        <f>defaultFit_Inclusive!$U22*fitSyst_Inclusive!I22</f>
        <v>86.567604136</v>
      </c>
      <c r="K22" s="36">
        <f>defaultFit_Inclusive!$U22*fitSyst_Inclusive!K22</f>
        <v>88.503153271000002</v>
      </c>
      <c r="L22" s="36">
        <f>defaultFit_Inclusive!$U22*fitSyst_Inclusive!L22</f>
        <v>86.567604136</v>
      </c>
      <c r="N22" s="41"/>
      <c r="O22" s="41"/>
      <c r="P22" s="40"/>
      <c r="Q22" s="41"/>
      <c r="R22" s="41"/>
      <c r="S22" s="40"/>
      <c r="T22" s="41">
        <f>fitSyst_bFrac!$G22*defaultFit_Inclusive!$E22</f>
        <v>0</v>
      </c>
      <c r="U22" s="41">
        <f>fitSyst_bFrac!$G22*defaultFit_Inclusive!$H22</f>
        <v>0</v>
      </c>
      <c r="V22" s="40"/>
      <c r="W22" s="36">
        <f>defaultFit_Inclusive!$U22*trgBiassing!E22</f>
        <v>74.627254273000005</v>
      </c>
      <c r="X22" s="36">
        <f>defaultFit_Inclusive!$U22*trgBiassing!F22</f>
        <v>73.309565965999994</v>
      </c>
      <c r="Y22" s="40"/>
      <c r="Z22" s="36">
        <f>defaultFit_Inclusive!$U22*trgBiassing!L22</f>
        <v>38.585192294999999</v>
      </c>
      <c r="AA22" s="36">
        <f>defaultFit_Inclusive!$U22*trgBiassing!M22</f>
        <v>36.560643067000001</v>
      </c>
      <c r="AB22" s="40"/>
      <c r="AC22" s="36">
        <f>defaultFit_Inclusive!$U22*epSystematic!E22</f>
        <v>87.022343213000013</v>
      </c>
      <c r="AD22" s="36">
        <f>defaultFit_Inclusive!$U22*epSystematic!F22</f>
        <v>86.32738504000001</v>
      </c>
      <c r="AE22" t="e">
        <f>SQRT(POWER(E22/$E$26-AH22,2)+POWER(H22/$H$26-AH22,2)+POWER(K22/$K$26-AH22,2)+POWER(N22/$N$26-AH22,2)+POWER(Q22/$Q$26-AH22,2)+POWER(T22/$T$26-AH22,2)+POWER(W22/$W$26-AH22,2)+POWER(Z22/$Z$26-AH22,2)+POWER(AC22/$AC$26-AH22,2))/SQRT(9)</f>
        <v>#DIV/0!</v>
      </c>
      <c r="AF22" t="e">
        <f>SQRT(POWER(F22/$F$26-AI22,2)+POWER(I22/$I$26-AI22,2)+POWER(L22/$L$26-AI22,2)+POWER(O22/$O$26-AI22,2)+POWER(R22/$R$26-AI22,2)+POWER(U22/$U$26-AI22,2)+POWER(X22/$X$26-AI22,2)+POWER(AA22/$AA$26-AI22,2)+POWER(AD22/$AD$26-AI22,2))/SQRT(9)</f>
        <v>#DIV/0!</v>
      </c>
      <c r="AH22">
        <f xml:space="preserve"> defaultFit_NonPrompt!E22/defaultFit_NonPrompt!$E$8</f>
        <v>0.23028310693505402</v>
      </c>
      <c r="AI22">
        <f xml:space="preserve"> defaultFit_NonPrompt!H22/defaultFit_NonPrompt!$H$26</f>
        <v>0.32409714671399409</v>
      </c>
    </row>
    <row r="23" spans="1:35" ht="18">
      <c r="A23" s="135"/>
      <c r="B23" s="135"/>
      <c r="C23" s="141"/>
      <c r="D23" s="32" t="s">
        <v>50</v>
      </c>
      <c r="E23" s="36">
        <f>defaultFit_Inclusive!$U23*fitSyst_Inclusive!E23</f>
        <v>73.022804910000005</v>
      </c>
      <c r="F23" s="36">
        <f>defaultFit_Inclusive!$U23*fitSyst_Inclusive!F23</f>
        <v>58.968176274000001</v>
      </c>
      <c r="H23" s="36">
        <f>defaultFit_Inclusive!$U23*fitSyst_Inclusive!H23</f>
        <v>70.759240065</v>
      </c>
      <c r="I23" s="36">
        <f>defaultFit_Inclusive!$U23*fitSyst_Inclusive!I23</f>
        <v>58.588547012999989</v>
      </c>
      <c r="K23" s="36">
        <f>defaultFit_Inclusive!$U23*fitSyst_Inclusive!K23</f>
        <v>74.414102166000006</v>
      </c>
      <c r="L23" s="36">
        <f>defaultFit_Inclusive!$U23*fitSyst_Inclusive!L23</f>
        <v>58.588547012999989</v>
      </c>
      <c r="N23" s="41"/>
      <c r="O23" s="41"/>
      <c r="P23" s="40"/>
      <c r="Q23" s="41"/>
      <c r="R23" s="41"/>
      <c r="S23" s="40"/>
      <c r="T23" s="41">
        <f>fitSyst_bFrac!$G23*defaultFit_Inclusive!$E23</f>
        <v>0</v>
      </c>
      <c r="U23" s="41">
        <f>fitSyst_bFrac!$G23*defaultFit_Inclusive!$H23</f>
        <v>0</v>
      </c>
      <c r="V23" s="40"/>
      <c r="W23" s="36">
        <f>defaultFit_Inclusive!$U23*trgBiassing!E23</f>
        <v>64.503816021000006</v>
      </c>
      <c r="X23" s="36">
        <f>defaultFit_Inclusive!$U23*trgBiassing!F23</f>
        <v>53.447649515999998</v>
      </c>
      <c r="Y23" s="40"/>
      <c r="Z23" s="36">
        <f>defaultFit_Inclusive!$U23*trgBiassing!L23</f>
        <v>37.140508818000001</v>
      </c>
      <c r="AA23" s="36">
        <f>defaultFit_Inclusive!$U23*trgBiassing!M23</f>
        <v>27.659476674</v>
      </c>
      <c r="AB23" s="40"/>
      <c r="AC23" s="36">
        <f>defaultFit_Inclusive!$U23*epSystematic!E23</f>
        <v>74.628616382999994</v>
      </c>
      <c r="AD23" s="36">
        <f>defaultFit_Inclusive!$U23*epSystematic!F23</f>
        <v>59.304496671000003</v>
      </c>
      <c r="AE23" t="e">
        <f t="shared" ref="AE23:AE25" si="4">SQRT(POWER(E23/$E$26-AH23,2)+POWER(H23/$H$26-AH23,2)+POWER(K23/$K$26-AH23,2)+POWER(N23/$N$26-AH23,2)+POWER(Q23/$Q$26-AH23,2)+POWER(T23/$T$26-AH23,2)+POWER(W23/$W$26-AH23,2)+POWER(Z23/$Z$26-AH23,2)+POWER(AC23/$AC$26-AH23,2))/SQRT(9)</f>
        <v>#DIV/0!</v>
      </c>
      <c r="AF23" t="e">
        <f t="shared" ref="AF23:AF25" si="5">SQRT(POWER(F23/$F$26-AI23,2)+POWER(I23/$I$26-AI23,2)+POWER(L23/$L$26-AI23,2)+POWER(O23/$O$26-AI23,2)+POWER(R23/$R$26-AI23,2)+POWER(U23/$U$26-AI23,2)+POWER(X23/$X$26-AI23,2)+POWER(AA23/$AA$26-AI23,2)+POWER(AD23/$AD$26-AI23,2))/SQRT(9)</f>
        <v>#DIV/0!</v>
      </c>
      <c r="AH23">
        <f xml:space="preserve"> defaultFit_NonPrompt!E23/defaultFit_NonPrompt!$E$8</f>
        <v>0.19080554974164682</v>
      </c>
      <c r="AI23">
        <f xml:space="preserve"> defaultFit_NonPrompt!H23/defaultFit_NonPrompt!$H$26</f>
        <v>0.218235541212877</v>
      </c>
    </row>
    <row r="24" spans="1:35" ht="18">
      <c r="A24" s="135"/>
      <c r="B24" s="135"/>
      <c r="C24" s="141"/>
      <c r="D24" s="34" t="s">
        <v>52</v>
      </c>
      <c r="E24" s="36">
        <f>defaultFit_Inclusive!$U24*fitSyst_Inclusive!E24</f>
        <v>73.020255030000001</v>
      </c>
      <c r="F24" s="36">
        <f>defaultFit_Inclusive!$U24*fitSyst_Inclusive!F24</f>
        <v>58.710194442000002</v>
      </c>
      <c r="H24" s="36">
        <f>defaultFit_Inclusive!$U24*fitSyst_Inclusive!H24</f>
        <v>71.305350407999995</v>
      </c>
      <c r="I24" s="36">
        <f>defaultFit_Inclusive!$U24*fitSyst_Inclusive!I24</f>
        <v>58.159880387999998</v>
      </c>
      <c r="K24" s="36">
        <f>defaultFit_Inclusive!$U24*fitSyst_Inclusive!K24</f>
        <v>74.560802723999998</v>
      </c>
      <c r="L24" s="36">
        <f>defaultFit_Inclusive!$U24*fitSyst_Inclusive!L24</f>
        <v>58.159880387999998</v>
      </c>
      <c r="N24" s="41"/>
      <c r="O24" s="41"/>
      <c r="P24" s="40"/>
      <c r="Q24" s="41"/>
      <c r="R24" s="41"/>
      <c r="S24" s="40"/>
      <c r="T24" s="41">
        <f>fitSyst_bFrac!$G24*defaultFit_Inclusive!$E24</f>
        <v>0</v>
      </c>
      <c r="U24" s="41">
        <f>fitSyst_bFrac!$G24*defaultFit_Inclusive!$H24</f>
        <v>0</v>
      </c>
      <c r="V24" s="40"/>
      <c r="W24" s="36">
        <f>defaultFit_Inclusive!$U24*trgBiassing!E24</f>
        <v>64.877123177999991</v>
      </c>
      <c r="X24" s="36">
        <f>defaultFit_Inclusive!$U24*trgBiassing!F24</f>
        <v>52.708857408</v>
      </c>
      <c r="Y24" s="40"/>
      <c r="Z24" s="36">
        <f>defaultFit_Inclusive!$U24*trgBiassing!L24</f>
        <v>32.318572752000001</v>
      </c>
      <c r="AA24" s="36">
        <f>defaultFit_Inclusive!$U24*trgBiassing!M24</f>
        <v>31.471188606000002</v>
      </c>
      <c r="AB24" s="40"/>
      <c r="AC24" s="36">
        <f>defaultFit_Inclusive!$U24*epSystematic!E24</f>
        <v>69.939870336000013</v>
      </c>
      <c r="AD24" s="36">
        <f>defaultFit_Inclusive!$U24*epSystematic!F24</f>
        <v>60.213786047999996</v>
      </c>
      <c r="AE24" t="e">
        <f t="shared" si="4"/>
        <v>#DIV/0!</v>
      </c>
      <c r="AF24" t="e">
        <f t="shared" si="5"/>
        <v>#DIV/0!</v>
      </c>
      <c r="AH24">
        <f xml:space="preserve"> defaultFit_NonPrompt!E24/defaultFit_NonPrompt!$E$8</f>
        <v>0.19083746278893982</v>
      </c>
      <c r="AI24">
        <f xml:space="preserve"> defaultFit_NonPrompt!H24/defaultFit_NonPrompt!$H$26</f>
        <v>0.2174822173353958</v>
      </c>
    </row>
    <row r="25" spans="1:35" ht="18">
      <c r="A25" s="135"/>
      <c r="B25" s="135"/>
      <c r="C25" s="141"/>
      <c r="D25" s="34" t="s">
        <v>53</v>
      </c>
      <c r="E25" s="36">
        <f>defaultFit_Inclusive!$U25*fitSyst_Inclusive!E25</f>
        <v>66.302152704000008</v>
      </c>
      <c r="F25" s="36">
        <f>defaultFit_Inclusive!$U25*fitSyst_Inclusive!F25</f>
        <v>64.908309755999994</v>
      </c>
      <c r="H25" s="36">
        <f>defaultFit_Inclusive!$U25*fitSyst_Inclusive!H25</f>
        <v>64.249785468000013</v>
      </c>
      <c r="I25" s="36">
        <f>defaultFit_Inclusive!$U25*fitSyst_Inclusive!I25</f>
        <v>64.279398984000011</v>
      </c>
      <c r="K25" s="36">
        <f>defaultFit_Inclusive!$U25*fitSyst_Inclusive!K25</f>
        <v>67.748446709999996</v>
      </c>
      <c r="L25" s="36">
        <f>defaultFit_Inclusive!$U25*fitSyst_Inclusive!L25</f>
        <v>64.279398984000011</v>
      </c>
      <c r="N25" s="41"/>
      <c r="O25" s="41"/>
      <c r="P25" s="40"/>
      <c r="Q25" s="41"/>
      <c r="R25" s="41"/>
      <c r="S25" s="40"/>
      <c r="T25" s="41">
        <f>fitSyst_bFrac!$G25*defaultFit_Inclusive!$E25</f>
        <v>0</v>
      </c>
      <c r="U25" s="41">
        <f>fitSyst_bFrac!$G25*defaultFit_Inclusive!$H25</f>
        <v>0</v>
      </c>
      <c r="V25" s="40"/>
      <c r="W25" s="36">
        <f>defaultFit_Inclusive!$U25*trgBiassing!E25</f>
        <v>60.185706840000002</v>
      </c>
      <c r="X25" s="36">
        <f>defaultFit_Inclusive!$U25*trgBiassing!F25</f>
        <v>56.275216956000001</v>
      </c>
      <c r="Y25" s="40"/>
      <c r="Z25" s="36">
        <f>defaultFit_Inclusive!$U25*trgBiassing!L25</f>
        <v>36.054204767999998</v>
      </c>
      <c r="AA25" s="36">
        <f>defaultFit_Inclusive!$U25*trgBiassing!M25</f>
        <v>34.126063721999998</v>
      </c>
      <c r="AB25" s="40"/>
      <c r="AC25" s="36">
        <f>defaultFit_Inclusive!$U25*epSystematic!E25</f>
        <v>69.710216664000001</v>
      </c>
      <c r="AD25" s="36">
        <f>defaultFit_Inclusive!$U25*epSystematic!F25</f>
        <v>64.398605934000017</v>
      </c>
      <c r="AE25" t="e">
        <f t="shared" si="4"/>
        <v>#DIV/0!</v>
      </c>
      <c r="AF25" t="e">
        <f t="shared" si="5"/>
        <v>#DIV/0!</v>
      </c>
      <c r="AH25">
        <f xml:space="preserve"> defaultFit_NonPrompt!E25/defaultFit_NonPrompt!$E$8</f>
        <v>0.17334291468485807</v>
      </c>
      <c r="AI25">
        <f xml:space="preserve"> defaultFit_NonPrompt!H25/defaultFit_NonPrompt!$H$26</f>
        <v>0.24018509473773314</v>
      </c>
    </row>
    <row r="26" spans="1:35" ht="18">
      <c r="A26" s="135"/>
      <c r="B26" s="135"/>
      <c r="C26" s="141"/>
      <c r="D26" s="80"/>
      <c r="E26" s="82">
        <f xml:space="preserve"> SUM(E22:E25)</f>
        <v>300.58190666999997</v>
      </c>
      <c r="F26" s="82">
        <f xml:space="preserve"> SUM(F22:F25)</f>
        <v>270.26421585899999</v>
      </c>
      <c r="G26" s="82"/>
      <c r="H26" s="82">
        <f xml:space="preserve"> SUM(H22:H25)</f>
        <v>291.96222227700002</v>
      </c>
      <c r="I26" s="82">
        <f xml:space="preserve"> SUM(I22:I25)</f>
        <v>267.59543052100003</v>
      </c>
      <c r="J26" s="82"/>
      <c r="K26" s="82">
        <f xml:space="preserve"> SUM(K22:K25)</f>
        <v>305.22650487099997</v>
      </c>
      <c r="L26" s="82">
        <f xml:space="preserve"> SUM(L22:L25)</f>
        <v>267.59543052100003</v>
      </c>
      <c r="M26" s="82"/>
      <c r="N26" s="82">
        <f xml:space="preserve"> SUM(N22:N25)</f>
        <v>0</v>
      </c>
      <c r="O26" s="82">
        <f xml:space="preserve"> SUM(O22:O25)</f>
        <v>0</v>
      </c>
      <c r="P26" s="82"/>
      <c r="Q26" s="82">
        <f xml:space="preserve"> SUM(Q22:Q25)</f>
        <v>0</v>
      </c>
      <c r="R26" s="82">
        <f xml:space="preserve"> SUM(R22:R25)</f>
        <v>0</v>
      </c>
      <c r="S26" s="82"/>
      <c r="T26" s="82">
        <f xml:space="preserve"> SUM(T22:T25)</f>
        <v>0</v>
      </c>
      <c r="U26" s="82">
        <f xml:space="preserve"> SUM(U22:U25)</f>
        <v>0</v>
      </c>
      <c r="V26" s="82"/>
      <c r="W26" s="82">
        <f xml:space="preserve"> SUM(W22:W25)</f>
        <v>264.19390031200004</v>
      </c>
      <c r="X26" s="82">
        <f xml:space="preserve"> SUM(X22:X25)</f>
        <v>235.741289846</v>
      </c>
      <c r="Y26" s="82"/>
      <c r="Z26" s="82">
        <f xml:space="preserve"> SUM(Z22:Z25)</f>
        <v>144.09847863300001</v>
      </c>
      <c r="AA26" s="82">
        <f xml:space="preserve"> SUM(AA22:AA25)</f>
        <v>129.81737206899999</v>
      </c>
      <c r="AB26" s="82"/>
      <c r="AC26" s="82">
        <f xml:space="preserve"> SUM(AC22:AC25)</f>
        <v>301.30104659599999</v>
      </c>
      <c r="AD26" s="82">
        <f xml:space="preserve"> SUM(AD22:AD25)</f>
        <v>270.24427369300003</v>
      </c>
      <c r="AE26" s="82"/>
      <c r="AF26" s="82"/>
      <c r="AG26" s="82"/>
      <c r="AH26" s="82"/>
      <c r="AI26" s="82"/>
    </row>
    <row r="27" spans="1:35" ht="18">
      <c r="A27" s="135"/>
      <c r="B27" s="135"/>
      <c r="C27" s="138" t="s">
        <v>57</v>
      </c>
      <c r="D27" s="22"/>
      <c r="E27" s="36"/>
      <c r="F27" s="36"/>
      <c r="H27" s="36"/>
      <c r="I27" s="36"/>
      <c r="K27" s="36"/>
      <c r="L27" s="36"/>
      <c r="N27" s="41"/>
      <c r="O27" s="41"/>
      <c r="P27" s="40"/>
      <c r="Q27" s="41"/>
      <c r="R27" s="41"/>
      <c r="S27" s="40"/>
      <c r="T27" s="41"/>
      <c r="U27" s="41"/>
      <c r="V27" s="40"/>
      <c r="W27" s="36"/>
      <c r="X27" s="36"/>
      <c r="Y27" s="40"/>
      <c r="Z27" s="36"/>
      <c r="AA27" s="36"/>
      <c r="AB27" s="40"/>
      <c r="AC27" s="36"/>
      <c r="AD27" s="36"/>
    </row>
    <row r="28" spans="1:35" ht="18">
      <c r="A28" s="135"/>
      <c r="B28" s="135"/>
      <c r="C28" s="138"/>
      <c r="D28" s="22" t="s">
        <v>49</v>
      </c>
      <c r="E28" s="36">
        <f>defaultFit_Inclusive!$U28*fitSyst_Inclusive!E28</f>
        <v>47.605987926000005</v>
      </c>
      <c r="F28" s="36">
        <f>defaultFit_Inclusive!$U28*fitSyst_Inclusive!F28</f>
        <v>43.075597334000001</v>
      </c>
      <c r="H28" s="36">
        <f>defaultFit_Inclusive!$U28*fitSyst_Inclusive!H28</f>
        <v>45.964353680000002</v>
      </c>
      <c r="I28" s="36">
        <f>defaultFit_Inclusive!$U28*fitSyst_Inclusive!I28</f>
        <v>42.267778385</v>
      </c>
      <c r="K28" s="36">
        <f>defaultFit_Inclusive!$U28*fitSyst_Inclusive!K28</f>
        <v>47.664128407000007</v>
      </c>
      <c r="L28" s="36">
        <f>defaultFit_Inclusive!$U28*fitSyst_Inclusive!L28</f>
        <v>42.921200104999997</v>
      </c>
      <c r="N28" s="41"/>
      <c r="O28" s="41"/>
      <c r="P28" s="40"/>
      <c r="Q28" s="41"/>
      <c r="R28" s="41"/>
      <c r="S28" s="40"/>
      <c r="T28" s="41">
        <f>fitSyst_bFrac!$G28*defaultFit_Inclusive!$E28</f>
        <v>0</v>
      </c>
      <c r="U28" s="41">
        <f>fitSyst_bFrac!$G28*defaultFit_Inclusive!$H28</f>
        <v>0</v>
      </c>
      <c r="V28" s="40"/>
      <c r="W28" s="36">
        <f>defaultFit_Inclusive!$U28*trgBiassing!E28</f>
        <v>39.534824475999997</v>
      </c>
      <c r="X28" s="36">
        <f>defaultFit_Inclusive!$U28*trgBiassing!F28</f>
        <v>35.216795943000001</v>
      </c>
      <c r="Y28" s="40"/>
      <c r="Z28" s="36">
        <f>defaultFit_Inclusive!$U28*trgBiassing!L28</f>
        <v>20.011918430000001</v>
      </c>
      <c r="AA28" s="36">
        <f>defaultFit_Inclusive!$U28*trgBiassing!M28</f>
        <v>19.458617780000001</v>
      </c>
      <c r="AB28" s="40"/>
      <c r="AC28" s="36">
        <f>defaultFit_Inclusive!$U28*epSystematic!E28</f>
        <v>47.569628169000005</v>
      </c>
      <c r="AD28" s="36">
        <f>defaultFit_Inclusive!$U28*epSystematic!F28</f>
        <v>43.674567244000002</v>
      </c>
      <c r="AE28" t="e">
        <f>SQRT(POWER(E28/$E$32-AH28,2)+POWER(H28/$H$32-AH28,2)+POWER(K28/$K$32-AH28,2)+POWER(N28/$N$32-AH28,2)+POWER(Q28/$Q$32-AH28,2)+POWER(T28/$T$32-AH28,2)+POWER(W28/$W$32-AH28,2)+POWER(Z28/$Z$32-AH28,2)+POWER(AC28/$AC$32-AH28,2))/SQRT(9)</f>
        <v>#DIV/0!</v>
      </c>
      <c r="AF28" t="e">
        <f>SQRT(POWER(F28/$F$32-AI28,2)+POWER(I28/$I$32-AI28,2)+POWER(L28/$L$32-AI28,2)+POWER(O28/$O$32-AI28,2)+POWER(R28/$R$32-AI28,2)+POWER(U28/$U$32-AI28,2)+POWER(X28/$X$32-AI28,2)+POWER(AA28/$AA$32-AI28,2)+POWER(AD28/$AD$32-AI28,2))/SQRT(9)</f>
        <v>#DIV/0!</v>
      </c>
      <c r="AH28">
        <f xml:space="preserve"> defaultFit_NonPrompt!E28/defaultFit_NonPrompt!$E$8</f>
        <v>0.12428002837937303</v>
      </c>
      <c r="AI28">
        <f xml:space="preserve"> defaultFit_NonPrompt!H28/defaultFit_NonPrompt!$H$32</f>
        <v>0.21572147995490604</v>
      </c>
    </row>
    <row r="29" spans="1:35" ht="18">
      <c r="A29" s="135"/>
      <c r="B29" s="135"/>
      <c r="C29" s="138"/>
      <c r="D29" s="22" t="s">
        <v>50</v>
      </c>
      <c r="E29" s="36">
        <f>defaultFit_Inclusive!$U29*fitSyst_Inclusive!E29</f>
        <v>47.917702325999997</v>
      </c>
      <c r="F29" s="36">
        <f>defaultFit_Inclusive!$U29*fitSyst_Inclusive!F29</f>
        <v>53.890621776000003</v>
      </c>
      <c r="H29" s="36">
        <f>defaultFit_Inclusive!$U29*fitSyst_Inclusive!H29</f>
        <v>46.259118138000005</v>
      </c>
      <c r="I29" s="36">
        <f>defaultFit_Inclusive!$U29*fitSyst_Inclusive!I29</f>
        <v>53.235066023999998</v>
      </c>
      <c r="K29" s="36">
        <f>defaultFit_Inclusive!$U29*fitSyst_Inclusive!K29</f>
        <v>47.394148680000001</v>
      </c>
      <c r="L29" s="36">
        <f>defaultFit_Inclusive!$U29*fitSyst_Inclusive!L29</f>
        <v>53.840681369999999</v>
      </c>
      <c r="N29" s="41"/>
      <c r="O29" s="41"/>
      <c r="P29" s="40"/>
      <c r="Q29" s="41"/>
      <c r="R29" s="41"/>
      <c r="S29" s="40"/>
      <c r="T29" s="41">
        <f>fitSyst_bFrac!$G29*defaultFit_Inclusive!$E29</f>
        <v>0</v>
      </c>
      <c r="U29" s="41">
        <f>fitSyst_bFrac!$G29*defaultFit_Inclusive!$H29</f>
        <v>0</v>
      </c>
      <c r="V29" s="40"/>
      <c r="W29" s="36">
        <f>defaultFit_Inclusive!$U29*trgBiassing!E29</f>
        <v>40.363102223999995</v>
      </c>
      <c r="X29" s="36">
        <f>defaultFit_Inclusive!$U29*trgBiassing!F29</f>
        <v>49.849200281999998</v>
      </c>
      <c r="Y29" s="40"/>
      <c r="Z29" s="36">
        <f>defaultFit_Inclusive!$U29*trgBiassing!L29</f>
        <v>17.922158049</v>
      </c>
      <c r="AA29" s="36">
        <f>defaultFit_Inclusive!$U29*trgBiassing!M29</f>
        <v>25.590120528</v>
      </c>
      <c r="AB29" s="40"/>
      <c r="AC29" s="36">
        <f>defaultFit_Inclusive!$U29*epSystematic!E29</f>
        <v>49.269141294000001</v>
      </c>
      <c r="AD29" s="36">
        <f>defaultFit_Inclusive!$U29*epSystematic!F29</f>
        <v>53.758385208</v>
      </c>
      <c r="AE29" t="e">
        <f t="shared" ref="AE29:AE31" si="6">SQRT(POWER(E29/$E$32-AH29,2)+POWER(H29/$H$32-AH29,2)+POWER(K29/$K$32-AH29,2)+POWER(N29/$N$32-AH29,2)+POWER(Q29/$Q$32-AH29,2)+POWER(T29/$T$32-AH29,2)+POWER(W29/$W$32-AH29,2)+POWER(Z29/$Z$32-AH29,2)+POWER(AC29/$AC$32-AH29,2))/SQRT(9)</f>
        <v>#DIV/0!</v>
      </c>
      <c r="AF29" t="e">
        <f t="shared" ref="AF29:AF31" si="7">SQRT(POWER(F29/$F$32-AI29,2)+POWER(I29/$I$32-AI29,2)+POWER(L29/$L$32-AI29,2)+POWER(O29/$O$32-AI29,2)+POWER(R29/$R$32-AI29,2)+POWER(U29/$U$32-AI29,2)+POWER(X29/$X$32-AI29,2)+POWER(AA29/$AA$32-AI29,2)+POWER(AD29/$AD$32-AI29,2))/SQRT(9)</f>
        <v>#DIV/0!</v>
      </c>
      <c r="AH29">
        <f xml:space="preserve"> defaultFit_NonPrompt!E29/defaultFit_NonPrompt!$E$8</f>
        <v>0.12511187615574318</v>
      </c>
      <c r="AI29">
        <f xml:space="preserve"> defaultFit_NonPrompt!H29/defaultFit_NonPrompt!$H$32</f>
        <v>0.26996246200770518</v>
      </c>
    </row>
    <row r="30" spans="1:35" ht="18">
      <c r="A30" s="135"/>
      <c r="B30" s="135"/>
      <c r="C30" s="138"/>
      <c r="D30" s="13" t="s">
        <v>52</v>
      </c>
      <c r="E30" s="36">
        <f>defaultFit_Inclusive!$U30*fitSyst_Inclusive!E30</f>
        <v>65.165538116000008</v>
      </c>
      <c r="F30" s="36">
        <f>defaultFit_Inclusive!$U30*fitSyst_Inclusive!F30</f>
        <v>60.423217231999999</v>
      </c>
      <c r="H30" s="36">
        <f>defaultFit_Inclusive!$U30*fitSyst_Inclusive!H30</f>
        <v>62.397457220000007</v>
      </c>
      <c r="I30" s="36">
        <f>defaultFit_Inclusive!$U30*fitSyst_Inclusive!I30</f>
        <v>59.901198504</v>
      </c>
      <c r="K30" s="36">
        <f>defaultFit_Inclusive!$U30*fitSyst_Inclusive!K30</f>
        <v>64.478023231999998</v>
      </c>
      <c r="L30" s="36">
        <f>defaultFit_Inclusive!$U30*fitSyst_Inclusive!L30</f>
        <v>60.990589716000002</v>
      </c>
      <c r="N30" s="41"/>
      <c r="O30" s="41"/>
      <c r="P30" s="40"/>
      <c r="Q30" s="41"/>
      <c r="R30" s="41"/>
      <c r="S30" s="40"/>
      <c r="T30" s="41">
        <f>fitSyst_bFrac!$G30*defaultFit_Inclusive!$E30</f>
        <v>0</v>
      </c>
      <c r="U30" s="41">
        <f>fitSyst_bFrac!$G30*defaultFit_Inclusive!$H30</f>
        <v>0</v>
      </c>
      <c r="V30" s="40"/>
      <c r="W30" s="36">
        <f>defaultFit_Inclusive!$U30*trgBiassing!E30</f>
        <v>54.660286660000004</v>
      </c>
      <c r="X30" s="36">
        <f>defaultFit_Inclusive!$U30*trgBiassing!F30</f>
        <v>53.723175940000004</v>
      </c>
      <c r="Y30" s="40"/>
      <c r="Z30" s="36">
        <f>defaultFit_Inclusive!$U30*trgBiassing!L30</f>
        <v>27.630799686</v>
      </c>
      <c r="AA30" s="36">
        <f>defaultFit_Inclusive!$U30*trgBiassing!M30</f>
        <v>30.272280528</v>
      </c>
      <c r="AB30" s="40"/>
      <c r="AC30" s="36">
        <f>defaultFit_Inclusive!$U30*epSystematic!E30</f>
        <v>64.418853100000007</v>
      </c>
      <c r="AD30" s="36">
        <f>defaultFit_Inclusive!$U30*epSystematic!F30</f>
        <v>60.413005128000002</v>
      </c>
      <c r="AE30" t="e">
        <f t="shared" si="6"/>
        <v>#DIV/0!</v>
      </c>
      <c r="AF30" t="e">
        <f t="shared" si="7"/>
        <v>#DIV/0!</v>
      </c>
      <c r="AH30">
        <f xml:space="preserve"> defaultFit_NonPrompt!E30/defaultFit_NonPrompt!$E$8</f>
        <v>0.17022060316752161</v>
      </c>
      <c r="AI30">
        <f xml:space="preserve"> defaultFit_NonPrompt!H30/defaultFit_NonPrompt!$H$32</f>
        <v>0.30292784960891656</v>
      </c>
    </row>
    <row r="31" spans="1:35" ht="18">
      <c r="A31" s="135"/>
      <c r="B31" s="135"/>
      <c r="C31" s="138"/>
      <c r="D31" s="13" t="s">
        <v>53</v>
      </c>
      <c r="E31" s="36">
        <f>defaultFit_Inclusive!$U31*fitSyst_Inclusive!E31</f>
        <v>44.006460144000002</v>
      </c>
      <c r="F31" s="36">
        <f>defaultFit_Inclusive!$U31*fitSyst_Inclusive!F31</f>
        <v>42.209734116</v>
      </c>
      <c r="H31" s="36">
        <f>defaultFit_Inclusive!$U31*fitSyst_Inclusive!H31</f>
        <v>43.406178984</v>
      </c>
      <c r="I31" s="36">
        <f>defaultFit_Inclusive!$U31*fitSyst_Inclusive!I31</f>
        <v>41.593633271999998</v>
      </c>
      <c r="K31" s="36">
        <f>defaultFit_Inclusive!$U31*fitSyst_Inclusive!K31</f>
        <v>45.226092768000001</v>
      </c>
      <c r="L31" s="36">
        <f>defaultFit_Inclusive!$U31*fitSyst_Inclusive!L31</f>
        <v>42.139737432000004</v>
      </c>
      <c r="N31" s="41"/>
      <c r="O31" s="41"/>
      <c r="P31" s="40"/>
      <c r="Q31" s="41"/>
      <c r="R31" s="41"/>
      <c r="S31" s="40"/>
      <c r="T31" s="41">
        <f>fitSyst_bFrac!$G31*defaultFit_Inclusive!$E31</f>
        <v>0</v>
      </c>
      <c r="U31" s="41">
        <f>fitSyst_bFrac!$G31*defaultFit_Inclusive!$H31</f>
        <v>0</v>
      </c>
      <c r="V31" s="40"/>
      <c r="W31" s="36">
        <f>defaultFit_Inclusive!$U31*trgBiassing!E31</f>
        <v>39.289810524000004</v>
      </c>
      <c r="X31" s="36">
        <f>defaultFit_Inclusive!$U31*trgBiassing!F31</f>
        <v>37.374761928000005</v>
      </c>
      <c r="Y31" s="40"/>
      <c r="Z31" s="36">
        <f>defaultFit_Inclusive!$U31*trgBiassing!L31</f>
        <v>21.907878552</v>
      </c>
      <c r="AA31" s="36">
        <f>defaultFit_Inclusive!$U31*trgBiassing!M31</f>
        <v>19.2545058</v>
      </c>
      <c r="AB31" s="40"/>
      <c r="AC31" s="36">
        <f>defaultFit_Inclusive!$U31*epSystematic!E31</f>
        <v>43.652359272000005</v>
      </c>
      <c r="AD31" s="36">
        <f>defaultFit_Inclusive!$U31*epSystematic!F31</f>
        <v>41.823993876000003</v>
      </c>
      <c r="AE31" t="e">
        <f t="shared" si="6"/>
        <v>#DIV/0!</v>
      </c>
      <c r="AF31" t="e">
        <f t="shared" si="7"/>
        <v>#DIV/0!</v>
      </c>
      <c r="AH31">
        <f xml:space="preserve"> defaultFit_NonPrompt!E31/defaultFit_NonPrompt!$E$8</f>
        <v>0.1149452580900122</v>
      </c>
      <c r="AI31">
        <f xml:space="preserve"> defaultFit_NonPrompt!H31/defaultFit_NonPrompt!$H$32</f>
        <v>0.21138820842847228</v>
      </c>
    </row>
    <row r="32" spans="1:35" ht="18">
      <c r="A32" s="135"/>
      <c r="B32" s="135"/>
      <c r="C32" s="138"/>
      <c r="D32" s="80"/>
      <c r="E32" s="82">
        <f xml:space="preserve"> SUM(E28:E31)</f>
        <v>204.695688512</v>
      </c>
      <c r="F32" s="82">
        <f xml:space="preserve"> SUM(F28:F31)</f>
        <v>199.599170458</v>
      </c>
      <c r="G32" s="82"/>
      <c r="H32" s="82">
        <f xml:space="preserve"> SUM(H28:H31)</f>
        <v>198.02710802200002</v>
      </c>
      <c r="I32" s="82">
        <f xml:space="preserve"> SUM(I28:I31)</f>
        <v>196.99767618500002</v>
      </c>
      <c r="J32" s="82"/>
      <c r="K32" s="82">
        <f xml:space="preserve"> SUM(K28:K31)</f>
        <v>204.76239308700002</v>
      </c>
      <c r="L32" s="82">
        <f xml:space="preserve"> SUM(L28:L31)</f>
        <v>199.89220862299999</v>
      </c>
      <c r="M32" s="82"/>
      <c r="N32" s="82">
        <f xml:space="preserve"> SUM(N28:N31)</f>
        <v>0</v>
      </c>
      <c r="O32" s="82">
        <f xml:space="preserve"> SUM(O28:O31)</f>
        <v>0</v>
      </c>
      <c r="P32" s="82"/>
      <c r="Q32" s="82">
        <f xml:space="preserve"> SUM(Q28:Q31)</f>
        <v>0</v>
      </c>
      <c r="R32" s="82">
        <f xml:space="preserve"> SUM(R28:R31)</f>
        <v>0</v>
      </c>
      <c r="S32" s="82"/>
      <c r="T32" s="82">
        <f xml:space="preserve"> SUM(T28:T31)</f>
        <v>0</v>
      </c>
      <c r="U32" s="82">
        <f xml:space="preserve"> SUM(U28:U31)</f>
        <v>0</v>
      </c>
      <c r="V32" s="82"/>
      <c r="W32" s="82">
        <f xml:space="preserve"> SUM(W28:W31)</f>
        <v>173.84802388399999</v>
      </c>
      <c r="X32" s="82">
        <f xml:space="preserve"> SUM(X28:X31)</f>
        <v>176.16393409299999</v>
      </c>
      <c r="Y32" s="82"/>
      <c r="Z32" s="82">
        <f xml:space="preserve"> SUM(Z28:Z31)</f>
        <v>87.472754717000001</v>
      </c>
      <c r="AA32" s="82">
        <f xml:space="preserve"> SUM(AA28:AA31)</f>
        <v>94.575524635999997</v>
      </c>
      <c r="AB32" s="82"/>
      <c r="AC32" s="82">
        <f xml:space="preserve"> SUM(AC28:AC31)</f>
        <v>204.90998183500002</v>
      </c>
      <c r="AD32" s="82">
        <f xml:space="preserve"> SUM(AD28:AD31)</f>
        <v>199.66995145600001</v>
      </c>
      <c r="AE32" s="82"/>
      <c r="AF32" s="82"/>
      <c r="AG32" s="82"/>
      <c r="AH32" s="82"/>
      <c r="AI32" s="82"/>
    </row>
    <row r="33" spans="1:35" ht="18">
      <c r="A33" s="139" t="s">
        <v>55</v>
      </c>
      <c r="B33" s="117" t="s">
        <v>37</v>
      </c>
      <c r="C33" s="140" t="s">
        <v>17</v>
      </c>
      <c r="D33" s="48" t="s">
        <v>51</v>
      </c>
      <c r="E33" s="36">
        <f>defaultFit_Inclusive!$U33*fitSyst_Inclusive!E33</f>
        <v>209.47892010000001</v>
      </c>
      <c r="F33" s="36">
        <f>defaultFit_Inclusive!$U33*fitSyst_Inclusive!F33</f>
        <v>208.35996905000002</v>
      </c>
      <c r="H33" s="36">
        <f>defaultFit_Inclusive!$U33*fitSyst_Inclusive!H33</f>
        <v>298.39697648000003</v>
      </c>
      <c r="I33" s="36">
        <f>defaultFit_Inclusive!$U33*fitSyst_Inclusive!I33</f>
        <v>206.17096229000001</v>
      </c>
      <c r="K33" s="36">
        <f>defaultFit_Inclusive!$U33*fitSyst_Inclusive!K33</f>
        <v>209.09904092000002</v>
      </c>
      <c r="L33" s="36">
        <f>defaultFit_Inclusive!$U33*fitSyst_Inclusive!L33</f>
        <v>208.54238628000002</v>
      </c>
      <c r="N33" s="41"/>
      <c r="O33" s="41"/>
      <c r="P33" s="40"/>
      <c r="Q33" s="41"/>
      <c r="R33" s="41"/>
      <c r="S33" s="40"/>
      <c r="T33" s="41">
        <f>fitSyst_bFrac!$G33*defaultFit_Inclusive!$E33</f>
        <v>0</v>
      </c>
      <c r="U33" s="41">
        <f>fitSyst_bFrac!$G33*defaultFit_Inclusive!$H33</f>
        <v>0</v>
      </c>
      <c r="V33" s="40"/>
      <c r="W33" s="36">
        <f>defaultFit_Inclusive!$U33*trgBiassing!E33</f>
        <v>169.711587842</v>
      </c>
      <c r="X33" s="36">
        <f>defaultFit_Inclusive!$U33*trgBiassing!F33</f>
        <v>166.07922825700001</v>
      </c>
      <c r="Y33" s="40"/>
      <c r="Z33" s="36">
        <f>defaultFit_Inclusive!$U33*trgBiassing!L33</f>
        <v>90.021962709999997</v>
      </c>
      <c r="AA33" s="36">
        <f>defaultFit_Inclusive!$U33*trgBiassing!M33</f>
        <v>88.957172652000011</v>
      </c>
      <c r="AB33" s="40"/>
      <c r="AC33" s="36">
        <f>defaultFit_Inclusive!$U33*epSystematic!E33</f>
        <v>209.77229214000002</v>
      </c>
      <c r="AD33" s="36">
        <f>defaultFit_Inclusive!$U33*epSystematic!F33</f>
        <v>205.96785857</v>
      </c>
    </row>
    <row r="34" spans="1:35" ht="18">
      <c r="A34" s="139"/>
      <c r="B34" s="117"/>
      <c r="C34" s="140"/>
      <c r="D34" s="50" t="s">
        <v>49</v>
      </c>
      <c r="E34" s="36">
        <f>defaultFit_Inclusive!$U34*fitSyst_Inclusive!E34</f>
        <v>50.975040319000001</v>
      </c>
      <c r="F34" s="36">
        <f>defaultFit_Inclusive!$U34*fitSyst_Inclusive!F34</f>
        <v>52.533379765999996</v>
      </c>
      <c r="H34" s="36">
        <f>defaultFit_Inclusive!$U34*fitSyst_Inclusive!H34</f>
        <v>71.29595732300001</v>
      </c>
      <c r="I34" s="36">
        <f>defaultFit_Inclusive!$U34*fitSyst_Inclusive!I34</f>
        <v>51.933601998</v>
      </c>
      <c r="K34" s="36">
        <f>defaultFit_Inclusive!$U34*fitSyst_Inclusive!K34</f>
        <v>50.933370857</v>
      </c>
      <c r="L34" s="36">
        <f>defaultFit_Inclusive!$U34*fitSyst_Inclusive!L34</f>
        <v>52.521075791000001</v>
      </c>
      <c r="N34" s="41"/>
      <c r="O34" s="41"/>
      <c r="P34" s="40"/>
      <c r="Q34" s="41"/>
      <c r="R34" s="41"/>
      <c r="S34" s="40"/>
      <c r="T34" s="41">
        <f>fitSyst_bFrac!$G34*defaultFit_Inclusive!$E34</f>
        <v>0</v>
      </c>
      <c r="U34" s="41">
        <f>fitSyst_bFrac!$G34*defaultFit_Inclusive!$H34</f>
        <v>0</v>
      </c>
      <c r="V34" s="40"/>
      <c r="W34" s="36">
        <f>defaultFit_Inclusive!$U34*trgBiassing!E34</f>
        <v>38.111972694999999</v>
      </c>
      <c r="X34" s="36">
        <f>defaultFit_Inclusive!$U34*trgBiassing!F34</f>
        <v>38.75588072</v>
      </c>
      <c r="Y34" s="40"/>
      <c r="Z34" s="36">
        <f>defaultFit_Inclusive!$U34*trgBiassing!L34</f>
        <v>18.673004619</v>
      </c>
      <c r="AA34" s="36">
        <f>defaultFit_Inclusive!$U34*trgBiassing!M34</f>
        <v>18.717791088000002</v>
      </c>
      <c r="AB34" s="40"/>
      <c r="AC34" s="36">
        <f>defaultFit_Inclusive!$U34*epSystematic!E34</f>
        <v>51.675710682000009</v>
      </c>
      <c r="AD34" s="36">
        <f>defaultFit_Inclusive!$U34*epSystematic!F34</f>
        <v>51.783985661999999</v>
      </c>
      <c r="AE34" t="e">
        <f>SQRT(POWER(E34/$E$38-AH34,2)+POWER(H34/$H$38-AH34,2)+POWER(K34/$K$38-AH34,2)+POWER(N34/$N$38-AH34,2)+POWER(Q34/$Q$38-AH34,2)+POWER(T34/$T$38-AH34,2)+POWER(W34/$W$38-AH34,2)+POWER(Z34/$Z$38-AH34,2)+POWER(AC34/$AC$38-AH34,2))/SQRT(9)</f>
        <v>#DIV/0!</v>
      </c>
      <c r="AF34" t="e">
        <f>SQRT(POWER(F34/$F$38-AI34,2)+POWER(I34/$I$38-AI34,2)+POWER(L34/$L$38-AI34,2)+POWER(O34/$O$38-AI34,2)+POWER(R34/$R$38-AI34,2)+POWER(U34/$U$38-AI34,2)+POWER(X34/$X$38-AI34,2)+POWER(AA34/$AA$38-AI34,2)+POWER(AD34/$AD$38-AI34,2))/SQRT(9)</f>
        <v>#DIV/0!</v>
      </c>
      <c r="AH34">
        <f xml:space="preserve"> defaultFit_NonPrompt!E34/defaultFit_NonPrompt!$E$8</f>
        <v>0.13298840116860938</v>
      </c>
      <c r="AI34">
        <f xml:space="preserve"> defaultFit_NonPrompt!H34/defaultFit_NonPrompt!$H$38</f>
        <v>0.25147739590566515</v>
      </c>
    </row>
    <row r="35" spans="1:35" ht="18">
      <c r="A35" s="139"/>
      <c r="B35" s="117"/>
      <c r="C35" s="140"/>
      <c r="D35" s="50" t="s">
        <v>50</v>
      </c>
      <c r="E35" s="36">
        <f>defaultFit_Inclusive!$U35*fitSyst_Inclusive!E35</f>
        <v>45.500235255</v>
      </c>
      <c r="F35" s="36">
        <f>defaultFit_Inclusive!$U35*fitSyst_Inclusive!F35</f>
        <v>48.840928005000002</v>
      </c>
      <c r="H35" s="36">
        <f>defaultFit_Inclusive!$U35*fitSyst_Inclusive!H35</f>
        <v>65.271723566999995</v>
      </c>
      <c r="I35" s="36">
        <f>defaultFit_Inclusive!$U35*fitSyst_Inclusive!I35</f>
        <v>48.325869299999994</v>
      </c>
      <c r="K35" s="36">
        <f>defaultFit_Inclusive!$U35*fitSyst_Inclusive!K35</f>
        <v>45.216403233000001</v>
      </c>
      <c r="L35" s="36">
        <f>defaultFit_Inclusive!$U35*fitSyst_Inclusive!L35</f>
        <v>48.791536496999996</v>
      </c>
      <c r="N35" s="41"/>
      <c r="O35" s="41"/>
      <c r="P35" s="40"/>
      <c r="Q35" s="41"/>
      <c r="R35" s="41"/>
      <c r="S35" s="40"/>
      <c r="T35" s="41">
        <f>fitSyst_bFrac!$G35*defaultFit_Inclusive!$E35</f>
        <v>0</v>
      </c>
      <c r="U35" s="41">
        <f>fitSyst_bFrac!$G35*defaultFit_Inclusive!$H35</f>
        <v>0</v>
      </c>
      <c r="V35" s="40"/>
      <c r="W35" s="36">
        <f>defaultFit_Inclusive!$U35*trgBiassing!E35</f>
        <v>36.985274595</v>
      </c>
      <c r="X35" s="36">
        <f>defaultFit_Inclusive!$U35*trgBiassing!F35</f>
        <v>39.807018212999999</v>
      </c>
      <c r="Y35" s="40"/>
      <c r="Z35" s="36">
        <f>defaultFit_Inclusive!$U35*trgBiassing!L35</f>
        <v>19.090325288999999</v>
      </c>
      <c r="AA35" s="36">
        <f>defaultFit_Inclusive!$U35*trgBiassing!M35</f>
        <v>19.620438255</v>
      </c>
      <c r="AB35" s="40"/>
      <c r="AC35" s="36">
        <f>defaultFit_Inclusive!$U35*epSystematic!E35</f>
        <v>43.794705887999996</v>
      </c>
      <c r="AD35" s="36">
        <f>defaultFit_Inclusive!$U35*epSystematic!F35</f>
        <v>47.491118984999993</v>
      </c>
      <c r="AE35" t="e">
        <f t="shared" ref="AE35:AE37" si="8">SQRT(POWER(E35/$E$38-AH35,2)+POWER(H35/$H$38-AH35,2)+POWER(K35/$K$38-AH35,2)+POWER(N35/$N$38-AH35,2)+POWER(Q35/$Q$38-AH35,2)+POWER(T35/$T$38-AH35,2)+POWER(W35/$W$38-AH35,2)+POWER(Z35/$Z$38-AH35,2)+POWER(AC35/$AC$38-AH35,2))/SQRT(9)</f>
        <v>#DIV/0!</v>
      </c>
      <c r="AF35" t="e">
        <f t="shared" ref="AF35:AF37" si="9">SQRT(POWER(F35/$F$38-AI35,2)+POWER(I35/$I$38-AI35,2)+POWER(L35/$L$38-AI35,2)+POWER(O35/$O$38-AI35,2)+POWER(R35/$R$38-AI35,2)+POWER(U35/$U$38-AI35,2)+POWER(X35/$X$38-AI35,2)+POWER(AA35/$AA$38-AI35,2)+POWER(AD35/$AD$38-AI35,2))/SQRT(9)</f>
        <v>#DIV/0!</v>
      </c>
      <c r="AH35">
        <f xml:space="preserve"> defaultFit_NonPrompt!E35/defaultFit_NonPrompt!$E$8</f>
        <v>0.11878150083727476</v>
      </c>
      <c r="AI35">
        <f xml:space="preserve"> defaultFit_NonPrompt!H35/defaultFit_NonPrompt!$H$38</f>
        <v>0.2340040701101698</v>
      </c>
    </row>
    <row r="36" spans="1:35" ht="18">
      <c r="A36" s="139"/>
      <c r="B36" s="117"/>
      <c r="C36" s="140"/>
      <c r="D36" s="48" t="s">
        <v>52</v>
      </c>
      <c r="E36" s="36">
        <f>defaultFit_Inclusive!$U36*fitSyst_Inclusive!E36</f>
        <v>56.940649479999998</v>
      </c>
      <c r="F36" s="36">
        <f>defaultFit_Inclusive!$U36*fitSyst_Inclusive!F36</f>
        <v>50.5581076</v>
      </c>
      <c r="H36" s="36">
        <f>defaultFit_Inclusive!$U36*fitSyst_Inclusive!H36</f>
        <v>81.362481200000005</v>
      </c>
      <c r="I36" s="36">
        <f>defaultFit_Inclusive!$U36*fitSyst_Inclusive!I36</f>
        <v>50.027251560000003</v>
      </c>
      <c r="K36" s="36">
        <f>defaultFit_Inclusive!$U36*fitSyst_Inclusive!K36</f>
        <v>56.679311259999999</v>
      </c>
      <c r="L36" s="36">
        <f>defaultFit_Inclusive!$U36*fitSyst_Inclusive!L36</f>
        <v>51.045202780000004</v>
      </c>
      <c r="N36" s="41"/>
      <c r="O36" s="41"/>
      <c r="P36" s="40"/>
      <c r="Q36" s="41"/>
      <c r="R36" s="41"/>
      <c r="S36" s="40"/>
      <c r="T36" s="41">
        <f>fitSyst_bFrac!$G36*defaultFit_Inclusive!$E36</f>
        <v>0</v>
      </c>
      <c r="U36" s="41">
        <f>fitSyst_bFrac!$G36*defaultFit_Inclusive!$H36</f>
        <v>0</v>
      </c>
      <c r="V36" s="40"/>
      <c r="W36" s="36">
        <f>defaultFit_Inclusive!$U36*trgBiassing!E36</f>
        <v>46.971557490000002</v>
      </c>
      <c r="X36" s="36">
        <f>defaultFit_Inclusive!$U36*trgBiassing!F36</f>
        <v>42.472777489999999</v>
      </c>
      <c r="Y36" s="40"/>
      <c r="Z36" s="36">
        <f>defaultFit_Inclusive!$U36*trgBiassing!L36</f>
        <v>23.486903439999999</v>
      </c>
      <c r="AA36" s="36">
        <f>defaultFit_Inclusive!$U36*trgBiassing!M36</f>
        <v>27.63007533</v>
      </c>
      <c r="AB36" s="40"/>
      <c r="AC36" s="36">
        <f>defaultFit_Inclusive!$U36*epSystematic!E36</f>
        <v>57.545735390000004</v>
      </c>
      <c r="AD36" s="36">
        <f>defaultFit_Inclusive!$U36*epSystematic!F36</f>
        <v>51.686483420000002</v>
      </c>
      <c r="AE36" t="e">
        <f t="shared" si="8"/>
        <v>#DIV/0!</v>
      </c>
      <c r="AF36" t="e">
        <f t="shared" si="9"/>
        <v>#DIV/0!</v>
      </c>
      <c r="AH36">
        <f xml:space="preserve"> defaultFit_NonPrompt!E36/defaultFit_NonPrompt!$E$8</f>
        <v>0.14877338978016316</v>
      </c>
      <c r="AI36">
        <f xml:space="preserve"> defaultFit_NonPrompt!H36/defaultFit_NonPrompt!$H$38</f>
        <v>0.24224960174972801</v>
      </c>
    </row>
    <row r="37" spans="1:35" ht="18">
      <c r="A37" s="139"/>
      <c r="B37" s="117"/>
      <c r="C37" s="140"/>
      <c r="D37" s="48" t="s">
        <v>53</v>
      </c>
      <c r="E37" s="36">
        <f>defaultFit_Inclusive!$U37*fitSyst_Inclusive!E37</f>
        <v>56.230609800000003</v>
      </c>
      <c r="F37" s="36">
        <f>defaultFit_Inclusive!$U37*fitSyst_Inclusive!F37</f>
        <v>56.847628839999999</v>
      </c>
      <c r="H37" s="36">
        <f>defaultFit_Inclusive!$U37*fitSyst_Inclusive!H37</f>
        <v>77.646236919999993</v>
      </c>
      <c r="I37" s="36">
        <f>defaultFit_Inclusive!$U37*fitSyst_Inclusive!I37</f>
        <v>56.230157439999999</v>
      </c>
      <c r="K37" s="36">
        <f>defaultFit_Inclusive!$U37*fitSyst_Inclusive!K37</f>
        <v>56.4115538</v>
      </c>
      <c r="L37" s="36">
        <f>defaultFit_Inclusive!$U37*fitSyst_Inclusive!L37</f>
        <v>57.163376120000002</v>
      </c>
      <c r="N37" s="41"/>
      <c r="O37" s="41"/>
      <c r="P37" s="40"/>
      <c r="Q37" s="41"/>
      <c r="R37" s="41"/>
      <c r="S37" s="40"/>
      <c r="T37" s="41">
        <f>fitSyst_bFrac!$G37*defaultFit_Inclusive!$E37</f>
        <v>0</v>
      </c>
      <c r="U37" s="41">
        <f>fitSyst_bFrac!$G37*defaultFit_Inclusive!$H37</f>
        <v>0</v>
      </c>
      <c r="V37" s="40"/>
      <c r="W37" s="36">
        <f>defaultFit_Inclusive!$U37*trgBiassing!E37</f>
        <v>48.697232539999995</v>
      </c>
      <c r="X37" s="36">
        <f>defaultFit_Inclusive!$U37*trgBiassing!F37</f>
        <v>45.749202420000003</v>
      </c>
      <c r="Y37" s="40"/>
      <c r="Z37" s="36">
        <f>defaultFit_Inclusive!$U37*trgBiassing!L37</f>
        <v>30.725422099999999</v>
      </c>
      <c r="AA37" s="36">
        <f>defaultFit_Inclusive!$U37*trgBiassing!M37</f>
        <v>24.562695639999998</v>
      </c>
      <c r="AB37" s="40"/>
      <c r="AC37" s="36">
        <f>defaultFit_Inclusive!$U37*epSystematic!E37</f>
        <v>57.196850759999997</v>
      </c>
      <c r="AD37" s="36">
        <f>defaultFit_Inclusive!$U37*epSystematic!F37</f>
        <v>55.635756399999998</v>
      </c>
      <c r="AE37" t="e">
        <f t="shared" si="8"/>
        <v>#DIV/0!</v>
      </c>
      <c r="AF37" t="e">
        <f t="shared" si="9"/>
        <v>#DIV/0!</v>
      </c>
      <c r="AH37">
        <f xml:space="preserve"> defaultFit_NonPrompt!E37/defaultFit_NonPrompt!$E$8</f>
        <v>0.14680825804551709</v>
      </c>
      <c r="AI37">
        <f xml:space="preserve"> defaultFit_NonPrompt!H37/defaultFit_NonPrompt!$H$38</f>
        <v>0.27226893223443704</v>
      </c>
    </row>
    <row r="38" spans="1:35" ht="18">
      <c r="A38" s="139"/>
      <c r="B38" s="117"/>
      <c r="C38" s="140"/>
      <c r="D38" s="80"/>
      <c r="E38" s="82">
        <f xml:space="preserve"> SUM(E34:E37)</f>
        <v>209.64653485399998</v>
      </c>
      <c r="F38" s="82">
        <f xml:space="preserve"> SUM(F34:F37)</f>
        <v>208.78004421099999</v>
      </c>
      <c r="G38" s="82"/>
      <c r="H38" s="82">
        <f xml:space="preserve"> SUM(H34:H37)</f>
        <v>295.57639900999999</v>
      </c>
      <c r="I38" s="82">
        <f xml:space="preserve"> SUM(I34:I37)</f>
        <v>206.51688029799999</v>
      </c>
      <c r="J38" s="82"/>
      <c r="K38" s="82">
        <f xml:space="preserve"> SUM(K34:K37)</f>
        <v>209.24063914999999</v>
      </c>
      <c r="L38" s="82">
        <f xml:space="preserve"> SUM(L34:L37)</f>
        <v>209.52119118800002</v>
      </c>
      <c r="M38" s="82"/>
      <c r="N38" s="82">
        <f xml:space="preserve"> SUM(N34:N37)</f>
        <v>0</v>
      </c>
      <c r="O38" s="82">
        <f xml:space="preserve"> SUM(O34:O37)</f>
        <v>0</v>
      </c>
      <c r="P38" s="82"/>
      <c r="Q38" s="82">
        <f xml:space="preserve"> SUM(Q34:Q37)</f>
        <v>0</v>
      </c>
      <c r="R38" s="82">
        <f xml:space="preserve"> SUM(R34:R37)</f>
        <v>0</v>
      </c>
      <c r="S38" s="82"/>
      <c r="T38" s="82">
        <f xml:space="preserve"> SUM(T34:T37)</f>
        <v>0</v>
      </c>
      <c r="U38" s="82">
        <f xml:space="preserve"> SUM(U34:U37)</f>
        <v>0</v>
      </c>
      <c r="V38" s="82"/>
      <c r="W38" s="82">
        <f xml:space="preserve"> SUM(W34:W37)</f>
        <v>170.76603731999998</v>
      </c>
      <c r="X38" s="82">
        <f xml:space="preserve"> SUM(X34:X37)</f>
        <v>166.784878843</v>
      </c>
      <c r="Y38" s="82"/>
      <c r="Z38" s="82">
        <f xml:space="preserve"> SUM(Z34:Z37)</f>
        <v>91.975655447999998</v>
      </c>
      <c r="AA38" s="82">
        <f xml:space="preserve"> SUM(AA34:AA37)</f>
        <v>90.531000313000007</v>
      </c>
      <c r="AB38" s="82"/>
      <c r="AC38" s="82">
        <f xml:space="preserve"> SUM(AC34:AC37)</f>
        <v>210.21300271999999</v>
      </c>
      <c r="AD38" s="82">
        <f xml:space="preserve"> SUM(AD34:AD37)</f>
        <v>206.59734446699997</v>
      </c>
      <c r="AE38" s="82"/>
      <c r="AF38" s="82"/>
      <c r="AG38" s="82"/>
      <c r="AH38" s="82"/>
      <c r="AI38" s="82"/>
    </row>
    <row r="39" spans="1:35" ht="18">
      <c r="A39" s="139"/>
      <c r="B39" s="139" t="s">
        <v>76</v>
      </c>
      <c r="C39" s="140"/>
      <c r="D39" s="51" t="s">
        <v>51</v>
      </c>
      <c r="E39" s="36">
        <f>defaultFit_Inclusive!$U39*fitSyst_Inclusive!E39</f>
        <v>249.8719528</v>
      </c>
      <c r="F39" s="36">
        <f>defaultFit_Inclusive!$U39*fitSyst_Inclusive!F39</f>
        <v>225.32283559999999</v>
      </c>
      <c r="H39" s="36">
        <f>defaultFit_Inclusive!$U39*fitSyst_Inclusive!H39</f>
        <v>242.50653880000002</v>
      </c>
      <c r="I39" s="36">
        <f>defaultFit_Inclusive!$U39*fitSyst_Inclusive!I39</f>
        <v>222.2714498</v>
      </c>
      <c r="K39" s="36">
        <f>defaultFit_Inclusive!$U39*fitSyst_Inclusive!K39</f>
        <v>251.28167720000002</v>
      </c>
      <c r="L39" s="36">
        <f>defaultFit_Inclusive!$U39*fitSyst_Inclusive!L39</f>
        <v>224.05838296000002</v>
      </c>
      <c r="N39" s="41"/>
      <c r="O39" s="41"/>
      <c r="P39" s="40"/>
      <c r="Q39" s="41"/>
      <c r="R39" s="41"/>
      <c r="S39" s="40"/>
      <c r="T39" s="41">
        <f>fitSyst_bFrac!$G39*defaultFit_Inclusive!$E39</f>
        <v>0</v>
      </c>
      <c r="U39" s="41">
        <f>fitSyst_bFrac!$G39*defaultFit_Inclusive!$H39</f>
        <v>0</v>
      </c>
      <c r="V39" s="40"/>
      <c r="W39" s="36">
        <f>defaultFit_Inclusive!$U39*trgBiassing!E39</f>
        <v>221.63673440000002</v>
      </c>
      <c r="X39" s="36">
        <f>defaultFit_Inclusive!$U39*trgBiassing!F39</f>
        <v>199.48414868</v>
      </c>
      <c r="Y39" s="40"/>
      <c r="Z39" s="36">
        <f>defaultFit_Inclusive!$U39*trgBiassing!L39</f>
        <v>114.67214188000001</v>
      </c>
      <c r="AA39" s="36">
        <f>defaultFit_Inclusive!$U39*trgBiassing!M39</f>
        <v>109.19888124000001</v>
      </c>
      <c r="AB39" s="40"/>
      <c r="AC39" s="36">
        <f>defaultFit_Inclusive!$U39*epSystematic!E39</f>
        <v>249.92626000000001</v>
      </c>
      <c r="AD39" s="36">
        <f>defaultFit_Inclusive!$U39*epSystematic!F39</f>
        <v>225.41153736000001</v>
      </c>
    </row>
    <row r="40" spans="1:35" ht="18">
      <c r="A40" s="139"/>
      <c r="B40" s="139"/>
      <c r="C40" s="140"/>
      <c r="D40" s="52" t="s">
        <v>49</v>
      </c>
      <c r="E40" s="36">
        <f>defaultFit_Inclusive!$U40*fitSyst_Inclusive!E40</f>
        <v>63.217121128000002</v>
      </c>
      <c r="F40" s="36">
        <f>defaultFit_Inclusive!$U40*fitSyst_Inclusive!F40</f>
        <v>58.301729262000009</v>
      </c>
      <c r="H40" s="36">
        <f>defaultFit_Inclusive!$U40*fitSyst_Inclusive!H40</f>
        <v>61.586648696999994</v>
      </c>
      <c r="I40" s="36">
        <f>defaultFit_Inclusive!$U40*fitSyst_Inclusive!I40</f>
        <v>57.351610890000003</v>
      </c>
      <c r="K40" s="36">
        <f>defaultFit_Inclusive!$U40*fitSyst_Inclusive!K40</f>
        <v>61.935992475000006</v>
      </c>
      <c r="L40" s="36">
        <f>defaultFit_Inclusive!$U40*fitSyst_Inclusive!L40</f>
        <v>57.574634859</v>
      </c>
      <c r="N40" s="41"/>
      <c r="O40" s="41"/>
      <c r="P40" s="40"/>
      <c r="Q40" s="41"/>
      <c r="R40" s="41"/>
      <c r="S40" s="40"/>
      <c r="T40" s="41">
        <f>fitSyst_bFrac!$G40*defaultFit_Inclusive!$E40</f>
        <v>0</v>
      </c>
      <c r="U40" s="41">
        <f>fitSyst_bFrac!$G40*defaultFit_Inclusive!$H40</f>
        <v>0</v>
      </c>
      <c r="V40" s="40"/>
      <c r="W40" s="36">
        <f>defaultFit_Inclusive!$U40*trgBiassing!E40</f>
        <v>54.126527153999994</v>
      </c>
      <c r="X40" s="36">
        <f>defaultFit_Inclusive!$U40*trgBiassing!F40</f>
        <v>50.649609668000004</v>
      </c>
      <c r="Y40" s="40"/>
      <c r="Z40" s="36">
        <f>defaultFit_Inclusive!$U40*trgBiassing!L40</f>
        <v>28.514228911</v>
      </c>
      <c r="AA40" s="36">
        <f>defaultFit_Inclusive!$U40*trgBiassing!M40</f>
        <v>28.383073894000002</v>
      </c>
      <c r="AB40" s="40"/>
      <c r="AC40" s="36">
        <f>defaultFit_Inclusive!$U40*epSystematic!E40</f>
        <v>62.775102529999998</v>
      </c>
      <c r="AD40" s="36">
        <f>defaultFit_Inclusive!$U40*epSystematic!F40</f>
        <v>58.894042242000005</v>
      </c>
      <c r="AE40" t="e">
        <f>SQRT(POWER(E40/$E$44-AH40,2)+POWER(H40/$H$44-AH40,2)+POWER(K40/$K$44-AH40,2)+POWER(N40/$N$44-AH40,2)+POWER(Q40/$Q$44-AH40,2)+POWER(T40/$T$44-AH40,2)+POWER(W40/$W$44-AH40,2)+POWER(Z40/$Z$44-AH40,2)+POWER(AC40/$AC$44-AH40,2))/SQRT(9)</f>
        <v>#DIV/0!</v>
      </c>
      <c r="AF40" t="e">
        <f>SQRT(POWER(F40/$F$44-AI40,2)+POWER(I40/$I$44-AI40,2)+POWER(L40/$L$44-AI40,2)+POWER(O40/$O$44-AI40,2)+POWER(R40/$R$44-AI40,2)+POWER(U40/$U$44-AI40,2)+POWER(X40/$X$44-AI40,2)+POWER(AA40/$AA$44-AI40,2)+POWER(AD40/$AD$44-AI40,2))/SQRT(9)</f>
        <v>#DIV/0!</v>
      </c>
      <c r="AH40">
        <f xml:space="preserve"> defaultFit_NonPrompt!E40/defaultFit_NonPrompt!$E$8</f>
        <v>0.164875584321517</v>
      </c>
      <c r="AI40">
        <f xml:space="preserve"> defaultFit_NonPrompt!H40/defaultFit_NonPrompt!$H$44</f>
        <v>0.25860765090152982</v>
      </c>
    </row>
    <row r="41" spans="1:35" ht="18">
      <c r="A41" s="139"/>
      <c r="B41" s="139"/>
      <c r="C41" s="140"/>
      <c r="D41" s="52" t="s">
        <v>50</v>
      </c>
      <c r="E41" s="36">
        <f>defaultFit_Inclusive!$U41*fitSyst_Inclusive!E41</f>
        <v>68.377139376000002</v>
      </c>
      <c r="F41" s="36">
        <f>defaultFit_Inclusive!$U41*fitSyst_Inclusive!F41</f>
        <v>59.970175271999999</v>
      </c>
      <c r="H41" s="36">
        <f>defaultFit_Inclusive!$U41*fitSyst_Inclusive!H41</f>
        <v>66.35721766799999</v>
      </c>
      <c r="I41" s="36">
        <f>defaultFit_Inclusive!$U41*fitSyst_Inclusive!I41</f>
        <v>59.584538999999999</v>
      </c>
      <c r="K41" s="36">
        <f>defaultFit_Inclusive!$U41*fitSyst_Inclusive!K41</f>
        <v>69.911747640000002</v>
      </c>
      <c r="L41" s="36">
        <f>defaultFit_Inclusive!$U41*fitSyst_Inclusive!L41</f>
        <v>59.146146192000003</v>
      </c>
      <c r="N41" s="41"/>
      <c r="O41" s="41"/>
      <c r="P41" s="40"/>
      <c r="Q41" s="41"/>
      <c r="R41" s="41"/>
      <c r="S41" s="40"/>
      <c r="T41" s="41">
        <f>fitSyst_bFrac!$G41*defaultFit_Inclusive!$E41</f>
        <v>0</v>
      </c>
      <c r="U41" s="41">
        <f>fitSyst_bFrac!$G41*defaultFit_Inclusive!$H41</f>
        <v>0</v>
      </c>
      <c r="V41" s="40"/>
      <c r="W41" s="36">
        <f>defaultFit_Inclusive!$U41*trgBiassing!E41</f>
        <v>61.386898356000003</v>
      </c>
      <c r="X41" s="36">
        <f>defaultFit_Inclusive!$U41*trgBiassing!F41</f>
        <v>54.509640359999999</v>
      </c>
      <c r="Y41" s="40"/>
      <c r="Z41" s="36">
        <f>defaultFit_Inclusive!$U41*trgBiassing!L41</f>
        <v>30.001895028</v>
      </c>
      <c r="AA41" s="36">
        <f>defaultFit_Inclusive!$U41*trgBiassing!M41</f>
        <v>28.596610307999999</v>
      </c>
      <c r="AB41" s="40"/>
      <c r="AC41" s="36">
        <f>defaultFit_Inclusive!$U41*epSystematic!E41</f>
        <v>70.004188296000009</v>
      </c>
      <c r="AD41" s="36">
        <f>defaultFit_Inclusive!$U41*epSystematic!F41</f>
        <v>59.266832604000001</v>
      </c>
      <c r="AE41" t="e">
        <f t="shared" ref="AE41:AE43" si="10">SQRT(POWER(E41/$E$44-AH41,2)+POWER(H41/$H$44-AH41,2)+POWER(K41/$K$44-AH41,2)+POWER(N41/$N$44-AH41,2)+POWER(Q41/$Q$44-AH41,2)+POWER(T41/$T$44-AH41,2)+POWER(W41/$W$44-AH41,2)+POWER(Z41/$Z$44-AH41,2)+POWER(AC41/$AC$44-AH41,2))/SQRT(9)</f>
        <v>#DIV/0!</v>
      </c>
      <c r="AF41" t="e">
        <f t="shared" ref="AF41:AF43" si="11">SQRT(POWER(F41/$F$44-AI41,2)+POWER(I41/$I$44-AI41,2)+POWER(L41/$L$44-AI41,2)+POWER(O41/$O$44-AI41,2)+POWER(R41/$R$44-AI41,2)+POWER(U41/$U$44-AI41,2)+POWER(X41/$X$44-AI41,2)+POWER(AA41/$AA$44-AI41,2)+POWER(AD41/$AD$44-AI41,2))/SQRT(9)</f>
        <v>#DIV/0!</v>
      </c>
      <c r="AH41">
        <f xml:space="preserve"> defaultFit_NonPrompt!E41/defaultFit_NonPrompt!$E$8</f>
        <v>0.17856650026673324</v>
      </c>
      <c r="AI41">
        <f xml:space="preserve"> defaultFit_NonPrompt!H41/defaultFit_NonPrompt!$H$44</f>
        <v>0.2660706511500715</v>
      </c>
    </row>
    <row r="42" spans="1:35" ht="18">
      <c r="A42" s="139"/>
      <c r="B42" s="139"/>
      <c r="C42" s="140"/>
      <c r="D42" s="51" t="s">
        <v>52</v>
      </c>
      <c r="E42" s="36">
        <f>defaultFit_Inclusive!$U42*fitSyst_Inclusive!E42</f>
        <v>65.731690032000003</v>
      </c>
      <c r="F42" s="36">
        <f>defaultFit_Inclusive!$U42*fitSyst_Inclusive!F42</f>
        <v>51.472395504000005</v>
      </c>
      <c r="H42" s="36">
        <f>defaultFit_Inclusive!$U42*fitSyst_Inclusive!H42</f>
        <v>63.454942240000001</v>
      </c>
      <c r="I42" s="36">
        <f>defaultFit_Inclusive!$U42*fitSyst_Inclusive!I42</f>
        <v>50.861296928000002</v>
      </c>
      <c r="K42" s="36">
        <f>defaultFit_Inclusive!$U42*fitSyst_Inclusive!K42</f>
        <v>66.15154376000001</v>
      </c>
      <c r="L42" s="36">
        <f>defaultFit_Inclusive!$U42*fitSyst_Inclusive!L42</f>
        <v>54.162359991999999</v>
      </c>
      <c r="N42" s="41"/>
      <c r="O42" s="41"/>
      <c r="P42" s="40"/>
      <c r="Q42" s="41"/>
      <c r="R42" s="41"/>
      <c r="S42" s="40"/>
      <c r="T42" s="41">
        <f>fitSyst_bFrac!$G42*defaultFit_Inclusive!$E42</f>
        <v>0</v>
      </c>
      <c r="U42" s="41">
        <f>fitSyst_bFrac!$G42*defaultFit_Inclusive!$H42</f>
        <v>0</v>
      </c>
      <c r="V42" s="40"/>
      <c r="W42" s="36">
        <f>defaultFit_Inclusive!$U42*trgBiassing!E42</f>
        <v>58.936598343999997</v>
      </c>
      <c r="X42" s="36">
        <f>defaultFit_Inclusive!$U42*trgBiassing!F42</f>
        <v>45.408852232000001</v>
      </c>
      <c r="Y42" s="40"/>
      <c r="Z42" s="36">
        <f>defaultFit_Inclusive!$U42*trgBiassing!L42</f>
        <v>28.283343144</v>
      </c>
      <c r="AA42" s="36">
        <f>defaultFit_Inclusive!$U42*trgBiassing!M42</f>
        <v>24.757850072</v>
      </c>
      <c r="AB42" s="40"/>
      <c r="AC42" s="36">
        <f>defaultFit_Inclusive!$U42*epSystematic!E42</f>
        <v>63.246736088000006</v>
      </c>
      <c r="AD42" s="36">
        <f>defaultFit_Inclusive!$U42*epSystematic!F42</f>
        <v>52.765387664000002</v>
      </c>
      <c r="AE42" t="e">
        <f t="shared" si="10"/>
        <v>#DIV/0!</v>
      </c>
      <c r="AF42" t="e">
        <f t="shared" si="11"/>
        <v>#DIV/0!</v>
      </c>
      <c r="AH42">
        <f xml:space="preserve"> defaultFit_NonPrompt!E42/defaultFit_NonPrompt!$E$8</f>
        <v>0.17150073958117024</v>
      </c>
      <c r="AI42">
        <f xml:space="preserve"> defaultFit_NonPrompt!H42/defaultFit_NonPrompt!$H$44</f>
        <v>0.22850153023969438</v>
      </c>
    </row>
    <row r="43" spans="1:35" ht="18">
      <c r="A43" s="139"/>
      <c r="B43" s="139"/>
      <c r="C43" s="140"/>
      <c r="D43" s="51" t="s">
        <v>53</v>
      </c>
      <c r="E43" s="36">
        <f>defaultFit_Inclusive!$U43*fitSyst_Inclusive!E43</f>
        <v>54.147275780000001</v>
      </c>
      <c r="F43" s="36">
        <f>defaultFit_Inclusive!$U43*fitSyst_Inclusive!F43</f>
        <v>55.625365351999996</v>
      </c>
      <c r="H43" s="36">
        <f>defaultFit_Inclusive!$U43*fitSyst_Inclusive!H43</f>
        <v>52.684831187999997</v>
      </c>
      <c r="I43" s="36">
        <f>defaultFit_Inclusive!$U43*fitSyst_Inclusive!I43</f>
        <v>54.638528151999999</v>
      </c>
      <c r="K43" s="36">
        <f>defaultFit_Inclusive!$U43*fitSyst_Inclusive!K43</f>
        <v>51.580536291999998</v>
      </c>
      <c r="L43" s="36">
        <f>defaultFit_Inclusive!$U43*fitSyst_Inclusive!L43</f>
        <v>56.911864091999995</v>
      </c>
      <c r="N43" s="41"/>
      <c r="O43" s="41"/>
      <c r="P43" s="40"/>
      <c r="Q43" s="41"/>
      <c r="R43" s="41"/>
      <c r="S43" s="40"/>
      <c r="T43" s="41">
        <f>fitSyst_bFrac!$G43*defaultFit_Inclusive!$E43</f>
        <v>0</v>
      </c>
      <c r="U43" s="41">
        <f>fitSyst_bFrac!$G43*defaultFit_Inclusive!$H43</f>
        <v>0</v>
      </c>
      <c r="V43" s="40"/>
      <c r="W43" s="36">
        <f>defaultFit_Inclusive!$U43*trgBiassing!E43</f>
        <v>48.704026199999994</v>
      </c>
      <c r="X43" s="36">
        <f>defaultFit_Inclusive!$U43*trgBiassing!F43</f>
        <v>49.915669727999997</v>
      </c>
      <c r="Y43" s="40"/>
      <c r="Z43" s="36">
        <f>defaultFit_Inclusive!$U43*trgBiassing!L43</f>
        <v>28.007161812</v>
      </c>
      <c r="AA43" s="36">
        <f>defaultFit_Inclusive!$U43*trgBiassing!M43</f>
        <v>27.923160304</v>
      </c>
      <c r="AB43" s="40"/>
      <c r="AC43" s="36">
        <f>defaultFit_Inclusive!$U43*epSystematic!E43</f>
        <v>55.416926080000003</v>
      </c>
      <c r="AD43" s="36">
        <f>defaultFit_Inclusive!$U43*epSystematic!F43</f>
        <v>54.752616159999995</v>
      </c>
      <c r="AE43" t="e">
        <f t="shared" si="10"/>
        <v>#DIV/0!</v>
      </c>
      <c r="AF43" t="e">
        <f t="shared" si="11"/>
        <v>#DIV/0!</v>
      </c>
      <c r="AH43">
        <f xml:space="preserve"> defaultFit_NonPrompt!E43/defaultFit_NonPrompt!$E$8</f>
        <v>0.14118519321149636</v>
      </c>
      <c r="AI43">
        <f xml:space="preserve"> defaultFit_NonPrompt!H43/defaultFit_NonPrompt!$H$44</f>
        <v>0.24682016770870438</v>
      </c>
    </row>
    <row r="44" spans="1:35" ht="18">
      <c r="A44" s="139"/>
      <c r="B44" s="139"/>
      <c r="C44" s="140"/>
      <c r="D44" s="80"/>
      <c r="E44" s="82">
        <f xml:space="preserve"> SUM(E40:E43)</f>
        <v>251.47322631599999</v>
      </c>
      <c r="F44" s="82">
        <f xml:space="preserve"> SUM(F40:F43)</f>
        <v>225.36966538999999</v>
      </c>
      <c r="G44" s="82"/>
      <c r="H44" s="82">
        <f xml:space="preserve"> SUM(H40:H43)</f>
        <v>244.083639793</v>
      </c>
      <c r="I44" s="82">
        <f xml:space="preserve"> SUM(I40:I43)</f>
        <v>222.43597496999999</v>
      </c>
      <c r="J44" s="82"/>
      <c r="K44" s="82">
        <f xml:space="preserve"> SUM(K40:K43)</f>
        <v>249.57982016700004</v>
      </c>
      <c r="L44" s="82">
        <f xml:space="preserve"> SUM(L40:L43)</f>
        <v>227.795005135</v>
      </c>
      <c r="M44" s="82"/>
      <c r="N44" s="82">
        <f xml:space="preserve"> SUM(N40:N43)</f>
        <v>0</v>
      </c>
      <c r="O44" s="82">
        <f xml:space="preserve"> SUM(O40:O43)</f>
        <v>0</v>
      </c>
      <c r="P44" s="82"/>
      <c r="Q44" s="82">
        <f xml:space="preserve"> SUM(Q40:Q43)</f>
        <v>0</v>
      </c>
      <c r="R44" s="82">
        <f xml:space="preserve"> SUM(R40:R43)</f>
        <v>0</v>
      </c>
      <c r="S44" s="82"/>
      <c r="T44" s="82">
        <f xml:space="preserve"> SUM(T40:T43)</f>
        <v>0</v>
      </c>
      <c r="U44" s="82">
        <f xml:space="preserve"> SUM(U40:U43)</f>
        <v>0</v>
      </c>
      <c r="V44" s="82"/>
      <c r="W44" s="82">
        <f xml:space="preserve"> SUM(W40:W43)</f>
        <v>223.15405005399998</v>
      </c>
      <c r="X44" s="82">
        <f xml:space="preserve"> SUM(X40:X43)</f>
        <v>200.483771988</v>
      </c>
      <c r="Y44" s="82"/>
      <c r="Z44" s="82">
        <f xml:space="preserve"> SUM(Z40:Z43)</f>
        <v>114.80662889499999</v>
      </c>
      <c r="AA44" s="82">
        <f xml:space="preserve"> SUM(AA40:AA43)</f>
        <v>109.660694578</v>
      </c>
      <c r="AB44" s="82"/>
      <c r="AC44" s="82">
        <f xml:space="preserve"> SUM(AC40:AC43)</f>
        <v>251.44295299400002</v>
      </c>
      <c r="AD44" s="82">
        <f xml:space="preserve"> SUM(AD40:AD43)</f>
        <v>225.67887867000002</v>
      </c>
      <c r="AE44" s="82"/>
      <c r="AF44" s="82"/>
      <c r="AG44" s="82"/>
      <c r="AH44" s="82"/>
      <c r="AI44" s="82"/>
    </row>
    <row r="45" spans="1:35" ht="18">
      <c r="A45" s="139"/>
      <c r="B45" s="117" t="s">
        <v>77</v>
      </c>
      <c r="C45" s="140"/>
      <c r="D45" s="53" t="s">
        <v>51</v>
      </c>
      <c r="E45" s="36">
        <f>defaultFit_Inclusive!$U45*fitSyst_Inclusive!E45</f>
        <v>337.84949009000002</v>
      </c>
      <c r="F45" s="36">
        <f>defaultFit_Inclusive!$U45*fitSyst_Inclusive!F45</f>
        <v>312.74271477000002</v>
      </c>
      <c r="H45" s="36">
        <f>defaultFit_Inclusive!$U45*fitSyst_Inclusive!H45</f>
        <v>325.47858129999997</v>
      </c>
      <c r="I45" s="36">
        <f>defaultFit_Inclusive!$U45*fitSyst_Inclusive!I45</f>
        <v>307.9548168</v>
      </c>
      <c r="K45" s="36">
        <f>defaultFit_Inclusive!$U45*fitSyst_Inclusive!K45</f>
        <v>333.49606562000002</v>
      </c>
      <c r="L45" s="36">
        <f>defaultFit_Inclusive!$U45*fitSyst_Inclusive!L45</f>
        <v>307.9548168</v>
      </c>
      <c r="N45" s="41"/>
      <c r="O45" s="41"/>
      <c r="P45" s="40"/>
      <c r="Q45" s="41"/>
      <c r="R45" s="41"/>
      <c r="S45" s="40"/>
      <c r="T45" s="41">
        <f>fitSyst_bFrac!$G45*defaultFit_Inclusive!$E45</f>
        <v>0</v>
      </c>
      <c r="U45" s="41">
        <f>fitSyst_bFrac!$G45*defaultFit_Inclusive!$H45</f>
        <v>0</v>
      </c>
      <c r="V45" s="40"/>
      <c r="W45" s="36">
        <f>defaultFit_Inclusive!$U45*trgBiassing!E45</f>
        <v>300.01264121999998</v>
      </c>
      <c r="X45" s="36">
        <f>defaultFit_Inclusive!$U45*trgBiassing!F45</f>
        <v>290.39919091000002</v>
      </c>
      <c r="Y45" s="40"/>
      <c r="Z45" s="36">
        <f>defaultFit_Inclusive!$U45*trgBiassing!L45</f>
        <v>164.984360049</v>
      </c>
      <c r="AA45" s="36">
        <f>defaultFit_Inclusive!$U45*trgBiassing!M45</f>
        <v>166.05924748800001</v>
      </c>
      <c r="AB45" s="40"/>
      <c r="AC45" s="36">
        <f>defaultFit_Inclusive!$U45*epSystematic!E45</f>
        <v>342.20581105000002</v>
      </c>
      <c r="AD45" s="36">
        <f>defaultFit_Inclusive!$U45*epSystematic!F45</f>
        <v>312.89912522999998</v>
      </c>
    </row>
    <row r="46" spans="1:35" ht="18">
      <c r="A46" s="139"/>
      <c r="B46" s="117"/>
      <c r="C46" s="140"/>
      <c r="D46" s="55" t="s">
        <v>49</v>
      </c>
      <c r="E46" s="36">
        <f>defaultFit_Inclusive!$U46*fitSyst_Inclusive!E46</f>
        <v>86.04353721599999</v>
      </c>
      <c r="F46" s="36">
        <f>defaultFit_Inclusive!$U46*fitSyst_Inclusive!F46</f>
        <v>96.279755333999987</v>
      </c>
      <c r="H46" s="36">
        <f>defaultFit_Inclusive!$U46*fitSyst_Inclusive!H46</f>
        <v>82.889754569999994</v>
      </c>
      <c r="I46" s="36">
        <f>defaultFit_Inclusive!$U46*fitSyst_Inclusive!I46</f>
        <v>94.455454673999995</v>
      </c>
      <c r="K46" s="36">
        <f>defaultFit_Inclusive!$U46*fitSyst_Inclusive!K46</f>
        <v>84.809541200999988</v>
      </c>
      <c r="L46" s="36">
        <f>defaultFit_Inclusive!$U46*fitSyst_Inclusive!L46</f>
        <v>94.455454673999995</v>
      </c>
      <c r="N46" s="41"/>
      <c r="O46" s="41"/>
      <c r="P46" s="40"/>
      <c r="Q46" s="41"/>
      <c r="R46" s="41"/>
      <c r="S46" s="40"/>
      <c r="T46" s="41">
        <f>fitSyst_bFrac!$G46*defaultFit_Inclusive!$E46</f>
        <v>0</v>
      </c>
      <c r="U46" s="41">
        <f>fitSyst_bFrac!$G46*defaultFit_Inclusive!$H46</f>
        <v>0</v>
      </c>
      <c r="V46" s="40"/>
      <c r="W46" s="36">
        <f>defaultFit_Inclusive!$U46*trgBiassing!E46</f>
        <v>74.86344179999999</v>
      </c>
      <c r="X46" s="36">
        <f>defaultFit_Inclusive!$U46*trgBiassing!F46</f>
        <v>87.49108013099999</v>
      </c>
      <c r="Y46" s="40"/>
      <c r="Z46" s="36">
        <f>defaultFit_Inclusive!$U46*trgBiassing!L46</f>
        <v>41.867090012999995</v>
      </c>
      <c r="AA46" s="36">
        <f>defaultFit_Inclusive!$U46*trgBiassing!M46</f>
        <v>47.665193414999997</v>
      </c>
      <c r="AB46" s="40"/>
      <c r="AC46" s="36">
        <f>defaultFit_Inclusive!$U46*epSystematic!E46</f>
        <v>86.503883318999996</v>
      </c>
      <c r="AD46" s="36">
        <f>defaultFit_Inclusive!$U46*epSystematic!F46</f>
        <v>94.642765811999993</v>
      </c>
      <c r="AE46" t="e">
        <f>SQRT(POWER(E46/$E$50-AH46,2)+POWER(H46/$H$50-AH46,2)+POWER(K46/$K$50-AH46,2)+POWER(N46/$N$50-AH46,2)+POWER(Q46/$Q$50-AH46,2)+POWER(T46/$T$50-AH46,2)+POWER(W46/$W$50-AH46,2)+POWER(Z46/$Z$50-AH46,2)+POWER(AC46/$AC$50-AH46,2))/SQRT(9)</f>
        <v>#DIV/0!</v>
      </c>
      <c r="AF46" t="e">
        <f>SQRT(POWER(F46/$F$50-AI46,2)+POWER(I46/$I$50-AI46,2)+POWER(L46/$L$50-AI46,2)+POWER(O46/$O$50-AI46,2)+POWER(R46/$R$50-AI46,2)+POWER(U46/$U$50-AI46,2)+POWER(X46/$X$50-AI46,2)+POWER(AA46/$AA$50-AI46,2)+POWER(AD46/$AD$50-AI46,2))/SQRT(9)</f>
        <v>#DIV/0!</v>
      </c>
      <c r="AH46">
        <f xml:space="preserve"> defaultFit_NonPrompt!E46/defaultFit_NonPrompt!$E$8</f>
        <v>0.22673585599741697</v>
      </c>
      <c r="AI46">
        <f xml:space="preserve"> defaultFit_NonPrompt!H46/defaultFit_NonPrompt!$H$50</f>
        <v>0.31440477445484516</v>
      </c>
    </row>
    <row r="47" spans="1:35" ht="18">
      <c r="A47" s="139"/>
      <c r="B47" s="117"/>
      <c r="C47" s="140"/>
      <c r="D47" s="55" t="s">
        <v>50</v>
      </c>
      <c r="E47" s="36">
        <f>defaultFit_Inclusive!$U47*fitSyst_Inclusive!E47</f>
        <v>84.057588809999999</v>
      </c>
      <c r="F47" s="36">
        <f>defaultFit_Inclusive!$U47*fitSyst_Inclusive!F47</f>
        <v>64.401098781000002</v>
      </c>
      <c r="H47" s="36">
        <f>defaultFit_Inclusive!$U47*fitSyst_Inclusive!H47</f>
        <v>80.51731640700001</v>
      </c>
      <c r="I47" s="36">
        <f>defaultFit_Inclusive!$U47*fitSyst_Inclusive!I47</f>
        <v>63.521210451000002</v>
      </c>
      <c r="K47" s="36">
        <f>defaultFit_Inclusive!$U47*fitSyst_Inclusive!K47</f>
        <v>83.223712989000006</v>
      </c>
      <c r="L47" s="36">
        <f>defaultFit_Inclusive!$U47*fitSyst_Inclusive!L47</f>
        <v>63.521210451000002</v>
      </c>
      <c r="N47" s="41"/>
      <c r="O47" s="41"/>
      <c r="P47" s="40"/>
      <c r="Q47" s="41"/>
      <c r="R47" s="41"/>
      <c r="S47" s="40"/>
      <c r="T47" s="41">
        <f>fitSyst_bFrac!$G47*defaultFit_Inclusive!$E47</f>
        <v>0</v>
      </c>
      <c r="U47" s="41">
        <f>fitSyst_bFrac!$G47*defaultFit_Inclusive!$H47</f>
        <v>0</v>
      </c>
      <c r="V47" s="40"/>
      <c r="W47" s="36">
        <f>defaultFit_Inclusive!$U47*trgBiassing!E47</f>
        <v>74.411375739000007</v>
      </c>
      <c r="X47" s="36">
        <f>defaultFit_Inclusive!$U47*trgBiassing!F47</f>
        <v>62.166935844000001</v>
      </c>
      <c r="Y47" s="40"/>
      <c r="Z47" s="36">
        <f>defaultFit_Inclusive!$U47*trgBiassing!L47</f>
        <v>41.366321907</v>
      </c>
      <c r="AA47" s="36">
        <f>defaultFit_Inclusive!$U47*trgBiassing!M47</f>
        <v>37.704963954</v>
      </c>
      <c r="AB47" s="40"/>
      <c r="AC47" s="36">
        <f>defaultFit_Inclusive!$U47*epSystematic!E47</f>
        <v>86.583164304000007</v>
      </c>
      <c r="AD47" s="36">
        <f>defaultFit_Inclusive!$U47*epSystematic!F47</f>
        <v>65.604150990000008</v>
      </c>
      <c r="AE47" t="e">
        <f t="shared" ref="AE47:AE49" si="12">SQRT(POWER(E47/$E$50-AH47,2)+POWER(H47/$H$50-AH47,2)+POWER(K47/$K$50-AH47,2)+POWER(N47/$N$50-AH47,2)+POWER(Q47/$Q$50-AH47,2)+POWER(T47/$T$50-AH47,2)+POWER(W47/$W$50-AH47,2)+POWER(Z47/$Z$50-AH47,2)+POWER(AC47/$AC$50-AH47,2))/SQRT(9)</f>
        <v>#DIV/0!</v>
      </c>
      <c r="AF47" t="e">
        <f t="shared" ref="AF47:AF49" si="13">SQRT(POWER(F47/$F$50-AI47,2)+POWER(I47/$I$50-AI47,2)+POWER(L47/$L$50-AI47,2)+POWER(O47/$O$50-AI47,2)+POWER(R47/$R$50-AI47,2)+POWER(U47/$U$50-AI47,2)+POWER(X47/$X$50-AI47,2)+POWER(AA47/$AA$50-AI47,2)+POWER(AD47/$AD$50-AI47,2))/SQRT(9)</f>
        <v>#DIV/0!</v>
      </c>
      <c r="AH47">
        <f xml:space="preserve"> defaultFit_NonPrompt!E47/defaultFit_NonPrompt!$E$8</f>
        <v>0.22164116525114141</v>
      </c>
      <c r="AI47">
        <f xml:space="preserve"> defaultFit_NonPrompt!H47/defaultFit_NonPrompt!$H$50</f>
        <v>0.21019760016883107</v>
      </c>
    </row>
    <row r="48" spans="1:35" ht="18">
      <c r="A48" s="139"/>
      <c r="B48" s="117"/>
      <c r="C48" s="140"/>
      <c r="D48" s="53" t="s">
        <v>52</v>
      </c>
      <c r="E48" s="36">
        <f>defaultFit_Inclusive!$U48*fitSyst_Inclusive!E48</f>
        <v>79.022664511999992</v>
      </c>
      <c r="F48" s="36">
        <f>defaultFit_Inclusive!$U48*fitSyst_Inclusive!F48</f>
        <v>77.200381279999988</v>
      </c>
      <c r="H48" s="36">
        <f>defaultFit_Inclusive!$U48*fitSyst_Inclusive!H48</f>
        <v>75.995926952000005</v>
      </c>
      <c r="I48" s="36">
        <f>defaultFit_Inclusive!$U48*fitSyst_Inclusive!I48</f>
        <v>76.285673551999992</v>
      </c>
      <c r="K48" s="36">
        <f>defaultFit_Inclusive!$U48*fitSyst_Inclusive!K48</f>
        <v>77.639904584000007</v>
      </c>
      <c r="L48" s="36">
        <f>defaultFit_Inclusive!$U48*fitSyst_Inclusive!L48</f>
        <v>76.285673551999992</v>
      </c>
      <c r="N48" s="41"/>
      <c r="O48" s="41"/>
      <c r="P48" s="40"/>
      <c r="Q48" s="41"/>
      <c r="R48" s="41"/>
      <c r="S48" s="40"/>
      <c r="T48" s="41">
        <f>fitSyst_bFrac!$G48*defaultFit_Inclusive!$E48</f>
        <v>0</v>
      </c>
      <c r="U48" s="41">
        <f>fitSyst_bFrac!$G48*defaultFit_Inclusive!$H48</f>
        <v>0</v>
      </c>
      <c r="V48" s="40"/>
      <c r="W48" s="36">
        <f>defaultFit_Inclusive!$U48*trgBiassing!E48</f>
        <v>71.176326583999995</v>
      </c>
      <c r="X48" s="36">
        <f>defaultFit_Inclusive!$U48*trgBiassing!F48</f>
        <v>71.433383824000003</v>
      </c>
      <c r="Y48" s="40"/>
      <c r="Z48" s="36">
        <f>defaultFit_Inclusive!$U48*trgBiassing!L48</f>
        <v>38.878050199999997</v>
      </c>
      <c r="AA48" s="36">
        <f>defaultFit_Inclusive!$U48*trgBiassing!M48</f>
        <v>44.077738672000002</v>
      </c>
      <c r="AB48" s="40"/>
      <c r="AC48" s="36">
        <f>defaultFit_Inclusive!$U48*epSystematic!E48</f>
        <v>77.555506600000001</v>
      </c>
      <c r="AD48" s="36">
        <f>defaultFit_Inclusive!$U48*epSystematic!F48</f>
        <v>76.631883592000008</v>
      </c>
      <c r="AE48" t="e">
        <f t="shared" si="12"/>
        <v>#DIV/0!</v>
      </c>
      <c r="AF48" t="e">
        <f t="shared" si="13"/>
        <v>#DIV/0!</v>
      </c>
      <c r="AH48">
        <f xml:space="preserve"> defaultFit_NonPrompt!E48/defaultFit_NonPrompt!$E$8</f>
        <v>0.20832320652382749</v>
      </c>
      <c r="AI48">
        <f xml:space="preserve"> defaultFit_NonPrompt!H48/defaultFit_NonPrompt!$H$50</f>
        <v>0.25243262086417961</v>
      </c>
    </row>
    <row r="49" spans="1:35" ht="18">
      <c r="A49" s="139"/>
      <c r="B49" s="117"/>
      <c r="C49" s="140"/>
      <c r="D49" s="53" t="s">
        <v>53</v>
      </c>
      <c r="E49" s="36">
        <f>defaultFit_Inclusive!$U49*fitSyst_Inclusive!E49</f>
        <v>82.259383150000005</v>
      </c>
      <c r="F49" s="36">
        <f>defaultFit_Inclusive!$U49*fitSyst_Inclusive!F49</f>
        <v>68.175818339999992</v>
      </c>
      <c r="H49" s="36">
        <f>defaultFit_Inclusive!$U49*fitSyst_Inclusive!H49</f>
        <v>79.869105050000002</v>
      </c>
      <c r="I49" s="36">
        <f>defaultFit_Inclusive!$U49*fitSyst_Inclusive!I49</f>
        <v>67.245141739999994</v>
      </c>
      <c r="K49" s="36">
        <f>defaultFit_Inclusive!$U49*fitSyst_Inclusive!K49</f>
        <v>82.554482780000001</v>
      </c>
      <c r="L49" s="36">
        <f>defaultFit_Inclusive!$U49*fitSyst_Inclusive!L49</f>
        <v>67.245141739999994</v>
      </c>
      <c r="N49" s="41"/>
      <c r="O49" s="41"/>
      <c r="P49" s="40"/>
      <c r="Q49" s="41"/>
      <c r="R49" s="41"/>
      <c r="S49" s="40"/>
      <c r="T49" s="41">
        <f>fitSyst_bFrac!$G49*defaultFit_Inclusive!$E49</f>
        <v>0</v>
      </c>
      <c r="U49" s="41">
        <f>fitSyst_bFrac!$G49*defaultFit_Inclusive!$H49</f>
        <v>0</v>
      </c>
      <c r="V49" s="40"/>
      <c r="W49" s="36">
        <f>defaultFit_Inclusive!$U49*trgBiassing!E49</f>
        <v>75.239133479999992</v>
      </c>
      <c r="X49" s="36">
        <f>defaultFit_Inclusive!$U49*trgBiassing!F49</f>
        <v>64.382299590000002</v>
      </c>
      <c r="Y49" s="40"/>
      <c r="Z49" s="36">
        <f>defaultFit_Inclusive!$U49*trgBiassing!L49</f>
        <v>39.471381950000001</v>
      </c>
      <c r="AA49" s="36">
        <f>defaultFit_Inclusive!$U49*trgBiassing!M49</f>
        <v>34.463648169999999</v>
      </c>
      <c r="AB49" s="40"/>
      <c r="AC49" s="36">
        <f>defaultFit_Inclusive!$U49*epSystematic!E49</f>
        <v>84.869035020000013</v>
      </c>
      <c r="AD49" s="36">
        <f>defaultFit_Inclusive!$U49*epSystematic!F49</f>
        <v>69.367199999999997</v>
      </c>
      <c r="AE49" t="e">
        <f t="shared" si="12"/>
        <v>#DIV/0!</v>
      </c>
      <c r="AF49" t="e">
        <f t="shared" si="13"/>
        <v>#DIV/0!</v>
      </c>
      <c r="AH49">
        <f xml:space="preserve"> defaultFit_NonPrompt!E49/defaultFit_NonPrompt!$E$8</f>
        <v>0.21910542381937911</v>
      </c>
      <c r="AI49">
        <f xml:space="preserve"> defaultFit_NonPrompt!H49/defaultFit_NonPrompt!$H$50</f>
        <v>0.22296500451214418</v>
      </c>
    </row>
    <row r="50" spans="1:35" ht="18">
      <c r="A50" s="139"/>
      <c r="B50" s="117"/>
      <c r="C50" s="140"/>
      <c r="D50" s="74"/>
      <c r="E50" s="82">
        <f xml:space="preserve"> SUM(E46:E49)</f>
        <v>331.383173688</v>
      </c>
      <c r="F50" s="82">
        <f xml:space="preserve"> SUM(F46:F49)</f>
        <v>306.05705373499995</v>
      </c>
      <c r="G50" s="82"/>
      <c r="H50" s="82">
        <f xml:space="preserve"> SUM(H46:H49)</f>
        <v>319.27210297900001</v>
      </c>
      <c r="I50" s="82">
        <f xml:space="preserve"> SUM(I46:I49)</f>
        <v>301.50748041700001</v>
      </c>
      <c r="J50" s="82"/>
      <c r="K50" s="82">
        <f xml:space="preserve"> SUM(K46:K49)</f>
        <v>328.227641554</v>
      </c>
      <c r="L50" s="82">
        <f xml:space="preserve"> SUM(L46:L49)</f>
        <v>301.50748041700001</v>
      </c>
      <c r="M50" s="82"/>
      <c r="N50" s="82">
        <f xml:space="preserve"> SUM(N46:N49)</f>
        <v>0</v>
      </c>
      <c r="O50" s="82">
        <f xml:space="preserve"> SUM(O46:O49)</f>
        <v>0</v>
      </c>
      <c r="P50" s="82"/>
      <c r="Q50" s="82">
        <f xml:space="preserve"> SUM(Q46:Q49)</f>
        <v>0</v>
      </c>
      <c r="R50" s="82">
        <f xml:space="preserve"> SUM(R46:R49)</f>
        <v>0</v>
      </c>
      <c r="S50" s="82"/>
      <c r="T50" s="82">
        <f xml:space="preserve"> SUM(T46:T49)</f>
        <v>0</v>
      </c>
      <c r="U50" s="82">
        <f xml:space="preserve"> SUM(U46:U49)</f>
        <v>0</v>
      </c>
      <c r="V50" s="82"/>
      <c r="W50" s="82">
        <f xml:space="preserve"> SUM(W46:W49)</f>
        <v>295.69027760300003</v>
      </c>
      <c r="X50" s="82">
        <f xml:space="preserve"> SUM(X46:X49)</f>
        <v>285.47369938899999</v>
      </c>
      <c r="Y50" s="82"/>
      <c r="Z50" s="82">
        <f xml:space="preserve"> SUM(Z46:Z49)</f>
        <v>161.58284406999999</v>
      </c>
      <c r="AA50" s="82">
        <f xml:space="preserve"> SUM(AA46:AA49)</f>
        <v>163.91154421100001</v>
      </c>
      <c r="AB50" s="82"/>
      <c r="AC50" s="82">
        <f xml:space="preserve"> SUM(AC46:AC49)</f>
        <v>335.511589243</v>
      </c>
      <c r="AD50" s="82">
        <f xml:space="preserve"> SUM(AD46:AD49)</f>
        <v>306.24600039400002</v>
      </c>
      <c r="AE50" s="82"/>
      <c r="AF50" s="82"/>
      <c r="AG50" s="82"/>
      <c r="AH50" s="82"/>
      <c r="AI50" s="82"/>
    </row>
    <row r="51" spans="1:35" ht="18">
      <c r="A51" s="139"/>
      <c r="B51" s="117" t="s">
        <v>78</v>
      </c>
      <c r="C51" s="140"/>
      <c r="D51" s="56" t="s">
        <v>51</v>
      </c>
      <c r="E51" s="36"/>
      <c r="F51" s="36"/>
      <c r="H51" s="36"/>
      <c r="I51" s="36"/>
      <c r="K51" s="36"/>
      <c r="L51" s="36"/>
      <c r="N51" s="41"/>
      <c r="O51" s="41"/>
      <c r="P51" s="40"/>
      <c r="Q51" s="41"/>
      <c r="R51" s="41"/>
      <c r="S51" s="40"/>
      <c r="T51" s="41"/>
      <c r="U51" s="41"/>
      <c r="V51" s="40"/>
      <c r="W51" s="36"/>
      <c r="X51" s="36"/>
      <c r="Y51" s="40"/>
      <c r="Z51" s="36"/>
      <c r="AA51" s="36"/>
      <c r="AB51" s="40"/>
      <c r="AC51" s="36"/>
      <c r="AD51" s="36"/>
    </row>
    <row r="52" spans="1:35" ht="18">
      <c r="A52" s="139"/>
      <c r="B52" s="117"/>
      <c r="C52" s="140"/>
      <c r="D52" s="58" t="s">
        <v>49</v>
      </c>
      <c r="E52" s="36"/>
      <c r="F52" s="36"/>
      <c r="H52" s="36"/>
      <c r="I52" s="36"/>
      <c r="K52" s="36"/>
      <c r="L52" s="36"/>
      <c r="N52" s="41"/>
      <c r="O52" s="41"/>
      <c r="P52" s="40"/>
      <c r="Q52" s="41"/>
      <c r="R52" s="41"/>
      <c r="S52" s="40"/>
      <c r="T52" s="41"/>
      <c r="U52" s="41"/>
      <c r="V52" s="40"/>
      <c r="W52" s="36"/>
      <c r="X52" s="36"/>
      <c r="Y52" s="40"/>
      <c r="Z52" s="36"/>
      <c r="AA52" s="36"/>
      <c r="AB52" s="40"/>
      <c r="AC52" s="36"/>
      <c r="AD52" s="36"/>
    </row>
    <row r="53" spans="1:35" ht="18">
      <c r="A53" s="139"/>
      <c r="B53" s="117"/>
      <c r="C53" s="140"/>
      <c r="D53" s="58" t="s">
        <v>50</v>
      </c>
      <c r="E53" s="36"/>
      <c r="F53" s="36"/>
      <c r="H53" s="36"/>
      <c r="I53" s="36"/>
      <c r="K53" s="36"/>
      <c r="L53" s="36"/>
      <c r="N53" s="41"/>
      <c r="O53" s="41"/>
      <c r="P53" s="40"/>
      <c r="Q53" s="41"/>
      <c r="R53" s="41"/>
      <c r="S53" s="40"/>
      <c r="T53" s="41"/>
      <c r="U53" s="41"/>
      <c r="V53" s="40"/>
      <c r="W53" s="36"/>
      <c r="X53" s="36"/>
      <c r="Y53" s="40"/>
      <c r="Z53" s="36"/>
      <c r="AA53" s="36"/>
      <c r="AB53" s="40"/>
      <c r="AC53" s="36"/>
      <c r="AD53" s="36"/>
    </row>
    <row r="54" spans="1:35" ht="18">
      <c r="A54" s="139"/>
      <c r="B54" s="117"/>
      <c r="C54" s="140"/>
      <c r="D54" s="56" t="s">
        <v>52</v>
      </c>
      <c r="E54" s="36"/>
      <c r="F54" s="36"/>
      <c r="H54" s="36"/>
      <c r="I54" s="36"/>
      <c r="K54" s="36"/>
      <c r="L54" s="36"/>
      <c r="N54" s="41"/>
      <c r="O54" s="41"/>
      <c r="P54" s="40"/>
      <c r="Q54" s="41"/>
      <c r="R54" s="41"/>
      <c r="S54" s="40"/>
      <c r="T54" s="41"/>
      <c r="U54" s="41"/>
      <c r="V54" s="40"/>
      <c r="W54" s="36"/>
      <c r="X54" s="36"/>
      <c r="Y54" s="40"/>
      <c r="Z54" s="36"/>
      <c r="AA54" s="36"/>
      <c r="AB54" s="40"/>
      <c r="AC54" s="36"/>
      <c r="AD54" s="36"/>
    </row>
    <row r="55" spans="1:35" ht="18">
      <c r="A55" s="139"/>
      <c r="B55" s="117"/>
      <c r="C55" s="140"/>
      <c r="D55" s="56" t="s">
        <v>53</v>
      </c>
      <c r="E55" s="36"/>
      <c r="F55" s="36"/>
      <c r="H55" s="36"/>
      <c r="I55" s="36"/>
      <c r="K55" s="36"/>
      <c r="L55" s="36"/>
      <c r="N55" s="41"/>
      <c r="O55" s="41"/>
      <c r="P55" s="40"/>
      <c r="Q55" s="41"/>
      <c r="R55" s="41"/>
      <c r="S55" s="40"/>
      <c r="T55" s="41"/>
      <c r="U55" s="41"/>
      <c r="V55" s="40"/>
      <c r="W55" s="36"/>
      <c r="X55" s="36"/>
      <c r="Y55" s="40"/>
      <c r="Z55" s="36"/>
      <c r="AA55" s="36"/>
      <c r="AB55" s="40"/>
      <c r="AC55" s="36"/>
      <c r="AD55" s="36"/>
    </row>
    <row r="56" spans="1:35" ht="18">
      <c r="A56" s="139"/>
      <c r="B56" s="117"/>
      <c r="C56" s="140"/>
      <c r="D56" s="74"/>
      <c r="E56" s="82"/>
      <c r="F56" s="82"/>
      <c r="G56" s="82"/>
      <c r="H56" s="82"/>
      <c r="I56" s="82"/>
      <c r="J56" s="82"/>
      <c r="K56" s="82"/>
      <c r="L56" s="82"/>
      <c r="M56" s="82"/>
      <c r="N56" s="82">
        <f xml:space="preserve"> SUM(N52:N55)</f>
        <v>0</v>
      </c>
      <c r="O56" s="82">
        <f xml:space="preserve"> SUM(O52:O55)</f>
        <v>0</v>
      </c>
      <c r="P56" s="82"/>
      <c r="Q56" s="82">
        <f xml:space="preserve"> SUM(Q52:Q55)</f>
        <v>0</v>
      </c>
      <c r="R56" s="82">
        <f xml:space="preserve"> SUM(R52:R55)</f>
        <v>0</v>
      </c>
      <c r="S56" s="82"/>
      <c r="T56" s="82">
        <f xml:space="preserve"> SUM(T52:T55)</f>
        <v>0</v>
      </c>
      <c r="U56" s="82">
        <f xml:space="preserve"> SUM(U52:U55)</f>
        <v>0</v>
      </c>
      <c r="V56" s="82"/>
      <c r="W56" s="82">
        <f xml:space="preserve"> SUM(W52:W55)</f>
        <v>0</v>
      </c>
      <c r="X56" s="82">
        <f xml:space="preserve"> SUM(X52:X55)</f>
        <v>0</v>
      </c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</row>
    <row r="57" spans="1:35" ht="18">
      <c r="A57" s="139"/>
      <c r="B57" s="117" t="s">
        <v>79</v>
      </c>
      <c r="C57" s="140"/>
      <c r="D57" s="59" t="s">
        <v>51</v>
      </c>
      <c r="E57" s="36"/>
      <c r="F57" s="36"/>
      <c r="H57" s="36"/>
      <c r="I57" s="36"/>
      <c r="K57" s="36"/>
      <c r="L57" s="36"/>
      <c r="N57" s="41"/>
      <c r="O57" s="41"/>
      <c r="P57" s="40"/>
      <c r="Q57" s="41"/>
      <c r="R57" s="41"/>
      <c r="S57" s="40"/>
      <c r="T57" s="41"/>
      <c r="U57" s="41"/>
      <c r="V57" s="40"/>
      <c r="W57" s="36"/>
      <c r="X57" s="36"/>
      <c r="Y57" s="40"/>
      <c r="Z57" s="36"/>
      <c r="AA57" s="36"/>
      <c r="AB57" s="40"/>
      <c r="AC57" s="36"/>
      <c r="AD57" s="36"/>
    </row>
    <row r="58" spans="1:35" ht="18">
      <c r="A58" s="139"/>
      <c r="B58" s="117"/>
      <c r="C58" s="140"/>
      <c r="D58" s="61" t="s">
        <v>49</v>
      </c>
      <c r="E58" s="36"/>
      <c r="F58" s="36"/>
      <c r="H58" s="36"/>
      <c r="I58" s="36"/>
      <c r="K58" s="36"/>
      <c r="L58" s="36"/>
      <c r="N58" s="41"/>
      <c r="O58" s="41"/>
      <c r="P58" s="40"/>
      <c r="Q58" s="41"/>
      <c r="R58" s="41"/>
      <c r="S58" s="40"/>
      <c r="T58" s="41"/>
      <c r="U58" s="41"/>
      <c r="V58" s="40"/>
      <c r="W58" s="36"/>
      <c r="X58" s="36"/>
      <c r="Y58" s="40"/>
      <c r="Z58" s="36"/>
      <c r="AA58" s="36"/>
      <c r="AB58" s="40"/>
      <c r="AC58" s="36"/>
      <c r="AD58" s="36"/>
    </row>
    <row r="59" spans="1:35" ht="18">
      <c r="A59" s="139"/>
      <c r="B59" s="117"/>
      <c r="C59" s="140"/>
      <c r="D59" s="61" t="s">
        <v>50</v>
      </c>
      <c r="E59" s="36"/>
      <c r="F59" s="36"/>
      <c r="H59" s="36"/>
      <c r="I59" s="36"/>
      <c r="K59" s="36"/>
      <c r="L59" s="36"/>
      <c r="N59" s="41"/>
      <c r="O59" s="41"/>
      <c r="P59" s="40"/>
      <c r="Q59" s="41"/>
      <c r="R59" s="41"/>
      <c r="S59" s="40"/>
      <c r="T59" s="41"/>
      <c r="U59" s="41"/>
      <c r="V59" s="40"/>
      <c r="W59" s="36"/>
      <c r="X59" s="36"/>
      <c r="Y59" s="40"/>
      <c r="Z59" s="36"/>
      <c r="AA59" s="36"/>
      <c r="AB59" s="40"/>
      <c r="AC59" s="36"/>
      <c r="AD59" s="36"/>
    </row>
    <row r="60" spans="1:35" ht="18">
      <c r="A60" s="139"/>
      <c r="B60" s="117"/>
      <c r="C60" s="140"/>
      <c r="D60" s="59" t="s">
        <v>52</v>
      </c>
      <c r="E60" s="36"/>
      <c r="F60" s="36"/>
      <c r="H60" s="36"/>
      <c r="I60" s="36"/>
      <c r="K60" s="36"/>
      <c r="L60" s="36"/>
      <c r="N60" s="41"/>
      <c r="O60" s="41"/>
      <c r="P60" s="40"/>
      <c r="Q60" s="41"/>
      <c r="R60" s="41"/>
      <c r="S60" s="40"/>
      <c r="T60" s="41"/>
      <c r="U60" s="41"/>
      <c r="V60" s="40"/>
      <c r="W60" s="36"/>
      <c r="X60" s="36"/>
      <c r="Y60" s="40"/>
      <c r="Z60" s="36"/>
      <c r="AA60" s="36"/>
      <c r="AB60" s="40"/>
      <c r="AC60" s="36"/>
      <c r="AD60" s="36"/>
    </row>
    <row r="61" spans="1:35" ht="18">
      <c r="A61" s="139"/>
      <c r="B61" s="117"/>
      <c r="C61" s="140"/>
      <c r="D61" s="59" t="s">
        <v>53</v>
      </c>
      <c r="E61" s="36"/>
      <c r="F61" s="36"/>
      <c r="H61" s="36"/>
      <c r="I61" s="36"/>
      <c r="K61" s="36"/>
      <c r="L61" s="36"/>
      <c r="N61" s="41"/>
      <c r="O61" s="41"/>
      <c r="P61" s="40"/>
      <c r="Q61" s="41"/>
      <c r="R61" s="41"/>
      <c r="S61" s="40"/>
      <c r="T61" s="41"/>
      <c r="U61" s="41"/>
      <c r="V61" s="40"/>
      <c r="W61" s="36"/>
      <c r="X61" s="36"/>
      <c r="Y61" s="40"/>
      <c r="Z61" s="36"/>
      <c r="AA61" s="36"/>
      <c r="AB61" s="40"/>
      <c r="AC61" s="36"/>
      <c r="AD61" s="36"/>
    </row>
    <row r="62" spans="1:35" ht="18">
      <c r="A62" s="139"/>
      <c r="B62" s="117"/>
      <c r="C62" s="140"/>
      <c r="D62" s="74"/>
      <c r="E62" s="82"/>
      <c r="F62" s="82"/>
      <c r="G62" s="82"/>
      <c r="H62" s="82"/>
      <c r="I62" s="82"/>
      <c r="J62" s="82"/>
      <c r="K62" s="82"/>
      <c r="L62" s="82"/>
      <c r="M62" s="82"/>
      <c r="N62" s="82">
        <f xml:space="preserve"> SUM(N58:N61)</f>
        <v>0</v>
      </c>
      <c r="O62" s="82">
        <f xml:space="preserve"> SUM(O58:O61)</f>
        <v>0</v>
      </c>
      <c r="P62" s="82"/>
      <c r="Q62" s="82">
        <f xml:space="preserve"> SUM(Q58:Q61)</f>
        <v>0</v>
      </c>
      <c r="R62" s="82">
        <f xml:space="preserve"> SUM(R58:R61)</f>
        <v>0</v>
      </c>
      <c r="S62" s="82"/>
      <c r="T62" s="81"/>
      <c r="U62" s="81"/>
      <c r="V62" s="82"/>
      <c r="W62" s="82">
        <f xml:space="preserve"> SUM(W58:W61)</f>
        <v>0</v>
      </c>
      <c r="X62" s="82">
        <f xml:space="preserve"> SUM(X58:X61)</f>
        <v>0</v>
      </c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</row>
    <row r="63" spans="1:35" ht="18">
      <c r="A63" s="117" t="s">
        <v>80</v>
      </c>
      <c r="B63" s="117" t="s">
        <v>79</v>
      </c>
      <c r="C63" s="117" t="s">
        <v>17</v>
      </c>
      <c r="D63" s="62" t="s">
        <v>51</v>
      </c>
      <c r="E63" s="36">
        <f>defaultFit_Inclusive!$U63*fitSyst_Inclusive!E63</f>
        <v>426.55611623999994</v>
      </c>
      <c r="F63" s="36">
        <f>defaultFit_Inclusive!$U63*fitSyst_Inclusive!F63</f>
        <v>399.98147983999996</v>
      </c>
      <c r="H63" s="36">
        <f>defaultFit_Inclusive!$U63*fitSyst_Inclusive!H63</f>
        <v>415.68929039999995</v>
      </c>
      <c r="I63" s="36">
        <f>defaultFit_Inclusive!$U63*fitSyst_Inclusive!I63</f>
        <v>388.62248287999995</v>
      </c>
      <c r="K63" s="36">
        <f>defaultFit_Inclusive!$U63*fitSyst_Inclusive!K63</f>
        <v>429.21748599999995</v>
      </c>
      <c r="L63" s="36">
        <f>defaultFit_Inclusive!$U63*fitSyst_Inclusive!L63</f>
        <v>386.64598615999995</v>
      </c>
      <c r="N63" s="41"/>
      <c r="O63" s="41"/>
      <c r="P63" s="40"/>
      <c r="Q63" s="41"/>
      <c r="R63" s="41"/>
      <c r="S63" s="40"/>
      <c r="T63" s="41">
        <f>fitSyst_bFrac!$G63*defaultFit_Inclusive!$E63</f>
        <v>0</v>
      </c>
      <c r="U63" s="41">
        <f>fitSyst_bFrac!$G63*defaultFit_Inclusive!$H63</f>
        <v>0</v>
      </c>
      <c r="V63" s="40"/>
      <c r="W63" s="36">
        <f>defaultFit_Inclusive!$U63*trgBiassing!E63</f>
        <v>379.97954135999998</v>
      </c>
      <c r="X63" s="36">
        <f>defaultFit_Inclusive!$U63*trgBiassing!F63</f>
        <v>368.51898527999998</v>
      </c>
      <c r="Y63" s="40"/>
      <c r="Z63" s="36">
        <f>defaultFit_Inclusive!$U63*trgBiassing!L63</f>
        <v>194.70601996799999</v>
      </c>
      <c r="AA63" s="36">
        <f>defaultFit_Inclusive!$U63*trgBiassing!M63</f>
        <v>195.63124959199999</v>
      </c>
      <c r="AB63" s="40"/>
      <c r="AC63" s="36">
        <f>defaultFit_Inclusive!$U63*epSystematic!E63</f>
        <v>448.79235535999999</v>
      </c>
      <c r="AD63" s="36">
        <f>defaultFit_Inclusive!$U63*epSystematic!F63</f>
        <v>396.23681279999994</v>
      </c>
    </row>
    <row r="64" spans="1:35" ht="18">
      <c r="A64" s="117"/>
      <c r="B64" s="117"/>
      <c r="C64" s="117"/>
      <c r="D64" s="63" t="s">
        <v>49</v>
      </c>
      <c r="E64" s="36">
        <f>defaultFit_Inclusive!$U64*fitSyst_Inclusive!E64</f>
        <v>113.192016345</v>
      </c>
      <c r="F64" s="36">
        <f>defaultFit_Inclusive!$U64*fitSyst_Inclusive!F64</f>
        <v>117.12693482099999</v>
      </c>
      <c r="H64" s="36">
        <f>defaultFit_Inclusive!$U64*fitSyst_Inclusive!H64</f>
        <v>110.93766883800001</v>
      </c>
      <c r="I64" s="36">
        <f>defaultFit_Inclusive!$U64*fitSyst_Inclusive!I64</f>
        <v>113.784462972</v>
      </c>
      <c r="K64" s="36">
        <f>defaultFit_Inclusive!$U64*fitSyst_Inclusive!K64</f>
        <v>114.52232592600001</v>
      </c>
      <c r="L64" s="36">
        <f>defaultFit_Inclusive!$U64*fitSyst_Inclusive!L64</f>
        <v>113.641939194</v>
      </c>
      <c r="N64" s="41"/>
      <c r="O64" s="41"/>
      <c r="P64" s="40"/>
      <c r="Q64" s="41"/>
      <c r="R64" s="41"/>
      <c r="S64" s="40"/>
      <c r="T64" s="41">
        <f>fitSyst_bFrac!$G64*defaultFit_Inclusive!$E64</f>
        <v>0</v>
      </c>
      <c r="U64" s="41">
        <f>fitSyst_bFrac!$G64*defaultFit_Inclusive!$H64</f>
        <v>0</v>
      </c>
      <c r="V64" s="40"/>
      <c r="W64" s="36">
        <f>defaultFit_Inclusive!$U64*trgBiassing!E64</f>
        <v>97.677172385999995</v>
      </c>
      <c r="X64" s="36">
        <f>defaultFit_Inclusive!$U64*trgBiassing!F64</f>
        <v>105.81706823099999</v>
      </c>
      <c r="Y64" s="40"/>
      <c r="Z64" s="36">
        <f>defaultFit_Inclusive!$U64*trgBiassing!L64</f>
        <v>50.725579976999995</v>
      </c>
      <c r="AA64" s="36">
        <f>defaultFit_Inclusive!$U64*trgBiassing!M64</f>
        <v>54.800392641000002</v>
      </c>
      <c r="AB64" s="40"/>
      <c r="AC64" s="36">
        <f>defaultFit_Inclusive!$U64*epSystematic!E64</f>
        <v>117.71307043200001</v>
      </c>
      <c r="AD64" s="36">
        <f>defaultFit_Inclusive!$U64*epSystematic!F64</f>
        <v>115.948615542</v>
      </c>
      <c r="AE64" t="e">
        <f t="shared" si="0"/>
        <v>#DIV/0!</v>
      </c>
      <c r="AF64" t="e">
        <f>SQRT(POWER(F64/$F$68-AI64,2)+POWER(I64/$I$68-AI64,2)+POWER(L64/$L$68-AI64,2)+POWER(O64/$O$68-AI64,2)+POWER(R64/$R$68-AI64,2)+POWER(U64/$U$68-AI64,2)+POWER(X64/$X$68-AI64,2)+POWER(AA64/$AA$68-AI64,2)+POWER(AD64/$AD$68-AI64,2))/SQRT(9)</f>
        <v>#DIV/0!</v>
      </c>
      <c r="AH64">
        <f xml:space="preserve"> defaultFit_NonPrompt!E64/defaultFit_NonPrompt!$E$8</f>
        <v>0.31204261601618527</v>
      </c>
      <c r="AI64">
        <f xml:space="preserve"> defaultFit_NonPrompt!H64/defaultFit_NonPrompt!$H$68</f>
        <v>0.29213724618538522</v>
      </c>
    </row>
    <row r="65" spans="1:35" ht="18">
      <c r="A65" s="117"/>
      <c r="B65" s="117"/>
      <c r="C65" s="117"/>
      <c r="D65" s="63" t="s">
        <v>50</v>
      </c>
      <c r="E65" s="36">
        <f>defaultFit_Inclusive!$U65*fitSyst_Inclusive!E65</f>
        <v>99.912358326000003</v>
      </c>
      <c r="F65" s="36">
        <f>defaultFit_Inclusive!$U65*fitSyst_Inclusive!F65</f>
        <v>92.176630072999998</v>
      </c>
      <c r="H65" s="36">
        <f>defaultFit_Inclusive!$U65*fitSyst_Inclusive!H65</f>
        <v>96.942059907000001</v>
      </c>
      <c r="I65" s="36">
        <f>defaultFit_Inclusive!$U65*fitSyst_Inclusive!I65</f>
        <v>89.884203530000008</v>
      </c>
      <c r="K65" s="36">
        <f>defaultFit_Inclusive!$U65*fitSyst_Inclusive!K65</f>
        <v>102.06131617000001</v>
      </c>
      <c r="L65" s="36">
        <f>defaultFit_Inclusive!$U65*fitSyst_Inclusive!L65</f>
        <v>89.220040360000013</v>
      </c>
      <c r="N65" s="41"/>
      <c r="O65" s="41"/>
      <c r="P65" s="40"/>
      <c r="Q65" s="41"/>
      <c r="R65" s="41"/>
      <c r="S65" s="40"/>
      <c r="T65" s="41">
        <f>fitSyst_bFrac!$G65*defaultFit_Inclusive!$E65</f>
        <v>0</v>
      </c>
      <c r="U65" s="41">
        <f>fitSyst_bFrac!$G65*defaultFit_Inclusive!$H65</f>
        <v>0</v>
      </c>
      <c r="V65" s="40"/>
      <c r="W65" s="36">
        <f>defaultFit_Inclusive!$U65*trgBiassing!E65</f>
        <v>90.132378379999992</v>
      </c>
      <c r="X65" s="36">
        <f>defaultFit_Inclusive!$U65*trgBiassing!F65</f>
        <v>86.430555046000009</v>
      </c>
      <c r="Y65" s="40"/>
      <c r="Z65" s="36">
        <f>defaultFit_Inclusive!$U65*trgBiassing!L65</f>
        <v>46.992026026000005</v>
      </c>
      <c r="AA65" s="36">
        <f>defaultFit_Inclusive!$U65*trgBiassing!M65</f>
        <v>44.983700597000002</v>
      </c>
      <c r="AB65" s="40"/>
      <c r="AC65" s="36">
        <f>defaultFit_Inclusive!$U65*epSystematic!E65</f>
        <v>108.39922912500001</v>
      </c>
      <c r="AD65" s="36">
        <f>defaultFit_Inclusive!$U65*epSystematic!F65</f>
        <v>91.220093294000009</v>
      </c>
      <c r="AE65" t="e">
        <f t="shared" si="0"/>
        <v>#DIV/0!</v>
      </c>
      <c r="AF65" t="e">
        <f t="shared" ref="AF65:AF67" si="14">SQRT(POWER(F65/$F$68-AI65,2)+POWER(I65/$I$68-AI65,2)+POWER(L65/$L$68-AI65,2)+POWER(O65/$O$68-AI65,2)+POWER(R65/$R$68-AI65,2)+POWER(U65/$U$68-AI65,2)+POWER(X65/$X$68-AI65,2)+POWER(AA65/$AA$68-AI65,2)+POWER(AD65/$AD$68-AI65,2))/SQRT(9)</f>
        <v>#DIV/0!</v>
      </c>
      <c r="AH65">
        <f xml:space="preserve"> defaultFit_NonPrompt!E65/defaultFit_NonPrompt!$E$8</f>
        <v>0.27424166657775473</v>
      </c>
      <c r="AI65">
        <f xml:space="preserve"> defaultFit_NonPrompt!H65/defaultFit_NonPrompt!$H$68</f>
        <v>0.22987533186118811</v>
      </c>
    </row>
    <row r="66" spans="1:35" ht="18">
      <c r="A66" s="117"/>
      <c r="B66" s="117"/>
      <c r="C66" s="117"/>
      <c r="D66" s="62" t="s">
        <v>52</v>
      </c>
      <c r="E66" s="36">
        <f>defaultFit_Inclusive!$U66*fitSyst_Inclusive!E66</f>
        <v>114.85100915999999</v>
      </c>
      <c r="F66" s="36">
        <f>defaultFit_Inclusive!$U66*fitSyst_Inclusive!F66</f>
        <v>104.389932805</v>
      </c>
      <c r="H66" s="36">
        <f>defaultFit_Inclusive!$U66*fitSyst_Inclusive!H66</f>
        <v>111.57867201000001</v>
      </c>
      <c r="I66" s="36">
        <f>defaultFit_Inclusive!$U66*fitSyst_Inclusive!I66</f>
        <v>101.694192755</v>
      </c>
      <c r="K66" s="36">
        <f>defaultFit_Inclusive!$U66*fitSyst_Inclusive!K66</f>
        <v>112.33478697000001</v>
      </c>
      <c r="L66" s="36">
        <f>defaultFit_Inclusive!$U66*fitSyst_Inclusive!L66</f>
        <v>101.35209829</v>
      </c>
      <c r="N66" s="41"/>
      <c r="O66" s="41"/>
      <c r="P66" s="40"/>
      <c r="Q66" s="41"/>
      <c r="R66" s="41"/>
      <c r="S66" s="40"/>
      <c r="T66" s="41">
        <f>fitSyst_bFrac!$G66*defaultFit_Inclusive!$E66</f>
        <v>0</v>
      </c>
      <c r="U66" s="41">
        <f>fitSyst_bFrac!$G66*defaultFit_Inclusive!$H66</f>
        <v>0</v>
      </c>
      <c r="V66" s="40"/>
      <c r="W66" s="36">
        <f>defaultFit_Inclusive!$U66*trgBiassing!E66</f>
        <v>103.94559638000001</v>
      </c>
      <c r="X66" s="36">
        <f>defaultFit_Inclusive!$U66*trgBiassing!F66</f>
        <v>96.846021675000017</v>
      </c>
      <c r="Y66" s="40"/>
      <c r="Z66" s="36">
        <f>defaultFit_Inclusive!$U66*trgBiassing!L66</f>
        <v>49.317479379999995</v>
      </c>
      <c r="AA66" s="36">
        <f>defaultFit_Inclusive!$U66*trgBiassing!M66</f>
        <v>54.401639170000003</v>
      </c>
      <c r="AB66" s="40"/>
      <c r="AC66" s="36">
        <f>defaultFit_Inclusive!$U66*epSystematic!E66</f>
        <v>116.34629782499999</v>
      </c>
      <c r="AD66" s="36">
        <f>defaultFit_Inclusive!$U66*epSystematic!F66</f>
        <v>103.52830652</v>
      </c>
      <c r="AE66" t="e">
        <f t="shared" si="0"/>
        <v>#DIV/0!</v>
      </c>
      <c r="AF66" t="e">
        <f t="shared" si="14"/>
        <v>#DIV/0!</v>
      </c>
      <c r="AH66">
        <f xml:space="preserve"> defaultFit_NonPrompt!E66/defaultFit_NonPrompt!$E$8</f>
        <v>0.31382912878763131</v>
      </c>
      <c r="AI66">
        <f xml:space="preserve"> defaultFit_NonPrompt!H66/defaultFit_NonPrompt!$H$68</f>
        <v>0.26019741358247084</v>
      </c>
    </row>
    <row r="67" spans="1:35" ht="18">
      <c r="A67" s="117"/>
      <c r="B67" s="117"/>
      <c r="C67" s="117"/>
      <c r="D67" s="62" t="s">
        <v>53</v>
      </c>
      <c r="E67" s="36">
        <f>defaultFit_Inclusive!$U67*fitSyst_Inclusive!E67</f>
        <v>97.312285682999999</v>
      </c>
      <c r="F67" s="36">
        <f>defaultFit_Inclusive!$U67*fitSyst_Inclusive!F67</f>
        <v>87.487038936000005</v>
      </c>
      <c r="H67" s="36">
        <f>defaultFit_Inclusive!$U67*fitSyst_Inclusive!H67</f>
        <v>95.392844277000009</v>
      </c>
      <c r="I67" s="36">
        <f>defaultFit_Inclusive!$U67*fitSyst_Inclusive!I67</f>
        <v>84.899675112000011</v>
      </c>
      <c r="K67" s="36">
        <f>defaultFit_Inclusive!$U67*fitSyst_Inclusive!K67</f>
        <v>97.435175181000005</v>
      </c>
      <c r="L67" s="36">
        <f>defaultFit_Inclusive!$U67*fitSyst_Inclusive!L67</f>
        <v>84.776271432000001</v>
      </c>
      <c r="N67" s="41"/>
      <c r="O67" s="41"/>
      <c r="P67" s="40"/>
      <c r="Q67" s="41"/>
      <c r="R67" s="41"/>
      <c r="S67" s="40"/>
      <c r="T67" s="41">
        <f>fitSyst_bFrac!$G67*defaultFit_Inclusive!$E67</f>
        <v>0</v>
      </c>
      <c r="U67" s="41">
        <f>fitSyst_bFrac!$G67*defaultFit_Inclusive!$H67</f>
        <v>0</v>
      </c>
      <c r="V67" s="40"/>
      <c r="W67" s="36">
        <f>defaultFit_Inclusive!$U67*trgBiassing!E67</f>
        <v>88.498434930000016</v>
      </c>
      <c r="X67" s="36">
        <f>defaultFit_Inclusive!$U67*trgBiassing!F67</f>
        <v>81.46930989900001</v>
      </c>
      <c r="Y67" s="40"/>
      <c r="Z67" s="36">
        <f>defaultFit_Inclusive!$U67*trgBiassing!L67</f>
        <v>47.738199426000001</v>
      </c>
      <c r="AA67" s="36">
        <f>defaultFit_Inclusive!$U67*trgBiassing!M67</f>
        <v>43.230108741000002</v>
      </c>
      <c r="AB67" s="40"/>
      <c r="AC67" s="36">
        <f>defaultFit_Inclusive!$U67*epSystematic!E67</f>
        <v>104.46095802900001</v>
      </c>
      <c r="AD67" s="36">
        <f>defaultFit_Inclusive!$U67*epSystematic!F67</f>
        <v>87.224806116000011</v>
      </c>
      <c r="AE67" t="e">
        <f t="shared" si="0"/>
        <v>#DIV/0!</v>
      </c>
      <c r="AF67" t="e">
        <f t="shared" si="14"/>
        <v>#DIV/0!</v>
      </c>
      <c r="AH67">
        <f xml:space="preserve"> defaultFit_NonPrompt!E67/defaultFit_NonPrompt!$E$8</f>
        <v>0.26743482415876163</v>
      </c>
      <c r="AI67">
        <f xml:space="preserve"> defaultFit_NonPrompt!H67/defaultFit_NonPrompt!$H$68</f>
        <v>0.21779000837095583</v>
      </c>
    </row>
    <row r="68" spans="1:35" ht="18">
      <c r="A68" s="117"/>
      <c r="B68" s="117"/>
      <c r="C68" s="117"/>
      <c r="D68" s="74"/>
      <c r="E68" s="82">
        <f xml:space="preserve"> SUM(E64:E67)</f>
        <v>425.26766951399998</v>
      </c>
      <c r="F68" s="82">
        <f xml:space="preserve"> SUM(F64:F67)</f>
        <v>401.18053663499995</v>
      </c>
      <c r="G68" s="82"/>
      <c r="H68" s="82">
        <f xml:space="preserve"> SUM(H64:H67)</f>
        <v>414.85124503200001</v>
      </c>
      <c r="I68" s="82">
        <f xml:space="preserve"> SUM(I64:I67)</f>
        <v>390.26253436900004</v>
      </c>
      <c r="J68" s="82"/>
      <c r="K68" s="82">
        <f xml:space="preserve"> SUM(K64:K67)</f>
        <v>426.35360424700002</v>
      </c>
      <c r="L68" s="82">
        <f xml:space="preserve"> SUM(L64:L67)</f>
        <v>388.99034927600002</v>
      </c>
      <c r="M68" s="82"/>
      <c r="N68" s="82">
        <f xml:space="preserve"> SUM(N64:N67)</f>
        <v>0</v>
      </c>
      <c r="O68" s="82">
        <f xml:space="preserve"> SUM(O64:O67)</f>
        <v>0</v>
      </c>
      <c r="P68" s="82"/>
      <c r="Q68" s="82">
        <f xml:space="preserve"> SUM(Q64:Q67)</f>
        <v>0</v>
      </c>
      <c r="R68" s="82">
        <f xml:space="preserve"> SUM(R64:R67)</f>
        <v>0</v>
      </c>
      <c r="S68" s="82"/>
      <c r="T68" s="82">
        <f xml:space="preserve"> SUM(T64:T67)</f>
        <v>0</v>
      </c>
      <c r="U68" s="82">
        <f xml:space="preserve"> SUM(U64:U67)</f>
        <v>0</v>
      </c>
      <c r="V68" s="82"/>
      <c r="W68" s="82">
        <f xml:space="preserve"> SUM(W64:W67)</f>
        <v>380.25358207600004</v>
      </c>
      <c r="X68" s="82">
        <f xml:space="preserve"> SUM(X64:X67)</f>
        <v>370.56295485100003</v>
      </c>
      <c r="Y68" s="82"/>
      <c r="Z68" s="82">
        <f xml:space="preserve"> SUM(Z64:Z67)</f>
        <v>194.77328480899999</v>
      </c>
      <c r="AA68" s="82">
        <f xml:space="preserve"> SUM(AA64:AA67)</f>
        <v>197.41584114900002</v>
      </c>
      <c r="AB68" s="82"/>
      <c r="AC68" s="82">
        <f xml:space="preserve"> SUM(AC64:AC67)</f>
        <v>446.91955541100003</v>
      </c>
      <c r="AD68" s="82">
        <f xml:space="preserve"> SUM(AD64:AD67)</f>
        <v>397.92182147200003</v>
      </c>
      <c r="AE68" s="82"/>
      <c r="AF68" s="82"/>
      <c r="AG68" s="82"/>
      <c r="AH68" s="82"/>
      <c r="AI68" s="82"/>
    </row>
    <row r="69" spans="1:35" ht="18">
      <c r="A69" s="117" t="s">
        <v>82</v>
      </c>
      <c r="B69" s="117" t="s">
        <v>79</v>
      </c>
      <c r="C69" s="117" t="s">
        <v>17</v>
      </c>
      <c r="D69" s="65" t="s">
        <v>51</v>
      </c>
      <c r="E69" s="36">
        <f>defaultFit_Inclusive!$U69*fitSyst_Inclusive!E69</f>
        <v>179.935803432</v>
      </c>
      <c r="F69" s="36">
        <f>defaultFit_Inclusive!$U69*fitSyst_Inclusive!F69</f>
        <v>170.74862342999998</v>
      </c>
      <c r="H69" s="36">
        <f>defaultFit_Inclusive!$U69*fitSyst_Inclusive!H69</f>
        <v>168.39300535199999</v>
      </c>
      <c r="I69" s="36">
        <f>defaultFit_Inclusive!$U69*fitSyst_Inclusive!I69</f>
        <v>170.10908442000002</v>
      </c>
      <c r="K69" s="36">
        <f>defaultFit_Inclusive!$U69*fitSyst_Inclusive!K69</f>
        <v>176.95536507</v>
      </c>
      <c r="L69" s="36">
        <f>defaultFit_Inclusive!$U69*fitSyst_Inclusive!L69</f>
        <v>172.02314071799998</v>
      </c>
      <c r="N69" s="41"/>
      <c r="O69" s="41"/>
      <c r="P69" s="40"/>
      <c r="Q69" s="41"/>
      <c r="R69" s="41"/>
      <c r="S69" s="40"/>
      <c r="T69" s="41">
        <f>fitSyst_bFrac!$G69*defaultFit_Inclusive!$E69</f>
        <v>0</v>
      </c>
      <c r="U69" s="41">
        <f>fitSyst_bFrac!$G69*defaultFit_Inclusive!$H69</f>
        <v>0</v>
      </c>
      <c r="V69" s="40"/>
      <c r="W69" s="36">
        <f>defaultFit_Inclusive!$U69*trgBiassing!E69</f>
        <v>146.216446002</v>
      </c>
      <c r="X69" s="36">
        <f>defaultFit_Inclusive!$U69*trgBiassing!F69</f>
        <v>141.80165742599999</v>
      </c>
      <c r="Y69" s="40"/>
      <c r="Z69" s="36">
        <f>defaultFit_Inclusive!$U69*trgBiassing!L69</f>
        <v>84.468073536000006</v>
      </c>
      <c r="AA69" s="36">
        <f>defaultFit_Inclusive!$U69*trgBiassing!M69</f>
        <v>73.608348726000003</v>
      </c>
      <c r="AB69" s="40"/>
      <c r="AC69" s="36">
        <f>defaultFit_Inclusive!$U69*epSystematic!E69</f>
        <v>168.373518588</v>
      </c>
      <c r="AD69" s="36">
        <f>defaultFit_Inclusive!$U69*epSystematic!F69</f>
        <v>170.73991657799999</v>
      </c>
    </row>
    <row r="70" spans="1:35" ht="18">
      <c r="A70" s="117"/>
      <c r="B70" s="117"/>
      <c r="C70" s="117"/>
      <c r="D70" s="66" t="s">
        <v>49</v>
      </c>
      <c r="E70" s="36">
        <f>defaultFit_Inclusive!$U70*fitSyst_Inclusive!E70</f>
        <v>39.443100444000002</v>
      </c>
      <c r="F70" s="36">
        <f>defaultFit_Inclusive!$U70*fitSyst_Inclusive!F70</f>
        <v>46.252473347999995</v>
      </c>
      <c r="H70" s="36">
        <f>defaultFit_Inclusive!$U70*fitSyst_Inclusive!H70</f>
        <v>36.884892692000001</v>
      </c>
      <c r="I70" s="36">
        <f>defaultFit_Inclusive!$U70*fitSyst_Inclusive!I70</f>
        <v>46.058441131999999</v>
      </c>
      <c r="K70" s="36">
        <f>defaultFit_Inclusive!$U70*fitSyst_Inclusive!K70</f>
        <v>39.193279580000002</v>
      </c>
      <c r="L70" s="36">
        <f>defaultFit_Inclusive!$U70*fitSyst_Inclusive!L70</f>
        <v>45.701955179999999</v>
      </c>
      <c r="N70" s="41"/>
      <c r="O70" s="41"/>
      <c r="P70" s="40"/>
      <c r="Q70" s="41"/>
      <c r="R70" s="41"/>
      <c r="S70" s="40"/>
      <c r="T70" s="41">
        <f>fitSyst_bFrac!$G70*defaultFit_Inclusive!$E70</f>
        <v>0</v>
      </c>
      <c r="U70" s="41">
        <f>fitSyst_bFrac!$G70*defaultFit_Inclusive!$H70</f>
        <v>0</v>
      </c>
      <c r="V70" s="40"/>
      <c r="W70" s="36">
        <f>defaultFit_Inclusive!$U70*trgBiassing!E70</f>
        <v>30.908139044000002</v>
      </c>
      <c r="X70" s="36">
        <f>defaultFit_Inclusive!$U70*trgBiassing!F70</f>
        <v>36.440162432000001</v>
      </c>
      <c r="Y70" s="40"/>
      <c r="Z70" s="36">
        <f>defaultFit_Inclusive!$U70*trgBiassing!L70</f>
        <v>15.698715024</v>
      </c>
      <c r="AA70" s="36">
        <f>defaultFit_Inclusive!$U70*trgBiassing!M70</f>
        <v>19.255855360000002</v>
      </c>
      <c r="AB70" s="40"/>
      <c r="AC70" s="36">
        <f>defaultFit_Inclusive!$U70*epSystematic!E70</f>
        <v>37.424182956000003</v>
      </c>
      <c r="AD70" s="36">
        <f>defaultFit_Inclusive!$U70*epSystematic!F70</f>
        <v>45.315820543999997</v>
      </c>
      <c r="AE70" t="e">
        <f>SQRT(POWER(E70/$E$74-AH70,2)+POWER(H70/$H$74-AH70,2)+POWER(K70/$K$74-AH70,2)+POWER(N70/$N$74-AH70,2)+POWER(Q70/$Q$74-AH70,2)+POWER(T70/$T$74-AH70,2)+POWER(W70/$W$74-AH70,2)+POWER(Z70/$Z$74-AH70,2)+POWER(AC70/$AC$74-AH70,2))/SQRT(9)</f>
        <v>#DIV/0!</v>
      </c>
      <c r="AF70" t="e">
        <f>SQRT(POWER(F70/$F$74-AI70,2)+POWER(I70/$I$74-AI70,2)+POWER(L70/$L$74-AI70,2)+POWER(O70/$O$74-AI70,2)+POWER(R70/$R$74-AI70,2)+POWER(U70/$U$74-AI70,2)+POWER(X70/$X$74-AI70,2)+POWER(AA70/$AA$74-AI70,2)+POWER(AD70/$AD$74-AI70,2))/SQRT(9)</f>
        <v>#DIV/0!</v>
      </c>
      <c r="AH70">
        <f xml:space="preserve"> defaultFit_NonPrompt!E70/defaultFit_NonPrompt!$E$8</f>
        <v>0.10299880871132078</v>
      </c>
      <c r="AI70">
        <f xml:space="preserve"> defaultFit_NonPrompt!H70/defaultFit_NonPrompt!$H$68</f>
        <v>0.11625391719610494</v>
      </c>
    </row>
    <row r="71" spans="1:35" ht="18">
      <c r="A71" s="117"/>
      <c r="B71" s="117"/>
      <c r="C71" s="117"/>
      <c r="D71" s="66" t="s">
        <v>50</v>
      </c>
      <c r="E71" s="36">
        <f>defaultFit_Inclusive!$U71*fitSyst_Inclusive!E71</f>
        <v>52.810954749000004</v>
      </c>
      <c r="F71" s="36">
        <f>defaultFit_Inclusive!$U71*fitSyst_Inclusive!F71</f>
        <v>43.066623291999996</v>
      </c>
      <c r="H71" s="36">
        <f>defaultFit_Inclusive!$U71*fitSyst_Inclusive!H71</f>
        <v>49.688695971000001</v>
      </c>
      <c r="I71" s="36">
        <f>defaultFit_Inclusive!$U71*fitSyst_Inclusive!I71</f>
        <v>42.882337692</v>
      </c>
      <c r="K71" s="36">
        <f>defaultFit_Inclusive!$U71*fitSyst_Inclusive!K71</f>
        <v>48.251729005000001</v>
      </c>
      <c r="L71" s="36">
        <f>defaultFit_Inclusive!$U71*fitSyst_Inclusive!L71</f>
        <v>42.719705650000002</v>
      </c>
      <c r="N71" s="41"/>
      <c r="O71" s="41"/>
      <c r="P71" s="40"/>
      <c r="Q71" s="41"/>
      <c r="R71" s="41"/>
      <c r="S71" s="40"/>
      <c r="T71" s="41">
        <f>fitSyst_bFrac!$G71*defaultFit_Inclusive!$E71</f>
        <v>0</v>
      </c>
      <c r="U71" s="41">
        <f>fitSyst_bFrac!$G71*defaultFit_Inclusive!$H71</f>
        <v>0</v>
      </c>
      <c r="V71" s="40"/>
      <c r="W71" s="36">
        <f>defaultFit_Inclusive!$U71*trgBiassing!E71</f>
        <v>40.896429994999998</v>
      </c>
      <c r="X71" s="36">
        <f>defaultFit_Inclusive!$U71*trgBiassing!F71</f>
        <v>36.981512779999996</v>
      </c>
      <c r="Y71" s="40"/>
      <c r="Z71" s="36">
        <f>defaultFit_Inclusive!$U71*trgBiassing!L71</f>
        <v>22.725455192400002</v>
      </c>
      <c r="AA71" s="36">
        <f>defaultFit_Inclusive!$U71*trgBiassing!M71</f>
        <v>17.779413974000001</v>
      </c>
      <c r="AB71" s="40"/>
      <c r="AC71" s="36">
        <f>defaultFit_Inclusive!$U71*epSystematic!E71</f>
        <v>49.303769424000002</v>
      </c>
      <c r="AD71" s="36">
        <f>defaultFit_Inclusive!$U71*epSystematic!F71</f>
        <v>42.769232404999997</v>
      </c>
      <c r="AE71" t="e">
        <f t="shared" ref="AE71:AE73" si="15">SQRT(POWER(E71/$E$74-AH71,2)+POWER(H71/$H$74-AH71,2)+POWER(K71/$K$74-AH71,2)+POWER(N71/$N$74-AH71,2)+POWER(Q71/$Q$74-AH71,2)+POWER(T71/$T$74-AH71,2)+POWER(W71/$W$74-AH71,2)+POWER(Z71/$Z$74-AH71,2)+POWER(AC71/$AC$74-AH71,2))/SQRT(9)</f>
        <v>#DIV/0!</v>
      </c>
      <c r="AF71" t="e">
        <f t="shared" ref="AF71:AF73" si="16">SQRT(POWER(F71/$F$74-AI71,2)+POWER(I71/$I$74-AI71,2)+POWER(L71/$L$74-AI71,2)+POWER(O71/$O$74-AI71,2)+POWER(R71/$R$74-AI71,2)+POWER(U71/$U$74-AI71,2)+POWER(X71/$X$74-AI71,2)+POWER(AA71/$AA$74-AI71,2)+POWER(AD71/$AD$74-AI71,2))/SQRT(9)</f>
        <v>#DIV/0!</v>
      </c>
      <c r="AH71">
        <f xml:space="preserve"> defaultFit_NonPrompt!E71/defaultFit_NonPrompt!$E$8</f>
        <v>0.13795233815971639</v>
      </c>
      <c r="AI71">
        <f xml:space="preserve"> defaultFit_NonPrompt!H71/defaultFit_NonPrompt!$H$68</f>
        <v>0.10822280663432081</v>
      </c>
    </row>
    <row r="72" spans="1:35" ht="18">
      <c r="A72" s="117"/>
      <c r="B72" s="117"/>
      <c r="C72" s="117"/>
      <c r="D72" s="65" t="s">
        <v>52</v>
      </c>
      <c r="E72" s="36">
        <f>defaultFit_Inclusive!$U72*fitSyst_Inclusive!E72</f>
        <v>41.118286571999995</v>
      </c>
      <c r="F72" s="36">
        <f>defaultFit_Inclusive!$U72*fitSyst_Inclusive!F72</f>
        <v>37.249519923000001</v>
      </c>
      <c r="H72" s="36">
        <f>defaultFit_Inclusive!$U72*fitSyst_Inclusive!H72</f>
        <v>38.307498668999997</v>
      </c>
      <c r="I72" s="36">
        <f>defaultFit_Inclusive!$U72*fitSyst_Inclusive!I72</f>
        <v>37.145028194999995</v>
      </c>
      <c r="K72" s="36">
        <f>defaultFit_Inclusive!$U72*fitSyst_Inclusive!K72</f>
        <v>40.972631436</v>
      </c>
      <c r="L72" s="36">
        <f>defaultFit_Inclusive!$U72*fitSyst_Inclusive!L72</f>
        <v>38.002137425999997</v>
      </c>
      <c r="N72" s="41"/>
      <c r="O72" s="41"/>
      <c r="P72" s="40"/>
      <c r="Q72" s="41"/>
      <c r="R72" s="41"/>
      <c r="S72" s="40"/>
      <c r="T72" s="41">
        <f>fitSyst_bFrac!$G72*defaultFit_Inclusive!$E72</f>
        <v>0</v>
      </c>
      <c r="U72" s="41">
        <f>fitSyst_bFrac!$G72*defaultFit_Inclusive!$H72</f>
        <v>0</v>
      </c>
      <c r="V72" s="40"/>
      <c r="W72" s="36">
        <f>defaultFit_Inclusive!$U72*trgBiassing!E72</f>
        <v>35.332452935999996</v>
      </c>
      <c r="X72" s="36">
        <f>defaultFit_Inclusive!$U72*trgBiassing!F72</f>
        <v>32.015038472999997</v>
      </c>
      <c r="Y72" s="40"/>
      <c r="Z72" s="36">
        <f>defaultFit_Inclusive!$U72*trgBiassing!L72</f>
        <v>21.156210603000002</v>
      </c>
      <c r="AA72" s="36">
        <f>defaultFit_Inclusive!$U72*trgBiassing!M72</f>
        <v>17.971844982299999</v>
      </c>
      <c r="AB72" s="40"/>
      <c r="AC72" s="36">
        <f>defaultFit_Inclusive!$U72*epSystematic!E72</f>
        <v>37.420704287999996</v>
      </c>
      <c r="AD72" s="36">
        <f>defaultFit_Inclusive!$U72*epSystematic!F72</f>
        <v>38.702113262999994</v>
      </c>
      <c r="AE72" t="e">
        <f t="shared" si="15"/>
        <v>#DIV/0!</v>
      </c>
      <c r="AF72" t="e">
        <f t="shared" si="16"/>
        <v>#DIV/0!</v>
      </c>
      <c r="AH72">
        <f xml:space="preserve"> defaultFit_NonPrompt!E72/defaultFit_NonPrompt!$E$8</f>
        <v>0.10763432485113002</v>
      </c>
      <c r="AI72">
        <f xml:space="preserve"> defaultFit_NonPrompt!H72/defaultFit_NonPrompt!$H$68</f>
        <v>9.365381419189428E-2</v>
      </c>
    </row>
    <row r="73" spans="1:35" ht="18">
      <c r="A73" s="117"/>
      <c r="B73" s="117"/>
      <c r="C73" s="117"/>
      <c r="D73" s="65" t="s">
        <v>53</v>
      </c>
      <c r="E73" s="36">
        <f>defaultFit_Inclusive!$U73*fitSyst_Inclusive!E73</f>
        <v>44.638078525999994</v>
      </c>
      <c r="F73" s="36">
        <f>defaultFit_Inclusive!$U73*fitSyst_Inclusive!F73</f>
        <v>41.644283088000002</v>
      </c>
      <c r="H73" s="36">
        <f>defaultFit_Inclusive!$U73*fitSyst_Inclusive!H73</f>
        <v>41.649550226000002</v>
      </c>
      <c r="I73" s="36">
        <f>defaultFit_Inclusive!$U73*fitSyst_Inclusive!I73</f>
        <v>41.473673617999999</v>
      </c>
      <c r="K73" s="36">
        <f>defaultFit_Inclusive!$U73*fitSyst_Inclusive!K73</f>
        <v>42.645039307999994</v>
      </c>
      <c r="L73" s="36">
        <f>defaultFit_Inclusive!$U73*fitSyst_Inclusive!L73</f>
        <v>43.702818021999995</v>
      </c>
      <c r="N73" s="41"/>
      <c r="O73" s="41"/>
      <c r="P73" s="40"/>
      <c r="Q73" s="41"/>
      <c r="R73" s="41"/>
      <c r="S73" s="40"/>
      <c r="T73" s="41">
        <f>fitSyst_bFrac!$G73*defaultFit_Inclusive!$E73</f>
        <v>0</v>
      </c>
      <c r="U73" s="41">
        <f>fitSyst_bFrac!$G73*defaultFit_Inclusive!$H73</f>
        <v>0</v>
      </c>
      <c r="V73" s="40"/>
      <c r="W73" s="36">
        <f>defaultFit_Inclusive!$U73*trgBiassing!E73</f>
        <v>38.194765709999999</v>
      </c>
      <c r="X73" s="36">
        <f>defaultFit_Inclusive!$U73*trgBiassing!F73</f>
        <v>34.899598375999993</v>
      </c>
      <c r="Y73" s="40"/>
      <c r="Z73" s="36">
        <f>defaultFit_Inclusive!$U73*trgBiassing!L73</f>
        <v>24.865013468000001</v>
      </c>
      <c r="AA73" s="36">
        <f>defaultFit_Inclusive!$U73*trgBiassing!M73</f>
        <v>17.315326864799999</v>
      </c>
      <c r="AB73" s="40"/>
      <c r="AC73" s="36">
        <f>defaultFit_Inclusive!$U73*epSystematic!E73</f>
        <v>42.397712827999996</v>
      </c>
      <c r="AD73" s="36">
        <f>defaultFit_Inclusive!$U73*epSystematic!F73</f>
        <v>41.461536299999999</v>
      </c>
      <c r="AE73" t="e">
        <f t="shared" si="15"/>
        <v>#DIV/0!</v>
      </c>
      <c r="AF73" t="e">
        <f t="shared" si="16"/>
        <v>#DIV/0!</v>
      </c>
      <c r="AH73">
        <f xml:space="preserve"> defaultFit_NonPrompt!E73/defaultFit_NonPrompt!$E$8</f>
        <v>0.11655028328494835</v>
      </c>
      <c r="AI73">
        <f xml:space="preserve"> defaultFit_NonPrompt!H73/defaultFit_NonPrompt!$H$68</f>
        <v>0.10464615064064141</v>
      </c>
    </row>
    <row r="74" spans="1:35" ht="18">
      <c r="A74" s="117"/>
      <c r="B74" s="117"/>
      <c r="C74" s="117"/>
      <c r="D74" s="74"/>
      <c r="E74" s="82">
        <f xml:space="preserve"> SUM(E70:E73)</f>
        <v>178.01042029099997</v>
      </c>
      <c r="F74" s="82">
        <f xml:space="preserve"> SUM(F70:F73)</f>
        <v>168.21289965100001</v>
      </c>
      <c r="G74" s="82"/>
      <c r="H74" s="82">
        <f xml:space="preserve"> SUM(H70:H73)</f>
        <v>166.53063755800002</v>
      </c>
      <c r="I74" s="82">
        <f xml:space="preserve"> SUM(I70:I73)</f>
        <v>167.55948063700001</v>
      </c>
      <c r="J74" s="82"/>
      <c r="K74" s="82">
        <f xml:space="preserve"> SUM(K70:K73)</f>
        <v>171.06267932899999</v>
      </c>
      <c r="L74" s="82">
        <f xml:space="preserve"> SUM(L70:L73)</f>
        <v>170.126616278</v>
      </c>
      <c r="M74" s="82"/>
      <c r="N74" s="82">
        <f xml:space="preserve"> SUM(N70:N73)</f>
        <v>0</v>
      </c>
      <c r="O74" s="82">
        <f xml:space="preserve"> SUM(O70:O73)</f>
        <v>0</v>
      </c>
      <c r="P74" s="82"/>
      <c r="Q74" s="82">
        <f xml:space="preserve"> SUM(Q70:Q73)</f>
        <v>0</v>
      </c>
      <c r="R74" s="82">
        <f xml:space="preserve"> SUM(R70:R73)</f>
        <v>0</v>
      </c>
      <c r="S74" s="82"/>
      <c r="T74" s="82">
        <f xml:space="preserve"> SUM(T70:T73)</f>
        <v>0</v>
      </c>
      <c r="U74" s="82">
        <f xml:space="preserve"> SUM(U70:U73)</f>
        <v>0</v>
      </c>
      <c r="V74" s="82"/>
      <c r="W74" s="82">
        <f xml:space="preserve"> SUM(W70:W73)</f>
        <v>145.33178768499999</v>
      </c>
      <c r="X74" s="82">
        <f xml:space="preserve"> SUM(X70:X73)</f>
        <v>140.336312061</v>
      </c>
      <c r="Y74" s="82"/>
      <c r="Z74" s="82">
        <f xml:space="preserve"> SUM(Z70:Z73)</f>
        <v>84.445394287400006</v>
      </c>
      <c r="AA74" s="82">
        <f xml:space="preserve"> SUM(AA70:AA73)</f>
        <v>72.322441181100004</v>
      </c>
      <c r="AB74" s="82"/>
      <c r="AC74" s="82">
        <f xml:space="preserve"> SUM(AC70:AC73)</f>
        <v>166.54636949600001</v>
      </c>
      <c r="AD74" s="82">
        <f xml:space="preserve"> SUM(AD70:AD73)</f>
        <v>168.24870251199999</v>
      </c>
      <c r="AE74" s="82"/>
      <c r="AF74" s="82"/>
      <c r="AG74" s="82"/>
      <c r="AH74" s="82"/>
      <c r="AI74" s="82"/>
    </row>
    <row r="75" spans="1:35" ht="18">
      <c r="A75" s="117" t="s">
        <v>81</v>
      </c>
      <c r="B75" s="117" t="s">
        <v>83</v>
      </c>
      <c r="C75" s="117" t="s">
        <v>17</v>
      </c>
      <c r="D75" s="68" t="s">
        <v>51</v>
      </c>
      <c r="E75" s="36">
        <f>defaultFit_Inclusive!$U75*fitSyst_Inclusive!E75</f>
        <v>197.66795763000002</v>
      </c>
      <c r="F75" s="36">
        <f>defaultFit_Inclusive!$U75*fitSyst_Inclusive!F75</f>
        <v>208.01370096000002</v>
      </c>
      <c r="H75" s="36">
        <f>defaultFit_Inclusive!$U75*fitSyst_Inclusive!H75</f>
        <v>210.69301733999998</v>
      </c>
      <c r="I75" s="36">
        <f>defaultFit_Inclusive!$U75*fitSyst_Inclusive!I75</f>
        <v>213.57564227999998</v>
      </c>
      <c r="K75" s="36">
        <f>defaultFit_Inclusive!$U75*fitSyst_Inclusive!K75</f>
        <v>201.74138984999999</v>
      </c>
      <c r="L75" s="36">
        <f>defaultFit_Inclusive!$U75*fitSyst_Inclusive!L75</f>
        <v>209.84105765999999</v>
      </c>
      <c r="N75" s="41"/>
      <c r="O75" s="41"/>
      <c r="P75" s="40"/>
      <c r="Q75" s="41"/>
      <c r="R75" s="41"/>
      <c r="S75" s="40"/>
      <c r="T75" s="41">
        <f>fitSyst_bFrac!$G75*defaultFit_Inclusive!$E75</f>
        <v>0</v>
      </c>
      <c r="U75" s="41">
        <f>fitSyst_bFrac!$G75*defaultFit_Inclusive!$H75</f>
        <v>0</v>
      </c>
      <c r="V75" s="40"/>
      <c r="W75" s="36">
        <f>defaultFit_Inclusive!$U75*trgBiassing!E75</f>
        <v>171.01154303999999</v>
      </c>
      <c r="X75" s="36">
        <f>defaultFit_Inclusive!$U75*trgBiassing!F75</f>
        <v>175.26529059000001</v>
      </c>
      <c r="Y75" s="40"/>
      <c r="Z75" s="36">
        <f>defaultFit_Inclusive!$U75*trgBiassing!L75</f>
        <v>95.592417452999996</v>
      </c>
      <c r="AA75" s="36">
        <f>defaultFit_Inclusive!$U75*trgBiassing!M75</f>
        <v>99.402274646999999</v>
      </c>
      <c r="AB75" s="40"/>
      <c r="AC75" s="36">
        <f>defaultFit_Inclusive!$U75*epSystematic!E75</f>
        <v>199.40818209</v>
      </c>
      <c r="AD75" s="36">
        <f>defaultFit_Inclusive!$U75*epSystematic!F75</f>
        <v>207.16295144999998</v>
      </c>
    </row>
    <row r="76" spans="1:35" ht="18">
      <c r="A76" s="117"/>
      <c r="B76" s="117"/>
      <c r="C76" s="117"/>
      <c r="D76" s="69" t="s">
        <v>49</v>
      </c>
      <c r="E76" s="36">
        <f>defaultFit_Inclusive!$U76*fitSyst_Inclusive!E76</f>
        <v>38.322341767500006</v>
      </c>
      <c r="F76" s="36">
        <f>defaultFit_Inclusive!$U76*fitSyst_Inclusive!F76</f>
        <v>42.579903450000003</v>
      </c>
      <c r="H76" s="36">
        <f>defaultFit_Inclusive!$U76*fitSyst_Inclusive!H76</f>
        <v>40.766489610000001</v>
      </c>
      <c r="I76" s="36">
        <f>defaultFit_Inclusive!$U76*fitSyst_Inclusive!I76</f>
        <v>43.575514972500002</v>
      </c>
      <c r="K76" s="36">
        <f>defaultFit_Inclusive!$U76*fitSyst_Inclusive!K76</f>
        <v>39.969520289999998</v>
      </c>
      <c r="L76" s="36">
        <f>defaultFit_Inclusive!$U76*fitSyst_Inclusive!L76</f>
        <v>41.8714958025</v>
      </c>
      <c r="N76" s="41"/>
      <c r="O76" s="41"/>
      <c r="P76" s="40"/>
      <c r="Q76" s="41"/>
      <c r="R76" s="41"/>
      <c r="S76" s="40"/>
      <c r="T76" s="41">
        <f>fitSyst_bFrac!$G76*defaultFit_Inclusive!$E76</f>
        <v>0</v>
      </c>
      <c r="U76" s="41">
        <f>fitSyst_bFrac!$G76*defaultFit_Inclusive!$H76</f>
        <v>0</v>
      </c>
      <c r="V76" s="40"/>
      <c r="W76" s="36">
        <f>defaultFit_Inclusive!$U76*trgBiassing!E76</f>
        <v>33.536410687500002</v>
      </c>
      <c r="X76" s="36">
        <f>defaultFit_Inclusive!$U76*trgBiassing!F76</f>
        <v>36.5708267925</v>
      </c>
      <c r="Y76" s="40"/>
      <c r="Z76" s="36">
        <f>defaultFit_Inclusive!$U76*trgBiassing!L76</f>
        <v>18.917561984999999</v>
      </c>
      <c r="AA76" s="36">
        <f>defaultFit_Inclusive!$U76*trgBiassing!M76</f>
        <v>19.804893360000001</v>
      </c>
      <c r="AB76" s="40"/>
      <c r="AC76" s="36">
        <f>defaultFit_Inclusive!$U76*epSystematic!E76</f>
        <v>38.511381929999999</v>
      </c>
      <c r="AD76" s="36">
        <f>defaultFit_Inclusive!$U76*epSystematic!F76</f>
        <v>42.071081062500006</v>
      </c>
      <c r="AE76" t="e">
        <f>SQRT(POWER(E76/$E$80-AH76,2)+POWER(H76/$H$80-AH76,2)+POWER(K76/$K$80-AH76,2)+POWER(N76/$N$80-AH76,2)+POWER(Q76/$Q$80-AH76,2)+POWER(T76/$T$80-AH76,2)+POWER(W76/$W$80-AH76,2)+POWER(Z76/$Z$80-AH76,2)+POWER(AC76/$AC$80-AH76,2))/SQRT(9)</f>
        <v>#DIV/0!</v>
      </c>
      <c r="AF76" t="e">
        <f>SQRT(POWER(F76/$F$80-AI76,2)+POWER(I76/$I$80-AI76,2)+POWER(L76/$L$80-AI76,2)+POWER(O76/$O$80-AI76,2)+POWER(R76/$R$80-AI76,2)+POWER(U76/$U$80-AI76,2)+POWER(X76/$X$80-AI76,2)+POWER(AA76/$AA$80-AI76,2)+POWER(AD76/$AD$80-AI76,2))/SQRT(9)</f>
        <v>#DIV/0!</v>
      </c>
      <c r="AH76">
        <f xml:space="preserve"> defaultFit_NonPrompt!E76/defaultFit_NonPrompt!$E$8</f>
        <v>0.10099764914254734</v>
      </c>
      <c r="AI76">
        <f xml:space="preserve"> defaultFit_NonPrompt!H76/defaultFit_NonPrompt!$H$80</f>
        <v>0.18773837722154793</v>
      </c>
    </row>
    <row r="77" spans="1:35" ht="18">
      <c r="A77" s="117"/>
      <c r="B77" s="117"/>
      <c r="C77" s="117"/>
      <c r="D77" s="69" t="s">
        <v>50</v>
      </c>
      <c r="E77" s="36">
        <f>defaultFit_Inclusive!$U77*fitSyst_Inclusive!E77</f>
        <v>66.994809298999996</v>
      </c>
      <c r="F77" s="36">
        <f>defaultFit_Inclusive!$U77*fitSyst_Inclusive!F77</f>
        <v>70.79946563499999</v>
      </c>
      <c r="H77" s="36">
        <f>defaultFit_Inclusive!$U77*fitSyst_Inclusive!H77</f>
        <v>71.637020317999998</v>
      </c>
      <c r="I77" s="36">
        <f>defaultFit_Inclusive!$U77*fitSyst_Inclusive!I77</f>
        <v>72.844938291999995</v>
      </c>
      <c r="K77" s="36">
        <f>defaultFit_Inclusive!$U77*fitSyst_Inclusive!K77</f>
        <v>69.856860014000006</v>
      </c>
      <c r="L77" s="36">
        <f>defaultFit_Inclusive!$U77*fitSyst_Inclusive!L77</f>
        <v>72.232253028999992</v>
      </c>
      <c r="N77" s="41"/>
      <c r="O77" s="41"/>
      <c r="P77" s="40"/>
      <c r="Q77" s="41"/>
      <c r="R77" s="41"/>
      <c r="S77" s="40"/>
      <c r="T77" s="41">
        <f>fitSyst_bFrac!$G77*defaultFit_Inclusive!$E77</f>
        <v>0</v>
      </c>
      <c r="U77" s="41">
        <f>fitSyst_bFrac!$G77*defaultFit_Inclusive!$H77</f>
        <v>0</v>
      </c>
      <c r="V77" s="40"/>
      <c r="W77" s="36">
        <f>defaultFit_Inclusive!$U77*trgBiassing!E77</f>
        <v>59.432652080000004</v>
      </c>
      <c r="X77" s="36">
        <f>defaultFit_Inclusive!$U77*trgBiassing!F77</f>
        <v>60.649464142999996</v>
      </c>
      <c r="Y77" s="40"/>
      <c r="Z77" s="36">
        <f>defaultFit_Inclusive!$U77*trgBiassing!L77</f>
        <v>32.877755147000002</v>
      </c>
      <c r="AA77" s="36">
        <f>defaultFit_Inclusive!$U77*trgBiassing!M77</f>
        <v>36.628040070999994</v>
      </c>
      <c r="AB77" s="40"/>
      <c r="AC77" s="36">
        <f>defaultFit_Inclusive!$U77*epSystematic!E77</f>
        <v>67.192493013000004</v>
      </c>
      <c r="AD77" s="36">
        <f>defaultFit_Inclusive!$U77*epSystematic!F77</f>
        <v>71.115289700999995</v>
      </c>
      <c r="AE77" t="e">
        <f t="shared" ref="AE77:AE79" si="17">SQRT(POWER(E77/$E$80-AH77,2)+POWER(H77/$H$80-AH77,2)+POWER(K77/$K$80-AH77,2)+POWER(N77/$N$80-AH77,2)+POWER(Q77/$Q$80-AH77,2)+POWER(T77/$T$80-AH77,2)+POWER(W77/$W$80-AH77,2)+POWER(Z77/$Z$80-AH77,2)+POWER(AC77/$AC$80-AH77,2))/SQRT(9)</f>
        <v>#DIV/0!</v>
      </c>
      <c r="AF77" t="e">
        <f t="shared" ref="AF77:AF79" si="18">SQRT(POWER(F77/$F$80-AI77,2)+POWER(I77/$I$80-AI77,2)+POWER(L77/$L$80-AI77,2)+POWER(O77/$O$80-AI77,2)+POWER(R77/$R$80-AI77,2)+POWER(U77/$U$80-AI77,2)+POWER(X77/$X$80-AI77,2)+POWER(AA77/$AA$80-AI77,2)+POWER(AD77/$AD$80-AI77,2))/SQRT(9)</f>
        <v>#DIV/0!</v>
      </c>
      <c r="AH77">
        <f xml:space="preserve"> defaultFit_NonPrompt!E77/defaultFit_NonPrompt!$E$8</f>
        <v>0.1765800842614686</v>
      </c>
      <c r="AI77">
        <f xml:space="preserve"> defaultFit_NonPrompt!H77/defaultFit_NonPrompt!$H$80</f>
        <v>0.36264321336255639</v>
      </c>
    </row>
    <row r="78" spans="1:35" ht="18">
      <c r="A78" s="117"/>
      <c r="B78" s="117"/>
      <c r="C78" s="117"/>
      <c r="D78" s="68" t="s">
        <v>52</v>
      </c>
      <c r="E78" s="36">
        <f>defaultFit_Inclusive!$U78*fitSyst_Inclusive!E78</f>
        <v>43.941445375000001</v>
      </c>
      <c r="F78" s="36">
        <f>defaultFit_Inclusive!$U78*fitSyst_Inclusive!F78</f>
        <v>47.12266657</v>
      </c>
      <c r="H78" s="36">
        <f>defaultFit_Inclusive!$U78*fitSyst_Inclusive!H78</f>
        <v>46.800642190000005</v>
      </c>
      <c r="I78" s="36">
        <f>defaultFit_Inclusive!$U78*fitSyst_Inclusive!I78</f>
        <v>48.363890089999998</v>
      </c>
      <c r="K78" s="36">
        <f>defaultFit_Inclusive!$U78*fitSyst_Inclusive!K78</f>
        <v>47.401801240000005</v>
      </c>
      <c r="L78" s="36">
        <f>defaultFit_Inclusive!$U78*fitSyst_Inclusive!L78</f>
        <v>46.737831030000002</v>
      </c>
      <c r="N78" s="41"/>
      <c r="O78" s="41"/>
      <c r="P78" s="40"/>
      <c r="Q78" s="41"/>
      <c r="R78" s="41"/>
      <c r="S78" s="40"/>
      <c r="T78" s="41">
        <f>fitSyst_bFrac!$G78*defaultFit_Inclusive!$E78</f>
        <v>0</v>
      </c>
      <c r="U78" s="41">
        <f>fitSyst_bFrac!$G78*defaultFit_Inclusive!$H78</f>
        <v>0</v>
      </c>
      <c r="V78" s="40"/>
      <c r="W78" s="36">
        <f>defaultFit_Inclusive!$U78*trgBiassing!E78</f>
        <v>37.508809169999999</v>
      </c>
      <c r="X78" s="36">
        <f>defaultFit_Inclusive!$U78*trgBiassing!F78</f>
        <v>37.786654804999998</v>
      </c>
      <c r="Y78" s="40"/>
      <c r="Z78" s="36">
        <f>defaultFit_Inclusive!$U78*trgBiassing!L78</f>
        <v>19.429273000000002</v>
      </c>
      <c r="AA78" s="36">
        <f>defaultFit_Inclusive!$U78*trgBiassing!M78</f>
        <v>20.505617225000002</v>
      </c>
      <c r="AB78" s="40"/>
      <c r="AC78" s="36">
        <f>defaultFit_Inclusive!$U78*epSystematic!E78</f>
        <v>45.565746660000002</v>
      </c>
      <c r="AD78" s="36">
        <f>defaultFit_Inclusive!$U78*epSystematic!F78</f>
        <v>47.529181334999997</v>
      </c>
      <c r="AE78" t="e">
        <f t="shared" si="17"/>
        <v>#DIV/0!</v>
      </c>
      <c r="AF78" t="e">
        <f t="shared" si="18"/>
        <v>#DIV/0!</v>
      </c>
      <c r="AH78">
        <f xml:space="preserve"> defaultFit_NonPrompt!E78/defaultFit_NonPrompt!$E$8</f>
        <v>0.11550425367128453</v>
      </c>
      <c r="AI78">
        <f xml:space="preserve"> defaultFit_NonPrompt!H78/defaultFit_NonPrompt!$H$80</f>
        <v>0.23764609996114511</v>
      </c>
    </row>
    <row r="79" spans="1:35" ht="18">
      <c r="A79" s="117"/>
      <c r="B79" s="117"/>
      <c r="C79" s="117"/>
      <c r="D79" s="68" t="s">
        <v>53</v>
      </c>
      <c r="E79" s="36">
        <f>defaultFit_Inclusive!$U79*fitSyst_Inclusive!E79</f>
        <v>42.297723089000002</v>
      </c>
      <c r="F79" s="36">
        <f>defaultFit_Inclusive!$U79*fitSyst_Inclusive!F79</f>
        <v>40.930358171999998</v>
      </c>
      <c r="H79" s="36">
        <f>defaultFit_Inclusive!$U79*fitSyst_Inclusive!H79</f>
        <v>45.209831365999996</v>
      </c>
      <c r="I79" s="36">
        <f>defaultFit_Inclusive!$U79*fitSyst_Inclusive!I79</f>
        <v>42.141399990999993</v>
      </c>
      <c r="K79" s="36">
        <f>defaultFit_Inclusive!$U79*fitSyst_Inclusive!K79</f>
        <v>46.002539427999999</v>
      </c>
      <c r="L79" s="36">
        <f>defaultFit_Inclusive!$U79*fitSyst_Inclusive!L79</f>
        <v>43.319677638999998</v>
      </c>
      <c r="N79" s="41"/>
      <c r="O79" s="41"/>
      <c r="P79" s="40"/>
      <c r="Q79" s="41"/>
      <c r="R79" s="41"/>
      <c r="S79" s="40"/>
      <c r="T79" s="41">
        <f>fitSyst_bFrac!$G79*defaultFit_Inclusive!$E79</f>
        <v>0</v>
      </c>
      <c r="U79" s="41">
        <f>fitSyst_bFrac!$G79*defaultFit_Inclusive!$H79</f>
        <v>0</v>
      </c>
      <c r="V79" s="40"/>
      <c r="W79" s="36">
        <f>defaultFit_Inclusive!$U79*trgBiassing!E79</f>
        <v>35.770771557000003</v>
      </c>
      <c r="X79" s="36">
        <f>defaultFit_Inclusive!$U79*trgBiassing!F79</f>
        <v>34.762271886000001</v>
      </c>
      <c r="Y79" s="40"/>
      <c r="Z79" s="36">
        <f>defaultFit_Inclusive!$U79*trgBiassing!L79</f>
        <v>21.404144763999998</v>
      </c>
      <c r="AA79" s="36">
        <f>defaultFit_Inclusive!$U79*trgBiassing!M79</f>
        <v>20.266437170999996</v>
      </c>
      <c r="AB79" s="40"/>
      <c r="AC79" s="36">
        <f>defaultFit_Inclusive!$U79*epSystematic!E79</f>
        <v>42.081417934999997</v>
      </c>
      <c r="AD79" s="36">
        <f>defaultFit_Inclusive!$U79*epSystematic!F79</f>
        <v>40.289556720999997</v>
      </c>
      <c r="AE79" t="e">
        <f t="shared" si="17"/>
        <v>#DIV/0!</v>
      </c>
      <c r="AF79" t="e">
        <f t="shared" si="18"/>
        <v>#DIV/0!</v>
      </c>
      <c r="AH79">
        <f xml:space="preserve"> defaultFit_NonPrompt!E79/defaultFit_NonPrompt!$E$8</f>
        <v>0.11120920325298252</v>
      </c>
      <c r="AI79">
        <f xml:space="preserve"> defaultFit_NonPrompt!H79/defaultFit_NonPrompt!$H$80</f>
        <v>0.21197230945475065</v>
      </c>
    </row>
    <row r="80" spans="1:35" ht="18">
      <c r="A80" s="117"/>
      <c r="B80" s="117"/>
      <c r="C80" s="117"/>
      <c r="D80" s="74"/>
      <c r="E80" s="82">
        <f xml:space="preserve"> SUM(E76:E79)</f>
        <v>191.55631953049999</v>
      </c>
      <c r="F80" s="82">
        <f xml:space="preserve"> SUM(F76:F79)</f>
        <v>201.432393827</v>
      </c>
      <c r="G80" s="82"/>
      <c r="H80" s="82">
        <f xml:space="preserve"> SUM(H76:H79)</f>
        <v>204.41398348400003</v>
      </c>
      <c r="I80" s="82">
        <f xml:space="preserve"> SUM(I76:I79)</f>
        <v>206.92574334549997</v>
      </c>
      <c r="J80" s="82"/>
      <c r="K80" s="82">
        <f xml:space="preserve"> SUM(K76:K79)</f>
        <v>203.230720972</v>
      </c>
      <c r="L80" s="82">
        <f xml:space="preserve"> SUM(L76:L79)</f>
        <v>204.16125750049997</v>
      </c>
      <c r="M80" s="82"/>
      <c r="N80" s="82">
        <f xml:space="preserve"> SUM(N76:N79)</f>
        <v>0</v>
      </c>
      <c r="O80" s="82">
        <f xml:space="preserve"> SUM(O76:O79)</f>
        <v>0</v>
      </c>
      <c r="P80" s="82"/>
      <c r="Q80" s="82">
        <f xml:space="preserve"> SUM(Q76:Q79)</f>
        <v>0</v>
      </c>
      <c r="R80" s="82">
        <f xml:space="preserve"> SUM(R76:R79)</f>
        <v>0</v>
      </c>
      <c r="S80" s="82"/>
      <c r="T80" s="82">
        <f xml:space="preserve"> SUM(T76:T79)</f>
        <v>0</v>
      </c>
      <c r="U80" s="82">
        <f xml:space="preserve"> SUM(U76:U79)</f>
        <v>0</v>
      </c>
      <c r="V80" s="82"/>
      <c r="W80" s="82">
        <f xml:space="preserve"> SUM(W76:W79)</f>
        <v>166.24864349450002</v>
      </c>
      <c r="X80" s="82">
        <f xml:space="preserve"> SUM(X76:X79)</f>
        <v>169.76921762649999</v>
      </c>
      <c r="Y80" s="82"/>
      <c r="Z80" s="82">
        <f xml:space="preserve"> SUM(Z76:Z79)</f>
        <v>92.628734895999997</v>
      </c>
      <c r="AA80" s="82">
        <f xml:space="preserve"> SUM(AA76:AA79)</f>
        <v>97.204987826999982</v>
      </c>
      <c r="AB80" s="82"/>
      <c r="AC80" s="82">
        <f xml:space="preserve"> SUM(AC76:AC79)</f>
        <v>193.35103953800001</v>
      </c>
      <c r="AD80" s="82">
        <f xml:space="preserve"> SUM(AD76:AD79)</f>
        <v>201.00510881950001</v>
      </c>
      <c r="AE80" s="82"/>
      <c r="AF80" s="82"/>
      <c r="AG80" s="82"/>
      <c r="AH80" s="82"/>
      <c r="AI80" s="82"/>
    </row>
    <row r="81" spans="1:35" ht="18">
      <c r="A81" s="117"/>
      <c r="B81" s="117" t="s">
        <v>79</v>
      </c>
      <c r="C81" s="117" t="s">
        <v>17</v>
      </c>
      <c r="D81" s="70" t="s">
        <v>51</v>
      </c>
      <c r="E81" s="36">
        <f>defaultFit_Inclusive!$U81*fitSyst_Inclusive!E81</f>
        <v>191.830729776</v>
      </c>
      <c r="F81" s="36">
        <f>defaultFit_Inclusive!$U81*fitSyst_Inclusive!F81</f>
        <v>189.67723611899999</v>
      </c>
      <c r="H81" s="36">
        <f>defaultFit_Inclusive!$U81*fitSyst_Inclusive!H81</f>
        <v>192.05698726200001</v>
      </c>
      <c r="I81" s="36">
        <f>defaultFit_Inclusive!$U81*fitSyst_Inclusive!I81</f>
        <v>177.13674293699998</v>
      </c>
      <c r="K81" s="36">
        <f>defaultFit_Inclusive!$U81*fitSyst_Inclusive!K81</f>
        <v>190.91598573600001</v>
      </c>
      <c r="L81" s="36">
        <f>defaultFit_Inclusive!$U81*fitSyst_Inclusive!L81</f>
        <v>177.18025399199999</v>
      </c>
      <c r="N81" s="41"/>
      <c r="O81" s="41"/>
      <c r="P81" s="40"/>
      <c r="Q81" s="41"/>
      <c r="R81" s="41"/>
      <c r="S81" s="40"/>
      <c r="T81" s="41">
        <f>fitSyst_bFrac!$G81*defaultFit_Inclusive!$E81</f>
        <v>0</v>
      </c>
      <c r="U81" s="41">
        <f>fitSyst_bFrac!$G81*defaultFit_Inclusive!$H81</f>
        <v>0</v>
      </c>
      <c r="V81" s="40"/>
      <c r="W81" s="36">
        <f>defaultFit_Inclusive!$U81*trgBiassing!E81</f>
        <v>161.34425374200001</v>
      </c>
      <c r="X81" s="36">
        <f>defaultFit_Inclusive!$U81*trgBiassing!F81</f>
        <v>158.723673969</v>
      </c>
      <c r="Y81" s="40"/>
      <c r="Z81" s="36">
        <f>defaultFit_Inclusive!$U81*trgBiassing!L81</f>
        <v>98.876342774999998</v>
      </c>
      <c r="AA81" s="36">
        <f>defaultFit_Inclusive!$U81*trgBiassing!M81</f>
        <v>92.320744614000006</v>
      </c>
      <c r="AB81" s="40"/>
      <c r="AC81" s="36">
        <f>defaultFit_Inclusive!$U81*epSystematic!E81</f>
        <v>193.41959160300001</v>
      </c>
      <c r="AD81" s="36">
        <f>defaultFit_Inclusive!$U81*epSystematic!F81</f>
        <v>178.17716309400001</v>
      </c>
    </row>
    <row r="82" spans="1:35" ht="18">
      <c r="A82" s="117"/>
      <c r="B82" s="117"/>
      <c r="C82" s="117"/>
      <c r="D82" s="71" t="s">
        <v>49</v>
      </c>
      <c r="E82" s="36">
        <f>defaultFit_Inclusive!$U82*fitSyst_Inclusive!E82</f>
        <v>54.572244509999997</v>
      </c>
      <c r="F82" s="36">
        <f>defaultFit_Inclusive!$U82*fitSyst_Inclusive!F82</f>
        <v>50.488993205</v>
      </c>
      <c r="H82" s="36">
        <f>defaultFit_Inclusive!$U82*fitSyst_Inclusive!H82</f>
        <v>54.359788804999994</v>
      </c>
      <c r="I82" s="36">
        <f>defaultFit_Inclusive!$U82*fitSyst_Inclusive!I82</f>
        <v>47.205387739999992</v>
      </c>
      <c r="K82" s="36">
        <f>defaultFit_Inclusive!$U82*fitSyst_Inclusive!K82</f>
        <v>53.188594374999994</v>
      </c>
      <c r="L82" s="36">
        <f>defaultFit_Inclusive!$U82*fitSyst_Inclusive!L82</f>
        <v>46.960476289999995</v>
      </c>
      <c r="N82" s="41"/>
      <c r="O82" s="41"/>
      <c r="P82" s="40"/>
      <c r="Q82" s="41"/>
      <c r="R82" s="41"/>
      <c r="S82" s="40"/>
      <c r="T82" s="41">
        <f>fitSyst_bFrac!$G82*defaultFit_Inclusive!$E82</f>
        <v>0</v>
      </c>
      <c r="U82" s="41">
        <f>fitSyst_bFrac!$G82*defaultFit_Inclusive!$H82</f>
        <v>0</v>
      </c>
      <c r="V82" s="40"/>
      <c r="W82" s="36">
        <f>defaultFit_Inclusive!$U82*trgBiassing!E82</f>
        <v>43.081118744999998</v>
      </c>
      <c r="X82" s="36">
        <f>defaultFit_Inclusive!$U82*trgBiassing!F82</f>
        <v>39.93569909</v>
      </c>
      <c r="Y82" s="40"/>
      <c r="Z82" s="36">
        <f>defaultFit_Inclusive!$U82*trgBiassing!L82</f>
        <v>27.656476154999996</v>
      </c>
      <c r="AA82" s="36">
        <f>defaultFit_Inclusive!$U82*trgBiassing!M82</f>
        <v>21.174685559999997</v>
      </c>
      <c r="AB82" s="40"/>
      <c r="AC82" s="36">
        <f>defaultFit_Inclusive!$U82*epSystematic!E82</f>
        <v>56.574345835000003</v>
      </c>
      <c r="AD82" s="36">
        <f>defaultFit_Inclusive!$U82*epSystematic!F82</f>
        <v>48.339546779999992</v>
      </c>
      <c r="AE82" t="e">
        <f>SQRT(POWER(E82/$E$86-AH82,2)+POWER(H82/$H$86-AH82,2)+POWER(K82/$K$86-AH82,2)+POWER(N82/$N$86-AH82,2)+POWER(Q82/$Q$86-AH82,2)+POWER(T82/$T$86-AH82,2)+POWER(W82/$W$86-AH82,2)+POWER(Z82/$Z$86-AH82,2)+POWER(AC82/$AC$86-AH82,2))/SQRT(9)</f>
        <v>#DIV/0!</v>
      </c>
      <c r="AF82" t="e">
        <f>SQRT(POWER(F82/$F$86-AI82,2)+POWER(I82/$I$86-AI82,2)+POWER(L82/$L$86-AI82,2)+POWER(O82/$O$86-AI82,2)+POWER(R82/$R$86-AI82,2)+POWER(U82/$U$86-AI82,2)+POWER(X82/$X$86-AI82,2)+POWER(AA82/$AA$86-AI82,2)+POWER(AD82/$AD$86-AI82,2))/SQRT(9)</f>
        <v>#DIV/0!</v>
      </c>
      <c r="AH82">
        <f xml:space="preserve"> defaultFit_NonPrompt!E82/defaultFit_NonPrompt!$E$8</f>
        <v>0.14319918946351559</v>
      </c>
      <c r="AI82">
        <f xml:space="preserve"> defaultFit_NonPrompt!H82/defaultFit_NonPrompt!$H$86</f>
        <v>0.26730669668576895</v>
      </c>
    </row>
    <row r="83" spans="1:35" ht="18">
      <c r="A83" s="117"/>
      <c r="B83" s="117"/>
      <c r="C83" s="117"/>
      <c r="D83" s="71" t="s">
        <v>50</v>
      </c>
      <c r="E83" s="36">
        <f>defaultFit_Inclusive!$U83*fitSyst_Inclusive!E83</f>
        <v>38.869681874999998</v>
      </c>
      <c r="F83" s="36">
        <f>defaultFit_Inclusive!$U83*fitSyst_Inclusive!F83</f>
        <v>41.500703025</v>
      </c>
      <c r="H83" s="36">
        <f>defaultFit_Inclusive!$U83*fitSyst_Inclusive!H83</f>
        <v>39.019315024999997</v>
      </c>
      <c r="I83" s="36">
        <f>defaultFit_Inclusive!$U83*fitSyst_Inclusive!I83</f>
        <v>38.756178824999999</v>
      </c>
      <c r="K83" s="36">
        <f>defaultFit_Inclusive!$U83*fitSyst_Inclusive!K83</f>
        <v>38.074137974999999</v>
      </c>
      <c r="L83" s="36">
        <f>defaultFit_Inclusive!$U83*fitSyst_Inclusive!L83</f>
        <v>38.755156274999997</v>
      </c>
      <c r="N83" s="41"/>
      <c r="O83" s="41"/>
      <c r="P83" s="40"/>
      <c r="Q83" s="41"/>
      <c r="R83" s="41"/>
      <c r="S83" s="40"/>
      <c r="T83" s="41">
        <f>fitSyst_bFrac!$G83*defaultFit_Inclusive!$E83</f>
        <v>0</v>
      </c>
      <c r="U83" s="41">
        <f>fitSyst_bFrac!$G83*defaultFit_Inclusive!$H83</f>
        <v>0</v>
      </c>
      <c r="V83" s="40"/>
      <c r="W83" s="36">
        <f>defaultFit_Inclusive!$U83*trgBiassing!E83</f>
        <v>34.3760859</v>
      </c>
      <c r="X83" s="36">
        <f>defaultFit_Inclusive!$U83*trgBiassing!F83</f>
        <v>36.067383599999999</v>
      </c>
      <c r="Y83" s="40"/>
      <c r="Z83" s="36">
        <f>defaultFit_Inclusive!$U83*trgBiassing!L83</f>
        <v>20.373115774999999</v>
      </c>
      <c r="AA83" s="36">
        <f>defaultFit_Inclusive!$U83*trgBiassing!M83</f>
        <v>21.049703024999999</v>
      </c>
      <c r="AB83" s="40"/>
      <c r="AC83" s="36">
        <f>defaultFit_Inclusive!$U83*epSystematic!E83</f>
        <v>37.36499955</v>
      </c>
      <c r="AD83" s="36">
        <f>defaultFit_Inclusive!$U83*epSystematic!F83</f>
        <v>38.631768574999995</v>
      </c>
      <c r="AE83" t="e">
        <f t="shared" ref="AE83:AE85" si="19">SQRT(POWER(E83/$E$86-AH83,2)+POWER(H83/$H$86-AH83,2)+POWER(K83/$K$86-AH83,2)+POWER(N83/$N$86-AH83,2)+POWER(Q83/$Q$86-AH83,2)+POWER(T83/$T$86-AH83,2)+POWER(W83/$W$86-AH83,2)+POWER(Z83/$Z$86-AH83,2)+POWER(AC83/$AC$86-AH83,2))/SQRT(9)</f>
        <v>#DIV/0!</v>
      </c>
      <c r="AF83" t="e">
        <f t="shared" ref="AF83:AF85" si="20">SQRT(POWER(F83/$F$86-AI83,2)+POWER(I83/$I$86-AI83,2)+POWER(L83/$L$86-AI83,2)+POWER(O83/$O$86-AI83,2)+POWER(R83/$R$86-AI83,2)+POWER(U83/$U$86-AI83,2)+POWER(X83/$X$86-AI83,2)+POWER(AA83/$AA$86-AI83,2)+POWER(AD83/$AD$86-AI83,2))/SQRT(9)</f>
        <v>#DIV/0!</v>
      </c>
      <c r="AH83">
        <f xml:space="preserve"> defaultFit_NonPrompt!E83/defaultFit_NonPrompt!$E$8</f>
        <v>0.10303814652049247</v>
      </c>
      <c r="AI83">
        <f xml:space="preserve"> defaultFit_NonPrompt!H83/defaultFit_NonPrompt!$H$86</f>
        <v>0.21906264477147641</v>
      </c>
    </row>
    <row r="84" spans="1:35" ht="18">
      <c r="A84" s="117"/>
      <c r="B84" s="117"/>
      <c r="C84" s="117"/>
      <c r="D84" s="70" t="s">
        <v>52</v>
      </c>
      <c r="E84" s="36">
        <f>defaultFit_Inclusive!$U84*fitSyst_Inclusive!E84</f>
        <v>49.058773838000008</v>
      </c>
      <c r="F84" s="36">
        <f>defaultFit_Inclusive!$U84*fitSyst_Inclusive!F84</f>
        <v>42.484749562000005</v>
      </c>
      <c r="H84" s="36">
        <f>defaultFit_Inclusive!$U84*fitSyst_Inclusive!H84</f>
        <v>49.170107790000003</v>
      </c>
      <c r="I84" s="36">
        <f>defaultFit_Inclusive!$U84*fitSyst_Inclusive!I84</f>
        <v>39.469523248000002</v>
      </c>
      <c r="K84" s="36">
        <f>defaultFit_Inclusive!$U84*fitSyst_Inclusive!K84</f>
        <v>50.202402742000004</v>
      </c>
      <c r="L84" s="36">
        <f>defaultFit_Inclusive!$U84*fitSyst_Inclusive!L84</f>
        <v>39.78449191</v>
      </c>
      <c r="N84" s="41"/>
      <c r="O84" s="41"/>
      <c r="P84" s="40"/>
      <c r="Q84" s="41"/>
      <c r="R84" s="41"/>
      <c r="S84" s="40"/>
      <c r="T84" s="41">
        <f>fitSyst_bFrac!$G84*defaultFit_Inclusive!$E84</f>
        <v>0</v>
      </c>
      <c r="U84" s="41">
        <f>fitSyst_bFrac!$G84*defaultFit_Inclusive!$H84</f>
        <v>0</v>
      </c>
      <c r="V84" s="40"/>
      <c r="W84" s="36">
        <f>defaultFit_Inclusive!$U84*trgBiassing!E84</f>
        <v>40.197287096000004</v>
      </c>
      <c r="X84" s="36">
        <f>defaultFit_Inclusive!$U84*trgBiassing!F84</f>
        <v>35.784246641999999</v>
      </c>
      <c r="Y84" s="40"/>
      <c r="Z84" s="36">
        <f>defaultFit_Inclusive!$U84*trgBiassing!L84</f>
        <v>23.341654216000002</v>
      </c>
      <c r="AA84" s="36">
        <f>defaultFit_Inclusive!$U84*trgBiassing!M84</f>
        <v>23.486552080000003</v>
      </c>
      <c r="AB84" s="40"/>
      <c r="AC84" s="36">
        <f>defaultFit_Inclusive!$U84*epSystematic!E84</f>
        <v>49.695464876000003</v>
      </c>
      <c r="AD84" s="36">
        <f>defaultFit_Inclusive!$U84*epSystematic!F84</f>
        <v>40.358762257999999</v>
      </c>
      <c r="AE84" t="e">
        <f t="shared" si="19"/>
        <v>#DIV/0!</v>
      </c>
      <c r="AF84" t="e">
        <f t="shared" si="20"/>
        <v>#DIV/0!</v>
      </c>
      <c r="AH84">
        <f xml:space="preserve"> defaultFit_NonPrompt!E84/defaultFit_NonPrompt!$E$8</f>
        <v>0.12877565377328595</v>
      </c>
      <c r="AI84">
        <f xml:space="preserve"> defaultFit_NonPrompt!H84/defaultFit_NonPrompt!$H$86</f>
        <v>0.22368848826121018</v>
      </c>
    </row>
    <row r="85" spans="1:35" ht="18">
      <c r="A85" s="117"/>
      <c r="B85" s="117"/>
      <c r="C85" s="117"/>
      <c r="D85" s="70" t="s">
        <v>53</v>
      </c>
      <c r="E85" s="36">
        <f>defaultFit_Inclusive!$U85*fitSyst_Inclusive!E85</f>
        <v>49.026260886000003</v>
      </c>
      <c r="F85" s="36">
        <f>defaultFit_Inclusive!$U85*fitSyst_Inclusive!F85</f>
        <v>54.876046272000004</v>
      </c>
      <c r="H85" s="36">
        <f>defaultFit_Inclusive!$U85*fitSyst_Inclusive!H85</f>
        <v>49.432346686000002</v>
      </c>
      <c r="I85" s="36">
        <f>defaultFit_Inclusive!$U85*fitSyst_Inclusive!I85</f>
        <v>51.458237079999996</v>
      </c>
      <c r="K85" s="36">
        <f>defaultFit_Inclusive!$U85*fitSyst_Inclusive!K85</f>
        <v>49.519057947999997</v>
      </c>
      <c r="L85" s="36">
        <f>defaultFit_Inclusive!$U85*fitSyst_Inclusive!L85</f>
        <v>51.022292030000003</v>
      </c>
      <c r="N85" s="41"/>
      <c r="O85" s="41"/>
      <c r="P85" s="40"/>
      <c r="Q85" s="41"/>
      <c r="R85" s="41"/>
      <c r="S85" s="40"/>
      <c r="T85" s="41">
        <f>fitSyst_bFrac!$G85*defaultFit_Inclusive!$E85</f>
        <v>0</v>
      </c>
      <c r="U85" s="41">
        <f>fitSyst_bFrac!$G85*defaultFit_Inclusive!$H85</f>
        <v>0</v>
      </c>
      <c r="V85" s="40"/>
      <c r="W85" s="36">
        <f>defaultFit_Inclusive!$U85*trgBiassing!E85</f>
        <v>43.632008218000003</v>
      </c>
      <c r="X85" s="36">
        <f>defaultFit_Inclusive!$U85*trgBiassing!F85</f>
        <v>46.511634287999996</v>
      </c>
      <c r="Y85" s="40"/>
      <c r="Z85" s="36">
        <f>defaultFit_Inclusive!$U85*trgBiassing!L85</f>
        <v>27.655398476000002</v>
      </c>
      <c r="AA85" s="36">
        <f>defaultFit_Inclusive!$U85*trgBiassing!M85</f>
        <v>26.950959050000002</v>
      </c>
      <c r="AB85" s="40"/>
      <c r="AC85" s="36">
        <f>defaultFit_Inclusive!$U85*epSystematic!E85</f>
        <v>50.081606218000005</v>
      </c>
      <c r="AD85" s="36">
        <f>defaultFit_Inclusive!$U85*epSystematic!F85</f>
        <v>50.594946444000001</v>
      </c>
      <c r="AE85" t="e">
        <f t="shared" si="19"/>
        <v>#DIV/0!</v>
      </c>
      <c r="AF85" t="e">
        <f t="shared" si="20"/>
        <v>#DIV/0!</v>
      </c>
      <c r="AH85">
        <f xml:space="preserve"> defaultFit_NonPrompt!E85/defaultFit_NonPrompt!$E$8</f>
        <v>0.12911697647893067</v>
      </c>
      <c r="AI85">
        <f xml:space="preserve"> defaultFit_NonPrompt!H85/defaultFit_NonPrompt!$H$86</f>
        <v>0.28994217028154445</v>
      </c>
    </row>
    <row r="86" spans="1:35" ht="18">
      <c r="A86" s="117"/>
      <c r="B86" s="117"/>
      <c r="C86" s="117"/>
      <c r="D86" s="74"/>
      <c r="E86" s="82">
        <f xml:space="preserve"> SUM(E82:E85)</f>
        <v>191.52696110900001</v>
      </c>
      <c r="F86" s="82">
        <f xml:space="preserve"> SUM(F82:F85)</f>
        <v>189.35049206399998</v>
      </c>
      <c r="G86" s="82"/>
      <c r="H86" s="82">
        <f xml:space="preserve"> SUM(H82:H85)</f>
        <v>191.98155830600001</v>
      </c>
      <c r="I86" s="82">
        <f xml:space="preserve"> SUM(I82:I85)</f>
        <v>176.889326893</v>
      </c>
      <c r="J86" s="82"/>
      <c r="K86" s="82">
        <f xml:space="preserve"> SUM(K82:K85)</f>
        <v>190.98419303999998</v>
      </c>
      <c r="L86" s="82">
        <f xml:space="preserve"> SUM(L82:L85)</f>
        <v>176.522416505</v>
      </c>
      <c r="M86" s="82"/>
      <c r="N86" s="82">
        <f xml:space="preserve"> SUM(N82:N85)</f>
        <v>0</v>
      </c>
      <c r="O86" s="82">
        <f xml:space="preserve"> SUM(O82:O85)</f>
        <v>0</v>
      </c>
      <c r="P86" s="82"/>
      <c r="Q86" s="82">
        <f xml:space="preserve"> SUM(Q82:Q85)</f>
        <v>0</v>
      </c>
      <c r="R86" s="82">
        <f xml:space="preserve"> SUM(R82:R85)</f>
        <v>0</v>
      </c>
      <c r="S86" s="82"/>
      <c r="T86" s="82">
        <f xml:space="preserve"> SUM(T82:T85)</f>
        <v>0</v>
      </c>
      <c r="U86" s="82">
        <f xml:space="preserve"> SUM(U82:U85)</f>
        <v>0</v>
      </c>
      <c r="V86" s="82"/>
      <c r="W86" s="82">
        <f xml:space="preserve"> SUM(W82:W85)</f>
        <v>161.286499959</v>
      </c>
      <c r="X86" s="82">
        <f xml:space="preserve"> SUM(X82:X85)</f>
        <v>158.29896361999999</v>
      </c>
      <c r="Y86" s="82"/>
      <c r="Z86" s="82">
        <f xml:space="preserve"> SUM(Z82:Z85)</f>
        <v>99.026644622000006</v>
      </c>
      <c r="AA86" s="82">
        <f xml:space="preserve"> SUM(AA82:AA85)</f>
        <v>92.661899715000004</v>
      </c>
      <c r="AB86" s="82"/>
      <c r="AC86" s="82">
        <f xml:space="preserve"> SUM(AC82:AC85)</f>
        <v>193.71641647899997</v>
      </c>
      <c r="AD86" s="82">
        <f xml:space="preserve"> SUM(AD82:AD85)</f>
        <v>177.92502405699997</v>
      </c>
      <c r="AE86" s="82"/>
      <c r="AF86" s="82"/>
      <c r="AG86" s="82"/>
      <c r="AH86" s="82"/>
      <c r="AI86" s="82"/>
    </row>
    <row r="87" spans="1:35">
      <c r="L87" s="82"/>
    </row>
  </sheetData>
  <mergeCells count="25">
    <mergeCell ref="A3:A32"/>
    <mergeCell ref="B3:B32"/>
    <mergeCell ref="C3:C8"/>
    <mergeCell ref="C9:C14"/>
    <mergeCell ref="C15:C20"/>
    <mergeCell ref="C21:C26"/>
    <mergeCell ref="C27:C32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showRuler="0" workbookViewId="0">
      <pane xSplit="4" topLeftCell="O1" activePane="topRight" state="frozen"/>
      <selection pane="topRight" activeCell="Q17" sqref="Q17"/>
    </sheetView>
  </sheetViews>
  <sheetFormatPr baseColWidth="10" defaultRowHeight="18" x14ac:dyDescent="0"/>
  <cols>
    <col min="1" max="16384" width="10.83203125" style="46"/>
  </cols>
  <sheetData>
    <row r="1" spans="1:24">
      <c r="E1" s="46" t="s">
        <v>61</v>
      </c>
      <c r="L1" s="46" t="s">
        <v>71</v>
      </c>
    </row>
    <row r="2" spans="1:24" s="3" customFormat="1">
      <c r="A2" s="3" t="s">
        <v>18</v>
      </c>
      <c r="B2" s="3" t="s">
        <v>19</v>
      </c>
      <c r="C2" s="3" t="s">
        <v>20</v>
      </c>
      <c r="D2" s="3" t="s">
        <v>48</v>
      </c>
      <c r="E2" s="3" t="s">
        <v>63</v>
      </c>
      <c r="F2" s="3" t="s">
        <v>64</v>
      </c>
      <c r="G2" s="85"/>
      <c r="H2" s="85"/>
      <c r="I2" s="85"/>
      <c r="J2" s="85"/>
      <c r="L2" s="3" t="s">
        <v>63</v>
      </c>
      <c r="M2" s="3" t="s">
        <v>64</v>
      </c>
      <c r="N2" s="85"/>
      <c r="O2" s="85"/>
      <c r="P2" s="85"/>
      <c r="Q2" s="85"/>
      <c r="U2" s="85"/>
      <c r="V2" s="85"/>
      <c r="W2" s="85"/>
      <c r="X2" s="85"/>
    </row>
    <row r="3" spans="1:24" s="3" customFormat="1">
      <c r="A3" s="113" t="s">
        <v>55</v>
      </c>
      <c r="B3" s="113" t="s">
        <v>25</v>
      </c>
      <c r="C3" s="113" t="s">
        <v>35</v>
      </c>
      <c r="D3" s="3" t="s">
        <v>51</v>
      </c>
      <c r="E3" s="67">
        <v>1293.3399999999999</v>
      </c>
      <c r="F3" s="67">
        <v>1168.25</v>
      </c>
      <c r="G3" s="83"/>
      <c r="H3" s="83"/>
      <c r="I3" s="83"/>
      <c r="J3" s="83"/>
      <c r="L3" s="67">
        <v>696.971</v>
      </c>
      <c r="M3" s="67">
        <v>630.25099999999998</v>
      </c>
      <c r="N3" s="83"/>
      <c r="O3" s="83"/>
      <c r="P3" s="83"/>
      <c r="Q3" s="83"/>
      <c r="S3" s="83"/>
      <c r="T3" s="83"/>
      <c r="U3" s="83"/>
      <c r="V3" s="83"/>
      <c r="W3" s="83"/>
      <c r="X3" s="83"/>
    </row>
    <row r="4" spans="1:24" s="3" customFormat="1">
      <c r="A4" s="113"/>
      <c r="B4" s="113"/>
      <c r="C4" s="113"/>
      <c r="D4" s="3" t="s">
        <v>49</v>
      </c>
      <c r="E4" s="67">
        <v>350.21699999999998</v>
      </c>
      <c r="F4" s="67">
        <v>308.40699999999998</v>
      </c>
      <c r="G4" s="83"/>
      <c r="H4" s="83"/>
      <c r="I4" s="83"/>
      <c r="J4" s="83"/>
      <c r="L4" s="67">
        <v>158.84299999999999</v>
      </c>
      <c r="M4" s="67">
        <v>166.685</v>
      </c>
      <c r="N4" s="83"/>
      <c r="O4" s="83"/>
      <c r="P4" s="83"/>
      <c r="Q4" s="83"/>
      <c r="S4" s="83"/>
      <c r="T4" s="83"/>
      <c r="U4" s="83"/>
      <c r="V4" s="83"/>
      <c r="W4" s="83"/>
      <c r="X4" s="83"/>
    </row>
    <row r="5" spans="1:24" s="3" customFormat="1">
      <c r="A5" s="113"/>
      <c r="B5" s="113"/>
      <c r="C5" s="113"/>
      <c r="D5" s="3" t="s">
        <v>50</v>
      </c>
      <c r="E5" s="67">
        <v>308.91699999999997</v>
      </c>
      <c r="F5" s="67">
        <v>287.27499999999998</v>
      </c>
      <c r="G5" s="83"/>
      <c r="H5" s="83"/>
      <c r="I5" s="83"/>
      <c r="J5" s="83"/>
      <c r="L5" s="67">
        <v>174.59800000000001</v>
      </c>
      <c r="M5" s="67">
        <v>141.52799999999999</v>
      </c>
      <c r="N5" s="83"/>
      <c r="O5" s="83"/>
      <c r="P5" s="83"/>
      <c r="Q5" s="83"/>
      <c r="S5" s="83"/>
      <c r="T5" s="83"/>
      <c r="U5" s="83"/>
      <c r="V5" s="83"/>
      <c r="W5" s="83"/>
      <c r="X5" s="83"/>
    </row>
    <row r="6" spans="1:24">
      <c r="A6" s="113"/>
      <c r="B6" s="113"/>
      <c r="C6" s="113"/>
      <c r="D6" s="46" t="s">
        <v>52</v>
      </c>
      <c r="E6" s="67">
        <v>314.80799999999999</v>
      </c>
      <c r="F6" s="67">
        <v>289.41399999999999</v>
      </c>
      <c r="G6" s="83"/>
      <c r="H6" s="83"/>
      <c r="I6" s="83"/>
      <c r="J6" s="83"/>
      <c r="L6" s="67">
        <v>185.39599999999999</v>
      </c>
      <c r="M6" s="67">
        <v>166.30699999999999</v>
      </c>
      <c r="N6" s="83"/>
      <c r="O6" s="83"/>
      <c r="P6" s="83"/>
      <c r="Q6" s="83"/>
      <c r="S6" s="83"/>
      <c r="T6" s="83"/>
      <c r="U6" s="83"/>
      <c r="V6" s="83"/>
      <c r="W6" s="83"/>
      <c r="X6" s="83"/>
    </row>
    <row r="7" spans="1:24">
      <c r="A7" s="113"/>
      <c r="B7" s="113"/>
      <c r="C7" s="113"/>
      <c r="D7" s="46" t="s">
        <v>53</v>
      </c>
      <c r="E7" s="67">
        <v>309.65499999999997</v>
      </c>
      <c r="F7" s="67">
        <v>283.14499999999998</v>
      </c>
      <c r="G7" s="83"/>
      <c r="H7" s="83"/>
      <c r="I7" s="83"/>
      <c r="J7" s="83"/>
      <c r="L7" s="67">
        <v>174.90700000000001</v>
      </c>
      <c r="M7" s="67">
        <v>156.792</v>
      </c>
      <c r="N7" s="83"/>
      <c r="O7" s="83"/>
      <c r="P7" s="83"/>
      <c r="Q7" s="83"/>
      <c r="S7" s="83"/>
      <c r="T7" s="83"/>
      <c r="U7" s="83"/>
      <c r="V7" s="83"/>
      <c r="W7" s="83"/>
      <c r="X7" s="83"/>
    </row>
    <row r="8" spans="1:24">
      <c r="A8" s="113"/>
      <c r="B8" s="113"/>
      <c r="C8" s="113"/>
      <c r="D8" s="80"/>
      <c r="E8" s="80">
        <f xml:space="preserve"> SUM(E4:E7)</f>
        <v>1283.597</v>
      </c>
      <c r="F8" s="80">
        <f xml:space="preserve"> SUM(F4:F7)</f>
        <v>1168.241</v>
      </c>
      <c r="G8" s="80"/>
      <c r="H8" s="80"/>
      <c r="I8" s="94"/>
      <c r="J8" s="80"/>
      <c r="K8" s="80"/>
      <c r="L8" s="80">
        <f xml:space="preserve"> SUM(L4:L7)</f>
        <v>693.74400000000003</v>
      </c>
      <c r="M8" s="80">
        <f xml:space="preserve"> SUM(M4:M7)</f>
        <v>631.31200000000001</v>
      </c>
      <c r="N8" s="94"/>
      <c r="O8" s="84"/>
      <c r="P8" s="84"/>
      <c r="Q8" s="84"/>
      <c r="R8" s="84"/>
      <c r="S8" s="83"/>
      <c r="T8" s="83"/>
      <c r="U8" s="83"/>
      <c r="V8" s="83"/>
      <c r="W8" s="83"/>
      <c r="X8" s="83"/>
    </row>
    <row r="9" spans="1:24">
      <c r="A9" s="113"/>
      <c r="B9" s="113"/>
      <c r="C9" s="114" t="s">
        <v>2</v>
      </c>
      <c r="D9" s="3" t="s">
        <v>51</v>
      </c>
      <c r="E9" s="83"/>
      <c r="F9" s="83"/>
      <c r="G9" s="83"/>
      <c r="H9" s="83"/>
      <c r="I9" s="83"/>
      <c r="J9" s="83"/>
      <c r="L9" s="83"/>
      <c r="M9" s="83"/>
      <c r="N9" s="83"/>
      <c r="O9" s="83"/>
      <c r="P9" s="83"/>
      <c r="Q9" s="83"/>
      <c r="S9" s="83"/>
      <c r="T9" s="83"/>
      <c r="U9" s="83"/>
      <c r="V9" s="83"/>
      <c r="W9" s="83"/>
      <c r="X9" s="83"/>
    </row>
    <row r="10" spans="1:24">
      <c r="A10" s="113"/>
      <c r="B10" s="113"/>
      <c r="C10" s="114"/>
      <c r="D10" s="3" t="s">
        <v>49</v>
      </c>
      <c r="E10" s="83"/>
      <c r="F10" s="83"/>
      <c r="G10" s="83"/>
      <c r="H10" s="83"/>
      <c r="I10" s="83"/>
      <c r="J10" s="83"/>
      <c r="L10" s="83"/>
      <c r="M10" s="83"/>
      <c r="N10" s="83"/>
      <c r="O10" s="83"/>
      <c r="P10" s="83"/>
      <c r="Q10" s="83"/>
      <c r="S10" s="83"/>
      <c r="T10" s="83"/>
      <c r="U10" s="83"/>
      <c r="V10" s="83"/>
      <c r="W10" s="83"/>
      <c r="X10" s="83"/>
    </row>
    <row r="11" spans="1:24">
      <c r="A11" s="113"/>
      <c r="B11" s="113"/>
      <c r="C11" s="114"/>
      <c r="D11" s="3" t="s">
        <v>50</v>
      </c>
      <c r="E11" s="83"/>
      <c r="F11" s="83"/>
      <c r="G11" s="83"/>
      <c r="H11" s="83"/>
      <c r="I11" s="83"/>
      <c r="J11" s="83"/>
      <c r="L11" s="83"/>
      <c r="M11" s="83"/>
      <c r="N11" s="83"/>
      <c r="O11" s="83"/>
      <c r="P11" s="83"/>
      <c r="Q11" s="83"/>
      <c r="S11" s="83"/>
      <c r="T11" s="83"/>
      <c r="U11" s="83"/>
      <c r="V11" s="83"/>
      <c r="W11" s="83"/>
      <c r="X11" s="83"/>
    </row>
    <row r="12" spans="1:24">
      <c r="A12" s="113"/>
      <c r="B12" s="113"/>
      <c r="C12" s="114"/>
      <c r="D12" s="46" t="s">
        <v>52</v>
      </c>
      <c r="E12" s="83"/>
      <c r="F12" s="83"/>
      <c r="G12" s="83"/>
      <c r="H12" s="83"/>
      <c r="I12" s="83"/>
      <c r="J12" s="83"/>
      <c r="L12" s="83"/>
      <c r="M12" s="83"/>
      <c r="N12" s="83"/>
      <c r="O12" s="83"/>
      <c r="P12" s="83"/>
      <c r="Q12" s="83"/>
      <c r="S12" s="83"/>
      <c r="T12" s="83"/>
      <c r="U12" s="83"/>
      <c r="V12" s="83"/>
      <c r="W12" s="83"/>
      <c r="X12" s="83"/>
    </row>
    <row r="13" spans="1:24">
      <c r="A13" s="113"/>
      <c r="B13" s="113"/>
      <c r="C13" s="114"/>
      <c r="D13" s="46" t="s">
        <v>53</v>
      </c>
      <c r="E13" s="83"/>
      <c r="F13" s="83"/>
      <c r="G13" s="83"/>
      <c r="H13" s="83"/>
      <c r="I13" s="83"/>
      <c r="J13" s="83"/>
      <c r="L13" s="83"/>
      <c r="M13" s="83"/>
      <c r="N13" s="83"/>
      <c r="O13" s="83"/>
      <c r="P13" s="83"/>
      <c r="Q13" s="83"/>
      <c r="S13" s="83"/>
      <c r="T13" s="83"/>
      <c r="U13" s="83"/>
      <c r="V13" s="83"/>
      <c r="W13" s="83"/>
      <c r="X13" s="83"/>
    </row>
    <row r="14" spans="1:24">
      <c r="A14" s="113"/>
      <c r="B14" s="113"/>
      <c r="C14" s="114"/>
      <c r="D14" s="80"/>
      <c r="E14" s="80"/>
      <c r="F14" s="80"/>
      <c r="G14" s="80"/>
      <c r="H14" s="80"/>
      <c r="I14" s="94"/>
      <c r="J14" s="80"/>
      <c r="K14" s="80"/>
      <c r="L14" s="80"/>
      <c r="M14" s="80"/>
      <c r="N14" s="94"/>
      <c r="O14" s="84"/>
      <c r="P14" s="84"/>
      <c r="Q14" s="84"/>
      <c r="R14" s="84"/>
      <c r="S14" s="83"/>
      <c r="T14" s="83"/>
      <c r="U14" s="83"/>
      <c r="V14" s="83"/>
      <c r="W14" s="83"/>
      <c r="X14" s="83"/>
    </row>
    <row r="15" spans="1:24">
      <c r="A15" s="113"/>
      <c r="B15" s="113"/>
      <c r="C15" s="111" t="s">
        <v>54</v>
      </c>
      <c r="D15" s="85" t="s">
        <v>51</v>
      </c>
      <c r="E15" s="67">
        <v>1101.07</v>
      </c>
      <c r="F15" s="67">
        <v>1065.0899999999999</v>
      </c>
      <c r="G15" s="83"/>
      <c r="H15" s="83"/>
      <c r="I15" s="83"/>
      <c r="J15" s="83"/>
      <c r="L15" s="67">
        <v>585.45799999999997</v>
      </c>
      <c r="M15" s="67">
        <v>596.79200000000003</v>
      </c>
      <c r="N15" s="83"/>
      <c r="O15" s="83"/>
      <c r="P15" s="83"/>
      <c r="Q15" s="83"/>
      <c r="S15" s="83"/>
      <c r="T15" s="83"/>
      <c r="U15" s="83"/>
      <c r="V15" s="83"/>
      <c r="W15" s="83"/>
      <c r="X15" s="83"/>
    </row>
    <row r="16" spans="1:24">
      <c r="A16" s="113"/>
      <c r="B16" s="113"/>
      <c r="C16" s="111"/>
      <c r="D16" s="85" t="s">
        <v>49</v>
      </c>
      <c r="E16" s="67">
        <v>257.46199999999999</v>
      </c>
      <c r="F16" s="67">
        <v>310.75400000000002</v>
      </c>
      <c r="G16" s="83"/>
      <c r="H16" s="83"/>
      <c r="I16" s="83"/>
      <c r="J16" s="83"/>
      <c r="L16" s="67">
        <v>142.102</v>
      </c>
      <c r="M16" s="67">
        <v>167.40600000000001</v>
      </c>
      <c r="N16" s="83"/>
      <c r="O16" s="83"/>
      <c r="P16" s="83"/>
      <c r="Q16" s="83"/>
      <c r="S16" s="83"/>
      <c r="T16" s="83"/>
      <c r="U16" s="83"/>
      <c r="V16" s="83"/>
      <c r="W16" s="83"/>
      <c r="X16" s="83"/>
    </row>
    <row r="17" spans="1:24">
      <c r="A17" s="113"/>
      <c r="B17" s="113"/>
      <c r="C17" s="111"/>
      <c r="D17" s="85" t="s">
        <v>50</v>
      </c>
      <c r="E17" s="67">
        <v>306.90499999999997</v>
      </c>
      <c r="F17" s="67">
        <v>264.58499999999998</v>
      </c>
      <c r="G17" s="83"/>
      <c r="H17" s="83"/>
      <c r="I17" s="83"/>
      <c r="J17" s="83"/>
      <c r="L17" s="67">
        <v>157.29499999999999</v>
      </c>
      <c r="M17" s="67">
        <v>152.47499999999999</v>
      </c>
      <c r="N17" s="83"/>
      <c r="O17" s="83"/>
      <c r="P17" s="83"/>
      <c r="Q17" s="83"/>
      <c r="S17" s="83"/>
      <c r="T17" s="83"/>
      <c r="U17" s="83"/>
      <c r="V17" s="83"/>
      <c r="W17" s="83"/>
      <c r="X17" s="83"/>
    </row>
    <row r="18" spans="1:24">
      <c r="A18" s="113"/>
      <c r="B18" s="113"/>
      <c r="C18" s="111"/>
      <c r="D18" s="84" t="s">
        <v>52</v>
      </c>
      <c r="E18" s="67">
        <v>265.76</v>
      </c>
      <c r="F18" s="67">
        <v>241.75899999999999</v>
      </c>
      <c r="G18" s="83"/>
      <c r="H18" s="83"/>
      <c r="I18" s="83"/>
      <c r="J18" s="83"/>
      <c r="L18" s="67">
        <v>137.36099999999999</v>
      </c>
      <c r="M18" s="67">
        <v>149.08199999999999</v>
      </c>
      <c r="N18" s="83"/>
      <c r="O18" s="83"/>
      <c r="P18" s="83"/>
      <c r="Q18" s="83"/>
      <c r="S18" s="83"/>
      <c r="T18" s="83"/>
      <c r="U18" s="83"/>
      <c r="V18" s="83"/>
      <c r="W18" s="83"/>
      <c r="X18" s="83"/>
    </row>
    <row r="19" spans="1:24">
      <c r="A19" s="113"/>
      <c r="B19" s="113"/>
      <c r="C19" s="111"/>
      <c r="D19" s="84" t="s">
        <v>53</v>
      </c>
      <c r="E19" s="67">
        <v>272.11700000000002</v>
      </c>
      <c r="F19" s="67">
        <v>248.774</v>
      </c>
      <c r="G19" s="83"/>
      <c r="H19" s="83"/>
      <c r="I19" s="83"/>
      <c r="J19" s="83"/>
      <c r="L19" s="67">
        <v>149.46</v>
      </c>
      <c r="M19" s="67">
        <v>128.41399999999999</v>
      </c>
      <c r="N19" s="83"/>
      <c r="O19" s="83"/>
      <c r="P19" s="83"/>
      <c r="Q19" s="83"/>
      <c r="S19" s="83"/>
      <c r="T19" s="83"/>
      <c r="U19" s="83"/>
      <c r="V19" s="83"/>
      <c r="W19" s="83"/>
      <c r="X19" s="83"/>
    </row>
    <row r="20" spans="1:24">
      <c r="A20" s="113"/>
      <c r="B20" s="113"/>
      <c r="C20" s="111"/>
      <c r="D20" s="80"/>
      <c r="E20" s="80">
        <f xml:space="preserve"> SUM(E16:E19)</f>
        <v>1102.2439999999999</v>
      </c>
      <c r="F20" s="80">
        <f xml:space="preserve"> SUM(F16:F19)</f>
        <v>1065.8719999999998</v>
      </c>
      <c r="G20" s="80"/>
      <c r="H20" s="80"/>
      <c r="I20" s="94"/>
      <c r="J20" s="80"/>
      <c r="K20" s="80"/>
      <c r="L20" s="80">
        <f xml:space="preserve"> SUM(L16:L19)</f>
        <v>586.21799999999996</v>
      </c>
      <c r="M20" s="80">
        <f xml:space="preserve"> SUM(M16:M19)</f>
        <v>597.37699999999995</v>
      </c>
      <c r="N20" s="94"/>
      <c r="O20" s="84"/>
      <c r="P20" s="84"/>
      <c r="Q20" s="84"/>
      <c r="R20" s="84"/>
      <c r="S20" s="83"/>
      <c r="T20" s="83"/>
      <c r="U20" s="83"/>
      <c r="V20" s="83"/>
      <c r="W20" s="83"/>
      <c r="X20" s="83"/>
    </row>
    <row r="21" spans="1:24">
      <c r="A21" s="113"/>
      <c r="B21" s="113"/>
      <c r="C21" s="115" t="s">
        <v>56</v>
      </c>
      <c r="D21" s="85" t="s">
        <v>51</v>
      </c>
      <c r="E21" s="67">
        <v>1077.51</v>
      </c>
      <c r="F21" s="67">
        <v>954.18899999999996</v>
      </c>
      <c r="L21" s="67">
        <v>589.82899999999995</v>
      </c>
      <c r="M21" s="67">
        <v>526.02599999999995</v>
      </c>
    </row>
    <row r="22" spans="1:24">
      <c r="A22" s="113"/>
      <c r="B22" s="113"/>
      <c r="C22" s="115"/>
      <c r="D22" s="85" t="s">
        <v>49</v>
      </c>
      <c r="E22" s="67">
        <v>275.86900000000003</v>
      </c>
      <c r="F22" s="67">
        <v>270.99799999999999</v>
      </c>
      <c r="L22" s="67">
        <v>142.63499999999999</v>
      </c>
      <c r="M22" s="67">
        <v>135.15100000000001</v>
      </c>
    </row>
    <row r="23" spans="1:24">
      <c r="A23" s="113"/>
      <c r="B23" s="113"/>
      <c r="C23" s="115"/>
      <c r="D23" s="85" t="s">
        <v>50</v>
      </c>
      <c r="E23" s="67">
        <v>285.96300000000002</v>
      </c>
      <c r="F23" s="67">
        <v>236.94800000000001</v>
      </c>
      <c r="L23" s="67">
        <v>164.654</v>
      </c>
      <c r="M23" s="67">
        <v>122.622</v>
      </c>
    </row>
    <row r="24" spans="1:24">
      <c r="A24" s="113"/>
      <c r="B24" s="113"/>
      <c r="C24" s="115"/>
      <c r="D24" s="84" t="s">
        <v>52</v>
      </c>
      <c r="E24" s="67">
        <v>273.86099999999999</v>
      </c>
      <c r="F24" s="67">
        <v>222.49600000000001</v>
      </c>
      <c r="L24" s="67">
        <v>136.42400000000001</v>
      </c>
      <c r="M24" s="67">
        <v>132.84700000000001</v>
      </c>
    </row>
    <row r="25" spans="1:24">
      <c r="A25" s="113"/>
      <c r="B25" s="113"/>
      <c r="C25" s="115"/>
      <c r="D25" s="84" t="s">
        <v>53</v>
      </c>
      <c r="E25" s="67">
        <v>239.82</v>
      </c>
      <c r="F25" s="67">
        <v>224.238</v>
      </c>
      <c r="L25" s="67">
        <v>143.66399999999999</v>
      </c>
      <c r="M25" s="67">
        <v>135.98099999999999</v>
      </c>
    </row>
    <row r="26" spans="1:24">
      <c r="A26" s="113"/>
      <c r="B26" s="113"/>
      <c r="C26" s="115"/>
      <c r="D26" s="80"/>
      <c r="E26" s="80">
        <f xml:space="preserve"> SUM(E22:E25)</f>
        <v>1075.5130000000001</v>
      </c>
      <c r="F26" s="80">
        <f xml:space="preserve"> SUM(F22:F25)</f>
        <v>954.68000000000006</v>
      </c>
      <c r="G26" s="80"/>
      <c r="H26" s="80"/>
      <c r="I26" s="94"/>
      <c r="J26" s="80"/>
      <c r="K26" s="80"/>
      <c r="L26" s="80">
        <f xml:space="preserve"> SUM(L22:L25)</f>
        <v>587.37699999999995</v>
      </c>
      <c r="M26" s="80">
        <f xml:space="preserve"> SUM(M22:M25)</f>
        <v>526.601</v>
      </c>
      <c r="N26" s="94"/>
      <c r="O26" s="84"/>
      <c r="P26" s="84"/>
      <c r="Q26" s="84"/>
      <c r="R26" s="84"/>
    </row>
    <row r="27" spans="1:24">
      <c r="A27" s="113"/>
      <c r="B27" s="113"/>
      <c r="C27" s="116" t="s">
        <v>57</v>
      </c>
      <c r="D27" s="85" t="s">
        <v>51</v>
      </c>
      <c r="E27" s="67">
        <v>763.78899999999999</v>
      </c>
      <c r="F27" s="67">
        <v>767.36699999999996</v>
      </c>
      <c r="L27" s="77">
        <v>384.548</v>
      </c>
      <c r="M27" s="67">
        <v>410.83199999999999</v>
      </c>
    </row>
    <row r="28" spans="1:24">
      <c r="A28" s="113"/>
      <c r="B28" s="113"/>
      <c r="C28" s="116"/>
      <c r="D28" s="85" t="s">
        <v>49</v>
      </c>
      <c r="E28" s="67">
        <v>225.07599999999999</v>
      </c>
      <c r="F28" s="67">
        <v>200.49299999999999</v>
      </c>
      <c r="L28" s="67">
        <v>113.93</v>
      </c>
      <c r="M28" s="67">
        <v>110.78</v>
      </c>
    </row>
    <row r="29" spans="1:24">
      <c r="A29" s="113"/>
      <c r="B29" s="113"/>
      <c r="C29" s="116"/>
      <c r="D29" s="85" t="s">
        <v>50</v>
      </c>
      <c r="E29" s="67">
        <v>172.15199999999999</v>
      </c>
      <c r="F29" s="67">
        <v>212.61099999999999</v>
      </c>
      <c r="L29" s="67">
        <v>76.439499999999995</v>
      </c>
      <c r="M29" s="67">
        <v>109.14400000000001</v>
      </c>
    </row>
    <row r="30" spans="1:24">
      <c r="A30" s="113"/>
      <c r="B30" s="113"/>
      <c r="C30" s="116"/>
      <c r="D30" s="84" t="s">
        <v>52</v>
      </c>
      <c r="E30" s="67">
        <v>181.98500000000001</v>
      </c>
      <c r="F30" s="67">
        <v>178.86500000000001</v>
      </c>
      <c r="L30" s="67">
        <v>91.993499999999997</v>
      </c>
      <c r="M30" s="67">
        <v>100.788</v>
      </c>
    </row>
    <row r="31" spans="1:24">
      <c r="A31" s="113"/>
      <c r="B31" s="113"/>
      <c r="C31" s="116"/>
      <c r="D31" s="84" t="s">
        <v>53</v>
      </c>
      <c r="E31" s="67">
        <v>181.303</v>
      </c>
      <c r="F31" s="67">
        <v>172.46600000000001</v>
      </c>
      <c r="L31" s="67">
        <v>101.09399999999999</v>
      </c>
      <c r="M31" s="67">
        <v>88.85</v>
      </c>
    </row>
    <row r="32" spans="1:24">
      <c r="A32" s="113"/>
      <c r="B32" s="113"/>
      <c r="C32" s="116"/>
      <c r="D32" s="80"/>
      <c r="E32" s="80">
        <f xml:space="preserve"> SUM(E28:E31)</f>
        <v>760.51599999999996</v>
      </c>
      <c r="F32" s="80">
        <f xml:space="preserve"> SUM(F28:F31)</f>
        <v>764.43500000000006</v>
      </c>
      <c r="G32" s="72"/>
      <c r="H32" s="72"/>
      <c r="I32" s="72"/>
      <c r="J32" s="72"/>
      <c r="K32" s="72"/>
      <c r="L32" s="80">
        <f xml:space="preserve"> SUM(L28:L31)</f>
        <v>383.45699999999999</v>
      </c>
      <c r="M32" s="80">
        <f xml:space="preserve"> SUM(M28:M31)</f>
        <v>409.56200000000001</v>
      </c>
      <c r="N32" s="72"/>
      <c r="P32" s="46">
        <f xml:space="preserve"> SUM(P28:P31)</f>
        <v>0</v>
      </c>
    </row>
    <row r="33" spans="1:18">
      <c r="A33" s="117" t="s">
        <v>55</v>
      </c>
      <c r="B33" s="117" t="s">
        <v>37</v>
      </c>
      <c r="C33" s="118" t="s">
        <v>17</v>
      </c>
      <c r="D33" s="84" t="s">
        <v>51</v>
      </c>
      <c r="E33" s="93">
        <v>902.43799999999999</v>
      </c>
      <c r="F33" s="93">
        <v>883.12300000000005</v>
      </c>
      <c r="L33" s="93">
        <v>478.69</v>
      </c>
      <c r="M33" s="93">
        <v>473.02800000000002</v>
      </c>
    </row>
    <row r="34" spans="1:18">
      <c r="A34" s="117"/>
      <c r="B34" s="117"/>
      <c r="C34" s="118"/>
      <c r="D34" s="85" t="s">
        <v>49</v>
      </c>
      <c r="E34" s="93">
        <v>232.315</v>
      </c>
      <c r="F34" s="93">
        <v>236.24</v>
      </c>
      <c r="L34" s="93">
        <v>113.82299999999999</v>
      </c>
      <c r="M34" s="93">
        <v>114.096</v>
      </c>
    </row>
    <row r="35" spans="1:18">
      <c r="A35" s="117"/>
      <c r="B35" s="117"/>
      <c r="C35" s="118"/>
      <c r="D35" s="85" t="s">
        <v>50</v>
      </c>
      <c r="E35" s="93">
        <v>218.655</v>
      </c>
      <c r="F35" s="93">
        <v>235.33699999999999</v>
      </c>
      <c r="L35" s="93">
        <v>112.861</v>
      </c>
      <c r="M35" s="93">
        <v>115.995</v>
      </c>
    </row>
    <row r="36" spans="1:18">
      <c r="A36" s="117"/>
      <c r="B36" s="117"/>
      <c r="C36" s="118"/>
      <c r="D36" s="84" t="s">
        <v>52</v>
      </c>
      <c r="E36" s="93">
        <v>229.70099999999999</v>
      </c>
      <c r="F36" s="93">
        <v>207.70099999999999</v>
      </c>
      <c r="L36" s="93">
        <v>114.85599999999999</v>
      </c>
      <c r="M36" s="93">
        <v>135.11699999999999</v>
      </c>
    </row>
    <row r="37" spans="1:18">
      <c r="A37" s="117"/>
      <c r="B37" s="117"/>
      <c r="C37" s="118"/>
      <c r="D37" s="84" t="s">
        <v>53</v>
      </c>
      <c r="E37" s="93">
        <v>215.303</v>
      </c>
      <c r="F37" s="93">
        <v>202.26900000000001</v>
      </c>
      <c r="L37" s="93">
        <v>135.845</v>
      </c>
      <c r="M37" s="93">
        <v>108.598</v>
      </c>
    </row>
    <row r="38" spans="1:18">
      <c r="A38" s="117"/>
      <c r="B38" s="117"/>
      <c r="C38" s="118"/>
      <c r="D38" s="80"/>
      <c r="E38" s="80">
        <f xml:space="preserve"> SUM(E34:E37)</f>
        <v>895.97400000000005</v>
      </c>
      <c r="F38" s="80">
        <f xml:space="preserve"> SUM(F34:F37)</f>
        <v>881.54700000000003</v>
      </c>
      <c r="G38" s="80"/>
      <c r="H38" s="80"/>
      <c r="I38" s="94"/>
      <c r="J38" s="80"/>
      <c r="K38" s="80"/>
      <c r="L38" s="80">
        <f xml:space="preserve"> SUM(L34:L37)</f>
        <v>477.38499999999999</v>
      </c>
      <c r="M38" s="80">
        <f xml:space="preserve"> SUM(M34:M37)</f>
        <v>473.80599999999998</v>
      </c>
      <c r="N38" s="94"/>
      <c r="O38" s="84"/>
      <c r="P38" s="84"/>
      <c r="Q38" s="84"/>
      <c r="R38" s="84"/>
    </row>
    <row r="39" spans="1:18">
      <c r="A39" s="117"/>
      <c r="B39" s="117" t="s">
        <v>76</v>
      </c>
      <c r="C39" s="118"/>
      <c r="D39" s="84" t="s">
        <v>51</v>
      </c>
      <c r="E39" s="93">
        <v>979.48</v>
      </c>
      <c r="F39" s="93">
        <v>881.58100000000002</v>
      </c>
      <c r="L39" s="93">
        <v>506.77100000000002</v>
      </c>
      <c r="M39" s="93">
        <v>482.58300000000003</v>
      </c>
    </row>
    <row r="40" spans="1:18">
      <c r="A40" s="117"/>
      <c r="B40" s="117"/>
      <c r="C40" s="118"/>
      <c r="D40" s="85" t="s">
        <v>49</v>
      </c>
      <c r="E40" s="93">
        <v>268.66199999999998</v>
      </c>
      <c r="F40" s="93">
        <v>251.404</v>
      </c>
      <c r="L40" s="93">
        <v>141.53299999999999</v>
      </c>
      <c r="M40" s="93">
        <v>140.88200000000001</v>
      </c>
    </row>
    <row r="41" spans="1:18">
      <c r="A41" s="117"/>
      <c r="B41" s="117"/>
      <c r="C41" s="118"/>
      <c r="D41" s="85" t="s">
        <v>50</v>
      </c>
      <c r="E41" s="93">
        <v>262.971</v>
      </c>
      <c r="F41" s="93">
        <v>233.51</v>
      </c>
      <c r="L41" s="93">
        <v>128.523</v>
      </c>
      <c r="M41" s="93">
        <v>122.503</v>
      </c>
    </row>
    <row r="42" spans="1:18">
      <c r="A42" s="117"/>
      <c r="B42" s="117"/>
      <c r="C42" s="118"/>
      <c r="D42" s="84" t="s">
        <v>52</v>
      </c>
      <c r="E42" s="93">
        <v>239.75899999999999</v>
      </c>
      <c r="F42" s="93">
        <v>184.727</v>
      </c>
      <c r="L42" s="93">
        <v>115.059</v>
      </c>
      <c r="M42" s="93">
        <v>100.717</v>
      </c>
    </row>
    <row r="43" spans="1:18">
      <c r="A43" s="117"/>
      <c r="B43" s="117"/>
      <c r="C43" s="118"/>
      <c r="D43" s="84" t="s">
        <v>53</v>
      </c>
      <c r="E43" s="93">
        <v>202.35</v>
      </c>
      <c r="F43" s="93">
        <v>207.38399999999999</v>
      </c>
      <c r="L43" s="93">
        <v>116.361</v>
      </c>
      <c r="M43" s="93">
        <v>116.012</v>
      </c>
    </row>
    <row r="44" spans="1:18">
      <c r="A44" s="117"/>
      <c r="B44" s="117"/>
      <c r="C44" s="118"/>
      <c r="D44" s="80"/>
      <c r="E44" s="80">
        <f xml:space="preserve"> SUM(E40:E43)</f>
        <v>973.74200000000008</v>
      </c>
      <c r="F44" s="80">
        <f xml:space="preserve"> SUM(F40:F43)</f>
        <v>877.02499999999998</v>
      </c>
      <c r="G44" s="80"/>
      <c r="H44" s="80"/>
      <c r="I44" s="94"/>
      <c r="J44" s="80"/>
      <c r="K44" s="80"/>
      <c r="L44" s="80">
        <f xml:space="preserve"> SUM(L40:L43)</f>
        <v>501.476</v>
      </c>
      <c r="M44" s="80">
        <f xml:space="preserve"> SUM(M40:M43)</f>
        <v>480.11399999999998</v>
      </c>
      <c r="N44" s="94"/>
      <c r="O44" s="84"/>
      <c r="P44" s="84"/>
      <c r="Q44" s="84"/>
      <c r="R44" s="84"/>
    </row>
    <row r="45" spans="1:18">
      <c r="A45" s="117"/>
      <c r="B45" s="117" t="s">
        <v>77</v>
      </c>
      <c r="C45" s="118"/>
      <c r="D45" s="84" t="s">
        <v>51</v>
      </c>
      <c r="E45" s="93">
        <v>1035.78</v>
      </c>
      <c r="F45" s="93">
        <v>1002.59</v>
      </c>
      <c r="L45" s="93">
        <v>569.601</v>
      </c>
      <c r="M45" s="93">
        <v>573.31200000000001</v>
      </c>
    </row>
    <row r="46" spans="1:18">
      <c r="A46" s="117"/>
      <c r="B46" s="117"/>
      <c r="C46" s="118"/>
      <c r="D46" s="85" t="s">
        <v>49</v>
      </c>
      <c r="E46" s="93">
        <v>245.4</v>
      </c>
      <c r="F46" s="93">
        <v>286.79300000000001</v>
      </c>
      <c r="L46" s="93">
        <v>137.239</v>
      </c>
      <c r="M46" s="93">
        <v>156.245</v>
      </c>
    </row>
    <row r="47" spans="1:18">
      <c r="A47" s="117"/>
      <c r="B47" s="117"/>
      <c r="C47" s="118"/>
      <c r="D47" s="85" t="s">
        <v>50</v>
      </c>
      <c r="E47" s="93">
        <v>276.541</v>
      </c>
      <c r="F47" s="93">
        <v>231.036</v>
      </c>
      <c r="L47" s="93">
        <v>153.733</v>
      </c>
      <c r="M47" s="93">
        <v>140.126</v>
      </c>
    </row>
    <row r="48" spans="1:18">
      <c r="A48" s="117"/>
      <c r="B48" s="117"/>
      <c r="C48" s="118"/>
      <c r="D48" s="84" t="s">
        <v>52</v>
      </c>
      <c r="E48" s="93">
        <v>239.50899999999999</v>
      </c>
      <c r="F48" s="93">
        <v>240.374</v>
      </c>
      <c r="L48" s="93">
        <v>130.82499999999999</v>
      </c>
      <c r="M48" s="93">
        <v>148.322</v>
      </c>
    </row>
    <row r="49" spans="1:18">
      <c r="A49" s="117"/>
      <c r="B49" s="117"/>
      <c r="C49" s="118"/>
      <c r="D49" s="84" t="s">
        <v>53</v>
      </c>
      <c r="E49" s="93">
        <v>260.31599999999997</v>
      </c>
      <c r="F49" s="93">
        <v>222.75299999999999</v>
      </c>
      <c r="L49" s="93">
        <v>136.565</v>
      </c>
      <c r="M49" s="93">
        <v>119.239</v>
      </c>
    </row>
    <row r="50" spans="1:18">
      <c r="A50" s="117"/>
      <c r="B50" s="117"/>
      <c r="C50" s="118"/>
      <c r="D50" s="80"/>
      <c r="E50" s="80">
        <f xml:space="preserve"> SUM(E46:E49)</f>
        <v>1021.7660000000001</v>
      </c>
      <c r="F50" s="80">
        <f xml:space="preserve"> SUM(F46:F49)</f>
        <v>980.9559999999999</v>
      </c>
      <c r="G50" s="80"/>
      <c r="H50" s="80"/>
      <c r="I50" s="94"/>
      <c r="J50" s="80"/>
      <c r="K50" s="80"/>
      <c r="L50" s="80">
        <f xml:space="preserve"> SUM(L46:L49)</f>
        <v>558.36199999999997</v>
      </c>
      <c r="M50" s="80">
        <f xml:space="preserve"> SUM(M46:M49)</f>
        <v>563.93200000000002</v>
      </c>
      <c r="N50" s="94"/>
      <c r="O50" s="84"/>
      <c r="P50" s="84"/>
      <c r="Q50" s="84"/>
      <c r="R50" s="84"/>
    </row>
    <row r="51" spans="1:18">
      <c r="A51" s="117"/>
      <c r="B51" s="117" t="s">
        <v>78</v>
      </c>
      <c r="C51" s="118"/>
      <c r="D51" s="84" t="s">
        <v>51</v>
      </c>
    </row>
    <row r="52" spans="1:18">
      <c r="A52" s="117"/>
      <c r="B52" s="117"/>
      <c r="C52" s="118"/>
      <c r="D52" s="85" t="s">
        <v>49</v>
      </c>
    </row>
    <row r="53" spans="1:18">
      <c r="A53" s="117"/>
      <c r="B53" s="117"/>
      <c r="C53" s="118"/>
      <c r="D53" s="85" t="s">
        <v>50</v>
      </c>
    </row>
    <row r="54" spans="1:18">
      <c r="A54" s="117"/>
      <c r="B54" s="117"/>
      <c r="C54" s="118"/>
      <c r="D54" s="84" t="s">
        <v>52</v>
      </c>
    </row>
    <row r="55" spans="1:18">
      <c r="A55" s="117"/>
      <c r="B55" s="117"/>
      <c r="C55" s="118"/>
      <c r="D55" s="84" t="s">
        <v>53</v>
      </c>
    </row>
    <row r="56" spans="1:18">
      <c r="A56" s="117"/>
      <c r="B56" s="117"/>
      <c r="C56" s="118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>
        <f xml:space="preserve"> SUM(L52:L55)</f>
        <v>0</v>
      </c>
      <c r="M56" s="80">
        <f xml:space="preserve"> SUM(M52:M55)</f>
        <v>0</v>
      </c>
      <c r="N56" s="94"/>
      <c r="O56" s="84"/>
      <c r="P56" s="84"/>
      <c r="Q56" s="84"/>
      <c r="R56" s="84"/>
    </row>
    <row r="57" spans="1:18">
      <c r="A57" s="117"/>
      <c r="B57" s="117" t="s">
        <v>79</v>
      </c>
      <c r="C57" s="118"/>
      <c r="D57" s="84" t="s">
        <v>51</v>
      </c>
    </row>
    <row r="58" spans="1:18">
      <c r="A58" s="117"/>
      <c r="B58" s="117"/>
      <c r="C58" s="118"/>
      <c r="D58" s="85" t="s">
        <v>49</v>
      </c>
    </row>
    <row r="59" spans="1:18">
      <c r="A59" s="117"/>
      <c r="B59" s="117"/>
      <c r="C59" s="118"/>
      <c r="D59" s="85" t="s">
        <v>50</v>
      </c>
    </row>
    <row r="60" spans="1:18">
      <c r="A60" s="117"/>
      <c r="B60" s="117"/>
      <c r="C60" s="118"/>
      <c r="D60" s="84" t="s">
        <v>52</v>
      </c>
    </row>
    <row r="61" spans="1:18">
      <c r="A61" s="117"/>
      <c r="B61" s="117"/>
      <c r="C61" s="118"/>
      <c r="D61" s="84" t="s">
        <v>53</v>
      </c>
    </row>
    <row r="62" spans="1:18">
      <c r="A62" s="117"/>
      <c r="B62" s="117"/>
      <c r="C62" s="118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>
        <f xml:space="preserve"> SUM(L58:L61)</f>
        <v>0</v>
      </c>
      <c r="M62" s="80">
        <f xml:space="preserve"> SUM(M58:M61)</f>
        <v>0</v>
      </c>
      <c r="N62" s="94"/>
      <c r="O62" s="84"/>
      <c r="P62" s="84"/>
      <c r="Q62" s="84"/>
      <c r="R62" s="84"/>
    </row>
    <row r="63" spans="1:18">
      <c r="A63" s="117" t="s">
        <v>80</v>
      </c>
      <c r="B63" s="117" t="s">
        <v>79</v>
      </c>
      <c r="C63" s="117" t="s">
        <v>17</v>
      </c>
      <c r="D63" s="84" t="s">
        <v>51</v>
      </c>
      <c r="E63" s="64">
        <v>1459.17</v>
      </c>
      <c r="F63" s="64">
        <v>1415.16</v>
      </c>
      <c r="L63" s="64">
        <v>747.69600000000003</v>
      </c>
      <c r="M63" s="64">
        <v>751.24900000000002</v>
      </c>
    </row>
    <row r="64" spans="1:18">
      <c r="A64" s="117"/>
      <c r="B64" s="117"/>
      <c r="C64" s="117"/>
      <c r="D64" s="85" t="s">
        <v>49</v>
      </c>
      <c r="E64" s="64">
        <v>371.45400000000001</v>
      </c>
      <c r="F64" s="64">
        <v>402.40899999999999</v>
      </c>
      <c r="L64" s="64">
        <v>192.90299999999999</v>
      </c>
      <c r="M64" s="64">
        <v>208.399</v>
      </c>
    </row>
    <row r="65" spans="1:18">
      <c r="A65" s="117"/>
      <c r="B65" s="117"/>
      <c r="C65" s="117"/>
      <c r="D65" s="85" t="s">
        <v>50</v>
      </c>
      <c r="E65" s="64">
        <v>381.34</v>
      </c>
      <c r="F65" s="64">
        <v>365.678</v>
      </c>
      <c r="L65" s="64">
        <v>198.81800000000001</v>
      </c>
      <c r="M65" s="64">
        <v>190.321</v>
      </c>
    </row>
    <row r="66" spans="1:18">
      <c r="A66" s="117"/>
      <c r="B66" s="117"/>
      <c r="C66" s="117"/>
      <c r="D66" s="84" t="s">
        <v>52</v>
      </c>
      <c r="E66" s="64">
        <v>349.73200000000003</v>
      </c>
      <c r="F66" s="64">
        <v>325.84500000000003</v>
      </c>
      <c r="L66" s="64">
        <v>165.93199999999999</v>
      </c>
      <c r="M66" s="64">
        <v>183.03800000000001</v>
      </c>
    </row>
    <row r="67" spans="1:18">
      <c r="A67" s="117"/>
      <c r="B67" s="117"/>
      <c r="C67" s="117"/>
      <c r="D67" s="84" t="s">
        <v>53</v>
      </c>
      <c r="E67" s="64">
        <v>344.23</v>
      </c>
      <c r="F67" s="64">
        <v>316.88900000000001</v>
      </c>
      <c r="L67" s="64">
        <v>185.68600000000001</v>
      </c>
      <c r="M67" s="64">
        <v>168.15100000000001</v>
      </c>
    </row>
    <row r="68" spans="1:18">
      <c r="A68" s="117"/>
      <c r="B68" s="117"/>
      <c r="C68" s="117"/>
      <c r="D68" s="80"/>
      <c r="E68" s="80">
        <f xml:space="preserve"> SUM(E64:E67)</f>
        <v>1446.7560000000001</v>
      </c>
      <c r="F68" s="80">
        <f xml:space="preserve"> SUM(F64:F67)</f>
        <v>1410.8209999999999</v>
      </c>
      <c r="G68" s="80"/>
      <c r="H68" s="80"/>
      <c r="I68" s="94"/>
      <c r="J68" s="80"/>
      <c r="K68" s="80"/>
      <c r="L68" s="80">
        <f xml:space="preserve"> SUM(L64:L67)</f>
        <v>743.33900000000006</v>
      </c>
      <c r="M68" s="80">
        <f xml:space="preserve"> SUM(M64:M67)</f>
        <v>749.90900000000011</v>
      </c>
      <c r="N68" s="94"/>
      <c r="O68" s="84"/>
      <c r="P68" s="84"/>
      <c r="Q68" s="84"/>
      <c r="R68" s="84"/>
    </row>
    <row r="69" spans="1:18">
      <c r="A69" s="117" t="s">
        <v>82</v>
      </c>
      <c r="B69" s="117" t="s">
        <v>79</v>
      </c>
      <c r="C69" s="117" t="s">
        <v>17</v>
      </c>
      <c r="D69" s="84" t="s">
        <v>51</v>
      </c>
      <c r="E69" s="64">
        <v>705.31700000000001</v>
      </c>
      <c r="F69" s="64">
        <v>684.02099999999996</v>
      </c>
      <c r="L69" s="64">
        <v>407.45600000000002</v>
      </c>
      <c r="M69" s="64">
        <v>355.07100000000003</v>
      </c>
    </row>
    <row r="70" spans="1:18">
      <c r="A70" s="117"/>
      <c r="B70" s="117"/>
      <c r="C70" s="117"/>
      <c r="D70" s="85" t="s">
        <v>49</v>
      </c>
      <c r="E70" s="64">
        <v>176.179</v>
      </c>
      <c r="F70" s="64">
        <v>207.71199999999999</v>
      </c>
      <c r="L70" s="64">
        <v>89.483999999999995</v>
      </c>
      <c r="M70" s="64">
        <v>109.76</v>
      </c>
    </row>
    <row r="71" spans="1:18">
      <c r="A71" s="117"/>
      <c r="B71" s="117"/>
      <c r="C71" s="117"/>
      <c r="D71" s="85" t="s">
        <v>50</v>
      </c>
      <c r="E71" s="64">
        <v>177.535</v>
      </c>
      <c r="F71" s="64">
        <v>160.54</v>
      </c>
      <c r="L71" s="64">
        <v>98.653199999999998</v>
      </c>
      <c r="M71" s="64">
        <v>77.182000000000002</v>
      </c>
    </row>
    <row r="72" spans="1:18">
      <c r="A72" s="117"/>
      <c r="B72" s="117"/>
      <c r="C72" s="117"/>
      <c r="D72" s="84" t="s">
        <v>52</v>
      </c>
      <c r="E72" s="64">
        <v>178.536</v>
      </c>
      <c r="F72" s="64">
        <v>161.773</v>
      </c>
      <c r="L72" s="64">
        <v>106.90300000000001</v>
      </c>
      <c r="M72" s="64">
        <v>90.812299999999993</v>
      </c>
    </row>
    <row r="73" spans="1:18">
      <c r="A73" s="117"/>
      <c r="B73" s="117"/>
      <c r="C73" s="117"/>
      <c r="D73" s="84" t="s">
        <v>53</v>
      </c>
      <c r="E73" s="64">
        <v>166.785</v>
      </c>
      <c r="F73" s="64">
        <v>152.39599999999999</v>
      </c>
      <c r="L73" s="64">
        <v>108.578</v>
      </c>
      <c r="M73" s="64">
        <v>75.610799999999998</v>
      </c>
    </row>
    <row r="74" spans="1:18">
      <c r="A74" s="117"/>
      <c r="B74" s="117"/>
      <c r="C74" s="117"/>
      <c r="D74" s="80"/>
      <c r="E74" s="80">
        <f xml:space="preserve"> SUM(E70:E73)</f>
        <v>699.03499999999997</v>
      </c>
      <c r="F74" s="80">
        <f xml:space="preserve"> SUM(F70:F73)</f>
        <v>682.42099999999994</v>
      </c>
      <c r="G74" s="80"/>
      <c r="H74" s="80"/>
      <c r="I74" s="94"/>
      <c r="J74" s="80"/>
      <c r="K74" s="80"/>
      <c r="L74" s="80">
        <f xml:space="preserve"> SUM(L70:L73)</f>
        <v>403.6182</v>
      </c>
      <c r="M74" s="80">
        <f xml:space="preserve"> SUM(M70:M73)</f>
        <v>353.36509999999998</v>
      </c>
      <c r="N74" s="94"/>
      <c r="O74" s="84"/>
      <c r="P74" s="84"/>
      <c r="Q74" s="84"/>
      <c r="R74" s="84"/>
    </row>
    <row r="75" spans="1:18">
      <c r="A75" s="117" t="s">
        <v>81</v>
      </c>
      <c r="B75" s="117" t="s">
        <v>83</v>
      </c>
      <c r="C75" s="117" t="s">
        <v>17</v>
      </c>
      <c r="D75" s="84" t="s">
        <v>51</v>
      </c>
      <c r="E75" s="64">
        <v>1413.12</v>
      </c>
      <c r="F75" s="64">
        <v>1448.27</v>
      </c>
      <c r="L75" s="64">
        <v>789.90899999999999</v>
      </c>
      <c r="M75" s="64">
        <v>821.39099999999996</v>
      </c>
    </row>
    <row r="76" spans="1:18">
      <c r="A76" s="117"/>
      <c r="B76" s="117"/>
      <c r="C76" s="117"/>
      <c r="D76" s="85" t="s">
        <v>49</v>
      </c>
      <c r="E76" s="64">
        <v>391.17500000000001</v>
      </c>
      <c r="F76" s="64">
        <v>426.56900000000002</v>
      </c>
      <c r="L76" s="64">
        <v>220.65799999999999</v>
      </c>
      <c r="M76" s="64">
        <v>231.00800000000001</v>
      </c>
    </row>
    <row r="77" spans="1:18">
      <c r="A77" s="117"/>
      <c r="B77" s="117"/>
      <c r="C77" s="117"/>
      <c r="D77" s="85" t="s">
        <v>50</v>
      </c>
      <c r="E77" s="64">
        <v>354.16</v>
      </c>
      <c r="F77" s="64">
        <v>361.411</v>
      </c>
      <c r="L77" s="64">
        <v>195.91900000000001</v>
      </c>
      <c r="M77" s="64">
        <v>218.267</v>
      </c>
    </row>
    <row r="78" spans="1:18">
      <c r="A78" s="117"/>
      <c r="B78" s="117"/>
      <c r="C78" s="117"/>
      <c r="D78" s="84" t="s">
        <v>52</v>
      </c>
      <c r="E78" s="64">
        <v>320.08199999999999</v>
      </c>
      <c r="F78" s="64">
        <v>322.45299999999997</v>
      </c>
      <c r="L78" s="64">
        <v>165.8</v>
      </c>
      <c r="M78" s="64">
        <v>174.98500000000001</v>
      </c>
    </row>
    <row r="79" spans="1:18">
      <c r="A79" s="117"/>
      <c r="B79" s="117"/>
      <c r="C79" s="117"/>
      <c r="D79" s="84" t="s">
        <v>53</v>
      </c>
      <c r="E79" s="64">
        <v>348.27300000000002</v>
      </c>
      <c r="F79" s="64">
        <v>338.45400000000001</v>
      </c>
      <c r="L79" s="64">
        <v>208.39599999999999</v>
      </c>
      <c r="M79" s="64">
        <v>197.31899999999999</v>
      </c>
    </row>
    <row r="80" spans="1:18">
      <c r="A80" s="117"/>
      <c r="B80" s="117"/>
      <c r="C80" s="117"/>
      <c r="D80" s="80"/>
      <c r="E80" s="80">
        <f xml:space="preserve"> SUM(E76:E79)</f>
        <v>1413.69</v>
      </c>
      <c r="F80" s="80">
        <f xml:space="preserve"> SUM(F76:F79)</f>
        <v>1448.8869999999999</v>
      </c>
      <c r="G80" s="80"/>
      <c r="H80" s="80"/>
      <c r="I80" s="94"/>
      <c r="J80" s="80"/>
      <c r="K80" s="80"/>
      <c r="L80" s="80">
        <f xml:space="preserve"> SUM(L76:L79)</f>
        <v>790.77299999999991</v>
      </c>
      <c r="M80" s="80">
        <f xml:space="preserve"> SUM(M76:M79)</f>
        <v>821.57899999999995</v>
      </c>
      <c r="N80" s="94"/>
      <c r="O80" s="84"/>
      <c r="P80" s="84"/>
      <c r="Q80" s="84"/>
      <c r="R80" s="84"/>
    </row>
    <row r="81" spans="1:18">
      <c r="A81" s="117"/>
      <c r="B81" s="117" t="s">
        <v>79</v>
      </c>
      <c r="C81" s="117" t="s">
        <v>17</v>
      </c>
      <c r="D81" s="84" t="s">
        <v>51</v>
      </c>
      <c r="E81" s="64">
        <v>797.24599999999998</v>
      </c>
      <c r="F81" s="64">
        <v>784.29700000000003</v>
      </c>
      <c r="L81" s="64">
        <v>488.57499999999999</v>
      </c>
      <c r="M81" s="64">
        <v>456.18200000000002</v>
      </c>
    </row>
    <row r="82" spans="1:18">
      <c r="A82" s="117"/>
      <c r="B82" s="117"/>
      <c r="C82" s="117"/>
      <c r="D82" s="85" t="s">
        <v>49</v>
      </c>
      <c r="E82" s="64">
        <v>216.363</v>
      </c>
      <c r="F82" s="64">
        <v>200.566</v>
      </c>
      <c r="L82" s="64">
        <v>138.89699999999999</v>
      </c>
      <c r="M82" s="64">
        <v>106.34399999999999</v>
      </c>
    </row>
    <row r="83" spans="1:18">
      <c r="A83" s="117"/>
      <c r="B83" s="117"/>
      <c r="C83" s="117"/>
      <c r="D83" s="85" t="s">
        <v>50</v>
      </c>
      <c r="E83" s="64">
        <v>201.708</v>
      </c>
      <c r="F83" s="64">
        <v>211.63200000000001</v>
      </c>
      <c r="L83" s="64">
        <v>119.54300000000001</v>
      </c>
      <c r="M83" s="64">
        <v>123.51300000000001</v>
      </c>
    </row>
    <row r="84" spans="1:18">
      <c r="A84" s="117"/>
      <c r="B84" s="117"/>
      <c r="C84" s="117"/>
      <c r="D84" s="84" t="s">
        <v>52</v>
      </c>
      <c r="E84" s="64">
        <v>196.41200000000001</v>
      </c>
      <c r="F84" s="64">
        <v>174.84899999999999</v>
      </c>
      <c r="L84" s="64">
        <v>114.05200000000001</v>
      </c>
      <c r="M84" s="64">
        <v>114.76</v>
      </c>
    </row>
    <row r="85" spans="1:18">
      <c r="A85" s="117"/>
      <c r="B85" s="117"/>
      <c r="C85" s="117"/>
      <c r="D85" s="84" t="s">
        <v>53</v>
      </c>
      <c r="E85" s="64">
        <v>182.65700000000001</v>
      </c>
      <c r="F85" s="64">
        <v>194.71199999999999</v>
      </c>
      <c r="L85" s="64">
        <v>115.774</v>
      </c>
      <c r="M85" s="64">
        <v>112.825</v>
      </c>
    </row>
    <row r="86" spans="1:18">
      <c r="A86" s="117"/>
      <c r="B86" s="117"/>
      <c r="C86" s="117"/>
      <c r="D86" s="80"/>
      <c r="E86" s="80">
        <f xml:space="preserve"> SUM(E82:E85)</f>
        <v>797.1400000000001</v>
      </c>
      <c r="F86" s="80">
        <f xml:space="preserve"> SUM(F82:F85)</f>
        <v>781.75900000000001</v>
      </c>
      <c r="G86" s="80"/>
      <c r="H86" s="80"/>
      <c r="I86" s="94"/>
      <c r="J86" s="80"/>
      <c r="K86" s="80"/>
      <c r="L86" s="80">
        <f xml:space="preserve"> SUM(L82:L85)</f>
        <v>488.26600000000002</v>
      </c>
      <c r="M86" s="80">
        <f xml:space="preserve"> SUM(M82:M85)</f>
        <v>457.44200000000001</v>
      </c>
      <c r="N86" s="94"/>
      <c r="O86" s="84"/>
      <c r="P86" s="84"/>
      <c r="Q86" s="84"/>
      <c r="R86" s="84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C21:C26"/>
    <mergeCell ref="C27:C32"/>
    <mergeCell ref="C3:C8"/>
    <mergeCell ref="C9:C14"/>
    <mergeCell ref="A3:A32"/>
    <mergeCell ref="B3:B32"/>
    <mergeCell ref="C15:C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showRuler="0" workbookViewId="0">
      <pane xSplit="3" topLeftCell="D1" activePane="topRight" state="frozen"/>
      <selection activeCell="A2" sqref="A2"/>
      <selection pane="topRight" activeCell="F82" sqref="F82"/>
    </sheetView>
  </sheetViews>
  <sheetFormatPr baseColWidth="10" defaultRowHeight="18" x14ac:dyDescent="0"/>
  <cols>
    <col min="1" max="16384" width="10.83203125" style="46"/>
  </cols>
  <sheetData>
    <row r="1" spans="1:18">
      <c r="E1" s="46" t="s">
        <v>62</v>
      </c>
    </row>
    <row r="2" spans="1:18">
      <c r="A2" s="3" t="s">
        <v>18</v>
      </c>
      <c r="B2" s="3" t="s">
        <v>19</v>
      </c>
      <c r="C2" s="3" t="s">
        <v>20</v>
      </c>
      <c r="D2" s="3" t="s">
        <v>48</v>
      </c>
      <c r="E2" s="85" t="s">
        <v>63</v>
      </c>
      <c r="F2" s="85" t="s">
        <v>64</v>
      </c>
      <c r="G2" s="85"/>
      <c r="H2" s="85"/>
      <c r="I2" s="85"/>
      <c r="J2" s="85"/>
    </row>
    <row r="3" spans="1:18">
      <c r="A3" s="113" t="s">
        <v>55</v>
      </c>
      <c r="B3" s="113" t="s">
        <v>25</v>
      </c>
      <c r="C3" s="113" t="s">
        <v>35</v>
      </c>
      <c r="D3" s="3" t="s">
        <v>51</v>
      </c>
      <c r="E3" s="67">
        <v>1453.04</v>
      </c>
      <c r="F3" s="67">
        <v>1326.7</v>
      </c>
      <c r="G3" s="83"/>
      <c r="H3" s="83"/>
      <c r="I3" s="83"/>
      <c r="J3" s="83"/>
    </row>
    <row r="4" spans="1:18">
      <c r="A4" s="113"/>
      <c r="B4" s="113"/>
      <c r="C4" s="113"/>
      <c r="D4" s="3" t="s">
        <v>49</v>
      </c>
      <c r="E4" s="67">
        <v>373.38200000000001</v>
      </c>
      <c r="F4" s="67">
        <v>361.26</v>
      </c>
      <c r="G4" s="83"/>
      <c r="H4" s="83"/>
      <c r="I4" s="83"/>
      <c r="J4" s="83"/>
    </row>
    <row r="5" spans="1:18">
      <c r="A5" s="113"/>
      <c r="B5" s="113"/>
      <c r="C5" s="113"/>
      <c r="D5" s="3" t="s">
        <v>50</v>
      </c>
      <c r="E5" s="67">
        <v>366.815</v>
      </c>
      <c r="F5" s="67">
        <v>312.21800000000002</v>
      </c>
      <c r="G5" s="83"/>
      <c r="H5" s="83"/>
      <c r="I5" s="83"/>
      <c r="J5" s="83"/>
    </row>
    <row r="6" spans="1:18">
      <c r="A6" s="113"/>
      <c r="B6" s="113"/>
      <c r="C6" s="113"/>
      <c r="D6" s="46" t="s">
        <v>52</v>
      </c>
      <c r="E6" s="67">
        <v>341.39100000000002</v>
      </c>
      <c r="F6" s="67">
        <v>340.94600000000003</v>
      </c>
      <c r="G6" s="83"/>
      <c r="H6" s="83"/>
      <c r="I6" s="83"/>
      <c r="J6" s="83"/>
    </row>
    <row r="7" spans="1:18">
      <c r="A7" s="113"/>
      <c r="B7" s="113"/>
      <c r="C7" s="113"/>
      <c r="D7" s="46" t="s">
        <v>53</v>
      </c>
      <c r="E7" s="67">
        <v>352.47500000000002</v>
      </c>
      <c r="F7" s="67">
        <v>312.351</v>
      </c>
      <c r="G7" s="83"/>
      <c r="H7" s="83"/>
      <c r="I7" s="83"/>
      <c r="J7" s="83"/>
    </row>
    <row r="8" spans="1:18">
      <c r="A8" s="113"/>
      <c r="B8" s="113"/>
      <c r="C8" s="113"/>
      <c r="D8" s="80"/>
      <c r="E8" s="80">
        <f xml:space="preserve"> SUM(E4:E7)</f>
        <v>1434.0630000000001</v>
      </c>
      <c r="F8" s="80">
        <f xml:space="preserve"> SUM(F4:F7)</f>
        <v>1326.7750000000001</v>
      </c>
      <c r="G8" s="80"/>
      <c r="H8" s="80"/>
      <c r="I8" s="94"/>
      <c r="J8" s="80"/>
      <c r="K8" s="80"/>
      <c r="L8" s="80"/>
      <c r="M8" s="80"/>
      <c r="N8" s="94"/>
      <c r="O8" s="84"/>
      <c r="P8" s="84"/>
      <c r="Q8" s="84"/>
      <c r="R8" s="84"/>
    </row>
    <row r="9" spans="1:18">
      <c r="A9" s="113"/>
      <c r="B9" s="113"/>
      <c r="C9" s="114" t="s">
        <v>2</v>
      </c>
      <c r="D9" s="3" t="s">
        <v>51</v>
      </c>
      <c r="E9" s="83"/>
      <c r="F9" s="83"/>
      <c r="G9" s="83"/>
      <c r="H9" s="83"/>
      <c r="I9" s="83"/>
      <c r="J9" s="83"/>
    </row>
    <row r="10" spans="1:18">
      <c r="A10" s="113"/>
      <c r="B10" s="113"/>
      <c r="C10" s="114"/>
      <c r="D10" s="3" t="s">
        <v>49</v>
      </c>
      <c r="E10" s="83"/>
      <c r="F10" s="83"/>
      <c r="G10" s="83"/>
      <c r="H10" s="83"/>
      <c r="I10" s="83"/>
      <c r="J10" s="83"/>
    </row>
    <row r="11" spans="1:18">
      <c r="A11" s="113"/>
      <c r="B11" s="113"/>
      <c r="C11" s="114"/>
      <c r="D11" s="3" t="s">
        <v>50</v>
      </c>
      <c r="E11" s="83"/>
      <c r="F11" s="83"/>
      <c r="G11" s="83"/>
      <c r="H11" s="83"/>
      <c r="I11" s="83"/>
      <c r="J11" s="83"/>
    </row>
    <row r="12" spans="1:18">
      <c r="A12" s="113"/>
      <c r="B12" s="113"/>
      <c r="C12" s="114"/>
      <c r="D12" s="46" t="s">
        <v>52</v>
      </c>
      <c r="E12" s="83"/>
      <c r="F12" s="83"/>
      <c r="G12" s="83"/>
      <c r="H12" s="83"/>
      <c r="I12" s="83"/>
      <c r="J12" s="83"/>
    </row>
    <row r="13" spans="1:18">
      <c r="A13" s="113"/>
      <c r="B13" s="113"/>
      <c r="C13" s="114"/>
      <c r="D13" s="46" t="s">
        <v>53</v>
      </c>
      <c r="E13" s="83"/>
      <c r="F13" s="83"/>
      <c r="G13" s="83"/>
      <c r="H13" s="83"/>
      <c r="I13" s="83"/>
      <c r="J13" s="83"/>
    </row>
    <row r="14" spans="1:18">
      <c r="A14" s="113"/>
      <c r="B14" s="113"/>
      <c r="C14" s="114"/>
      <c r="D14" s="80"/>
      <c r="E14" s="80"/>
      <c r="F14" s="80"/>
      <c r="G14" s="80"/>
      <c r="H14" s="80"/>
      <c r="I14" s="94"/>
      <c r="J14" s="80"/>
      <c r="K14" s="80"/>
      <c r="L14" s="80"/>
      <c r="M14" s="80"/>
      <c r="N14" s="94"/>
      <c r="O14" s="84"/>
      <c r="P14" s="84"/>
      <c r="Q14" s="84"/>
      <c r="R14" s="84"/>
    </row>
    <row r="15" spans="1:18">
      <c r="A15" s="113"/>
      <c r="B15" s="113"/>
      <c r="C15" s="111" t="s">
        <v>54</v>
      </c>
      <c r="D15" s="85" t="s">
        <v>51</v>
      </c>
      <c r="E15" s="67">
        <v>1258.8900000000001</v>
      </c>
      <c r="F15" s="67">
        <v>1234.5999999999999</v>
      </c>
      <c r="G15" s="83"/>
      <c r="H15" s="83"/>
      <c r="I15" s="83"/>
      <c r="J15" s="83"/>
    </row>
    <row r="16" spans="1:18">
      <c r="A16" s="113"/>
      <c r="B16" s="113"/>
      <c r="C16" s="111"/>
      <c r="D16" s="85" t="s">
        <v>49</v>
      </c>
      <c r="E16" s="67">
        <v>324.15899999999999</v>
      </c>
      <c r="F16" s="67">
        <v>366.12400000000002</v>
      </c>
      <c r="G16" s="83"/>
      <c r="H16" s="83"/>
      <c r="I16" s="83"/>
      <c r="J16" s="83"/>
    </row>
    <row r="17" spans="1:18">
      <c r="A17" s="113"/>
      <c r="B17" s="113"/>
      <c r="C17" s="111"/>
      <c r="D17" s="85" t="s">
        <v>50</v>
      </c>
      <c r="E17" s="67">
        <v>335.5</v>
      </c>
      <c r="F17" s="67">
        <v>304.11399999999998</v>
      </c>
      <c r="G17" s="83"/>
      <c r="H17" s="83"/>
      <c r="I17" s="83"/>
      <c r="J17" s="83"/>
    </row>
    <row r="18" spans="1:18">
      <c r="A18" s="113"/>
      <c r="B18" s="113"/>
      <c r="C18" s="111"/>
      <c r="D18" s="84" t="s">
        <v>52</v>
      </c>
      <c r="E18" s="67">
        <v>297.55700000000002</v>
      </c>
      <c r="F18" s="67">
        <v>284.791</v>
      </c>
      <c r="G18" s="83"/>
      <c r="H18" s="83"/>
      <c r="I18" s="83"/>
      <c r="J18" s="83"/>
    </row>
    <row r="19" spans="1:18">
      <c r="A19" s="113"/>
      <c r="B19" s="113"/>
      <c r="C19" s="111"/>
      <c r="D19" s="84" t="s">
        <v>53</v>
      </c>
      <c r="E19" s="67">
        <v>303.29300000000001</v>
      </c>
      <c r="F19" s="67">
        <v>280.27199999999999</v>
      </c>
      <c r="G19" s="83"/>
      <c r="H19" s="83"/>
      <c r="I19" s="83"/>
      <c r="J19" s="83"/>
    </row>
    <row r="20" spans="1:18">
      <c r="A20" s="113"/>
      <c r="B20" s="113"/>
      <c r="C20" s="111"/>
      <c r="D20" s="80"/>
      <c r="E20" s="80">
        <f xml:space="preserve"> SUM(E16:E19)</f>
        <v>1260.509</v>
      </c>
      <c r="F20" s="80">
        <f xml:space="preserve"> SUM(F16:F19)</f>
        <v>1235.3009999999999</v>
      </c>
      <c r="G20" s="80"/>
      <c r="H20" s="80"/>
      <c r="I20" s="94"/>
      <c r="J20" s="80"/>
      <c r="K20" s="80"/>
      <c r="L20" s="80"/>
      <c r="M20" s="80"/>
      <c r="N20" s="94"/>
      <c r="O20" s="84"/>
      <c r="P20" s="84"/>
      <c r="Q20" s="84"/>
      <c r="R20" s="84"/>
    </row>
    <row r="21" spans="1:18">
      <c r="A21" s="113"/>
      <c r="B21" s="113"/>
      <c r="C21" s="115" t="s">
        <v>56</v>
      </c>
      <c r="D21" s="85" t="s">
        <v>51</v>
      </c>
      <c r="E21" s="67">
        <v>1227.1400000000001</v>
      </c>
      <c r="F21" s="67">
        <v>1092.17</v>
      </c>
    </row>
    <row r="22" spans="1:18">
      <c r="A22" s="113"/>
      <c r="B22" s="113"/>
      <c r="C22" s="115"/>
      <c r="D22" s="85" t="s">
        <v>49</v>
      </c>
      <c r="E22" s="67">
        <v>321.68900000000002</v>
      </c>
      <c r="F22" s="67">
        <v>319.12</v>
      </c>
    </row>
    <row r="23" spans="1:18">
      <c r="A23" s="113"/>
      <c r="B23" s="113"/>
      <c r="C23" s="115"/>
      <c r="D23" s="85" t="s">
        <v>50</v>
      </c>
      <c r="E23" s="67">
        <v>330.84899999999999</v>
      </c>
      <c r="F23" s="67">
        <v>262.91300000000001</v>
      </c>
    </row>
    <row r="24" spans="1:18">
      <c r="A24" s="113"/>
      <c r="B24" s="113"/>
      <c r="C24" s="115"/>
      <c r="D24" s="84" t="s">
        <v>52</v>
      </c>
      <c r="E24" s="67">
        <v>295.23200000000003</v>
      </c>
      <c r="F24" s="67">
        <v>254.17599999999999</v>
      </c>
    </row>
    <row r="25" spans="1:18">
      <c r="A25" s="113"/>
      <c r="B25" s="113"/>
      <c r="C25" s="115"/>
      <c r="D25" s="84" t="s">
        <v>53</v>
      </c>
      <c r="E25" s="67">
        <v>277.77199999999999</v>
      </c>
      <c r="F25" s="67">
        <v>256.60700000000003</v>
      </c>
    </row>
    <row r="26" spans="1:18">
      <c r="A26" s="113"/>
      <c r="B26" s="113"/>
      <c r="C26" s="115"/>
      <c r="D26" s="80"/>
      <c r="E26" s="80">
        <f xml:space="preserve"> SUM(E22:E25)</f>
        <v>1225.5419999999999</v>
      </c>
      <c r="F26" s="80">
        <f xml:space="preserve"> SUM(F22:F25)</f>
        <v>1092.816</v>
      </c>
      <c r="G26" s="80"/>
      <c r="H26" s="80"/>
      <c r="I26" s="94"/>
      <c r="J26" s="80"/>
      <c r="K26" s="80"/>
      <c r="L26" s="80"/>
      <c r="M26" s="80"/>
      <c r="N26" s="94"/>
      <c r="O26" s="84"/>
      <c r="P26" s="84"/>
      <c r="Q26" s="84"/>
      <c r="R26" s="84"/>
    </row>
    <row r="27" spans="1:18">
      <c r="A27" s="113"/>
      <c r="B27" s="113"/>
      <c r="C27" s="116" t="s">
        <v>57</v>
      </c>
      <c r="D27" s="85" t="s">
        <v>51</v>
      </c>
      <c r="E27" s="67">
        <v>900.91300000000001</v>
      </c>
      <c r="F27" s="67">
        <v>874.17700000000002</v>
      </c>
    </row>
    <row r="28" spans="1:18">
      <c r="A28" s="113"/>
      <c r="B28" s="113"/>
      <c r="C28" s="116"/>
      <c r="D28" s="85" t="s">
        <v>49</v>
      </c>
      <c r="E28" s="67">
        <v>270.81900000000002</v>
      </c>
      <c r="F28" s="67">
        <v>248.64400000000001</v>
      </c>
    </row>
    <row r="29" spans="1:18">
      <c r="A29" s="113"/>
      <c r="B29" s="113"/>
      <c r="C29" s="116"/>
      <c r="D29" s="85" t="s">
        <v>50</v>
      </c>
      <c r="E29" s="67">
        <v>210.137</v>
      </c>
      <c r="F29" s="67">
        <v>229.28399999999999</v>
      </c>
    </row>
    <row r="30" spans="1:18">
      <c r="A30" s="113"/>
      <c r="B30" s="113"/>
      <c r="C30" s="116"/>
      <c r="D30" s="84" t="s">
        <v>52</v>
      </c>
      <c r="E30" s="67">
        <v>214.47499999999999</v>
      </c>
      <c r="F30" s="67">
        <v>201.13800000000001</v>
      </c>
    </row>
    <row r="31" spans="1:18">
      <c r="A31" s="113"/>
      <c r="B31" s="113"/>
      <c r="C31" s="116"/>
      <c r="D31" s="84" t="s">
        <v>53</v>
      </c>
      <c r="E31" s="67">
        <v>201.434</v>
      </c>
      <c r="F31" s="67">
        <v>192.99700000000001</v>
      </c>
    </row>
    <row r="32" spans="1:18">
      <c r="A32" s="113"/>
      <c r="B32" s="113"/>
      <c r="C32" s="116"/>
      <c r="D32" s="80"/>
      <c r="E32" s="80">
        <f xml:space="preserve"> SUM(E28:E31)</f>
        <v>896.86500000000001</v>
      </c>
      <c r="F32" s="80">
        <f xml:space="preserve"> SUM(F28:F31)</f>
        <v>872.0630000000001</v>
      </c>
      <c r="G32" s="80"/>
      <c r="H32" s="80"/>
      <c r="I32" s="94"/>
      <c r="J32" s="80"/>
      <c r="K32" s="80"/>
      <c r="L32" s="80"/>
      <c r="M32" s="80"/>
      <c r="N32" s="94"/>
      <c r="O32" s="84"/>
      <c r="P32" s="84"/>
      <c r="Q32" s="84"/>
      <c r="R32" s="84"/>
    </row>
    <row r="33" spans="1:18">
      <c r="A33" s="133" t="s">
        <v>55</v>
      </c>
      <c r="B33" s="133" t="s">
        <v>37</v>
      </c>
      <c r="C33" s="134" t="s">
        <v>17</v>
      </c>
      <c r="D33" s="84" t="s">
        <v>51</v>
      </c>
      <c r="E33" s="93">
        <v>1115.46</v>
      </c>
      <c r="F33" s="93">
        <v>1095.23</v>
      </c>
    </row>
    <row r="34" spans="1:18">
      <c r="A34" s="133"/>
      <c r="B34" s="133"/>
      <c r="C34" s="134"/>
      <c r="D34" s="85" t="s">
        <v>49</v>
      </c>
      <c r="E34" s="93">
        <v>314.99400000000003</v>
      </c>
      <c r="F34" s="93">
        <v>315.654</v>
      </c>
    </row>
    <row r="35" spans="1:18">
      <c r="A35" s="133"/>
      <c r="B35" s="133"/>
      <c r="C35" s="134"/>
      <c r="D35" s="85" t="s">
        <v>50</v>
      </c>
      <c r="E35" s="93">
        <v>258.91199999999998</v>
      </c>
      <c r="F35" s="93">
        <v>280.76499999999999</v>
      </c>
    </row>
    <row r="36" spans="1:18">
      <c r="A36" s="133"/>
      <c r="B36" s="133"/>
      <c r="C36" s="134"/>
      <c r="D36" s="84" t="s">
        <v>52</v>
      </c>
      <c r="E36" s="93">
        <v>281.411</v>
      </c>
      <c r="F36" s="93">
        <v>252.75800000000001</v>
      </c>
    </row>
    <row r="37" spans="1:18">
      <c r="A37" s="133"/>
      <c r="B37" s="133"/>
      <c r="C37" s="134"/>
      <c r="D37" s="84" t="s">
        <v>53</v>
      </c>
      <c r="E37" s="93">
        <v>252.88200000000001</v>
      </c>
      <c r="F37" s="93">
        <v>245.98</v>
      </c>
    </row>
    <row r="38" spans="1:18">
      <c r="A38" s="133"/>
      <c r="B38" s="133"/>
      <c r="C38" s="134"/>
      <c r="D38" s="80"/>
      <c r="E38" s="80">
        <f xml:space="preserve"> SUM(E34:E37)</f>
        <v>1108.1990000000001</v>
      </c>
      <c r="F38" s="80">
        <f xml:space="preserve"> SUM(F34:F37)</f>
        <v>1095.1569999999999</v>
      </c>
      <c r="G38" s="80"/>
      <c r="H38" s="80"/>
      <c r="I38" s="94"/>
      <c r="J38" s="80"/>
      <c r="K38" s="80"/>
      <c r="L38" s="80"/>
      <c r="M38" s="80"/>
      <c r="N38" s="94"/>
      <c r="O38" s="84"/>
      <c r="P38" s="84"/>
      <c r="Q38" s="84"/>
      <c r="R38" s="84"/>
    </row>
    <row r="39" spans="1:18">
      <c r="A39" s="133"/>
      <c r="B39" s="133" t="s">
        <v>76</v>
      </c>
      <c r="C39" s="134"/>
      <c r="D39" s="84" t="s">
        <v>51</v>
      </c>
      <c r="E39" s="93">
        <v>1104.5</v>
      </c>
      <c r="F39" s="93">
        <v>996.16200000000003</v>
      </c>
    </row>
    <row r="40" spans="1:18">
      <c r="A40" s="133"/>
      <c r="B40" s="133"/>
      <c r="C40" s="134"/>
      <c r="D40" s="85" t="s">
        <v>49</v>
      </c>
      <c r="E40" s="93">
        <v>311.58999999999997</v>
      </c>
      <c r="F40" s="93">
        <v>292.32600000000002</v>
      </c>
    </row>
    <row r="41" spans="1:18">
      <c r="A41" s="133"/>
      <c r="B41" s="133"/>
      <c r="C41" s="134"/>
      <c r="D41" s="85" t="s">
        <v>50</v>
      </c>
      <c r="E41" s="93">
        <v>299.88600000000002</v>
      </c>
      <c r="F41" s="93">
        <v>253.88900000000001</v>
      </c>
    </row>
    <row r="42" spans="1:18">
      <c r="A42" s="133"/>
      <c r="B42" s="133"/>
      <c r="C42" s="134"/>
      <c r="D42" s="84" t="s">
        <v>52</v>
      </c>
      <c r="E42" s="93">
        <v>257.29300000000001</v>
      </c>
      <c r="F42" s="93">
        <v>214.654</v>
      </c>
    </row>
    <row r="43" spans="1:18">
      <c r="A43" s="133"/>
      <c r="B43" s="133"/>
      <c r="C43" s="134"/>
      <c r="D43" s="84" t="s">
        <v>53</v>
      </c>
      <c r="E43" s="93">
        <v>230.24</v>
      </c>
      <c r="F43" s="93">
        <v>227.48</v>
      </c>
    </row>
    <row r="44" spans="1:18">
      <c r="A44" s="133"/>
      <c r="B44" s="133"/>
      <c r="C44" s="134"/>
      <c r="D44" s="80"/>
      <c r="E44" s="80">
        <f xml:space="preserve"> SUM(E40:E43)</f>
        <v>1099.009</v>
      </c>
      <c r="F44" s="80">
        <f xml:space="preserve"> SUM(F40:F43)</f>
        <v>988.34900000000005</v>
      </c>
      <c r="G44" s="80"/>
      <c r="H44" s="80"/>
      <c r="I44" s="94"/>
      <c r="J44" s="80"/>
      <c r="K44" s="80"/>
      <c r="L44" s="80"/>
      <c r="M44" s="80"/>
      <c r="N44" s="94"/>
      <c r="O44" s="84"/>
      <c r="P44" s="84"/>
      <c r="Q44" s="84"/>
      <c r="R44" s="84"/>
    </row>
    <row r="45" spans="1:18">
      <c r="A45" s="133"/>
      <c r="B45" s="133" t="s">
        <v>77</v>
      </c>
      <c r="C45" s="134"/>
      <c r="D45" s="84" t="s">
        <v>51</v>
      </c>
      <c r="E45" s="93">
        <v>1181.45</v>
      </c>
      <c r="F45" s="93">
        <v>1080.27</v>
      </c>
    </row>
    <row r="46" spans="1:18">
      <c r="A46" s="133"/>
      <c r="B46" s="133"/>
      <c r="C46" s="134"/>
      <c r="D46" s="85" t="s">
        <v>49</v>
      </c>
      <c r="E46" s="93">
        <v>283.55700000000002</v>
      </c>
      <c r="F46" s="93">
        <v>310.23599999999999</v>
      </c>
    </row>
    <row r="47" spans="1:18">
      <c r="A47" s="133"/>
      <c r="B47" s="133"/>
      <c r="C47" s="134"/>
      <c r="D47" s="85" t="s">
        <v>50</v>
      </c>
      <c r="E47" s="93">
        <v>321.77600000000001</v>
      </c>
      <c r="F47" s="93">
        <v>243.81</v>
      </c>
    </row>
    <row r="48" spans="1:18">
      <c r="A48" s="133"/>
      <c r="B48" s="133"/>
      <c r="C48" s="134"/>
      <c r="D48" s="84" t="s">
        <v>52</v>
      </c>
      <c r="E48" s="93">
        <v>260.97500000000002</v>
      </c>
      <c r="F48" s="93">
        <v>257.86700000000002</v>
      </c>
    </row>
    <row r="49" spans="1:18">
      <c r="A49" s="133"/>
      <c r="B49" s="133"/>
      <c r="C49" s="134"/>
      <c r="D49" s="84" t="s">
        <v>53</v>
      </c>
      <c r="E49" s="93">
        <v>293.63400000000001</v>
      </c>
      <c r="F49" s="93">
        <v>240</v>
      </c>
    </row>
    <row r="50" spans="1:18">
      <c r="A50" s="133"/>
      <c r="B50" s="133"/>
      <c r="C50" s="134"/>
      <c r="D50" s="80"/>
      <c r="E50" s="80">
        <f xml:space="preserve"> SUM(E46:E49)</f>
        <v>1159.942</v>
      </c>
      <c r="F50" s="80">
        <f xml:space="preserve"> SUM(F46:F49)</f>
        <v>1051.913</v>
      </c>
      <c r="G50" s="80"/>
      <c r="H50" s="80"/>
      <c r="I50" s="94"/>
      <c r="J50" s="80"/>
      <c r="K50" s="80"/>
      <c r="L50" s="80"/>
      <c r="M50" s="80"/>
      <c r="N50" s="94"/>
      <c r="O50" s="84"/>
      <c r="P50" s="84"/>
      <c r="Q50" s="84"/>
      <c r="R50" s="84"/>
    </row>
    <row r="51" spans="1:18">
      <c r="A51" s="133"/>
      <c r="B51" s="133" t="s">
        <v>78</v>
      </c>
      <c r="C51" s="134"/>
      <c r="D51" s="84" t="s">
        <v>51</v>
      </c>
    </row>
    <row r="52" spans="1:18">
      <c r="A52" s="133"/>
      <c r="B52" s="133"/>
      <c r="C52" s="134"/>
      <c r="D52" s="85" t="s">
        <v>49</v>
      </c>
    </row>
    <row r="53" spans="1:18">
      <c r="A53" s="133"/>
      <c r="B53" s="133"/>
      <c r="C53" s="134"/>
      <c r="D53" s="85" t="s">
        <v>50</v>
      </c>
    </row>
    <row r="54" spans="1:18">
      <c r="A54" s="133"/>
      <c r="B54" s="133"/>
      <c r="C54" s="134"/>
      <c r="D54" s="84" t="s">
        <v>52</v>
      </c>
    </row>
    <row r="55" spans="1:18">
      <c r="A55" s="133"/>
      <c r="B55" s="133"/>
      <c r="C55" s="134"/>
      <c r="D55" s="84" t="s">
        <v>53</v>
      </c>
    </row>
    <row r="56" spans="1:18">
      <c r="A56" s="133"/>
      <c r="B56" s="133"/>
      <c r="C56" s="134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/>
      <c r="M56" s="80"/>
      <c r="N56" s="94"/>
      <c r="O56" s="84"/>
      <c r="P56" s="84"/>
      <c r="Q56" s="84"/>
      <c r="R56" s="84"/>
    </row>
    <row r="57" spans="1:18">
      <c r="A57" s="133"/>
      <c r="B57" s="133" t="s">
        <v>79</v>
      </c>
      <c r="C57" s="134"/>
      <c r="D57" s="84" t="s">
        <v>51</v>
      </c>
    </row>
    <row r="58" spans="1:18">
      <c r="A58" s="133"/>
      <c r="B58" s="133"/>
      <c r="C58" s="134"/>
      <c r="D58" s="85" t="s">
        <v>49</v>
      </c>
    </row>
    <row r="59" spans="1:18">
      <c r="A59" s="133"/>
      <c r="B59" s="133"/>
      <c r="C59" s="134"/>
      <c r="D59" s="85" t="s">
        <v>50</v>
      </c>
    </row>
    <row r="60" spans="1:18">
      <c r="A60" s="133"/>
      <c r="B60" s="133"/>
      <c r="C60" s="134"/>
      <c r="D60" s="84" t="s">
        <v>52</v>
      </c>
    </row>
    <row r="61" spans="1:18">
      <c r="A61" s="133"/>
      <c r="B61" s="133"/>
      <c r="C61" s="134"/>
      <c r="D61" s="84" t="s">
        <v>53</v>
      </c>
    </row>
    <row r="62" spans="1:18">
      <c r="A62" s="133"/>
      <c r="B62" s="133"/>
      <c r="C62" s="134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/>
      <c r="M62" s="80"/>
      <c r="N62" s="94"/>
      <c r="O62" s="84"/>
      <c r="P62" s="84"/>
      <c r="Q62" s="84"/>
      <c r="R62" s="84"/>
    </row>
    <row r="63" spans="1:18">
      <c r="A63" s="133" t="s">
        <v>80</v>
      </c>
      <c r="B63" s="133" t="s">
        <v>79</v>
      </c>
      <c r="C63" s="133" t="s">
        <v>17</v>
      </c>
      <c r="D63" s="84" t="s">
        <v>51</v>
      </c>
      <c r="E63" s="64">
        <v>1723.42</v>
      </c>
      <c r="F63" s="64">
        <v>1521.6</v>
      </c>
    </row>
    <row r="64" spans="1:18">
      <c r="A64" s="133"/>
      <c r="B64" s="133"/>
      <c r="C64" s="133"/>
      <c r="D64" s="85" t="s">
        <v>49</v>
      </c>
      <c r="E64" s="64">
        <v>447.64800000000002</v>
      </c>
      <c r="F64" s="64">
        <v>440.93799999999999</v>
      </c>
    </row>
    <row r="65" spans="1:18">
      <c r="A65" s="133"/>
      <c r="B65" s="133"/>
      <c r="C65" s="133"/>
      <c r="D65" s="85" t="s">
        <v>50</v>
      </c>
      <c r="E65" s="64">
        <v>458.625</v>
      </c>
      <c r="F65" s="64">
        <v>385.94200000000001</v>
      </c>
    </row>
    <row r="66" spans="1:18">
      <c r="A66" s="133"/>
      <c r="B66" s="133"/>
      <c r="C66" s="133"/>
      <c r="D66" s="84" t="s">
        <v>52</v>
      </c>
      <c r="E66" s="64">
        <v>391.45499999999998</v>
      </c>
      <c r="F66" s="64">
        <v>348.32799999999997</v>
      </c>
    </row>
    <row r="67" spans="1:18">
      <c r="A67" s="133"/>
      <c r="B67" s="133"/>
      <c r="C67" s="133"/>
      <c r="D67" s="84" t="s">
        <v>53</v>
      </c>
      <c r="E67" s="64">
        <v>406.31900000000002</v>
      </c>
      <c r="F67" s="64">
        <v>339.27600000000001</v>
      </c>
    </row>
    <row r="68" spans="1:18">
      <c r="A68" s="133"/>
      <c r="B68" s="133"/>
      <c r="C68" s="133"/>
      <c r="D68" s="80"/>
      <c r="E68" s="80">
        <f xml:space="preserve"> SUM(E64:E67)</f>
        <v>1704.047</v>
      </c>
      <c r="F68" s="80">
        <f xml:space="preserve"> SUM(F64:F67)</f>
        <v>1514.4840000000002</v>
      </c>
      <c r="G68" s="80"/>
      <c r="H68" s="80"/>
      <c r="I68" s="94"/>
      <c r="J68" s="80"/>
      <c r="K68" s="80"/>
      <c r="L68" s="80"/>
      <c r="M68" s="80"/>
      <c r="N68" s="94"/>
      <c r="O68" s="84"/>
      <c r="P68" s="84"/>
      <c r="Q68" s="84"/>
      <c r="R68" s="84"/>
    </row>
    <row r="69" spans="1:18">
      <c r="A69" s="133" t="s">
        <v>82</v>
      </c>
      <c r="B69" s="133" t="s">
        <v>79</v>
      </c>
      <c r="C69" s="133" t="s">
        <v>17</v>
      </c>
      <c r="D69" s="84" t="s">
        <v>51</v>
      </c>
      <c r="E69" s="64">
        <v>812.19799999999998</v>
      </c>
      <c r="F69" s="106">
        <v>823.61300000000006</v>
      </c>
    </row>
    <row r="70" spans="1:18">
      <c r="A70" s="133"/>
      <c r="B70" s="133"/>
      <c r="C70" s="133"/>
      <c r="D70" s="85" t="s">
        <v>49</v>
      </c>
      <c r="E70" s="64">
        <v>213.321</v>
      </c>
      <c r="F70" s="64">
        <v>258.30399999999997</v>
      </c>
    </row>
    <row r="71" spans="1:18">
      <c r="A71" s="133"/>
      <c r="B71" s="133"/>
      <c r="C71" s="133"/>
      <c r="D71" s="85" t="s">
        <v>50</v>
      </c>
      <c r="E71" s="64">
        <v>214.03200000000001</v>
      </c>
      <c r="F71" s="64">
        <v>185.66499999999999</v>
      </c>
    </row>
    <row r="72" spans="1:18">
      <c r="A72" s="133"/>
      <c r="B72" s="133"/>
      <c r="C72" s="133"/>
      <c r="D72" s="84" t="s">
        <v>52</v>
      </c>
      <c r="E72" s="64">
        <v>189.08799999999999</v>
      </c>
      <c r="F72" s="64">
        <v>195.56299999999999</v>
      </c>
    </row>
    <row r="73" spans="1:18">
      <c r="A73" s="133"/>
      <c r="B73" s="133"/>
      <c r="C73" s="133"/>
      <c r="D73" s="84" t="s">
        <v>53</v>
      </c>
      <c r="E73" s="64">
        <v>185.13800000000001</v>
      </c>
      <c r="F73" s="64">
        <v>181.05</v>
      </c>
    </row>
    <row r="74" spans="1:18">
      <c r="A74" s="133"/>
      <c r="B74" s="133"/>
      <c r="C74" s="133"/>
      <c r="D74" s="80"/>
      <c r="E74" s="80">
        <f xml:space="preserve"> SUM(E70:E73)</f>
        <v>801.57900000000006</v>
      </c>
      <c r="F74" s="80">
        <f xml:space="preserve"> SUM(F70:F73)</f>
        <v>820.58199999999988</v>
      </c>
      <c r="G74" s="80"/>
      <c r="H74" s="80"/>
      <c r="I74" s="94"/>
      <c r="J74" s="80"/>
      <c r="K74" s="80"/>
      <c r="L74" s="80"/>
      <c r="M74" s="80"/>
      <c r="N74" s="94"/>
      <c r="O74" s="84"/>
      <c r="P74" s="84"/>
      <c r="Q74" s="84"/>
      <c r="R74" s="84"/>
    </row>
    <row r="75" spans="1:18">
      <c r="A75" s="133" t="s">
        <v>81</v>
      </c>
      <c r="B75" s="133" t="s">
        <v>83</v>
      </c>
      <c r="C75" s="133" t="s">
        <v>17</v>
      </c>
      <c r="D75" s="84" t="s">
        <v>51</v>
      </c>
      <c r="E75" s="64">
        <v>1647.77</v>
      </c>
      <c r="F75" s="64">
        <v>1711.85</v>
      </c>
    </row>
    <row r="76" spans="1:18">
      <c r="A76" s="133"/>
      <c r="B76" s="133"/>
      <c r="C76" s="133"/>
      <c r="D76" s="85" t="s">
        <v>49</v>
      </c>
      <c r="E76" s="64">
        <v>449.20400000000001</v>
      </c>
      <c r="F76" s="64">
        <v>490.72500000000002</v>
      </c>
    </row>
    <row r="77" spans="1:18">
      <c r="A77" s="133"/>
      <c r="B77" s="133"/>
      <c r="C77" s="133"/>
      <c r="D77" s="85" t="s">
        <v>50</v>
      </c>
      <c r="E77" s="64">
        <v>400.40100000000001</v>
      </c>
      <c r="F77" s="64">
        <v>423.77699999999999</v>
      </c>
    </row>
    <row r="78" spans="1:18">
      <c r="A78" s="133"/>
      <c r="B78" s="133"/>
      <c r="C78" s="133"/>
      <c r="D78" s="84" t="s">
        <v>52</v>
      </c>
      <c r="E78" s="64">
        <v>388.83600000000001</v>
      </c>
      <c r="F78" s="64">
        <v>405.59100000000001</v>
      </c>
    </row>
    <row r="79" spans="1:18">
      <c r="A79" s="133"/>
      <c r="B79" s="133"/>
      <c r="C79" s="133"/>
      <c r="D79" s="84" t="s">
        <v>53</v>
      </c>
      <c r="E79" s="64">
        <v>409.71499999999997</v>
      </c>
      <c r="F79" s="64">
        <v>392.26900000000001</v>
      </c>
    </row>
    <row r="80" spans="1:18">
      <c r="A80" s="133"/>
      <c r="B80" s="133"/>
      <c r="C80" s="133"/>
      <c r="D80" s="80"/>
      <c r="E80" s="80">
        <f xml:space="preserve"> SUM(E76:E79)</f>
        <v>1648.1559999999999</v>
      </c>
      <c r="F80" s="80">
        <f xml:space="preserve"> SUM(F76:F79)</f>
        <v>1712.3619999999999</v>
      </c>
      <c r="G80" s="80"/>
      <c r="H80" s="80"/>
      <c r="I80" s="94"/>
      <c r="J80" s="80"/>
      <c r="K80" s="80"/>
      <c r="L80" s="80"/>
      <c r="M80" s="80"/>
      <c r="N80" s="94"/>
      <c r="O80" s="84"/>
      <c r="P80" s="84"/>
      <c r="Q80" s="84"/>
      <c r="R80" s="84"/>
    </row>
    <row r="81" spans="1:18">
      <c r="A81" s="133"/>
      <c r="B81" s="133" t="s">
        <v>79</v>
      </c>
      <c r="C81" s="133" t="s">
        <v>17</v>
      </c>
      <c r="D81" s="84" t="s">
        <v>51</v>
      </c>
      <c r="E81" s="64">
        <v>955.73900000000003</v>
      </c>
      <c r="F81" s="64">
        <v>880.42200000000003</v>
      </c>
    </row>
    <row r="82" spans="1:18">
      <c r="A82" s="133"/>
      <c r="B82" s="133"/>
      <c r="C82" s="133"/>
      <c r="D82" s="85" t="s">
        <v>49</v>
      </c>
      <c r="E82" s="64">
        <v>284.12900000000002</v>
      </c>
      <c r="F82" s="64">
        <v>242.77199999999999</v>
      </c>
    </row>
    <row r="83" spans="1:18">
      <c r="A83" s="133"/>
      <c r="B83" s="133"/>
      <c r="C83" s="133"/>
      <c r="D83" s="85" t="s">
        <v>50</v>
      </c>
      <c r="E83" s="64">
        <v>219.24600000000001</v>
      </c>
      <c r="F83" s="64">
        <v>226.679</v>
      </c>
    </row>
    <row r="84" spans="1:18">
      <c r="A84" s="133"/>
      <c r="B84" s="133"/>
      <c r="C84" s="133"/>
      <c r="D84" s="84" t="s">
        <v>52</v>
      </c>
      <c r="E84" s="64">
        <v>242.822</v>
      </c>
      <c r="F84" s="64">
        <v>197.20099999999999</v>
      </c>
    </row>
    <row r="85" spans="1:18">
      <c r="A85" s="133"/>
      <c r="B85" s="133"/>
      <c r="C85" s="133"/>
      <c r="D85" s="84" t="s">
        <v>53</v>
      </c>
      <c r="E85" s="64">
        <v>209.65700000000001</v>
      </c>
      <c r="F85" s="64">
        <v>211.80600000000001</v>
      </c>
    </row>
    <row r="86" spans="1:18">
      <c r="A86" s="133"/>
      <c r="B86" s="133"/>
      <c r="C86" s="133"/>
      <c r="D86" s="80"/>
      <c r="E86" s="80">
        <f xml:space="preserve"> SUM(E82:E85)</f>
        <v>955.85400000000004</v>
      </c>
      <c r="F86" s="80">
        <f xml:space="preserve"> SUM(F82:F85)</f>
        <v>878.45800000000008</v>
      </c>
      <c r="G86" s="80"/>
      <c r="H86" s="80"/>
      <c r="I86" s="94"/>
      <c r="J86" s="80"/>
      <c r="K86" s="80"/>
      <c r="L86" s="80"/>
      <c r="M86" s="80"/>
      <c r="N86" s="94"/>
      <c r="O86" s="84"/>
      <c r="P86" s="84"/>
      <c r="Q86" s="84"/>
      <c r="R86" s="84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defaultFit_Inclusive</vt:lpstr>
      <vt:lpstr>defaultFit_Prompt</vt:lpstr>
      <vt:lpstr>defaultFit_NonPrompt</vt:lpstr>
      <vt:lpstr>fitSyst_Inclusive</vt:lpstr>
      <vt:lpstr>fitSyst_bFrac</vt:lpstr>
      <vt:lpstr>fitSyst_Prompt</vt:lpstr>
      <vt:lpstr>fitSyst_NonPrompt</vt:lpstr>
      <vt:lpstr>trgBiassing</vt:lpstr>
      <vt:lpstr>epSystematic</vt:lpstr>
      <vt:lpstr>zVtx_cut_10cm</vt:lpstr>
      <vt:lpstr>nbkg_defaultFit</vt:lpstr>
      <vt:lpstr>NcollNpart</vt:lpstr>
      <vt:lpstr>ep_CorrectionFactors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camelia mironov</cp:lastModifiedBy>
  <dcterms:created xsi:type="dcterms:W3CDTF">2012-01-24T10:20:27Z</dcterms:created>
  <dcterms:modified xsi:type="dcterms:W3CDTF">2012-03-08T21:49:01Z</dcterms:modified>
</cp:coreProperties>
</file>