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5" yWindow="-15" windowWidth="19050" windowHeight="4050" tabRatio="815" firstSheet="6" activeTab="9"/>
  </bookViews>
  <sheets>
    <sheet name="defaultFit_Inclusive" sheetId="4" r:id="rId1"/>
    <sheet name="defaultFit_Prompt" sheetId="13" r:id="rId2"/>
    <sheet name="defaultFit_NonPrompt" sheetId="14" r:id="rId3"/>
    <sheet name="fitSyst_Inclusive" sheetId="11" r:id="rId4"/>
    <sheet name="fitSyst_bFrac" sheetId="12" r:id="rId5"/>
    <sheet name="fitSyst_Prompt" sheetId="15" r:id="rId6"/>
    <sheet name="fitSyst_NonPrompt" sheetId="16" r:id="rId7"/>
    <sheet name="trgBiassing" sheetId="6" r:id="rId8"/>
    <sheet name="epSystematic" sheetId="9" r:id="rId9"/>
    <sheet name="zVtx_cut_10cm" sheetId="7" r:id="rId10"/>
    <sheet name="nbkg_defaultFit" sheetId="5" r:id="rId11"/>
    <sheet name="NcollNpart" sheetId="2" r:id="rId12"/>
    <sheet name="ep_CorrectionFactors" sheetId="3" r:id="rId13"/>
  </sheets>
  <definedNames>
    <definedName name="Cent" localSheetId="2">#REF!</definedName>
    <definedName name="Cent" localSheetId="1">#REF!</definedName>
    <definedName name="Cent" localSheetId="8">#REF!</definedName>
    <definedName name="Cent" localSheetId="6">#REF!</definedName>
    <definedName name="Cent" localSheetId="5">#REF!</definedName>
    <definedName name="Cent">#REF!</definedName>
    <definedName name="ep23_corr" localSheetId="2">#REF!</definedName>
    <definedName name="ep23_corr" localSheetId="1">#REF!</definedName>
    <definedName name="ep23_corr" localSheetId="8">#REF!</definedName>
    <definedName name="ep23_corr" localSheetId="6">#REF!</definedName>
    <definedName name="ep23_corr" localSheetId="5">#REF!</definedName>
    <definedName name="ep23_corr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0" i="7" l="1"/>
  <c r="F86" i="7"/>
  <c r="E80" i="11"/>
  <c r="H80" i="11"/>
  <c r="K80" i="11"/>
  <c r="E80" i="6"/>
  <c r="L80" i="6"/>
  <c r="E80" i="9"/>
  <c r="E80" i="7"/>
  <c r="G76" i="4"/>
  <c r="F80" i="11"/>
  <c r="I80" i="11"/>
  <c r="L80" i="11"/>
  <c r="F80" i="6"/>
  <c r="M80" i="6"/>
  <c r="H80" i="4"/>
  <c r="Y77" i="4"/>
  <c r="AA77" i="4"/>
  <c r="F80" i="9"/>
  <c r="J77" i="4"/>
  <c r="I86" i="4"/>
  <c r="I80" i="4"/>
  <c r="I74" i="4"/>
  <c r="I68" i="4"/>
  <c r="I50" i="4"/>
  <c r="I44" i="4"/>
  <c r="F86" i="4"/>
  <c r="F80" i="4"/>
  <c r="F74" i="4"/>
  <c r="F68" i="4"/>
  <c r="F50" i="4"/>
  <c r="E83" i="14"/>
  <c r="E82" i="14"/>
  <c r="E84" i="14"/>
  <c r="E85" i="14"/>
  <c r="E86" i="14"/>
  <c r="AH83" i="16"/>
  <c r="AH84" i="16"/>
  <c r="AH85" i="16"/>
  <c r="AH82" i="16"/>
  <c r="E77" i="14"/>
  <c r="E76" i="14"/>
  <c r="E78" i="14"/>
  <c r="E79" i="14"/>
  <c r="E80" i="14"/>
  <c r="AH77" i="16"/>
  <c r="AH78" i="16"/>
  <c r="AH79" i="16"/>
  <c r="AH76" i="16"/>
  <c r="H71" i="14"/>
  <c r="H70" i="14"/>
  <c r="H72" i="14"/>
  <c r="H73" i="14"/>
  <c r="H74" i="14"/>
  <c r="AI71" i="16"/>
  <c r="AI72" i="16"/>
  <c r="AI73" i="16"/>
  <c r="AI70" i="16"/>
  <c r="E71" i="14"/>
  <c r="E70" i="14"/>
  <c r="E72" i="14"/>
  <c r="E73" i="14"/>
  <c r="E74" i="14"/>
  <c r="AH71" i="16"/>
  <c r="AH72" i="16"/>
  <c r="AH73" i="16"/>
  <c r="AH70" i="16"/>
  <c r="E65" i="14"/>
  <c r="E64" i="14"/>
  <c r="E66" i="14"/>
  <c r="E67" i="14"/>
  <c r="E68" i="14"/>
  <c r="AH65" i="16"/>
  <c r="AH66" i="16"/>
  <c r="AH67" i="16"/>
  <c r="AH64" i="16"/>
  <c r="E47" i="14"/>
  <c r="E46" i="14"/>
  <c r="E48" i="14"/>
  <c r="E49" i="14"/>
  <c r="E50" i="14"/>
  <c r="AH47" i="16"/>
  <c r="AH48" i="16"/>
  <c r="AH49" i="16"/>
  <c r="AH46" i="16"/>
  <c r="E41" i="14"/>
  <c r="E40" i="14"/>
  <c r="E42" i="14"/>
  <c r="E43" i="14"/>
  <c r="E44" i="14"/>
  <c r="AH41" i="16"/>
  <c r="AH42" i="16"/>
  <c r="AH43" i="16"/>
  <c r="AH40" i="16"/>
  <c r="E35" i="14"/>
  <c r="E34" i="14"/>
  <c r="E36" i="14"/>
  <c r="E37" i="14"/>
  <c r="E38" i="14"/>
  <c r="AH35" i="16"/>
  <c r="AH36" i="16"/>
  <c r="AH37" i="16"/>
  <c r="AH34" i="16"/>
  <c r="E29" i="14"/>
  <c r="E28" i="14"/>
  <c r="E30" i="14"/>
  <c r="E31" i="14"/>
  <c r="E32" i="14"/>
  <c r="AH29" i="16"/>
  <c r="AH30" i="16"/>
  <c r="AH31" i="16"/>
  <c r="AH28" i="16"/>
  <c r="E23" i="14"/>
  <c r="E22" i="14"/>
  <c r="E24" i="14"/>
  <c r="E25" i="14"/>
  <c r="E26" i="14"/>
  <c r="AH23" i="16"/>
  <c r="AH24" i="16"/>
  <c r="AH25" i="16"/>
  <c r="AH22" i="16"/>
  <c r="E17" i="14"/>
  <c r="E16" i="14"/>
  <c r="E18" i="14"/>
  <c r="E19" i="14"/>
  <c r="E20" i="14"/>
  <c r="AH17" i="16"/>
  <c r="AH18" i="16"/>
  <c r="AH19" i="16"/>
  <c r="AH16" i="16"/>
  <c r="F83" i="16"/>
  <c r="F82" i="16"/>
  <c r="F84" i="16"/>
  <c r="F85" i="16"/>
  <c r="F86" i="16"/>
  <c r="H83" i="14"/>
  <c r="H82" i="14"/>
  <c r="H84" i="14"/>
  <c r="H85" i="14"/>
  <c r="H86" i="14"/>
  <c r="AI83" i="16"/>
  <c r="I83" i="16"/>
  <c r="I82" i="16"/>
  <c r="I84" i="16"/>
  <c r="I85" i="16"/>
  <c r="I86" i="16"/>
  <c r="L83" i="16"/>
  <c r="L82" i="16"/>
  <c r="L84" i="16"/>
  <c r="L85" i="16"/>
  <c r="L86" i="16"/>
  <c r="O83" i="16"/>
  <c r="O82" i="16"/>
  <c r="O84" i="16"/>
  <c r="O85" i="16"/>
  <c r="O86" i="16"/>
  <c r="R83" i="16"/>
  <c r="R82" i="16"/>
  <c r="R84" i="16"/>
  <c r="R85" i="16"/>
  <c r="R86" i="16"/>
  <c r="U83" i="16"/>
  <c r="U82" i="16"/>
  <c r="U84" i="16"/>
  <c r="U85" i="16"/>
  <c r="U86" i="16"/>
  <c r="X83" i="16"/>
  <c r="X82" i="16"/>
  <c r="X84" i="16"/>
  <c r="X85" i="16"/>
  <c r="X86" i="16"/>
  <c r="AA83" i="16"/>
  <c r="AA82" i="16"/>
  <c r="AA84" i="16"/>
  <c r="AA85" i="16"/>
  <c r="AA86" i="16"/>
  <c r="AD83" i="16"/>
  <c r="AD82" i="16"/>
  <c r="AD84" i="16"/>
  <c r="AD85" i="16"/>
  <c r="AD86" i="16"/>
  <c r="AF83" i="16"/>
  <c r="AI84" i="16"/>
  <c r="AF84" i="16"/>
  <c r="AI85" i="16"/>
  <c r="AF85" i="16"/>
  <c r="AI82" i="16"/>
  <c r="AF82" i="16"/>
  <c r="E83" i="16"/>
  <c r="E82" i="16"/>
  <c r="E84" i="16"/>
  <c r="E85" i="16"/>
  <c r="E86" i="16"/>
  <c r="H83" i="16"/>
  <c r="H82" i="16"/>
  <c r="H84" i="16"/>
  <c r="H85" i="16"/>
  <c r="H86" i="16"/>
  <c r="K83" i="16"/>
  <c r="K82" i="16"/>
  <c r="K84" i="16"/>
  <c r="K85" i="16"/>
  <c r="K86" i="16"/>
  <c r="N83" i="16"/>
  <c r="N82" i="16"/>
  <c r="N84" i="16"/>
  <c r="N85" i="16"/>
  <c r="N86" i="16"/>
  <c r="Q83" i="16"/>
  <c r="Q82" i="16"/>
  <c r="Q84" i="16"/>
  <c r="Q85" i="16"/>
  <c r="Q86" i="16"/>
  <c r="T83" i="16"/>
  <c r="T82" i="16"/>
  <c r="T84" i="16"/>
  <c r="T85" i="16"/>
  <c r="T86" i="16"/>
  <c r="W83" i="16"/>
  <c r="W82" i="16"/>
  <c r="W84" i="16"/>
  <c r="W85" i="16"/>
  <c r="W86" i="16"/>
  <c r="Z83" i="16"/>
  <c r="Z82" i="16"/>
  <c r="Z84" i="16"/>
  <c r="Z85" i="16"/>
  <c r="Z86" i="16"/>
  <c r="AC83" i="16"/>
  <c r="AC82" i="16"/>
  <c r="AC84" i="16"/>
  <c r="AC85" i="16"/>
  <c r="AC86" i="16"/>
  <c r="AE83" i="16"/>
  <c r="AE84" i="16"/>
  <c r="AE85" i="16"/>
  <c r="AE82" i="16"/>
  <c r="F77" i="16"/>
  <c r="F76" i="16"/>
  <c r="F78" i="16"/>
  <c r="F79" i="16"/>
  <c r="F80" i="16"/>
  <c r="H77" i="14"/>
  <c r="H76" i="14"/>
  <c r="H78" i="14"/>
  <c r="H79" i="14"/>
  <c r="H80" i="14"/>
  <c r="AI77" i="16"/>
  <c r="I77" i="16"/>
  <c r="I76" i="16"/>
  <c r="I78" i="16"/>
  <c r="I79" i="16"/>
  <c r="I80" i="16"/>
  <c r="L77" i="16"/>
  <c r="L76" i="16"/>
  <c r="L78" i="16"/>
  <c r="L79" i="16"/>
  <c r="L80" i="16"/>
  <c r="O77" i="16"/>
  <c r="O76" i="16"/>
  <c r="O78" i="16"/>
  <c r="O79" i="16"/>
  <c r="O80" i="16"/>
  <c r="R77" i="16"/>
  <c r="R76" i="16"/>
  <c r="R78" i="16"/>
  <c r="R79" i="16"/>
  <c r="R80" i="16"/>
  <c r="U77" i="16"/>
  <c r="U76" i="16"/>
  <c r="U78" i="16"/>
  <c r="U79" i="16"/>
  <c r="U80" i="16"/>
  <c r="X77" i="16"/>
  <c r="X76" i="16"/>
  <c r="X78" i="16"/>
  <c r="X79" i="16"/>
  <c r="X80" i="16"/>
  <c r="AA77" i="16"/>
  <c r="AA76" i="16"/>
  <c r="AA78" i="16"/>
  <c r="AA79" i="16"/>
  <c r="AA80" i="16"/>
  <c r="AD77" i="16"/>
  <c r="AD76" i="16"/>
  <c r="AD78" i="16"/>
  <c r="AD79" i="16"/>
  <c r="AD80" i="16"/>
  <c r="AF77" i="16"/>
  <c r="AI78" i="16"/>
  <c r="AF78" i="16"/>
  <c r="AI79" i="16"/>
  <c r="AF79" i="16"/>
  <c r="AI76" i="16"/>
  <c r="AF76" i="16"/>
  <c r="E77" i="16"/>
  <c r="E76" i="16"/>
  <c r="E78" i="16"/>
  <c r="E79" i="16"/>
  <c r="E80" i="16"/>
  <c r="H77" i="16"/>
  <c r="H76" i="16"/>
  <c r="H78" i="16"/>
  <c r="H79" i="16"/>
  <c r="H80" i="16"/>
  <c r="K77" i="16"/>
  <c r="K76" i="16"/>
  <c r="K78" i="16"/>
  <c r="K79" i="16"/>
  <c r="K80" i="16"/>
  <c r="N77" i="16"/>
  <c r="N76" i="16"/>
  <c r="N78" i="16"/>
  <c r="N79" i="16"/>
  <c r="N80" i="16"/>
  <c r="Q77" i="16"/>
  <c r="Q76" i="16"/>
  <c r="Q78" i="16"/>
  <c r="Q79" i="16"/>
  <c r="Q80" i="16"/>
  <c r="T77" i="16"/>
  <c r="T76" i="16"/>
  <c r="T78" i="16"/>
  <c r="T79" i="16"/>
  <c r="T80" i="16"/>
  <c r="W77" i="16"/>
  <c r="W76" i="16"/>
  <c r="W78" i="16"/>
  <c r="W79" i="16"/>
  <c r="W80" i="16"/>
  <c r="Z77" i="16"/>
  <c r="Z76" i="16"/>
  <c r="Z78" i="16"/>
  <c r="Z79" i="16"/>
  <c r="Z80" i="16"/>
  <c r="AC77" i="16"/>
  <c r="AC76" i="16"/>
  <c r="AC78" i="16"/>
  <c r="AC79" i="16"/>
  <c r="AC80" i="16"/>
  <c r="AE77" i="16"/>
  <c r="AE78" i="16"/>
  <c r="AE79" i="16"/>
  <c r="AE76" i="16"/>
  <c r="F71" i="16"/>
  <c r="F70" i="16"/>
  <c r="F72" i="16"/>
  <c r="F73" i="16"/>
  <c r="F74" i="16"/>
  <c r="I71" i="16"/>
  <c r="I70" i="16"/>
  <c r="I72" i="16"/>
  <c r="I73" i="16"/>
  <c r="I74" i="16"/>
  <c r="L71" i="16"/>
  <c r="L70" i="16"/>
  <c r="L72" i="16"/>
  <c r="L73" i="16"/>
  <c r="L74" i="16"/>
  <c r="O71" i="16"/>
  <c r="O70" i="16"/>
  <c r="O72" i="16"/>
  <c r="O73" i="16"/>
  <c r="O74" i="16"/>
  <c r="R71" i="16"/>
  <c r="R70" i="16"/>
  <c r="R72" i="16"/>
  <c r="R73" i="16"/>
  <c r="R74" i="16"/>
  <c r="U71" i="16"/>
  <c r="U70" i="16"/>
  <c r="U72" i="16"/>
  <c r="U73" i="16"/>
  <c r="U74" i="16"/>
  <c r="X71" i="16"/>
  <c r="X70" i="16"/>
  <c r="X72" i="16"/>
  <c r="X73" i="16"/>
  <c r="X74" i="16"/>
  <c r="AA71" i="16"/>
  <c r="AA70" i="16"/>
  <c r="AA72" i="16"/>
  <c r="AA73" i="16"/>
  <c r="AA74" i="16"/>
  <c r="AD71" i="16"/>
  <c r="AD70" i="16"/>
  <c r="AD72" i="16"/>
  <c r="AD73" i="16"/>
  <c r="AD74" i="16"/>
  <c r="AF71" i="16"/>
  <c r="AF72" i="16"/>
  <c r="AF73" i="16"/>
  <c r="AF70" i="16"/>
  <c r="E71" i="16"/>
  <c r="E70" i="16"/>
  <c r="E72" i="16"/>
  <c r="E73" i="16"/>
  <c r="E74" i="16"/>
  <c r="H71" i="16"/>
  <c r="H70" i="16"/>
  <c r="H72" i="16"/>
  <c r="H73" i="16"/>
  <c r="H74" i="16"/>
  <c r="K71" i="16"/>
  <c r="K70" i="16"/>
  <c r="K72" i="16"/>
  <c r="K73" i="16"/>
  <c r="K74" i="16"/>
  <c r="N71" i="16"/>
  <c r="N70" i="16"/>
  <c r="N72" i="16"/>
  <c r="N73" i="16"/>
  <c r="N74" i="16"/>
  <c r="Q71" i="16"/>
  <c r="Q70" i="16"/>
  <c r="Q72" i="16"/>
  <c r="Q73" i="16"/>
  <c r="Q74" i="16"/>
  <c r="T71" i="16"/>
  <c r="T70" i="16"/>
  <c r="T72" i="16"/>
  <c r="T73" i="16"/>
  <c r="T74" i="16"/>
  <c r="W71" i="16"/>
  <c r="W70" i="16"/>
  <c r="W72" i="16"/>
  <c r="W73" i="16"/>
  <c r="W74" i="16"/>
  <c r="Z71" i="16"/>
  <c r="Z70" i="16"/>
  <c r="Z72" i="16"/>
  <c r="Z73" i="16"/>
  <c r="Z74" i="16"/>
  <c r="AC71" i="16"/>
  <c r="AC70" i="16"/>
  <c r="AC72" i="16"/>
  <c r="AC73" i="16"/>
  <c r="AC74" i="16"/>
  <c r="AE71" i="16"/>
  <c r="AE72" i="16"/>
  <c r="AE73" i="16"/>
  <c r="AE70" i="16"/>
  <c r="F65" i="16"/>
  <c r="F64" i="16"/>
  <c r="F66" i="16"/>
  <c r="F67" i="16"/>
  <c r="F68" i="16"/>
  <c r="H65" i="14"/>
  <c r="H64" i="14"/>
  <c r="H66" i="14"/>
  <c r="H67" i="14"/>
  <c r="H68" i="14"/>
  <c r="AI65" i="16"/>
  <c r="I65" i="16"/>
  <c r="I64" i="16"/>
  <c r="I66" i="16"/>
  <c r="I67" i="16"/>
  <c r="I68" i="16"/>
  <c r="L65" i="16"/>
  <c r="L64" i="16"/>
  <c r="L66" i="16"/>
  <c r="L67" i="16"/>
  <c r="L68" i="16"/>
  <c r="O65" i="16"/>
  <c r="O64" i="16"/>
  <c r="O66" i="16"/>
  <c r="O67" i="16"/>
  <c r="O68" i="16"/>
  <c r="R65" i="16"/>
  <c r="R64" i="16"/>
  <c r="R66" i="16"/>
  <c r="R67" i="16"/>
  <c r="R68" i="16"/>
  <c r="U65" i="16"/>
  <c r="U64" i="16"/>
  <c r="U66" i="16"/>
  <c r="U67" i="16"/>
  <c r="U68" i="16"/>
  <c r="X65" i="16"/>
  <c r="X64" i="16"/>
  <c r="X66" i="16"/>
  <c r="X67" i="16"/>
  <c r="X68" i="16"/>
  <c r="AA65" i="16"/>
  <c r="AA64" i="16"/>
  <c r="AA66" i="16"/>
  <c r="AA67" i="16"/>
  <c r="AA68" i="16"/>
  <c r="AD65" i="16"/>
  <c r="AD64" i="16"/>
  <c r="AD66" i="16"/>
  <c r="AD67" i="16"/>
  <c r="AD68" i="16"/>
  <c r="AF65" i="16"/>
  <c r="AI66" i="16"/>
  <c r="AF66" i="16"/>
  <c r="AI67" i="16"/>
  <c r="AF67" i="16"/>
  <c r="AI64" i="16"/>
  <c r="AF64" i="16"/>
  <c r="E65" i="16"/>
  <c r="E4" i="16"/>
  <c r="E5" i="16"/>
  <c r="E6" i="16"/>
  <c r="E7" i="16"/>
  <c r="E8" i="16"/>
  <c r="H65" i="16"/>
  <c r="H4" i="16"/>
  <c r="H5" i="16"/>
  <c r="H6" i="16"/>
  <c r="H7" i="16"/>
  <c r="H8" i="16"/>
  <c r="K65" i="16"/>
  <c r="K4" i="16"/>
  <c r="K5" i="16"/>
  <c r="K6" i="16"/>
  <c r="K7" i="16"/>
  <c r="K8" i="16"/>
  <c r="N65" i="16"/>
  <c r="N4" i="16"/>
  <c r="N5" i="16"/>
  <c r="N6" i="16"/>
  <c r="N7" i="16"/>
  <c r="N8" i="16"/>
  <c r="Q65" i="16"/>
  <c r="Q4" i="16"/>
  <c r="Q5" i="16"/>
  <c r="Q6" i="16"/>
  <c r="Q7" i="16"/>
  <c r="Q8" i="16"/>
  <c r="T65" i="16"/>
  <c r="T4" i="16"/>
  <c r="T5" i="16"/>
  <c r="T6" i="16"/>
  <c r="T7" i="16"/>
  <c r="T8" i="16"/>
  <c r="W65" i="16"/>
  <c r="W4" i="16"/>
  <c r="W5" i="16"/>
  <c r="W6" i="16"/>
  <c r="W7" i="16"/>
  <c r="W8" i="16"/>
  <c r="Z65" i="16"/>
  <c r="Z4" i="16"/>
  <c r="Z5" i="16"/>
  <c r="Z6" i="16"/>
  <c r="Z7" i="16"/>
  <c r="Z8" i="16"/>
  <c r="AC65" i="16"/>
  <c r="AC4" i="16"/>
  <c r="AC5" i="16"/>
  <c r="AC6" i="16"/>
  <c r="AC7" i="16"/>
  <c r="AC8" i="16"/>
  <c r="AE65" i="16"/>
  <c r="E66" i="16"/>
  <c r="H66" i="16"/>
  <c r="K66" i="16"/>
  <c r="N66" i="16"/>
  <c r="Q66" i="16"/>
  <c r="T66" i="16"/>
  <c r="W66" i="16"/>
  <c r="Z66" i="16"/>
  <c r="AC66" i="16"/>
  <c r="AE66" i="16"/>
  <c r="E67" i="16"/>
  <c r="H67" i="16"/>
  <c r="K67" i="16"/>
  <c r="N67" i="16"/>
  <c r="Q67" i="16"/>
  <c r="T67" i="16"/>
  <c r="W67" i="16"/>
  <c r="Z67" i="16"/>
  <c r="AC67" i="16"/>
  <c r="AE67" i="16"/>
  <c r="E64" i="16"/>
  <c r="H64" i="16"/>
  <c r="K64" i="16"/>
  <c r="N64" i="16"/>
  <c r="Q64" i="16"/>
  <c r="T64" i="16"/>
  <c r="W64" i="16"/>
  <c r="Z64" i="16"/>
  <c r="AC64" i="16"/>
  <c r="AE64" i="16"/>
  <c r="F47" i="16"/>
  <c r="F46" i="16"/>
  <c r="F48" i="16"/>
  <c r="F49" i="16"/>
  <c r="F50" i="16"/>
  <c r="H47" i="14"/>
  <c r="H46" i="14"/>
  <c r="H48" i="14"/>
  <c r="H49" i="14"/>
  <c r="H50" i="14"/>
  <c r="AI47" i="16"/>
  <c r="I47" i="16"/>
  <c r="I46" i="16"/>
  <c r="I48" i="16"/>
  <c r="I49" i="16"/>
  <c r="I50" i="16"/>
  <c r="L47" i="16"/>
  <c r="L46" i="16"/>
  <c r="L48" i="16"/>
  <c r="L49" i="16"/>
  <c r="L50" i="16"/>
  <c r="O47" i="16"/>
  <c r="O46" i="16"/>
  <c r="O48" i="16"/>
  <c r="O49" i="16"/>
  <c r="O50" i="16"/>
  <c r="R47" i="16"/>
  <c r="R46" i="16"/>
  <c r="R48" i="16"/>
  <c r="R49" i="16"/>
  <c r="R50" i="16"/>
  <c r="U47" i="16"/>
  <c r="U46" i="16"/>
  <c r="U48" i="16"/>
  <c r="U49" i="16"/>
  <c r="U50" i="16"/>
  <c r="X47" i="16"/>
  <c r="X46" i="16"/>
  <c r="X48" i="16"/>
  <c r="X49" i="16"/>
  <c r="X50" i="16"/>
  <c r="AA47" i="16"/>
  <c r="AA46" i="16"/>
  <c r="AA48" i="16"/>
  <c r="AA49" i="16"/>
  <c r="AA50" i="16"/>
  <c r="AD47" i="16"/>
  <c r="AD46" i="16"/>
  <c r="AD48" i="16"/>
  <c r="AD49" i="16"/>
  <c r="AD50" i="16"/>
  <c r="AF47" i="16"/>
  <c r="AI48" i="16"/>
  <c r="AF48" i="16"/>
  <c r="AI49" i="16"/>
  <c r="AF49" i="16"/>
  <c r="AI46" i="16"/>
  <c r="AF46" i="16"/>
  <c r="E47" i="16"/>
  <c r="E46" i="16"/>
  <c r="E48" i="16"/>
  <c r="E49" i="16"/>
  <c r="E50" i="16"/>
  <c r="H47" i="16"/>
  <c r="H46" i="16"/>
  <c r="H48" i="16"/>
  <c r="H49" i="16"/>
  <c r="H50" i="16"/>
  <c r="K47" i="16"/>
  <c r="K46" i="16"/>
  <c r="K48" i="16"/>
  <c r="K49" i="16"/>
  <c r="K50" i="16"/>
  <c r="N47" i="16"/>
  <c r="N46" i="16"/>
  <c r="N48" i="16"/>
  <c r="N49" i="16"/>
  <c r="N50" i="16"/>
  <c r="Q47" i="16"/>
  <c r="Q46" i="16"/>
  <c r="Q48" i="16"/>
  <c r="Q49" i="16"/>
  <c r="Q50" i="16"/>
  <c r="T47" i="16"/>
  <c r="T46" i="16"/>
  <c r="T48" i="16"/>
  <c r="T49" i="16"/>
  <c r="T50" i="16"/>
  <c r="W47" i="16"/>
  <c r="W46" i="16"/>
  <c r="W48" i="16"/>
  <c r="W49" i="16"/>
  <c r="W50" i="16"/>
  <c r="Z47" i="16"/>
  <c r="Z46" i="16"/>
  <c r="Z48" i="16"/>
  <c r="Z49" i="16"/>
  <c r="Z50" i="16"/>
  <c r="AC47" i="16"/>
  <c r="AC46" i="16"/>
  <c r="AC48" i="16"/>
  <c r="AC49" i="16"/>
  <c r="AC50" i="16"/>
  <c r="AE47" i="16"/>
  <c r="AE48" i="16"/>
  <c r="AE49" i="16"/>
  <c r="AE46" i="16"/>
  <c r="F41" i="16"/>
  <c r="F40" i="16"/>
  <c r="F42" i="16"/>
  <c r="F43" i="16"/>
  <c r="F44" i="16"/>
  <c r="H41" i="14"/>
  <c r="H40" i="14"/>
  <c r="H42" i="14"/>
  <c r="H43" i="14"/>
  <c r="H44" i="14"/>
  <c r="AI41" i="16"/>
  <c r="I41" i="16"/>
  <c r="I40" i="16"/>
  <c r="I42" i="16"/>
  <c r="I43" i="16"/>
  <c r="I44" i="16"/>
  <c r="L41" i="16"/>
  <c r="L40" i="16"/>
  <c r="L42" i="16"/>
  <c r="L43" i="16"/>
  <c r="L44" i="16"/>
  <c r="O41" i="16"/>
  <c r="O40" i="16"/>
  <c r="O42" i="16"/>
  <c r="O43" i="16"/>
  <c r="O44" i="16"/>
  <c r="R41" i="16"/>
  <c r="R40" i="16"/>
  <c r="R42" i="16"/>
  <c r="R43" i="16"/>
  <c r="R44" i="16"/>
  <c r="U41" i="16"/>
  <c r="U40" i="16"/>
  <c r="U42" i="16"/>
  <c r="U43" i="16"/>
  <c r="U44" i="16"/>
  <c r="X41" i="16"/>
  <c r="X40" i="16"/>
  <c r="X42" i="16"/>
  <c r="X43" i="16"/>
  <c r="X44" i="16"/>
  <c r="AA41" i="16"/>
  <c r="AA40" i="16"/>
  <c r="AA42" i="16"/>
  <c r="AA43" i="16"/>
  <c r="AA44" i="16"/>
  <c r="AD41" i="16"/>
  <c r="AD40" i="16"/>
  <c r="AD42" i="16"/>
  <c r="AD43" i="16"/>
  <c r="AD44" i="16"/>
  <c r="AF41" i="16"/>
  <c r="AI42" i="16"/>
  <c r="AF42" i="16"/>
  <c r="AI43" i="16"/>
  <c r="AF43" i="16"/>
  <c r="AI40" i="16"/>
  <c r="AF40" i="16"/>
  <c r="E41" i="16"/>
  <c r="E40" i="16"/>
  <c r="E42" i="16"/>
  <c r="E43" i="16"/>
  <c r="E44" i="16"/>
  <c r="H41" i="16"/>
  <c r="H40" i="16"/>
  <c r="H42" i="16"/>
  <c r="H43" i="16"/>
  <c r="H44" i="16"/>
  <c r="K41" i="16"/>
  <c r="K40" i="16"/>
  <c r="K42" i="16"/>
  <c r="K43" i="16"/>
  <c r="K44" i="16"/>
  <c r="N41" i="16"/>
  <c r="N40" i="16"/>
  <c r="N42" i="16"/>
  <c r="N43" i="16"/>
  <c r="N44" i="16"/>
  <c r="Q41" i="16"/>
  <c r="Q40" i="16"/>
  <c r="Q42" i="16"/>
  <c r="Q43" i="16"/>
  <c r="Q44" i="16"/>
  <c r="T41" i="16"/>
  <c r="T40" i="16"/>
  <c r="T42" i="16"/>
  <c r="T43" i="16"/>
  <c r="T44" i="16"/>
  <c r="W41" i="16"/>
  <c r="W40" i="16"/>
  <c r="W42" i="16"/>
  <c r="W43" i="16"/>
  <c r="W44" i="16"/>
  <c r="Z41" i="16"/>
  <c r="Z40" i="16"/>
  <c r="Z42" i="16"/>
  <c r="Z43" i="16"/>
  <c r="Z44" i="16"/>
  <c r="AC41" i="16"/>
  <c r="AC40" i="16"/>
  <c r="AC42" i="16"/>
  <c r="AC43" i="16"/>
  <c r="AC44" i="16"/>
  <c r="AE41" i="16"/>
  <c r="AE42" i="16"/>
  <c r="AE43" i="16"/>
  <c r="AE40" i="16"/>
  <c r="F35" i="16"/>
  <c r="F34" i="16"/>
  <c r="F36" i="16"/>
  <c r="F37" i="16"/>
  <c r="F38" i="16"/>
  <c r="H35" i="14"/>
  <c r="H34" i="14"/>
  <c r="H36" i="14"/>
  <c r="H37" i="14"/>
  <c r="H38" i="14"/>
  <c r="AI35" i="16"/>
  <c r="I35" i="16"/>
  <c r="I34" i="16"/>
  <c r="I36" i="16"/>
  <c r="I37" i="16"/>
  <c r="I38" i="16"/>
  <c r="L35" i="16"/>
  <c r="L34" i="16"/>
  <c r="L36" i="16"/>
  <c r="L37" i="16"/>
  <c r="L38" i="16"/>
  <c r="O35" i="16"/>
  <c r="O34" i="16"/>
  <c r="O36" i="16"/>
  <c r="O37" i="16"/>
  <c r="O38" i="16"/>
  <c r="R35" i="16"/>
  <c r="R34" i="16"/>
  <c r="R36" i="16"/>
  <c r="R37" i="16"/>
  <c r="R38" i="16"/>
  <c r="U35" i="16"/>
  <c r="U34" i="16"/>
  <c r="U36" i="16"/>
  <c r="U37" i="16"/>
  <c r="U38" i="16"/>
  <c r="X35" i="16"/>
  <c r="X34" i="16"/>
  <c r="X36" i="16"/>
  <c r="X37" i="16"/>
  <c r="X38" i="16"/>
  <c r="AA35" i="16"/>
  <c r="AA34" i="16"/>
  <c r="AA36" i="16"/>
  <c r="AA37" i="16"/>
  <c r="AA38" i="16"/>
  <c r="AD35" i="16"/>
  <c r="AD34" i="16"/>
  <c r="AD36" i="16"/>
  <c r="AD37" i="16"/>
  <c r="AD38" i="16"/>
  <c r="AF35" i="16"/>
  <c r="AI36" i="16"/>
  <c r="AF36" i="16"/>
  <c r="AI37" i="16"/>
  <c r="AF37" i="16"/>
  <c r="AI34" i="16"/>
  <c r="AF34" i="16"/>
  <c r="E35" i="16"/>
  <c r="E34" i="16"/>
  <c r="E36" i="16"/>
  <c r="E37" i="16"/>
  <c r="E38" i="16"/>
  <c r="H35" i="16"/>
  <c r="H34" i="16"/>
  <c r="H36" i="16"/>
  <c r="H37" i="16"/>
  <c r="H38" i="16"/>
  <c r="K35" i="16"/>
  <c r="K34" i="16"/>
  <c r="K36" i="16"/>
  <c r="K37" i="16"/>
  <c r="K38" i="16"/>
  <c r="N35" i="16"/>
  <c r="N34" i="16"/>
  <c r="N36" i="16"/>
  <c r="N37" i="16"/>
  <c r="N38" i="16"/>
  <c r="Q35" i="16"/>
  <c r="Q34" i="16"/>
  <c r="Q36" i="16"/>
  <c r="Q37" i="16"/>
  <c r="Q38" i="16"/>
  <c r="T35" i="16"/>
  <c r="T34" i="16"/>
  <c r="T36" i="16"/>
  <c r="T37" i="16"/>
  <c r="T38" i="16"/>
  <c r="W35" i="16"/>
  <c r="W34" i="16"/>
  <c r="W36" i="16"/>
  <c r="W37" i="16"/>
  <c r="W38" i="16"/>
  <c r="Z35" i="16"/>
  <c r="Z34" i="16"/>
  <c r="Z36" i="16"/>
  <c r="Z37" i="16"/>
  <c r="Z38" i="16"/>
  <c r="AC35" i="16"/>
  <c r="AC34" i="16"/>
  <c r="AC36" i="16"/>
  <c r="AC37" i="16"/>
  <c r="AC38" i="16"/>
  <c r="AE35" i="16"/>
  <c r="AE36" i="16"/>
  <c r="AE37" i="16"/>
  <c r="AE34" i="16"/>
  <c r="F29" i="16"/>
  <c r="F28" i="16"/>
  <c r="F30" i="16"/>
  <c r="F31" i="16"/>
  <c r="F32" i="16"/>
  <c r="H29" i="14"/>
  <c r="H28" i="14"/>
  <c r="H30" i="14"/>
  <c r="H31" i="14"/>
  <c r="H32" i="14"/>
  <c r="AI29" i="16"/>
  <c r="I29" i="16"/>
  <c r="I28" i="16"/>
  <c r="I30" i="16"/>
  <c r="I31" i="16"/>
  <c r="I32" i="16"/>
  <c r="L29" i="16"/>
  <c r="L28" i="16"/>
  <c r="L30" i="16"/>
  <c r="L31" i="16"/>
  <c r="L32" i="16"/>
  <c r="O29" i="16"/>
  <c r="O28" i="16"/>
  <c r="O30" i="16"/>
  <c r="O31" i="16"/>
  <c r="O32" i="16"/>
  <c r="R29" i="16"/>
  <c r="R28" i="16"/>
  <c r="R30" i="16"/>
  <c r="R31" i="16"/>
  <c r="R32" i="16"/>
  <c r="U29" i="16"/>
  <c r="U28" i="16"/>
  <c r="U30" i="16"/>
  <c r="U31" i="16"/>
  <c r="U32" i="16"/>
  <c r="X29" i="16"/>
  <c r="X28" i="16"/>
  <c r="X30" i="16"/>
  <c r="X31" i="16"/>
  <c r="X32" i="16"/>
  <c r="AA29" i="16"/>
  <c r="AA28" i="16"/>
  <c r="AA30" i="16"/>
  <c r="AA31" i="16"/>
  <c r="AA32" i="16"/>
  <c r="AD29" i="16"/>
  <c r="AD28" i="16"/>
  <c r="AD30" i="16"/>
  <c r="AD31" i="16"/>
  <c r="AD32" i="16"/>
  <c r="AF29" i="16"/>
  <c r="AI30" i="16"/>
  <c r="AF30" i="16"/>
  <c r="AI31" i="16"/>
  <c r="AF31" i="16"/>
  <c r="AI28" i="16"/>
  <c r="AF28" i="16"/>
  <c r="E29" i="16"/>
  <c r="E28" i="16"/>
  <c r="E30" i="16"/>
  <c r="E31" i="16"/>
  <c r="E32" i="16"/>
  <c r="H29" i="16"/>
  <c r="H28" i="16"/>
  <c r="H30" i="16"/>
  <c r="H31" i="16"/>
  <c r="H32" i="16"/>
  <c r="K29" i="16"/>
  <c r="K28" i="16"/>
  <c r="K30" i="16"/>
  <c r="K31" i="16"/>
  <c r="K32" i="16"/>
  <c r="N29" i="16"/>
  <c r="N28" i="16"/>
  <c r="N30" i="16"/>
  <c r="N31" i="16"/>
  <c r="N32" i="16"/>
  <c r="Q29" i="16"/>
  <c r="Q28" i="16"/>
  <c r="Q30" i="16"/>
  <c r="Q31" i="16"/>
  <c r="Q32" i="16"/>
  <c r="T29" i="16"/>
  <c r="T28" i="16"/>
  <c r="T30" i="16"/>
  <c r="T31" i="16"/>
  <c r="T32" i="16"/>
  <c r="W29" i="16"/>
  <c r="W28" i="16"/>
  <c r="W30" i="16"/>
  <c r="W31" i="16"/>
  <c r="W32" i="16"/>
  <c r="Z29" i="16"/>
  <c r="Z28" i="16"/>
  <c r="Z30" i="16"/>
  <c r="Z31" i="16"/>
  <c r="Z32" i="16"/>
  <c r="AC29" i="16"/>
  <c r="AC28" i="16"/>
  <c r="AC30" i="16"/>
  <c r="AC31" i="16"/>
  <c r="AC32" i="16"/>
  <c r="AE29" i="16"/>
  <c r="AE30" i="16"/>
  <c r="AE31" i="16"/>
  <c r="AE28" i="16"/>
  <c r="F23" i="16"/>
  <c r="F22" i="16"/>
  <c r="F24" i="16"/>
  <c r="F25" i="16"/>
  <c r="F26" i="16"/>
  <c r="H23" i="14"/>
  <c r="H22" i="14"/>
  <c r="H24" i="14"/>
  <c r="H25" i="14"/>
  <c r="H26" i="14"/>
  <c r="AI23" i="16"/>
  <c r="I23" i="16"/>
  <c r="I22" i="16"/>
  <c r="I24" i="16"/>
  <c r="I25" i="16"/>
  <c r="I26" i="16"/>
  <c r="L23" i="16"/>
  <c r="L22" i="16"/>
  <c r="L24" i="16"/>
  <c r="L25" i="16"/>
  <c r="L26" i="16"/>
  <c r="O23" i="16"/>
  <c r="O22" i="16"/>
  <c r="O24" i="16"/>
  <c r="O25" i="16"/>
  <c r="O26" i="16"/>
  <c r="R23" i="16"/>
  <c r="R22" i="16"/>
  <c r="R24" i="16"/>
  <c r="R25" i="16"/>
  <c r="R26" i="16"/>
  <c r="U23" i="16"/>
  <c r="U22" i="16"/>
  <c r="U24" i="16"/>
  <c r="U25" i="16"/>
  <c r="U26" i="16"/>
  <c r="X23" i="16"/>
  <c r="X22" i="16"/>
  <c r="X24" i="16"/>
  <c r="X25" i="16"/>
  <c r="X26" i="16"/>
  <c r="AA23" i="16"/>
  <c r="AA22" i="16"/>
  <c r="AA24" i="16"/>
  <c r="AA25" i="16"/>
  <c r="AA26" i="16"/>
  <c r="AD23" i="16"/>
  <c r="AD22" i="16"/>
  <c r="AD24" i="16"/>
  <c r="AD25" i="16"/>
  <c r="AD26" i="16"/>
  <c r="AF23" i="16"/>
  <c r="AI24" i="16"/>
  <c r="AF24" i="16"/>
  <c r="AI25" i="16"/>
  <c r="AF25" i="16"/>
  <c r="AI22" i="16"/>
  <c r="AF22" i="16"/>
  <c r="E23" i="16"/>
  <c r="E22" i="16"/>
  <c r="E24" i="16"/>
  <c r="E25" i="16"/>
  <c r="E26" i="16"/>
  <c r="H23" i="16"/>
  <c r="H22" i="16"/>
  <c r="H24" i="16"/>
  <c r="H25" i="16"/>
  <c r="H26" i="16"/>
  <c r="K23" i="16"/>
  <c r="K22" i="16"/>
  <c r="K24" i="16"/>
  <c r="K25" i="16"/>
  <c r="K26" i="16"/>
  <c r="N23" i="16"/>
  <c r="N22" i="16"/>
  <c r="N24" i="16"/>
  <c r="N25" i="16"/>
  <c r="N26" i="16"/>
  <c r="Q23" i="16"/>
  <c r="Q22" i="16"/>
  <c r="Q24" i="16"/>
  <c r="Q25" i="16"/>
  <c r="Q26" i="16"/>
  <c r="T23" i="16"/>
  <c r="T22" i="16"/>
  <c r="T24" i="16"/>
  <c r="T25" i="16"/>
  <c r="T26" i="16"/>
  <c r="W23" i="16"/>
  <c r="W22" i="16"/>
  <c r="W24" i="16"/>
  <c r="W25" i="16"/>
  <c r="W26" i="16"/>
  <c r="Z23" i="16"/>
  <c r="Z22" i="16"/>
  <c r="Z24" i="16"/>
  <c r="Z25" i="16"/>
  <c r="Z26" i="16"/>
  <c r="AC23" i="16"/>
  <c r="AC22" i="16"/>
  <c r="AC24" i="16"/>
  <c r="AC25" i="16"/>
  <c r="AC26" i="16"/>
  <c r="AE23" i="16"/>
  <c r="AE24" i="16"/>
  <c r="AE25" i="16"/>
  <c r="AE22" i="16"/>
  <c r="F17" i="16"/>
  <c r="F16" i="16"/>
  <c r="F18" i="16"/>
  <c r="F19" i="16"/>
  <c r="F20" i="16"/>
  <c r="H17" i="14"/>
  <c r="H16" i="14"/>
  <c r="H18" i="14"/>
  <c r="H19" i="14"/>
  <c r="H20" i="14"/>
  <c r="AI17" i="16"/>
  <c r="I17" i="16"/>
  <c r="I16" i="16"/>
  <c r="I18" i="16"/>
  <c r="I19" i="16"/>
  <c r="I20" i="16"/>
  <c r="L17" i="16"/>
  <c r="L16" i="16"/>
  <c r="L18" i="16"/>
  <c r="L19" i="16"/>
  <c r="L20" i="16"/>
  <c r="O17" i="16"/>
  <c r="O16" i="16"/>
  <c r="O18" i="16"/>
  <c r="O19" i="16"/>
  <c r="O20" i="16"/>
  <c r="R17" i="16"/>
  <c r="R16" i="16"/>
  <c r="R18" i="16"/>
  <c r="R19" i="16"/>
  <c r="R20" i="16"/>
  <c r="U17" i="16"/>
  <c r="U16" i="16"/>
  <c r="U18" i="16"/>
  <c r="U19" i="16"/>
  <c r="U20" i="16"/>
  <c r="X17" i="16"/>
  <c r="X16" i="16"/>
  <c r="X18" i="16"/>
  <c r="X19" i="16"/>
  <c r="X20" i="16"/>
  <c r="AA17" i="16"/>
  <c r="AA16" i="16"/>
  <c r="AA18" i="16"/>
  <c r="AA19" i="16"/>
  <c r="AA20" i="16"/>
  <c r="AD17" i="16"/>
  <c r="AD16" i="16"/>
  <c r="AD18" i="16"/>
  <c r="AD19" i="16"/>
  <c r="AD20" i="16"/>
  <c r="AF17" i="16"/>
  <c r="AI18" i="16"/>
  <c r="AF18" i="16"/>
  <c r="AI19" i="16"/>
  <c r="AF19" i="16"/>
  <c r="AI16" i="16"/>
  <c r="AF16" i="16"/>
  <c r="E17" i="16"/>
  <c r="E16" i="16"/>
  <c r="E18" i="16"/>
  <c r="E19" i="16"/>
  <c r="E20" i="16"/>
  <c r="H17" i="16"/>
  <c r="H16" i="16"/>
  <c r="H18" i="16"/>
  <c r="H19" i="16"/>
  <c r="H20" i="16"/>
  <c r="K17" i="16"/>
  <c r="K16" i="16"/>
  <c r="K18" i="16"/>
  <c r="K19" i="16"/>
  <c r="K20" i="16"/>
  <c r="N17" i="16"/>
  <c r="N16" i="16"/>
  <c r="N18" i="16"/>
  <c r="N19" i="16"/>
  <c r="N20" i="16"/>
  <c r="Q17" i="16"/>
  <c r="Q16" i="16"/>
  <c r="Q18" i="16"/>
  <c r="Q19" i="16"/>
  <c r="Q20" i="16"/>
  <c r="T17" i="16"/>
  <c r="T16" i="16"/>
  <c r="T18" i="16"/>
  <c r="T19" i="16"/>
  <c r="T20" i="16"/>
  <c r="W17" i="16"/>
  <c r="W16" i="16"/>
  <c r="W18" i="16"/>
  <c r="W19" i="16"/>
  <c r="W20" i="16"/>
  <c r="Z17" i="16"/>
  <c r="Z16" i="16"/>
  <c r="Z18" i="16"/>
  <c r="Z19" i="16"/>
  <c r="Z20" i="16"/>
  <c r="AC17" i="16"/>
  <c r="AC16" i="16"/>
  <c r="AC18" i="16"/>
  <c r="AC19" i="16"/>
  <c r="AC20" i="16"/>
  <c r="AE17" i="16"/>
  <c r="AE18" i="16"/>
  <c r="AE19" i="16"/>
  <c r="AE16" i="16"/>
  <c r="F5" i="16"/>
  <c r="F4" i="16"/>
  <c r="F6" i="16"/>
  <c r="F7" i="16"/>
  <c r="F8" i="16"/>
  <c r="H5" i="14"/>
  <c r="H4" i="14"/>
  <c r="H6" i="14"/>
  <c r="H7" i="14"/>
  <c r="H8" i="14"/>
  <c r="AI5" i="16"/>
  <c r="I5" i="16"/>
  <c r="I4" i="16"/>
  <c r="I6" i="16"/>
  <c r="I7" i="16"/>
  <c r="I8" i="16"/>
  <c r="L5" i="16"/>
  <c r="L4" i="16"/>
  <c r="L6" i="16"/>
  <c r="L7" i="16"/>
  <c r="L8" i="16"/>
  <c r="O5" i="16"/>
  <c r="O4" i="16"/>
  <c r="O6" i="16"/>
  <c r="O7" i="16"/>
  <c r="O8" i="16"/>
  <c r="R5" i="16"/>
  <c r="R4" i="16"/>
  <c r="R6" i="16"/>
  <c r="R7" i="16"/>
  <c r="R8" i="16"/>
  <c r="U5" i="16"/>
  <c r="U4" i="16"/>
  <c r="U6" i="16"/>
  <c r="U7" i="16"/>
  <c r="U8" i="16"/>
  <c r="X5" i="16"/>
  <c r="X4" i="16"/>
  <c r="X6" i="16"/>
  <c r="X7" i="16"/>
  <c r="X8" i="16"/>
  <c r="AA5" i="16"/>
  <c r="AA4" i="16"/>
  <c r="AA6" i="16"/>
  <c r="AA7" i="16"/>
  <c r="AA8" i="16"/>
  <c r="AD5" i="16"/>
  <c r="AD4" i="16"/>
  <c r="AD6" i="16"/>
  <c r="AD7" i="16"/>
  <c r="AD8" i="16"/>
  <c r="AF5" i="16"/>
  <c r="AI6" i="16"/>
  <c r="AF6" i="16"/>
  <c r="AI7" i="16"/>
  <c r="AF7" i="16"/>
  <c r="AI4" i="16"/>
  <c r="AF4" i="16"/>
  <c r="E5" i="14"/>
  <c r="E4" i="14"/>
  <c r="E6" i="14"/>
  <c r="E7" i="14"/>
  <c r="E8" i="14"/>
  <c r="AH5" i="16"/>
  <c r="AE5" i="16"/>
  <c r="AH6" i="16"/>
  <c r="AE6" i="16"/>
  <c r="AH7" i="16"/>
  <c r="AE7" i="16"/>
  <c r="AH4" i="16"/>
  <c r="AE4" i="16"/>
  <c r="Y83" i="14"/>
  <c r="I83" i="14"/>
  <c r="AA83" i="14"/>
  <c r="J83" i="14"/>
  <c r="Y84" i="14"/>
  <c r="I84" i="14"/>
  <c r="AA84" i="14"/>
  <c r="J84" i="14"/>
  <c r="Y85" i="14"/>
  <c r="I85" i="14"/>
  <c r="AA85" i="14"/>
  <c r="J85" i="14"/>
  <c r="Y82" i="14"/>
  <c r="I82" i="14"/>
  <c r="AA82" i="14"/>
  <c r="J82" i="14"/>
  <c r="Y77" i="14"/>
  <c r="I77" i="14"/>
  <c r="AA77" i="14"/>
  <c r="J77" i="14"/>
  <c r="Y78" i="14"/>
  <c r="I78" i="14"/>
  <c r="AA78" i="14"/>
  <c r="J78" i="14"/>
  <c r="Y79" i="14"/>
  <c r="I79" i="14"/>
  <c r="AA79" i="14"/>
  <c r="J79" i="14"/>
  <c r="Y76" i="14"/>
  <c r="I76" i="14"/>
  <c r="AA76" i="14"/>
  <c r="J76" i="14"/>
  <c r="Y71" i="14"/>
  <c r="I71" i="14"/>
  <c r="AA71" i="14"/>
  <c r="J71" i="14"/>
  <c r="Y72" i="14"/>
  <c r="I72" i="14"/>
  <c r="AA72" i="14"/>
  <c r="J72" i="14"/>
  <c r="Y73" i="14"/>
  <c r="I73" i="14"/>
  <c r="AA73" i="14"/>
  <c r="J73" i="14"/>
  <c r="Y70" i="14"/>
  <c r="I70" i="14"/>
  <c r="AA70" i="14"/>
  <c r="J70" i="14"/>
  <c r="Y65" i="14"/>
  <c r="I65" i="14"/>
  <c r="AA65" i="14"/>
  <c r="J65" i="14"/>
  <c r="Y66" i="14"/>
  <c r="I66" i="14"/>
  <c r="AA66" i="14"/>
  <c r="J66" i="14"/>
  <c r="Y67" i="14"/>
  <c r="I67" i="14"/>
  <c r="AA67" i="14"/>
  <c r="J67" i="14"/>
  <c r="Y64" i="14"/>
  <c r="I64" i="14"/>
  <c r="AA64" i="14"/>
  <c r="J64" i="14"/>
  <c r="Y47" i="14"/>
  <c r="I47" i="14"/>
  <c r="AA47" i="14"/>
  <c r="J47" i="14"/>
  <c r="Y48" i="14"/>
  <c r="I48" i="14"/>
  <c r="AA48" i="14"/>
  <c r="J48" i="14"/>
  <c r="Y49" i="14"/>
  <c r="I49" i="14"/>
  <c r="AA49" i="14"/>
  <c r="J49" i="14"/>
  <c r="Y46" i="14"/>
  <c r="I46" i="14"/>
  <c r="AA46" i="14"/>
  <c r="J46" i="14"/>
  <c r="Y41" i="14"/>
  <c r="I41" i="14"/>
  <c r="AA41" i="14"/>
  <c r="J41" i="14"/>
  <c r="Y42" i="14"/>
  <c r="I42" i="14"/>
  <c r="AA42" i="14"/>
  <c r="J42" i="14"/>
  <c r="Y43" i="14"/>
  <c r="I43" i="14"/>
  <c r="AA43" i="14"/>
  <c r="J43" i="14"/>
  <c r="Y40" i="14"/>
  <c r="I40" i="14"/>
  <c r="AA40" i="14"/>
  <c r="J40" i="14"/>
  <c r="Y35" i="14"/>
  <c r="I35" i="14"/>
  <c r="AA35" i="14"/>
  <c r="J35" i="14"/>
  <c r="Y36" i="14"/>
  <c r="I36" i="14"/>
  <c r="AA36" i="14"/>
  <c r="J36" i="14"/>
  <c r="Y37" i="14"/>
  <c r="I37" i="14"/>
  <c r="AA37" i="14"/>
  <c r="J37" i="14"/>
  <c r="Y34" i="14"/>
  <c r="I34" i="14"/>
  <c r="AA34" i="14"/>
  <c r="J34" i="14"/>
  <c r="Y29" i="14"/>
  <c r="I29" i="14"/>
  <c r="AA29" i="14"/>
  <c r="J29" i="14"/>
  <c r="Y30" i="14"/>
  <c r="I30" i="14"/>
  <c r="AA30" i="14"/>
  <c r="J30" i="14"/>
  <c r="Y31" i="14"/>
  <c r="I31" i="14"/>
  <c r="AA31" i="14"/>
  <c r="J31" i="14"/>
  <c r="Y28" i="14"/>
  <c r="I28" i="14"/>
  <c r="AA28" i="14"/>
  <c r="J28" i="14"/>
  <c r="Y23" i="14"/>
  <c r="I23" i="14"/>
  <c r="AA23" i="14"/>
  <c r="J23" i="14"/>
  <c r="Y24" i="14"/>
  <c r="I24" i="14"/>
  <c r="AA24" i="14"/>
  <c r="J24" i="14"/>
  <c r="Y25" i="14"/>
  <c r="I25" i="14"/>
  <c r="AA25" i="14"/>
  <c r="J25" i="14"/>
  <c r="Y22" i="14"/>
  <c r="I22" i="14"/>
  <c r="AA22" i="14"/>
  <c r="J22" i="14"/>
  <c r="Y17" i="14"/>
  <c r="I17" i="14"/>
  <c r="AA17" i="14"/>
  <c r="J17" i="14"/>
  <c r="Y18" i="14"/>
  <c r="I18" i="14"/>
  <c r="AA18" i="14"/>
  <c r="J18" i="14"/>
  <c r="Y19" i="14"/>
  <c r="I19" i="14"/>
  <c r="AA19" i="14"/>
  <c r="J19" i="14"/>
  <c r="Y16" i="14"/>
  <c r="I16" i="14"/>
  <c r="AA16" i="14"/>
  <c r="J16" i="14"/>
  <c r="Y5" i="14"/>
  <c r="I5" i="14"/>
  <c r="AA5" i="14"/>
  <c r="J5" i="14"/>
  <c r="Y6" i="14"/>
  <c r="I6" i="14"/>
  <c r="AA6" i="14"/>
  <c r="J6" i="14"/>
  <c r="Y7" i="14"/>
  <c r="I7" i="14"/>
  <c r="AA7" i="14"/>
  <c r="J7" i="14"/>
  <c r="Y4" i="14"/>
  <c r="I4" i="14"/>
  <c r="AA4" i="14"/>
  <c r="J4" i="14"/>
  <c r="X83" i="14"/>
  <c r="F83" i="14"/>
  <c r="Z83" i="14"/>
  <c r="G83" i="14"/>
  <c r="X84" i="14"/>
  <c r="F84" i="14"/>
  <c r="Z84" i="14"/>
  <c r="G84" i="14"/>
  <c r="X85" i="14"/>
  <c r="F85" i="14"/>
  <c r="Z85" i="14"/>
  <c r="G85" i="14"/>
  <c r="X82" i="14"/>
  <c r="F82" i="14"/>
  <c r="Z82" i="14"/>
  <c r="G82" i="14"/>
  <c r="X77" i="14"/>
  <c r="F77" i="14"/>
  <c r="Z77" i="14"/>
  <c r="G77" i="14"/>
  <c r="X78" i="14"/>
  <c r="F78" i="14"/>
  <c r="Z78" i="14"/>
  <c r="G78" i="14"/>
  <c r="X79" i="14"/>
  <c r="F79" i="14"/>
  <c r="Z79" i="14"/>
  <c r="G79" i="14"/>
  <c r="X76" i="14"/>
  <c r="F76" i="14"/>
  <c r="Z76" i="14"/>
  <c r="G76" i="14"/>
  <c r="X71" i="14"/>
  <c r="F71" i="14"/>
  <c r="Z71" i="14"/>
  <c r="G71" i="14"/>
  <c r="X72" i="14"/>
  <c r="F72" i="14"/>
  <c r="Z72" i="14"/>
  <c r="G72" i="14"/>
  <c r="X73" i="14"/>
  <c r="F73" i="14"/>
  <c r="Z73" i="14"/>
  <c r="G73" i="14"/>
  <c r="X70" i="14"/>
  <c r="F70" i="14"/>
  <c r="Z70" i="14"/>
  <c r="G70" i="14"/>
  <c r="X65" i="14"/>
  <c r="F65" i="14"/>
  <c r="Z65" i="14"/>
  <c r="G65" i="14"/>
  <c r="X66" i="14"/>
  <c r="F66" i="14"/>
  <c r="Z66" i="14"/>
  <c r="G66" i="14"/>
  <c r="X67" i="14"/>
  <c r="F67" i="14"/>
  <c r="Z67" i="14"/>
  <c r="G67" i="14"/>
  <c r="X64" i="14"/>
  <c r="F64" i="14"/>
  <c r="Z64" i="14"/>
  <c r="G64" i="14"/>
  <c r="X47" i="14"/>
  <c r="F47" i="14"/>
  <c r="Z47" i="14"/>
  <c r="G47" i="14"/>
  <c r="X48" i="14"/>
  <c r="F48" i="14"/>
  <c r="Z48" i="14"/>
  <c r="G48" i="14"/>
  <c r="X49" i="14"/>
  <c r="F49" i="14"/>
  <c r="Z49" i="14"/>
  <c r="G49" i="14"/>
  <c r="X46" i="14"/>
  <c r="F46" i="14"/>
  <c r="Z46" i="14"/>
  <c r="G46" i="14"/>
  <c r="X41" i="14"/>
  <c r="F41" i="14"/>
  <c r="Z41" i="14"/>
  <c r="G41" i="14"/>
  <c r="X42" i="14"/>
  <c r="F42" i="14"/>
  <c r="Z42" i="14"/>
  <c r="G42" i="14"/>
  <c r="X43" i="14"/>
  <c r="F43" i="14"/>
  <c r="Z43" i="14"/>
  <c r="G43" i="14"/>
  <c r="X40" i="14"/>
  <c r="F40" i="14"/>
  <c r="Z40" i="14"/>
  <c r="G40" i="14"/>
  <c r="X35" i="14"/>
  <c r="F35" i="14"/>
  <c r="Z35" i="14"/>
  <c r="G35" i="14"/>
  <c r="X36" i="14"/>
  <c r="F36" i="14"/>
  <c r="Z36" i="14"/>
  <c r="G36" i="14"/>
  <c r="X37" i="14"/>
  <c r="F37" i="14"/>
  <c r="Z37" i="14"/>
  <c r="G37" i="14"/>
  <c r="X34" i="14"/>
  <c r="F34" i="14"/>
  <c r="Z34" i="14"/>
  <c r="G34" i="14"/>
  <c r="X29" i="14"/>
  <c r="F29" i="14"/>
  <c r="Z29" i="14"/>
  <c r="G29" i="14"/>
  <c r="X30" i="14"/>
  <c r="F30" i="14"/>
  <c r="Z30" i="14"/>
  <c r="G30" i="14"/>
  <c r="X31" i="14"/>
  <c r="F31" i="14"/>
  <c r="Z31" i="14"/>
  <c r="G31" i="14"/>
  <c r="X28" i="14"/>
  <c r="F28" i="14"/>
  <c r="Z28" i="14"/>
  <c r="G28" i="14"/>
  <c r="X23" i="14"/>
  <c r="F23" i="14"/>
  <c r="Z23" i="14"/>
  <c r="G23" i="14"/>
  <c r="X24" i="14"/>
  <c r="F24" i="14"/>
  <c r="Z24" i="14"/>
  <c r="G24" i="14"/>
  <c r="X25" i="14"/>
  <c r="F25" i="14"/>
  <c r="Z25" i="14"/>
  <c r="G25" i="14"/>
  <c r="X22" i="14"/>
  <c r="F22" i="14"/>
  <c r="Z22" i="14"/>
  <c r="G22" i="14"/>
  <c r="X17" i="14"/>
  <c r="F17" i="14"/>
  <c r="Z17" i="14"/>
  <c r="G17" i="14"/>
  <c r="X18" i="14"/>
  <c r="F18" i="14"/>
  <c r="Z18" i="14"/>
  <c r="G18" i="14"/>
  <c r="X19" i="14"/>
  <c r="F19" i="14"/>
  <c r="Z19" i="14"/>
  <c r="G19" i="14"/>
  <c r="X16" i="14"/>
  <c r="F16" i="14"/>
  <c r="Z16" i="14"/>
  <c r="G16" i="14"/>
  <c r="X5" i="14"/>
  <c r="F5" i="14"/>
  <c r="Z5" i="14"/>
  <c r="G5" i="14"/>
  <c r="X6" i="14"/>
  <c r="F6" i="14"/>
  <c r="Z6" i="14"/>
  <c r="G6" i="14"/>
  <c r="X7" i="14"/>
  <c r="F7" i="14"/>
  <c r="Z7" i="14"/>
  <c r="G7" i="14"/>
  <c r="X4" i="14"/>
  <c r="F4" i="14"/>
  <c r="Z4" i="14"/>
  <c r="G4" i="14"/>
  <c r="H81" i="14"/>
  <c r="I81" i="14"/>
  <c r="H75" i="14"/>
  <c r="I75" i="14"/>
  <c r="H69" i="14"/>
  <c r="I69" i="14"/>
  <c r="H63" i="14"/>
  <c r="I63" i="14"/>
  <c r="H45" i="14"/>
  <c r="I45" i="14"/>
  <c r="H39" i="14"/>
  <c r="I39" i="14"/>
  <c r="H33" i="14"/>
  <c r="I33" i="14"/>
  <c r="H27" i="14"/>
  <c r="I27" i="14"/>
  <c r="H21" i="14"/>
  <c r="I21" i="14"/>
  <c r="H15" i="14"/>
  <c r="I15" i="14"/>
  <c r="H3" i="14"/>
  <c r="I3" i="14"/>
  <c r="E81" i="14"/>
  <c r="F81" i="14"/>
  <c r="E75" i="14"/>
  <c r="F75" i="14"/>
  <c r="E69" i="14"/>
  <c r="F69" i="14"/>
  <c r="E63" i="14"/>
  <c r="F63" i="14"/>
  <c r="E45" i="14"/>
  <c r="F45" i="14"/>
  <c r="E39" i="14"/>
  <c r="F39" i="14"/>
  <c r="E33" i="14"/>
  <c r="F33" i="14"/>
  <c r="E27" i="14"/>
  <c r="F27" i="14"/>
  <c r="E21" i="14"/>
  <c r="F21" i="14"/>
  <c r="E15" i="14"/>
  <c r="F15" i="14"/>
  <c r="E3" i="14"/>
  <c r="F3" i="14"/>
  <c r="H82" i="13"/>
  <c r="I82" i="13"/>
  <c r="H83" i="13"/>
  <c r="I83" i="13"/>
  <c r="H84" i="13"/>
  <c r="I84" i="13"/>
  <c r="H85" i="13"/>
  <c r="I85" i="13"/>
  <c r="H81" i="13"/>
  <c r="I81" i="13"/>
  <c r="H76" i="13"/>
  <c r="I76" i="13"/>
  <c r="H77" i="13"/>
  <c r="I77" i="13"/>
  <c r="H78" i="13"/>
  <c r="I78" i="13"/>
  <c r="H79" i="13"/>
  <c r="I79" i="13"/>
  <c r="H75" i="13"/>
  <c r="I75" i="13"/>
  <c r="H70" i="13"/>
  <c r="I70" i="13"/>
  <c r="H71" i="13"/>
  <c r="I71" i="13"/>
  <c r="H72" i="13"/>
  <c r="I72" i="13"/>
  <c r="H73" i="13"/>
  <c r="I73" i="13"/>
  <c r="H69" i="13"/>
  <c r="I69" i="13"/>
  <c r="H64" i="13"/>
  <c r="I64" i="13"/>
  <c r="H65" i="13"/>
  <c r="I65" i="13"/>
  <c r="H66" i="13"/>
  <c r="I66" i="13"/>
  <c r="H67" i="13"/>
  <c r="I67" i="13"/>
  <c r="H63" i="13"/>
  <c r="I63" i="13"/>
  <c r="H46" i="13"/>
  <c r="I46" i="13"/>
  <c r="H47" i="13"/>
  <c r="I47" i="13"/>
  <c r="H48" i="13"/>
  <c r="I48" i="13"/>
  <c r="H49" i="13"/>
  <c r="I49" i="13"/>
  <c r="H45" i="13"/>
  <c r="I45" i="13"/>
  <c r="H40" i="13"/>
  <c r="I40" i="13"/>
  <c r="H41" i="13"/>
  <c r="I41" i="13"/>
  <c r="H42" i="13"/>
  <c r="I42" i="13"/>
  <c r="H43" i="13"/>
  <c r="I43" i="13"/>
  <c r="H39" i="13"/>
  <c r="I39" i="13"/>
  <c r="H34" i="13"/>
  <c r="I34" i="13"/>
  <c r="H35" i="13"/>
  <c r="I35" i="13"/>
  <c r="H36" i="13"/>
  <c r="I36" i="13"/>
  <c r="H37" i="13"/>
  <c r="I37" i="13"/>
  <c r="H33" i="13"/>
  <c r="I33" i="13"/>
  <c r="H28" i="13"/>
  <c r="I28" i="13"/>
  <c r="H29" i="13"/>
  <c r="I29" i="13"/>
  <c r="H30" i="13"/>
  <c r="I30" i="13"/>
  <c r="H31" i="13"/>
  <c r="I31" i="13"/>
  <c r="H27" i="13"/>
  <c r="I27" i="13"/>
  <c r="H22" i="13"/>
  <c r="I22" i="13"/>
  <c r="H23" i="13"/>
  <c r="I23" i="13"/>
  <c r="H24" i="13"/>
  <c r="I24" i="13"/>
  <c r="H25" i="13"/>
  <c r="I25" i="13"/>
  <c r="H21" i="13"/>
  <c r="I21" i="13"/>
  <c r="H16" i="13"/>
  <c r="I16" i="13"/>
  <c r="H17" i="13"/>
  <c r="I17" i="13"/>
  <c r="H18" i="13"/>
  <c r="I18" i="13"/>
  <c r="H19" i="13"/>
  <c r="I19" i="13"/>
  <c r="H15" i="13"/>
  <c r="I15" i="13"/>
  <c r="H4" i="13"/>
  <c r="I4" i="13"/>
  <c r="H5" i="13"/>
  <c r="I5" i="13"/>
  <c r="H6" i="13"/>
  <c r="I6" i="13"/>
  <c r="H7" i="13"/>
  <c r="I7" i="13"/>
  <c r="H3" i="13"/>
  <c r="I3" i="13"/>
  <c r="E82" i="13"/>
  <c r="F82" i="13"/>
  <c r="E83" i="13"/>
  <c r="F83" i="13"/>
  <c r="E84" i="13"/>
  <c r="F84" i="13"/>
  <c r="E85" i="13"/>
  <c r="F85" i="13"/>
  <c r="E81" i="13"/>
  <c r="F81" i="13"/>
  <c r="E76" i="13"/>
  <c r="F76" i="13"/>
  <c r="E77" i="13"/>
  <c r="F77" i="13"/>
  <c r="E78" i="13"/>
  <c r="F78" i="13"/>
  <c r="E79" i="13"/>
  <c r="F79" i="13"/>
  <c r="E75" i="13"/>
  <c r="F75" i="13"/>
  <c r="E70" i="13"/>
  <c r="F70" i="13"/>
  <c r="E71" i="13"/>
  <c r="F71" i="13"/>
  <c r="E72" i="13"/>
  <c r="F72" i="13"/>
  <c r="E73" i="13"/>
  <c r="F73" i="13"/>
  <c r="E69" i="13"/>
  <c r="F69" i="13"/>
  <c r="E64" i="13"/>
  <c r="F64" i="13"/>
  <c r="E65" i="13"/>
  <c r="F65" i="13"/>
  <c r="E66" i="13"/>
  <c r="F66" i="13"/>
  <c r="E67" i="13"/>
  <c r="F67" i="13"/>
  <c r="E63" i="13"/>
  <c r="F63" i="13"/>
  <c r="E46" i="13"/>
  <c r="F46" i="13"/>
  <c r="E47" i="13"/>
  <c r="F47" i="13"/>
  <c r="E48" i="13"/>
  <c r="F48" i="13"/>
  <c r="E49" i="13"/>
  <c r="F49" i="13"/>
  <c r="E45" i="13"/>
  <c r="F45" i="13"/>
  <c r="E40" i="13"/>
  <c r="F40" i="13"/>
  <c r="E41" i="13"/>
  <c r="F41" i="13"/>
  <c r="E42" i="13"/>
  <c r="F42" i="13"/>
  <c r="E43" i="13"/>
  <c r="F43" i="13"/>
  <c r="E39" i="13"/>
  <c r="F39" i="13"/>
  <c r="E34" i="13"/>
  <c r="F34" i="13"/>
  <c r="E35" i="13"/>
  <c r="F35" i="13"/>
  <c r="E36" i="13"/>
  <c r="F36" i="13"/>
  <c r="E37" i="13"/>
  <c r="F37" i="13"/>
  <c r="E33" i="13"/>
  <c r="F33" i="13"/>
  <c r="E28" i="13"/>
  <c r="F28" i="13"/>
  <c r="E29" i="13"/>
  <c r="F29" i="13"/>
  <c r="E30" i="13"/>
  <c r="F30" i="13"/>
  <c r="E31" i="13"/>
  <c r="F31" i="13"/>
  <c r="E27" i="13"/>
  <c r="F27" i="13"/>
  <c r="E22" i="13"/>
  <c r="F22" i="13"/>
  <c r="E23" i="13"/>
  <c r="F23" i="13"/>
  <c r="E24" i="13"/>
  <c r="F24" i="13"/>
  <c r="E25" i="13"/>
  <c r="F25" i="13"/>
  <c r="E21" i="13"/>
  <c r="F21" i="13"/>
  <c r="E15" i="13"/>
  <c r="F15" i="13"/>
  <c r="E3" i="13"/>
  <c r="F3" i="13"/>
  <c r="E17" i="13"/>
  <c r="F17" i="13"/>
  <c r="E18" i="13"/>
  <c r="F18" i="13"/>
  <c r="E19" i="13"/>
  <c r="F19" i="13"/>
  <c r="E16" i="13"/>
  <c r="F16" i="13"/>
  <c r="E5" i="13"/>
  <c r="F5" i="13"/>
  <c r="E6" i="13"/>
  <c r="F6" i="13"/>
  <c r="E7" i="13"/>
  <c r="F7" i="13"/>
  <c r="E4" i="13"/>
  <c r="F4" i="13"/>
  <c r="F83" i="15"/>
  <c r="F82" i="15"/>
  <c r="F84" i="15"/>
  <c r="F85" i="15"/>
  <c r="F86" i="15"/>
  <c r="H86" i="13"/>
  <c r="AI83" i="15"/>
  <c r="I83" i="15"/>
  <c r="I82" i="15"/>
  <c r="I84" i="15"/>
  <c r="I85" i="15"/>
  <c r="I86" i="15"/>
  <c r="L83" i="15"/>
  <c r="L82" i="15"/>
  <c r="L84" i="15"/>
  <c r="L85" i="15"/>
  <c r="L86" i="15"/>
  <c r="O83" i="15"/>
  <c r="O82" i="15"/>
  <c r="O84" i="15"/>
  <c r="O85" i="15"/>
  <c r="O86" i="15"/>
  <c r="R83" i="15"/>
  <c r="R82" i="15"/>
  <c r="R84" i="15"/>
  <c r="R85" i="15"/>
  <c r="R86" i="15"/>
  <c r="U83" i="15"/>
  <c r="U82" i="15"/>
  <c r="U84" i="15"/>
  <c r="U85" i="15"/>
  <c r="U86" i="15"/>
  <c r="X83" i="15"/>
  <c r="X82" i="15"/>
  <c r="X84" i="15"/>
  <c r="X85" i="15"/>
  <c r="X86" i="15"/>
  <c r="AA83" i="15"/>
  <c r="AA82" i="15"/>
  <c r="AA84" i="15"/>
  <c r="AA85" i="15"/>
  <c r="AA86" i="15"/>
  <c r="AD83" i="15"/>
  <c r="AD82" i="15"/>
  <c r="AD84" i="15"/>
  <c r="AD85" i="15"/>
  <c r="AD86" i="15"/>
  <c r="AF83" i="15"/>
  <c r="AI84" i="15"/>
  <c r="AF84" i="15"/>
  <c r="AI85" i="15"/>
  <c r="AF85" i="15"/>
  <c r="AI82" i="15"/>
  <c r="AF82" i="15"/>
  <c r="F77" i="15"/>
  <c r="F76" i="15"/>
  <c r="F78" i="15"/>
  <c r="F79" i="15"/>
  <c r="F80" i="15"/>
  <c r="H80" i="13"/>
  <c r="AI77" i="15"/>
  <c r="I77" i="15"/>
  <c r="I76" i="15"/>
  <c r="I78" i="15"/>
  <c r="I79" i="15"/>
  <c r="I80" i="15"/>
  <c r="L77" i="15"/>
  <c r="L76" i="15"/>
  <c r="L78" i="15"/>
  <c r="L79" i="15"/>
  <c r="L80" i="15"/>
  <c r="O77" i="15"/>
  <c r="O76" i="15"/>
  <c r="O78" i="15"/>
  <c r="O79" i="15"/>
  <c r="O80" i="15"/>
  <c r="R77" i="15"/>
  <c r="R76" i="15"/>
  <c r="R78" i="15"/>
  <c r="R79" i="15"/>
  <c r="R80" i="15"/>
  <c r="U77" i="15"/>
  <c r="U76" i="15"/>
  <c r="U78" i="15"/>
  <c r="U79" i="15"/>
  <c r="U80" i="15"/>
  <c r="X77" i="15"/>
  <c r="X76" i="15"/>
  <c r="X78" i="15"/>
  <c r="X79" i="15"/>
  <c r="X80" i="15"/>
  <c r="AA77" i="15"/>
  <c r="AA76" i="15"/>
  <c r="AA78" i="15"/>
  <c r="AA79" i="15"/>
  <c r="AA80" i="15"/>
  <c r="AD77" i="15"/>
  <c r="AD76" i="15"/>
  <c r="AD78" i="15"/>
  <c r="AD79" i="15"/>
  <c r="AD80" i="15"/>
  <c r="AF77" i="15"/>
  <c r="AI78" i="15"/>
  <c r="AF78" i="15"/>
  <c r="AI79" i="15"/>
  <c r="AF79" i="15"/>
  <c r="AI76" i="15"/>
  <c r="AF76" i="15"/>
  <c r="F71" i="15"/>
  <c r="F70" i="15"/>
  <c r="F72" i="15"/>
  <c r="F73" i="15"/>
  <c r="F74" i="15"/>
  <c r="H74" i="13"/>
  <c r="AI71" i="15"/>
  <c r="I71" i="15"/>
  <c r="I70" i="15"/>
  <c r="I72" i="15"/>
  <c r="I73" i="15"/>
  <c r="I74" i="15"/>
  <c r="L71" i="15"/>
  <c r="L70" i="15"/>
  <c r="L72" i="15"/>
  <c r="L73" i="15"/>
  <c r="L74" i="15"/>
  <c r="O71" i="15"/>
  <c r="O70" i="15"/>
  <c r="O72" i="15"/>
  <c r="O73" i="15"/>
  <c r="O74" i="15"/>
  <c r="R71" i="15"/>
  <c r="R70" i="15"/>
  <c r="R72" i="15"/>
  <c r="R73" i="15"/>
  <c r="R74" i="15"/>
  <c r="U71" i="15"/>
  <c r="U70" i="15"/>
  <c r="U72" i="15"/>
  <c r="U73" i="15"/>
  <c r="U74" i="15"/>
  <c r="X71" i="15"/>
  <c r="X70" i="15"/>
  <c r="X72" i="15"/>
  <c r="X73" i="15"/>
  <c r="X74" i="15"/>
  <c r="AA71" i="15"/>
  <c r="AA70" i="15"/>
  <c r="AA72" i="15"/>
  <c r="AA73" i="15"/>
  <c r="AA74" i="15"/>
  <c r="AD71" i="15"/>
  <c r="AD70" i="15"/>
  <c r="AD72" i="15"/>
  <c r="AD73" i="15"/>
  <c r="AD74" i="15"/>
  <c r="AF71" i="15"/>
  <c r="AI72" i="15"/>
  <c r="AF72" i="15"/>
  <c r="AI73" i="15"/>
  <c r="AF73" i="15"/>
  <c r="AI70" i="15"/>
  <c r="AF70" i="15"/>
  <c r="F65" i="15"/>
  <c r="F64" i="15"/>
  <c r="F66" i="15"/>
  <c r="F67" i="15"/>
  <c r="F68" i="15"/>
  <c r="H68" i="13"/>
  <c r="AI65" i="15"/>
  <c r="I65" i="15"/>
  <c r="I64" i="15"/>
  <c r="I66" i="15"/>
  <c r="I67" i="15"/>
  <c r="I68" i="15"/>
  <c r="L65" i="15"/>
  <c r="L64" i="15"/>
  <c r="L66" i="15"/>
  <c r="L67" i="15"/>
  <c r="L68" i="15"/>
  <c r="O65" i="15"/>
  <c r="O64" i="15"/>
  <c r="O66" i="15"/>
  <c r="O67" i="15"/>
  <c r="O68" i="15"/>
  <c r="R65" i="15"/>
  <c r="R64" i="15"/>
  <c r="R66" i="15"/>
  <c r="R67" i="15"/>
  <c r="R68" i="15"/>
  <c r="U65" i="15"/>
  <c r="U64" i="15"/>
  <c r="U66" i="15"/>
  <c r="U67" i="15"/>
  <c r="U68" i="15"/>
  <c r="X65" i="15"/>
  <c r="X64" i="15"/>
  <c r="X66" i="15"/>
  <c r="X67" i="15"/>
  <c r="X68" i="15"/>
  <c r="AA65" i="15"/>
  <c r="AA64" i="15"/>
  <c r="AA66" i="15"/>
  <c r="AA67" i="15"/>
  <c r="AA68" i="15"/>
  <c r="AD65" i="15"/>
  <c r="AD64" i="15"/>
  <c r="AD66" i="15"/>
  <c r="AD67" i="15"/>
  <c r="AD68" i="15"/>
  <c r="AF65" i="15"/>
  <c r="AI66" i="15"/>
  <c r="AF66" i="15"/>
  <c r="AI67" i="15"/>
  <c r="AF67" i="15"/>
  <c r="AI64" i="15"/>
  <c r="AF64" i="15"/>
  <c r="F47" i="15"/>
  <c r="F46" i="15"/>
  <c r="F48" i="15"/>
  <c r="F49" i="15"/>
  <c r="F50" i="15"/>
  <c r="H50" i="13"/>
  <c r="AI47" i="15"/>
  <c r="I47" i="15"/>
  <c r="I46" i="15"/>
  <c r="I48" i="15"/>
  <c r="I49" i="15"/>
  <c r="I50" i="15"/>
  <c r="L47" i="15"/>
  <c r="L46" i="15"/>
  <c r="L48" i="15"/>
  <c r="L49" i="15"/>
  <c r="L50" i="15"/>
  <c r="O47" i="15"/>
  <c r="O46" i="15"/>
  <c r="O48" i="15"/>
  <c r="O49" i="15"/>
  <c r="O50" i="15"/>
  <c r="R47" i="15"/>
  <c r="R46" i="15"/>
  <c r="R48" i="15"/>
  <c r="R49" i="15"/>
  <c r="R50" i="15"/>
  <c r="U47" i="15"/>
  <c r="U46" i="15"/>
  <c r="U48" i="15"/>
  <c r="U49" i="15"/>
  <c r="U50" i="15"/>
  <c r="X47" i="15"/>
  <c r="X46" i="15"/>
  <c r="X48" i="15"/>
  <c r="X49" i="15"/>
  <c r="X50" i="15"/>
  <c r="AA47" i="15"/>
  <c r="AA46" i="15"/>
  <c r="AA48" i="15"/>
  <c r="AA49" i="15"/>
  <c r="AA50" i="15"/>
  <c r="AD47" i="15"/>
  <c r="AD46" i="15"/>
  <c r="AD48" i="15"/>
  <c r="AD49" i="15"/>
  <c r="AD50" i="15"/>
  <c r="AF47" i="15"/>
  <c r="AI48" i="15"/>
  <c r="AF48" i="15"/>
  <c r="AI49" i="15"/>
  <c r="AF49" i="15"/>
  <c r="AI46" i="15"/>
  <c r="AF46" i="15"/>
  <c r="F41" i="15"/>
  <c r="F40" i="15"/>
  <c r="F42" i="15"/>
  <c r="F43" i="15"/>
  <c r="F44" i="15"/>
  <c r="H44" i="13"/>
  <c r="AI41" i="15"/>
  <c r="I41" i="15"/>
  <c r="I40" i="15"/>
  <c r="I42" i="15"/>
  <c r="I43" i="15"/>
  <c r="I44" i="15"/>
  <c r="L41" i="15"/>
  <c r="L40" i="15"/>
  <c r="L42" i="15"/>
  <c r="L43" i="15"/>
  <c r="L44" i="15"/>
  <c r="O41" i="15"/>
  <c r="O40" i="15"/>
  <c r="O42" i="15"/>
  <c r="O43" i="15"/>
  <c r="O44" i="15"/>
  <c r="R41" i="15"/>
  <c r="R40" i="15"/>
  <c r="R42" i="15"/>
  <c r="R43" i="15"/>
  <c r="R44" i="15"/>
  <c r="U41" i="15"/>
  <c r="U40" i="15"/>
  <c r="U42" i="15"/>
  <c r="U43" i="15"/>
  <c r="U44" i="15"/>
  <c r="X41" i="15"/>
  <c r="X40" i="15"/>
  <c r="X42" i="15"/>
  <c r="X43" i="15"/>
  <c r="X44" i="15"/>
  <c r="AA41" i="15"/>
  <c r="AA40" i="15"/>
  <c r="AA42" i="15"/>
  <c r="AA43" i="15"/>
  <c r="AA44" i="15"/>
  <c r="AD41" i="15"/>
  <c r="AD40" i="15"/>
  <c r="AD42" i="15"/>
  <c r="AD43" i="15"/>
  <c r="AD44" i="15"/>
  <c r="AF41" i="15"/>
  <c r="AI42" i="15"/>
  <c r="AF42" i="15"/>
  <c r="AI43" i="15"/>
  <c r="AF43" i="15"/>
  <c r="AI40" i="15"/>
  <c r="AF40" i="15"/>
  <c r="F35" i="15"/>
  <c r="F34" i="15"/>
  <c r="F36" i="15"/>
  <c r="F37" i="15"/>
  <c r="F38" i="15"/>
  <c r="H38" i="13"/>
  <c r="AI35" i="15"/>
  <c r="I35" i="15"/>
  <c r="I34" i="15"/>
  <c r="I36" i="15"/>
  <c r="I37" i="15"/>
  <c r="I38" i="15"/>
  <c r="L35" i="15"/>
  <c r="L34" i="15"/>
  <c r="L36" i="15"/>
  <c r="L37" i="15"/>
  <c r="L38" i="15"/>
  <c r="O35" i="15"/>
  <c r="O34" i="15"/>
  <c r="O36" i="15"/>
  <c r="O37" i="15"/>
  <c r="O38" i="15"/>
  <c r="R35" i="15"/>
  <c r="R34" i="15"/>
  <c r="R36" i="15"/>
  <c r="R37" i="15"/>
  <c r="R38" i="15"/>
  <c r="U35" i="15"/>
  <c r="U34" i="15"/>
  <c r="U36" i="15"/>
  <c r="U37" i="15"/>
  <c r="U38" i="15"/>
  <c r="X35" i="15"/>
  <c r="X34" i="15"/>
  <c r="X36" i="15"/>
  <c r="X37" i="15"/>
  <c r="X38" i="15"/>
  <c r="AA35" i="15"/>
  <c r="AA34" i="15"/>
  <c r="AA36" i="15"/>
  <c r="AA37" i="15"/>
  <c r="AA38" i="15"/>
  <c r="AD35" i="15"/>
  <c r="AD34" i="15"/>
  <c r="AD36" i="15"/>
  <c r="AD37" i="15"/>
  <c r="AD38" i="15"/>
  <c r="AF35" i="15"/>
  <c r="AI36" i="15"/>
  <c r="AF36" i="15"/>
  <c r="AI37" i="15"/>
  <c r="AF37" i="15"/>
  <c r="AI34" i="15"/>
  <c r="AF34" i="15"/>
  <c r="F29" i="15"/>
  <c r="F28" i="15"/>
  <c r="F30" i="15"/>
  <c r="F31" i="15"/>
  <c r="F32" i="15"/>
  <c r="H32" i="13"/>
  <c r="AI29" i="15"/>
  <c r="I29" i="15"/>
  <c r="I28" i="15"/>
  <c r="I30" i="15"/>
  <c r="I31" i="15"/>
  <c r="I32" i="15"/>
  <c r="L29" i="15"/>
  <c r="L28" i="15"/>
  <c r="L30" i="15"/>
  <c r="L31" i="15"/>
  <c r="L32" i="15"/>
  <c r="O29" i="15"/>
  <c r="O28" i="15"/>
  <c r="O30" i="15"/>
  <c r="O31" i="15"/>
  <c r="O32" i="15"/>
  <c r="R29" i="15"/>
  <c r="R28" i="15"/>
  <c r="R30" i="15"/>
  <c r="R31" i="15"/>
  <c r="R32" i="15"/>
  <c r="U29" i="15"/>
  <c r="U28" i="15"/>
  <c r="U30" i="15"/>
  <c r="U31" i="15"/>
  <c r="U32" i="15"/>
  <c r="X29" i="15"/>
  <c r="X28" i="15"/>
  <c r="X30" i="15"/>
  <c r="X31" i="15"/>
  <c r="X32" i="15"/>
  <c r="AA29" i="15"/>
  <c r="AA28" i="15"/>
  <c r="AA30" i="15"/>
  <c r="AA31" i="15"/>
  <c r="AA32" i="15"/>
  <c r="AD29" i="15"/>
  <c r="AD28" i="15"/>
  <c r="AD30" i="15"/>
  <c r="AD31" i="15"/>
  <c r="AD32" i="15"/>
  <c r="AF29" i="15"/>
  <c r="AI30" i="15"/>
  <c r="AF30" i="15"/>
  <c r="AI31" i="15"/>
  <c r="AF31" i="15"/>
  <c r="AI28" i="15"/>
  <c r="AF28" i="15"/>
  <c r="F23" i="15"/>
  <c r="F22" i="15"/>
  <c r="F24" i="15"/>
  <c r="F25" i="15"/>
  <c r="F26" i="15"/>
  <c r="H26" i="13"/>
  <c r="AI23" i="15"/>
  <c r="I23" i="15"/>
  <c r="I22" i="15"/>
  <c r="I24" i="15"/>
  <c r="I25" i="15"/>
  <c r="I26" i="15"/>
  <c r="L23" i="15"/>
  <c r="L22" i="15"/>
  <c r="L24" i="15"/>
  <c r="L25" i="15"/>
  <c r="L26" i="15"/>
  <c r="O23" i="15"/>
  <c r="O22" i="15"/>
  <c r="O24" i="15"/>
  <c r="O25" i="15"/>
  <c r="O26" i="15"/>
  <c r="R23" i="15"/>
  <c r="R22" i="15"/>
  <c r="R24" i="15"/>
  <c r="R25" i="15"/>
  <c r="R26" i="15"/>
  <c r="U23" i="15"/>
  <c r="U22" i="15"/>
  <c r="U24" i="15"/>
  <c r="U25" i="15"/>
  <c r="U26" i="15"/>
  <c r="X23" i="15"/>
  <c r="X22" i="15"/>
  <c r="X24" i="15"/>
  <c r="X25" i="15"/>
  <c r="X26" i="15"/>
  <c r="AA23" i="15"/>
  <c r="AA22" i="15"/>
  <c r="AA24" i="15"/>
  <c r="AA25" i="15"/>
  <c r="AA26" i="15"/>
  <c r="AD23" i="15"/>
  <c r="AD22" i="15"/>
  <c r="AD24" i="15"/>
  <c r="AD25" i="15"/>
  <c r="AD26" i="15"/>
  <c r="AF23" i="15"/>
  <c r="AI24" i="15"/>
  <c r="AF24" i="15"/>
  <c r="AI25" i="15"/>
  <c r="AF25" i="15"/>
  <c r="AI22" i="15"/>
  <c r="AF22" i="15"/>
  <c r="F17" i="15"/>
  <c r="F16" i="15"/>
  <c r="F18" i="15"/>
  <c r="F19" i="15"/>
  <c r="F20" i="15"/>
  <c r="H20" i="13"/>
  <c r="AI17" i="15"/>
  <c r="I17" i="15"/>
  <c r="I16" i="15"/>
  <c r="I18" i="15"/>
  <c r="I19" i="15"/>
  <c r="I20" i="15"/>
  <c r="L17" i="15"/>
  <c r="L16" i="15"/>
  <c r="L18" i="15"/>
  <c r="L19" i="15"/>
  <c r="L20" i="15"/>
  <c r="O17" i="15"/>
  <c r="O16" i="15"/>
  <c r="O18" i="15"/>
  <c r="O19" i="15"/>
  <c r="O20" i="15"/>
  <c r="R17" i="15"/>
  <c r="R16" i="15"/>
  <c r="R18" i="15"/>
  <c r="R19" i="15"/>
  <c r="R20" i="15"/>
  <c r="U17" i="15"/>
  <c r="U16" i="15"/>
  <c r="U18" i="15"/>
  <c r="U19" i="15"/>
  <c r="U20" i="15"/>
  <c r="X17" i="15"/>
  <c r="X16" i="15"/>
  <c r="X18" i="15"/>
  <c r="X19" i="15"/>
  <c r="X20" i="15"/>
  <c r="AA17" i="15"/>
  <c r="AA16" i="15"/>
  <c r="AA18" i="15"/>
  <c r="AA19" i="15"/>
  <c r="AA20" i="15"/>
  <c r="AD17" i="15"/>
  <c r="AD16" i="15"/>
  <c r="AD18" i="15"/>
  <c r="AD19" i="15"/>
  <c r="AD20" i="15"/>
  <c r="AF17" i="15"/>
  <c r="AI18" i="15"/>
  <c r="AF18" i="15"/>
  <c r="AI19" i="15"/>
  <c r="AF19" i="15"/>
  <c r="AI16" i="15"/>
  <c r="AF16" i="15"/>
  <c r="F5" i="15"/>
  <c r="F4" i="15"/>
  <c r="F6" i="15"/>
  <c r="F7" i="15"/>
  <c r="F8" i="15"/>
  <c r="H8" i="13"/>
  <c r="AI5" i="15"/>
  <c r="I5" i="15"/>
  <c r="I4" i="15"/>
  <c r="I6" i="15"/>
  <c r="I7" i="15"/>
  <c r="I8" i="15"/>
  <c r="L5" i="15"/>
  <c r="L4" i="15"/>
  <c r="L6" i="15"/>
  <c r="L7" i="15"/>
  <c r="L8" i="15"/>
  <c r="O5" i="15"/>
  <c r="O4" i="15"/>
  <c r="O6" i="15"/>
  <c r="O7" i="15"/>
  <c r="O8" i="15"/>
  <c r="R5" i="15"/>
  <c r="R4" i="15"/>
  <c r="R6" i="15"/>
  <c r="R7" i="15"/>
  <c r="R8" i="15"/>
  <c r="U5" i="15"/>
  <c r="U4" i="15"/>
  <c r="U6" i="15"/>
  <c r="U7" i="15"/>
  <c r="U8" i="15"/>
  <c r="X5" i="15"/>
  <c r="X4" i="15"/>
  <c r="X6" i="15"/>
  <c r="X7" i="15"/>
  <c r="X8" i="15"/>
  <c r="AA5" i="15"/>
  <c r="AA4" i="15"/>
  <c r="AA6" i="15"/>
  <c r="AA7" i="15"/>
  <c r="AA8" i="15"/>
  <c r="AD5" i="15"/>
  <c r="AD4" i="15"/>
  <c r="AD6" i="15"/>
  <c r="AD7" i="15"/>
  <c r="AD8" i="15"/>
  <c r="AF5" i="15"/>
  <c r="AI6" i="15"/>
  <c r="AF6" i="15"/>
  <c r="AI7" i="15"/>
  <c r="AF7" i="15"/>
  <c r="AI4" i="15"/>
  <c r="AF4" i="15"/>
  <c r="E83" i="15"/>
  <c r="E82" i="15"/>
  <c r="E84" i="15"/>
  <c r="E85" i="15"/>
  <c r="E86" i="15"/>
  <c r="E86" i="13"/>
  <c r="AH83" i="15"/>
  <c r="H83" i="15"/>
  <c r="H82" i="15"/>
  <c r="H84" i="15"/>
  <c r="H85" i="15"/>
  <c r="H86" i="15"/>
  <c r="K83" i="15"/>
  <c r="K82" i="15"/>
  <c r="K84" i="15"/>
  <c r="K85" i="15"/>
  <c r="K86" i="15"/>
  <c r="N83" i="15"/>
  <c r="N82" i="15"/>
  <c r="N84" i="15"/>
  <c r="N85" i="15"/>
  <c r="N86" i="15"/>
  <c r="Q83" i="15"/>
  <c r="Q82" i="15"/>
  <c r="Q84" i="15"/>
  <c r="Q85" i="15"/>
  <c r="Q86" i="15"/>
  <c r="T83" i="15"/>
  <c r="T82" i="15"/>
  <c r="T84" i="15"/>
  <c r="T85" i="15"/>
  <c r="T86" i="15"/>
  <c r="W83" i="15"/>
  <c r="W82" i="15"/>
  <c r="W84" i="15"/>
  <c r="W85" i="15"/>
  <c r="W86" i="15"/>
  <c r="Z83" i="15"/>
  <c r="Z82" i="15"/>
  <c r="Z84" i="15"/>
  <c r="Z85" i="15"/>
  <c r="Z86" i="15"/>
  <c r="AC83" i="15"/>
  <c r="AC82" i="15"/>
  <c r="AC84" i="15"/>
  <c r="AC85" i="15"/>
  <c r="AC86" i="15"/>
  <c r="AE83" i="15"/>
  <c r="AH84" i="15"/>
  <c r="AE84" i="15"/>
  <c r="AH85" i="15"/>
  <c r="AE85" i="15"/>
  <c r="AH82" i="15"/>
  <c r="AE82" i="15"/>
  <c r="E77" i="15"/>
  <c r="E76" i="15"/>
  <c r="E78" i="15"/>
  <c r="E79" i="15"/>
  <c r="E80" i="15"/>
  <c r="E80" i="13"/>
  <c r="AH77" i="15"/>
  <c r="H77" i="15"/>
  <c r="H76" i="15"/>
  <c r="H78" i="15"/>
  <c r="H79" i="15"/>
  <c r="H80" i="15"/>
  <c r="K77" i="15"/>
  <c r="K76" i="15"/>
  <c r="K78" i="15"/>
  <c r="K79" i="15"/>
  <c r="K80" i="15"/>
  <c r="N77" i="15"/>
  <c r="N76" i="15"/>
  <c r="N78" i="15"/>
  <c r="N79" i="15"/>
  <c r="N80" i="15"/>
  <c r="Q77" i="15"/>
  <c r="Q76" i="15"/>
  <c r="Q78" i="15"/>
  <c r="Q79" i="15"/>
  <c r="Q80" i="15"/>
  <c r="T77" i="15"/>
  <c r="T76" i="15"/>
  <c r="T78" i="15"/>
  <c r="T79" i="15"/>
  <c r="T80" i="15"/>
  <c r="W77" i="15"/>
  <c r="W76" i="15"/>
  <c r="W78" i="15"/>
  <c r="W79" i="15"/>
  <c r="W80" i="15"/>
  <c r="Z77" i="15"/>
  <c r="Z76" i="15"/>
  <c r="Z78" i="15"/>
  <c r="Z79" i="15"/>
  <c r="Z80" i="15"/>
  <c r="AC77" i="15"/>
  <c r="AC76" i="15"/>
  <c r="AC78" i="15"/>
  <c r="AC79" i="15"/>
  <c r="AC80" i="15"/>
  <c r="AE77" i="15"/>
  <c r="AH78" i="15"/>
  <c r="AE78" i="15"/>
  <c r="AH79" i="15"/>
  <c r="AE79" i="15"/>
  <c r="AH76" i="15"/>
  <c r="AE76" i="15"/>
  <c r="E71" i="15"/>
  <c r="E70" i="15"/>
  <c r="E72" i="15"/>
  <c r="E73" i="15"/>
  <c r="E74" i="15"/>
  <c r="E74" i="13"/>
  <c r="AH71" i="15"/>
  <c r="H71" i="15"/>
  <c r="H70" i="15"/>
  <c r="H72" i="15"/>
  <c r="H73" i="15"/>
  <c r="H74" i="15"/>
  <c r="K71" i="15"/>
  <c r="K70" i="15"/>
  <c r="K72" i="15"/>
  <c r="K73" i="15"/>
  <c r="K74" i="15"/>
  <c r="N71" i="15"/>
  <c r="N70" i="15"/>
  <c r="N72" i="15"/>
  <c r="N73" i="15"/>
  <c r="N74" i="15"/>
  <c r="Q71" i="15"/>
  <c r="Q70" i="15"/>
  <c r="Q72" i="15"/>
  <c r="Q73" i="15"/>
  <c r="Q74" i="15"/>
  <c r="T71" i="15"/>
  <c r="T70" i="15"/>
  <c r="T72" i="15"/>
  <c r="T73" i="15"/>
  <c r="T74" i="15"/>
  <c r="W71" i="15"/>
  <c r="W70" i="15"/>
  <c r="W72" i="15"/>
  <c r="W73" i="15"/>
  <c r="W74" i="15"/>
  <c r="Z71" i="15"/>
  <c r="Z70" i="15"/>
  <c r="Z72" i="15"/>
  <c r="Z73" i="15"/>
  <c r="Z74" i="15"/>
  <c r="AC71" i="15"/>
  <c r="AC70" i="15"/>
  <c r="AC72" i="15"/>
  <c r="AC73" i="15"/>
  <c r="AC74" i="15"/>
  <c r="AE71" i="15"/>
  <c r="AH72" i="15"/>
  <c r="AE72" i="15"/>
  <c r="AH73" i="15"/>
  <c r="AE73" i="15"/>
  <c r="AH70" i="15"/>
  <c r="AE70" i="15"/>
  <c r="E65" i="15"/>
  <c r="E4" i="15"/>
  <c r="E5" i="15"/>
  <c r="E6" i="15"/>
  <c r="E7" i="15"/>
  <c r="E8" i="15"/>
  <c r="E68" i="13"/>
  <c r="AH65" i="15"/>
  <c r="H65" i="15"/>
  <c r="H4" i="15"/>
  <c r="H5" i="15"/>
  <c r="H6" i="15"/>
  <c r="H7" i="15"/>
  <c r="H8" i="15"/>
  <c r="K65" i="15"/>
  <c r="K4" i="15"/>
  <c r="K5" i="15"/>
  <c r="K6" i="15"/>
  <c r="K7" i="15"/>
  <c r="K8" i="15"/>
  <c r="N65" i="15"/>
  <c r="N4" i="15"/>
  <c r="N5" i="15"/>
  <c r="N6" i="15"/>
  <c r="N7" i="15"/>
  <c r="N8" i="15"/>
  <c r="Q65" i="15"/>
  <c r="Q4" i="15"/>
  <c r="Q5" i="15"/>
  <c r="Q6" i="15"/>
  <c r="Q7" i="15"/>
  <c r="Q8" i="15"/>
  <c r="T65" i="15"/>
  <c r="T4" i="15"/>
  <c r="T5" i="15"/>
  <c r="T6" i="15"/>
  <c r="T7" i="15"/>
  <c r="T8" i="15"/>
  <c r="W65" i="15"/>
  <c r="W4" i="15"/>
  <c r="W5" i="15"/>
  <c r="W6" i="15"/>
  <c r="W7" i="15"/>
  <c r="W8" i="15"/>
  <c r="Z65" i="15"/>
  <c r="Z4" i="15"/>
  <c r="Z5" i="15"/>
  <c r="Z6" i="15"/>
  <c r="Z7" i="15"/>
  <c r="Z8" i="15"/>
  <c r="AC65" i="15"/>
  <c r="AC4" i="15"/>
  <c r="AC5" i="15"/>
  <c r="AC6" i="15"/>
  <c r="AC7" i="15"/>
  <c r="AC8" i="15"/>
  <c r="AE65" i="15"/>
  <c r="E66" i="15"/>
  <c r="AH66" i="15"/>
  <c r="H66" i="15"/>
  <c r="K66" i="15"/>
  <c r="N66" i="15"/>
  <c r="Q66" i="15"/>
  <c r="T66" i="15"/>
  <c r="W66" i="15"/>
  <c r="Z66" i="15"/>
  <c r="AC66" i="15"/>
  <c r="AE66" i="15"/>
  <c r="E67" i="15"/>
  <c r="AH67" i="15"/>
  <c r="H67" i="15"/>
  <c r="K67" i="15"/>
  <c r="N67" i="15"/>
  <c r="Q67" i="15"/>
  <c r="T67" i="15"/>
  <c r="W67" i="15"/>
  <c r="Z67" i="15"/>
  <c r="AC67" i="15"/>
  <c r="AE67" i="15"/>
  <c r="E64" i="15"/>
  <c r="AH64" i="15"/>
  <c r="H64" i="15"/>
  <c r="K64" i="15"/>
  <c r="N64" i="15"/>
  <c r="Q64" i="15"/>
  <c r="T64" i="15"/>
  <c r="W64" i="15"/>
  <c r="Z64" i="15"/>
  <c r="AC64" i="15"/>
  <c r="AE64" i="15"/>
  <c r="E47" i="15"/>
  <c r="E46" i="15"/>
  <c r="E48" i="15"/>
  <c r="E49" i="15"/>
  <c r="E50" i="15"/>
  <c r="E50" i="13"/>
  <c r="AH47" i="15"/>
  <c r="H47" i="15"/>
  <c r="H46" i="15"/>
  <c r="H48" i="15"/>
  <c r="H49" i="15"/>
  <c r="H50" i="15"/>
  <c r="K47" i="15"/>
  <c r="K46" i="15"/>
  <c r="K48" i="15"/>
  <c r="K49" i="15"/>
  <c r="K50" i="15"/>
  <c r="N47" i="15"/>
  <c r="N46" i="15"/>
  <c r="N48" i="15"/>
  <c r="N49" i="15"/>
  <c r="N50" i="15"/>
  <c r="Q47" i="15"/>
  <c r="Q46" i="15"/>
  <c r="Q48" i="15"/>
  <c r="Q49" i="15"/>
  <c r="Q50" i="15"/>
  <c r="T47" i="15"/>
  <c r="T46" i="15"/>
  <c r="T48" i="15"/>
  <c r="T49" i="15"/>
  <c r="T50" i="15"/>
  <c r="W47" i="15"/>
  <c r="W46" i="15"/>
  <c r="W48" i="15"/>
  <c r="W49" i="15"/>
  <c r="W50" i="15"/>
  <c r="Z47" i="15"/>
  <c r="Z46" i="15"/>
  <c r="Z48" i="15"/>
  <c r="Z49" i="15"/>
  <c r="Z50" i="15"/>
  <c r="AC47" i="15"/>
  <c r="AC46" i="15"/>
  <c r="AC48" i="15"/>
  <c r="AC49" i="15"/>
  <c r="AC50" i="15"/>
  <c r="AE47" i="15"/>
  <c r="AH48" i="15"/>
  <c r="AE48" i="15"/>
  <c r="AH49" i="15"/>
  <c r="AE49" i="15"/>
  <c r="AH46" i="15"/>
  <c r="AE46" i="15"/>
  <c r="E41" i="15"/>
  <c r="E40" i="15"/>
  <c r="E42" i="15"/>
  <c r="E43" i="15"/>
  <c r="E44" i="15"/>
  <c r="E44" i="13"/>
  <c r="AH41" i="15"/>
  <c r="H41" i="15"/>
  <c r="H40" i="15"/>
  <c r="H42" i="15"/>
  <c r="H43" i="15"/>
  <c r="H44" i="15"/>
  <c r="K41" i="15"/>
  <c r="K40" i="15"/>
  <c r="K42" i="15"/>
  <c r="K43" i="15"/>
  <c r="K44" i="15"/>
  <c r="N41" i="15"/>
  <c r="N40" i="15"/>
  <c r="N42" i="15"/>
  <c r="N43" i="15"/>
  <c r="N44" i="15"/>
  <c r="Q41" i="15"/>
  <c r="Q40" i="15"/>
  <c r="Q42" i="15"/>
  <c r="Q43" i="15"/>
  <c r="Q44" i="15"/>
  <c r="T41" i="15"/>
  <c r="T40" i="15"/>
  <c r="T42" i="15"/>
  <c r="T43" i="15"/>
  <c r="T44" i="15"/>
  <c r="W41" i="15"/>
  <c r="W40" i="15"/>
  <c r="W42" i="15"/>
  <c r="W43" i="15"/>
  <c r="W44" i="15"/>
  <c r="Z41" i="15"/>
  <c r="Z40" i="15"/>
  <c r="Z42" i="15"/>
  <c r="Z43" i="15"/>
  <c r="Z44" i="15"/>
  <c r="AC41" i="15"/>
  <c r="AC40" i="15"/>
  <c r="AC42" i="15"/>
  <c r="AC43" i="15"/>
  <c r="AC44" i="15"/>
  <c r="AE41" i="15"/>
  <c r="AH42" i="15"/>
  <c r="AE42" i="15"/>
  <c r="AH43" i="15"/>
  <c r="AE43" i="15"/>
  <c r="AH40" i="15"/>
  <c r="AE40" i="15"/>
  <c r="E35" i="15"/>
  <c r="E34" i="15"/>
  <c r="E36" i="15"/>
  <c r="E37" i="15"/>
  <c r="E38" i="15"/>
  <c r="E38" i="13"/>
  <c r="AH35" i="15"/>
  <c r="H35" i="15"/>
  <c r="H34" i="15"/>
  <c r="H36" i="15"/>
  <c r="H37" i="15"/>
  <c r="H38" i="15"/>
  <c r="K35" i="15"/>
  <c r="K34" i="15"/>
  <c r="K36" i="15"/>
  <c r="K37" i="15"/>
  <c r="K38" i="15"/>
  <c r="N35" i="15"/>
  <c r="N34" i="15"/>
  <c r="N36" i="15"/>
  <c r="N37" i="15"/>
  <c r="N38" i="15"/>
  <c r="Q35" i="15"/>
  <c r="Q34" i="15"/>
  <c r="Q36" i="15"/>
  <c r="Q37" i="15"/>
  <c r="Q38" i="15"/>
  <c r="T35" i="15"/>
  <c r="T34" i="15"/>
  <c r="T36" i="15"/>
  <c r="T37" i="15"/>
  <c r="T38" i="15"/>
  <c r="W35" i="15"/>
  <c r="W34" i="15"/>
  <c r="W36" i="15"/>
  <c r="W37" i="15"/>
  <c r="W38" i="15"/>
  <c r="Z35" i="15"/>
  <c r="Z34" i="15"/>
  <c r="Z36" i="15"/>
  <c r="Z37" i="15"/>
  <c r="Z38" i="15"/>
  <c r="AC35" i="15"/>
  <c r="AC34" i="15"/>
  <c r="AC36" i="15"/>
  <c r="AC37" i="15"/>
  <c r="AC38" i="15"/>
  <c r="AE35" i="15"/>
  <c r="AH36" i="15"/>
  <c r="AE36" i="15"/>
  <c r="AH37" i="15"/>
  <c r="AE37" i="15"/>
  <c r="AH34" i="15"/>
  <c r="AE34" i="15"/>
  <c r="E29" i="15"/>
  <c r="E28" i="15"/>
  <c r="E30" i="15"/>
  <c r="E31" i="15"/>
  <c r="E32" i="15"/>
  <c r="E32" i="13"/>
  <c r="AH29" i="15"/>
  <c r="H29" i="15"/>
  <c r="H28" i="15"/>
  <c r="H30" i="15"/>
  <c r="H31" i="15"/>
  <c r="H32" i="15"/>
  <c r="K29" i="15"/>
  <c r="K28" i="15"/>
  <c r="K30" i="15"/>
  <c r="K31" i="15"/>
  <c r="K32" i="15"/>
  <c r="N29" i="15"/>
  <c r="N28" i="15"/>
  <c r="N30" i="15"/>
  <c r="N31" i="15"/>
  <c r="N32" i="15"/>
  <c r="Q29" i="15"/>
  <c r="Q28" i="15"/>
  <c r="Q30" i="15"/>
  <c r="Q31" i="15"/>
  <c r="Q32" i="15"/>
  <c r="T29" i="15"/>
  <c r="T28" i="15"/>
  <c r="T30" i="15"/>
  <c r="T31" i="15"/>
  <c r="T32" i="15"/>
  <c r="W29" i="15"/>
  <c r="W28" i="15"/>
  <c r="W30" i="15"/>
  <c r="W31" i="15"/>
  <c r="W32" i="15"/>
  <c r="Z29" i="15"/>
  <c r="Z28" i="15"/>
  <c r="Z30" i="15"/>
  <c r="Z31" i="15"/>
  <c r="Z32" i="15"/>
  <c r="AC29" i="15"/>
  <c r="AC28" i="15"/>
  <c r="AC30" i="15"/>
  <c r="AC31" i="15"/>
  <c r="AC32" i="15"/>
  <c r="AE29" i="15"/>
  <c r="AH30" i="15"/>
  <c r="AE30" i="15"/>
  <c r="AH31" i="15"/>
  <c r="AE31" i="15"/>
  <c r="AH28" i="15"/>
  <c r="AE28" i="15"/>
  <c r="E23" i="15"/>
  <c r="E22" i="15"/>
  <c r="E24" i="15"/>
  <c r="E25" i="15"/>
  <c r="E26" i="15"/>
  <c r="E26" i="13"/>
  <c r="AH23" i="15"/>
  <c r="H23" i="15"/>
  <c r="H22" i="15"/>
  <c r="H24" i="15"/>
  <c r="H25" i="15"/>
  <c r="H26" i="15"/>
  <c r="K23" i="15"/>
  <c r="K22" i="15"/>
  <c r="K24" i="15"/>
  <c r="K25" i="15"/>
  <c r="K26" i="15"/>
  <c r="N23" i="15"/>
  <c r="N22" i="15"/>
  <c r="N24" i="15"/>
  <c r="N25" i="15"/>
  <c r="N26" i="15"/>
  <c r="Q23" i="15"/>
  <c r="Q22" i="15"/>
  <c r="Q24" i="15"/>
  <c r="Q25" i="15"/>
  <c r="Q26" i="15"/>
  <c r="T23" i="15"/>
  <c r="T22" i="15"/>
  <c r="T24" i="15"/>
  <c r="T25" i="15"/>
  <c r="T26" i="15"/>
  <c r="W23" i="15"/>
  <c r="W22" i="15"/>
  <c r="W24" i="15"/>
  <c r="W25" i="15"/>
  <c r="W26" i="15"/>
  <c r="Z23" i="15"/>
  <c r="Z22" i="15"/>
  <c r="Z24" i="15"/>
  <c r="Z25" i="15"/>
  <c r="Z26" i="15"/>
  <c r="AC23" i="15"/>
  <c r="AC22" i="15"/>
  <c r="AC24" i="15"/>
  <c r="AC25" i="15"/>
  <c r="AC26" i="15"/>
  <c r="AE23" i="15"/>
  <c r="AH24" i="15"/>
  <c r="AE24" i="15"/>
  <c r="AH25" i="15"/>
  <c r="AE25" i="15"/>
  <c r="AH22" i="15"/>
  <c r="AE22" i="15"/>
  <c r="E17" i="15"/>
  <c r="E16" i="15"/>
  <c r="E18" i="15"/>
  <c r="E19" i="15"/>
  <c r="E20" i="15"/>
  <c r="E20" i="13"/>
  <c r="AH17" i="15"/>
  <c r="H17" i="15"/>
  <c r="H16" i="15"/>
  <c r="H18" i="15"/>
  <c r="H19" i="15"/>
  <c r="H20" i="15"/>
  <c r="K17" i="15"/>
  <c r="K16" i="15"/>
  <c r="K18" i="15"/>
  <c r="K19" i="15"/>
  <c r="K20" i="15"/>
  <c r="N17" i="15"/>
  <c r="N16" i="15"/>
  <c r="N18" i="15"/>
  <c r="N19" i="15"/>
  <c r="N20" i="15"/>
  <c r="Q17" i="15"/>
  <c r="Q16" i="15"/>
  <c r="Q18" i="15"/>
  <c r="Q19" i="15"/>
  <c r="Q20" i="15"/>
  <c r="T17" i="15"/>
  <c r="T16" i="15"/>
  <c r="T18" i="15"/>
  <c r="T19" i="15"/>
  <c r="T20" i="15"/>
  <c r="W17" i="15"/>
  <c r="W16" i="15"/>
  <c r="W18" i="15"/>
  <c r="W19" i="15"/>
  <c r="W20" i="15"/>
  <c r="Z17" i="15"/>
  <c r="Z16" i="15"/>
  <c r="Z18" i="15"/>
  <c r="Z19" i="15"/>
  <c r="Z20" i="15"/>
  <c r="AC17" i="15"/>
  <c r="AC16" i="15"/>
  <c r="AC18" i="15"/>
  <c r="AC19" i="15"/>
  <c r="AC20" i="15"/>
  <c r="AE17" i="15"/>
  <c r="AH18" i="15"/>
  <c r="AE18" i="15"/>
  <c r="AH19" i="15"/>
  <c r="AE19" i="15"/>
  <c r="AH16" i="15"/>
  <c r="AE16" i="15"/>
  <c r="E8" i="13"/>
  <c r="AH4" i="15"/>
  <c r="AE4" i="15"/>
  <c r="AH5" i="15"/>
  <c r="AE5" i="15"/>
  <c r="AH6" i="15"/>
  <c r="AE6" i="15"/>
  <c r="AH7" i="15"/>
  <c r="AE7" i="15"/>
  <c r="Y83" i="13"/>
  <c r="AA83" i="13"/>
  <c r="J83" i="13"/>
  <c r="Y84" i="13"/>
  <c r="AA84" i="13"/>
  <c r="J84" i="13"/>
  <c r="Y85" i="13"/>
  <c r="AA85" i="13"/>
  <c r="J85" i="13"/>
  <c r="Y82" i="13"/>
  <c r="AA82" i="13"/>
  <c r="J82" i="13"/>
  <c r="Y77" i="13"/>
  <c r="AA77" i="13"/>
  <c r="J77" i="13"/>
  <c r="Y78" i="13"/>
  <c r="AA78" i="13"/>
  <c r="J78" i="13"/>
  <c r="Y79" i="13"/>
  <c r="AA79" i="13"/>
  <c r="J79" i="13"/>
  <c r="Y76" i="13"/>
  <c r="AA76" i="13"/>
  <c r="J76" i="13"/>
  <c r="Y71" i="13"/>
  <c r="AA71" i="13"/>
  <c r="J71" i="13"/>
  <c r="Y72" i="13"/>
  <c r="AA72" i="13"/>
  <c r="J72" i="13"/>
  <c r="Y73" i="13"/>
  <c r="AA73" i="13"/>
  <c r="J73" i="13"/>
  <c r="Y70" i="13"/>
  <c r="AA70" i="13"/>
  <c r="J70" i="13"/>
  <c r="Y65" i="13"/>
  <c r="AA65" i="13"/>
  <c r="J65" i="13"/>
  <c r="Y66" i="13"/>
  <c r="AA66" i="13"/>
  <c r="J66" i="13"/>
  <c r="Y67" i="13"/>
  <c r="AA67" i="13"/>
  <c r="J67" i="13"/>
  <c r="Y64" i="13"/>
  <c r="AA64" i="13"/>
  <c r="J64" i="13"/>
  <c r="Y47" i="13"/>
  <c r="AA47" i="13"/>
  <c r="J47" i="13"/>
  <c r="Y48" i="13"/>
  <c r="AA48" i="13"/>
  <c r="J48" i="13"/>
  <c r="Y49" i="13"/>
  <c r="AA49" i="13"/>
  <c r="J49" i="13"/>
  <c r="Y46" i="13"/>
  <c r="AA46" i="13"/>
  <c r="J46" i="13"/>
  <c r="Y41" i="13"/>
  <c r="AA41" i="13"/>
  <c r="J41" i="13"/>
  <c r="Y42" i="13"/>
  <c r="AA42" i="13"/>
  <c r="J42" i="13"/>
  <c r="Y43" i="13"/>
  <c r="AA43" i="13"/>
  <c r="J43" i="13"/>
  <c r="Y40" i="13"/>
  <c r="AA40" i="13"/>
  <c r="J40" i="13"/>
  <c r="Y35" i="13"/>
  <c r="AA35" i="13"/>
  <c r="J35" i="13"/>
  <c r="Y36" i="13"/>
  <c r="AA36" i="13"/>
  <c r="J36" i="13"/>
  <c r="Y37" i="13"/>
  <c r="AA37" i="13"/>
  <c r="J37" i="13"/>
  <c r="Y34" i="13"/>
  <c r="AA34" i="13"/>
  <c r="J34" i="13"/>
  <c r="Y29" i="13"/>
  <c r="AA29" i="13"/>
  <c r="J29" i="13"/>
  <c r="Y30" i="13"/>
  <c r="AA30" i="13"/>
  <c r="J30" i="13"/>
  <c r="Y31" i="13"/>
  <c r="AA31" i="13"/>
  <c r="J31" i="13"/>
  <c r="Y28" i="13"/>
  <c r="AA28" i="13"/>
  <c r="J28" i="13"/>
  <c r="Y23" i="13"/>
  <c r="AA23" i="13"/>
  <c r="J23" i="13"/>
  <c r="Y24" i="13"/>
  <c r="AA24" i="13"/>
  <c r="J24" i="13"/>
  <c r="Y25" i="13"/>
  <c r="AA25" i="13"/>
  <c r="J25" i="13"/>
  <c r="Y22" i="13"/>
  <c r="AA22" i="13"/>
  <c r="J22" i="13"/>
  <c r="Y17" i="13"/>
  <c r="AA17" i="13"/>
  <c r="J17" i="13"/>
  <c r="Y18" i="13"/>
  <c r="AA18" i="13"/>
  <c r="J18" i="13"/>
  <c r="Y19" i="13"/>
  <c r="AA19" i="13"/>
  <c r="J19" i="13"/>
  <c r="Y16" i="13"/>
  <c r="AA16" i="13"/>
  <c r="J16" i="13"/>
  <c r="Y5" i="13"/>
  <c r="AA5" i="13"/>
  <c r="J5" i="13"/>
  <c r="Y6" i="13"/>
  <c r="AA6" i="13"/>
  <c r="J6" i="13"/>
  <c r="Y7" i="13"/>
  <c r="AA7" i="13"/>
  <c r="J7" i="13"/>
  <c r="Y4" i="13"/>
  <c r="AA4" i="13"/>
  <c r="J4" i="13"/>
  <c r="X83" i="13"/>
  <c r="Z83" i="13"/>
  <c r="G83" i="13"/>
  <c r="X84" i="13"/>
  <c r="Z84" i="13"/>
  <c r="G84" i="13"/>
  <c r="X85" i="13"/>
  <c r="Z85" i="13"/>
  <c r="G85" i="13"/>
  <c r="X82" i="13"/>
  <c r="Z82" i="13"/>
  <c r="G82" i="13"/>
  <c r="X77" i="13"/>
  <c r="Z77" i="13"/>
  <c r="G77" i="13"/>
  <c r="X78" i="13"/>
  <c r="Z78" i="13"/>
  <c r="G78" i="13"/>
  <c r="X79" i="13"/>
  <c r="Z79" i="13"/>
  <c r="G79" i="13"/>
  <c r="X76" i="13"/>
  <c r="Z76" i="13"/>
  <c r="G76" i="13"/>
  <c r="X71" i="13"/>
  <c r="Z71" i="13"/>
  <c r="G71" i="13"/>
  <c r="X72" i="13"/>
  <c r="Z72" i="13"/>
  <c r="G72" i="13"/>
  <c r="X73" i="13"/>
  <c r="Z73" i="13"/>
  <c r="G73" i="13"/>
  <c r="X70" i="13"/>
  <c r="Z70" i="13"/>
  <c r="G70" i="13"/>
  <c r="X66" i="13"/>
  <c r="Z66" i="13"/>
  <c r="G66" i="13"/>
  <c r="X67" i="13"/>
  <c r="Z67" i="13"/>
  <c r="G67" i="13"/>
  <c r="X65" i="13"/>
  <c r="Z65" i="13"/>
  <c r="G65" i="13"/>
  <c r="X64" i="13"/>
  <c r="Z64" i="13"/>
  <c r="G64" i="13"/>
  <c r="X47" i="13"/>
  <c r="Z47" i="13"/>
  <c r="G47" i="13"/>
  <c r="X48" i="13"/>
  <c r="Z48" i="13"/>
  <c r="G48" i="13"/>
  <c r="X49" i="13"/>
  <c r="Z49" i="13"/>
  <c r="G49" i="13"/>
  <c r="X46" i="13"/>
  <c r="Z46" i="13"/>
  <c r="G46" i="13"/>
  <c r="X41" i="13"/>
  <c r="Z41" i="13"/>
  <c r="G41" i="13"/>
  <c r="X42" i="13"/>
  <c r="Z42" i="13"/>
  <c r="G42" i="13"/>
  <c r="X43" i="13"/>
  <c r="Z43" i="13"/>
  <c r="G43" i="13"/>
  <c r="X40" i="13"/>
  <c r="Z40" i="13"/>
  <c r="G40" i="13"/>
  <c r="X35" i="13"/>
  <c r="Z35" i="13"/>
  <c r="G35" i="13"/>
  <c r="X36" i="13"/>
  <c r="Z36" i="13"/>
  <c r="G36" i="13"/>
  <c r="X37" i="13"/>
  <c r="Z37" i="13"/>
  <c r="G37" i="13"/>
  <c r="X34" i="13"/>
  <c r="Z34" i="13"/>
  <c r="G34" i="13"/>
  <c r="X29" i="13"/>
  <c r="Z29" i="13"/>
  <c r="G29" i="13"/>
  <c r="X30" i="13"/>
  <c r="Z30" i="13"/>
  <c r="G30" i="13"/>
  <c r="X31" i="13"/>
  <c r="Z31" i="13"/>
  <c r="G31" i="13"/>
  <c r="X28" i="13"/>
  <c r="Z28" i="13"/>
  <c r="G28" i="13"/>
  <c r="X23" i="13"/>
  <c r="Z23" i="13"/>
  <c r="G23" i="13"/>
  <c r="X24" i="13"/>
  <c r="Z24" i="13"/>
  <c r="G24" i="13"/>
  <c r="X25" i="13"/>
  <c r="Z25" i="13"/>
  <c r="G25" i="13"/>
  <c r="X22" i="13"/>
  <c r="Z22" i="13"/>
  <c r="G22" i="13"/>
  <c r="X17" i="13"/>
  <c r="Z17" i="13"/>
  <c r="G17" i="13"/>
  <c r="X18" i="13"/>
  <c r="Z18" i="13"/>
  <c r="G18" i="13"/>
  <c r="X19" i="13"/>
  <c r="Z19" i="13"/>
  <c r="G19" i="13"/>
  <c r="X16" i="13"/>
  <c r="Z16" i="13"/>
  <c r="G16" i="13"/>
  <c r="X5" i="13"/>
  <c r="Z5" i="13"/>
  <c r="G5" i="13"/>
  <c r="X6" i="13"/>
  <c r="Z6" i="13"/>
  <c r="G6" i="13"/>
  <c r="X7" i="13"/>
  <c r="Z7" i="13"/>
  <c r="G7" i="13"/>
  <c r="X4" i="13"/>
  <c r="Z4" i="13"/>
  <c r="G4" i="13"/>
  <c r="E8" i="4"/>
  <c r="X4" i="4"/>
  <c r="Z4" i="4"/>
  <c r="E8" i="11"/>
  <c r="H8" i="11"/>
  <c r="K8" i="11"/>
  <c r="E8" i="6"/>
  <c r="L8" i="6"/>
  <c r="E8" i="9"/>
  <c r="E8" i="7"/>
  <c r="G4" i="4"/>
  <c r="Q68" i="16"/>
  <c r="N68" i="16"/>
  <c r="Q15" i="16"/>
  <c r="R15" i="16"/>
  <c r="Q21" i="16"/>
  <c r="R21" i="16"/>
  <c r="Q27" i="16"/>
  <c r="R27" i="16"/>
  <c r="Q33" i="16"/>
  <c r="R33" i="16"/>
  <c r="Q39" i="16"/>
  <c r="R39" i="16"/>
  <c r="Q45" i="16"/>
  <c r="R45" i="16"/>
  <c r="Q63" i="16"/>
  <c r="R63" i="16"/>
  <c r="Q69" i="16"/>
  <c r="R69" i="16"/>
  <c r="Q75" i="16"/>
  <c r="R75" i="16"/>
  <c r="Q81" i="16"/>
  <c r="R81" i="16"/>
  <c r="N15" i="16"/>
  <c r="O15" i="16"/>
  <c r="N21" i="16"/>
  <c r="O21" i="16"/>
  <c r="N27" i="16"/>
  <c r="O27" i="16"/>
  <c r="N33" i="16"/>
  <c r="O33" i="16"/>
  <c r="N39" i="16"/>
  <c r="O39" i="16"/>
  <c r="N45" i="16"/>
  <c r="O45" i="16"/>
  <c r="N63" i="16"/>
  <c r="O63" i="16"/>
  <c r="N69" i="16"/>
  <c r="O69" i="16"/>
  <c r="N75" i="16"/>
  <c r="O75" i="16"/>
  <c r="N81" i="16"/>
  <c r="O81" i="16"/>
  <c r="T68" i="15"/>
  <c r="Q68" i="15"/>
  <c r="N68" i="15"/>
  <c r="U15" i="15"/>
  <c r="U21" i="15"/>
  <c r="U27" i="15"/>
  <c r="U33" i="15"/>
  <c r="U39" i="15"/>
  <c r="U45" i="15"/>
  <c r="U51" i="15"/>
  <c r="U52" i="15"/>
  <c r="U53" i="15"/>
  <c r="U54" i="15"/>
  <c r="U55" i="15"/>
  <c r="U56" i="15"/>
  <c r="U57" i="15"/>
  <c r="U58" i="15"/>
  <c r="U59" i="15"/>
  <c r="U60" i="15"/>
  <c r="U61" i="15"/>
  <c r="H62" i="4"/>
  <c r="U62" i="15"/>
  <c r="U63" i="15"/>
  <c r="U69" i="15"/>
  <c r="U75" i="15"/>
  <c r="U81" i="15"/>
  <c r="T15" i="15"/>
  <c r="T21" i="15"/>
  <c r="T27" i="15"/>
  <c r="T33" i="15"/>
  <c r="T39" i="15"/>
  <c r="T45" i="15"/>
  <c r="T51" i="15"/>
  <c r="T52" i="15"/>
  <c r="T53" i="15"/>
  <c r="T54" i="15"/>
  <c r="T55" i="15"/>
  <c r="T56" i="15"/>
  <c r="T57" i="15"/>
  <c r="T58" i="15"/>
  <c r="T59" i="15"/>
  <c r="T60" i="15"/>
  <c r="T61" i="15"/>
  <c r="E62" i="4"/>
  <c r="T62" i="15"/>
  <c r="T63" i="15"/>
  <c r="T69" i="15"/>
  <c r="T75" i="15"/>
  <c r="T81" i="15"/>
  <c r="R15" i="15"/>
  <c r="R21" i="15"/>
  <c r="R27" i="15"/>
  <c r="R33" i="15"/>
  <c r="R39" i="15"/>
  <c r="R45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9" i="15"/>
  <c r="R75" i="15"/>
  <c r="R81" i="15"/>
  <c r="Q15" i="15"/>
  <c r="Q21" i="15"/>
  <c r="Q27" i="15"/>
  <c r="Q33" i="15"/>
  <c r="Q39" i="15"/>
  <c r="Q45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9" i="15"/>
  <c r="Q75" i="15"/>
  <c r="Q81" i="15"/>
  <c r="O15" i="15"/>
  <c r="O21" i="15"/>
  <c r="O27" i="15"/>
  <c r="O33" i="15"/>
  <c r="O39" i="15"/>
  <c r="O45" i="15"/>
  <c r="O63" i="15"/>
  <c r="O69" i="15"/>
  <c r="O75" i="15"/>
  <c r="O81" i="15"/>
  <c r="N15" i="15"/>
  <c r="N21" i="15"/>
  <c r="N27" i="15"/>
  <c r="N33" i="15"/>
  <c r="N39" i="15"/>
  <c r="N45" i="15"/>
  <c r="N63" i="15"/>
  <c r="N69" i="15"/>
  <c r="N75" i="15"/>
  <c r="N81" i="15"/>
  <c r="H8" i="4"/>
  <c r="Y4" i="4"/>
  <c r="AA4" i="4"/>
  <c r="F8" i="11"/>
  <c r="I8" i="11"/>
  <c r="L8" i="11"/>
  <c r="F8" i="6"/>
  <c r="M8" i="6"/>
  <c r="F8" i="9"/>
  <c r="F8" i="7"/>
  <c r="J4" i="4"/>
  <c r="H86" i="4"/>
  <c r="Y83" i="4"/>
  <c r="AA83" i="4"/>
  <c r="F86" i="11"/>
  <c r="I86" i="11"/>
  <c r="L86" i="11"/>
  <c r="F86" i="6"/>
  <c r="M86" i="6"/>
  <c r="F86" i="9"/>
  <c r="J83" i="4"/>
  <c r="Y84" i="4"/>
  <c r="AA84" i="4"/>
  <c r="J84" i="4"/>
  <c r="Y85" i="4"/>
  <c r="AA85" i="4"/>
  <c r="J85" i="4"/>
  <c r="Y82" i="4"/>
  <c r="AA82" i="4"/>
  <c r="J82" i="4"/>
  <c r="E86" i="4"/>
  <c r="X83" i="4"/>
  <c r="Z83" i="4"/>
  <c r="E86" i="11"/>
  <c r="H86" i="11"/>
  <c r="K86" i="11"/>
  <c r="E86" i="6"/>
  <c r="L86" i="6"/>
  <c r="E86" i="9"/>
  <c r="E86" i="7"/>
  <c r="G83" i="4"/>
  <c r="X84" i="4"/>
  <c r="Z84" i="4"/>
  <c r="G84" i="4"/>
  <c r="X85" i="4"/>
  <c r="Z85" i="4"/>
  <c r="G85" i="4"/>
  <c r="X82" i="4"/>
  <c r="Z82" i="4"/>
  <c r="G82" i="4"/>
  <c r="Y78" i="4"/>
  <c r="AA78" i="4"/>
  <c r="J78" i="4"/>
  <c r="Y79" i="4"/>
  <c r="AA79" i="4"/>
  <c r="J79" i="4"/>
  <c r="Y76" i="4"/>
  <c r="AA76" i="4"/>
  <c r="J76" i="4"/>
  <c r="E80" i="4"/>
  <c r="X77" i="4"/>
  <c r="Z77" i="4"/>
  <c r="G77" i="4"/>
  <c r="X78" i="4"/>
  <c r="Z78" i="4"/>
  <c r="G78" i="4"/>
  <c r="X79" i="4"/>
  <c r="Z79" i="4"/>
  <c r="G79" i="4"/>
  <c r="X76" i="4"/>
  <c r="Z76" i="4"/>
  <c r="H74" i="4"/>
  <c r="Y71" i="4"/>
  <c r="AA71" i="4"/>
  <c r="F74" i="11"/>
  <c r="I74" i="11"/>
  <c r="L74" i="11"/>
  <c r="F74" i="6"/>
  <c r="M74" i="6"/>
  <c r="F74" i="9"/>
  <c r="F74" i="7"/>
  <c r="J71" i="4"/>
  <c r="Y72" i="4"/>
  <c r="AA72" i="4"/>
  <c r="J72" i="4"/>
  <c r="Y73" i="4"/>
  <c r="AA73" i="4"/>
  <c r="J73" i="4"/>
  <c r="Y70" i="4"/>
  <c r="AA70" i="4"/>
  <c r="J70" i="4"/>
  <c r="E74" i="4"/>
  <c r="X71" i="4"/>
  <c r="Z71" i="4"/>
  <c r="E74" i="11"/>
  <c r="H74" i="11"/>
  <c r="K74" i="11"/>
  <c r="E74" i="6"/>
  <c r="L74" i="6"/>
  <c r="E74" i="9"/>
  <c r="E74" i="7"/>
  <c r="G71" i="4"/>
  <c r="X72" i="4"/>
  <c r="Z72" i="4"/>
  <c r="G72" i="4"/>
  <c r="X73" i="4"/>
  <c r="Z73" i="4"/>
  <c r="G73" i="4"/>
  <c r="X70" i="4"/>
  <c r="Z70" i="4"/>
  <c r="G70" i="4"/>
  <c r="H68" i="4"/>
  <c r="Y65" i="4"/>
  <c r="AA65" i="4"/>
  <c r="F68" i="11"/>
  <c r="I68" i="11"/>
  <c r="L68" i="11"/>
  <c r="F68" i="6"/>
  <c r="M68" i="6"/>
  <c r="F68" i="9"/>
  <c r="F68" i="7"/>
  <c r="J65" i="4"/>
  <c r="Y66" i="4"/>
  <c r="AA66" i="4"/>
  <c r="J66" i="4"/>
  <c r="Y67" i="4"/>
  <c r="AA67" i="4"/>
  <c r="J67" i="4"/>
  <c r="Y64" i="4"/>
  <c r="AA64" i="4"/>
  <c r="J64" i="4"/>
  <c r="E68" i="4"/>
  <c r="X65" i="4"/>
  <c r="Z65" i="4"/>
  <c r="E68" i="11"/>
  <c r="H68" i="11"/>
  <c r="K68" i="11"/>
  <c r="E68" i="6"/>
  <c r="L68" i="6"/>
  <c r="E68" i="9"/>
  <c r="E68" i="7"/>
  <c r="G65" i="4"/>
  <c r="X66" i="4"/>
  <c r="Z66" i="4"/>
  <c r="G66" i="4"/>
  <c r="X67" i="4"/>
  <c r="Z67" i="4"/>
  <c r="G67" i="4"/>
  <c r="X64" i="4"/>
  <c r="Z64" i="4"/>
  <c r="G64" i="4"/>
  <c r="H50" i="4"/>
  <c r="Y47" i="4"/>
  <c r="AA47" i="4"/>
  <c r="F50" i="11"/>
  <c r="I50" i="11"/>
  <c r="L50" i="11"/>
  <c r="F50" i="6"/>
  <c r="M50" i="6"/>
  <c r="F50" i="9"/>
  <c r="F50" i="7"/>
  <c r="J47" i="4"/>
  <c r="Y48" i="4"/>
  <c r="AA48" i="4"/>
  <c r="J48" i="4"/>
  <c r="Y49" i="4"/>
  <c r="AA49" i="4"/>
  <c r="J49" i="4"/>
  <c r="Y46" i="4"/>
  <c r="AA46" i="4"/>
  <c r="J46" i="4"/>
  <c r="E50" i="4"/>
  <c r="X47" i="4"/>
  <c r="Z47" i="4"/>
  <c r="E50" i="11"/>
  <c r="H50" i="11"/>
  <c r="K50" i="11"/>
  <c r="E50" i="6"/>
  <c r="L50" i="6"/>
  <c r="E50" i="9"/>
  <c r="E50" i="7"/>
  <c r="G47" i="4"/>
  <c r="X48" i="4"/>
  <c r="Z48" i="4"/>
  <c r="G48" i="4"/>
  <c r="X49" i="4"/>
  <c r="Z49" i="4"/>
  <c r="G49" i="4"/>
  <c r="X46" i="4"/>
  <c r="Z46" i="4"/>
  <c r="G46" i="4"/>
  <c r="H44" i="4"/>
  <c r="Y41" i="4"/>
  <c r="AA41" i="4"/>
  <c r="F44" i="11"/>
  <c r="I44" i="11"/>
  <c r="L44" i="11"/>
  <c r="F44" i="6"/>
  <c r="M44" i="6"/>
  <c r="F44" i="9"/>
  <c r="F44" i="7"/>
  <c r="J41" i="4"/>
  <c r="Y42" i="4"/>
  <c r="AA42" i="4"/>
  <c r="J42" i="4"/>
  <c r="Y43" i="4"/>
  <c r="AA43" i="4"/>
  <c r="J43" i="4"/>
  <c r="Y40" i="4"/>
  <c r="AA40" i="4"/>
  <c r="J40" i="4"/>
  <c r="E44" i="4"/>
  <c r="X41" i="4"/>
  <c r="Z41" i="4"/>
  <c r="E44" i="11"/>
  <c r="H44" i="11"/>
  <c r="K44" i="11"/>
  <c r="E44" i="6"/>
  <c r="L44" i="6"/>
  <c r="E44" i="9"/>
  <c r="E44" i="7"/>
  <c r="G41" i="4"/>
  <c r="X42" i="4"/>
  <c r="Z42" i="4"/>
  <c r="G42" i="4"/>
  <c r="X43" i="4"/>
  <c r="Z43" i="4"/>
  <c r="G43" i="4"/>
  <c r="X40" i="4"/>
  <c r="Z40" i="4"/>
  <c r="G40" i="4"/>
  <c r="H38" i="4"/>
  <c r="Y35" i="4"/>
  <c r="AA35" i="4"/>
  <c r="F38" i="11"/>
  <c r="I38" i="11"/>
  <c r="L38" i="11"/>
  <c r="F38" i="6"/>
  <c r="M38" i="6"/>
  <c r="F38" i="9"/>
  <c r="F38" i="7"/>
  <c r="J35" i="4"/>
  <c r="Y36" i="4"/>
  <c r="AA36" i="4"/>
  <c r="J36" i="4"/>
  <c r="Y37" i="4"/>
  <c r="AA37" i="4"/>
  <c r="J37" i="4"/>
  <c r="Y34" i="4"/>
  <c r="AA34" i="4"/>
  <c r="J34" i="4"/>
  <c r="E38" i="4"/>
  <c r="X35" i="4"/>
  <c r="Z35" i="4"/>
  <c r="E38" i="11"/>
  <c r="H38" i="11"/>
  <c r="K38" i="11"/>
  <c r="E38" i="6"/>
  <c r="L38" i="6"/>
  <c r="E38" i="9"/>
  <c r="E38" i="7"/>
  <c r="G35" i="4"/>
  <c r="X36" i="4"/>
  <c r="Z36" i="4"/>
  <c r="G36" i="4"/>
  <c r="X37" i="4"/>
  <c r="Z37" i="4"/>
  <c r="G37" i="4"/>
  <c r="X34" i="4"/>
  <c r="Z34" i="4"/>
  <c r="G34" i="4"/>
  <c r="H32" i="4"/>
  <c r="Y29" i="4"/>
  <c r="AA29" i="4"/>
  <c r="F32" i="11"/>
  <c r="I32" i="11"/>
  <c r="L32" i="11"/>
  <c r="F32" i="6"/>
  <c r="M32" i="6"/>
  <c r="F32" i="9"/>
  <c r="F32" i="7"/>
  <c r="J29" i="4"/>
  <c r="Y30" i="4"/>
  <c r="AA30" i="4"/>
  <c r="J30" i="4"/>
  <c r="Y31" i="4"/>
  <c r="AA31" i="4"/>
  <c r="J31" i="4"/>
  <c r="Y28" i="4"/>
  <c r="AA28" i="4"/>
  <c r="J28" i="4"/>
  <c r="E32" i="4"/>
  <c r="X29" i="4"/>
  <c r="Z29" i="4"/>
  <c r="E32" i="11"/>
  <c r="H32" i="11"/>
  <c r="K32" i="11"/>
  <c r="E32" i="6"/>
  <c r="L32" i="6"/>
  <c r="E32" i="9"/>
  <c r="E32" i="7"/>
  <c r="G29" i="4"/>
  <c r="X30" i="4"/>
  <c r="Z30" i="4"/>
  <c r="G30" i="4"/>
  <c r="X31" i="4"/>
  <c r="Z31" i="4"/>
  <c r="G31" i="4"/>
  <c r="X28" i="4"/>
  <c r="Z28" i="4"/>
  <c r="G28" i="4"/>
  <c r="H26" i="4"/>
  <c r="Y23" i="4"/>
  <c r="AA23" i="4"/>
  <c r="F26" i="11"/>
  <c r="I26" i="11"/>
  <c r="L26" i="11"/>
  <c r="F26" i="6"/>
  <c r="M26" i="6"/>
  <c r="F26" i="9"/>
  <c r="F26" i="7"/>
  <c r="J23" i="4"/>
  <c r="Y24" i="4"/>
  <c r="AA24" i="4"/>
  <c r="J24" i="4"/>
  <c r="Y25" i="4"/>
  <c r="AA25" i="4"/>
  <c r="J25" i="4"/>
  <c r="Y22" i="4"/>
  <c r="AA22" i="4"/>
  <c r="J22" i="4"/>
  <c r="E26" i="4"/>
  <c r="X23" i="4"/>
  <c r="Z23" i="4"/>
  <c r="E26" i="11"/>
  <c r="H26" i="11"/>
  <c r="K26" i="11"/>
  <c r="E26" i="6"/>
  <c r="L26" i="6"/>
  <c r="E26" i="9"/>
  <c r="E26" i="7"/>
  <c r="G23" i="4"/>
  <c r="X24" i="4"/>
  <c r="Z24" i="4"/>
  <c r="G24" i="4"/>
  <c r="X25" i="4"/>
  <c r="Z25" i="4"/>
  <c r="G25" i="4"/>
  <c r="X22" i="4"/>
  <c r="Z22" i="4"/>
  <c r="G22" i="4"/>
  <c r="H20" i="4"/>
  <c r="Y17" i="4"/>
  <c r="AA17" i="4"/>
  <c r="F20" i="11"/>
  <c r="I20" i="11"/>
  <c r="L20" i="11"/>
  <c r="F20" i="6"/>
  <c r="M20" i="6"/>
  <c r="F20" i="9"/>
  <c r="F20" i="7"/>
  <c r="J17" i="4"/>
  <c r="Y18" i="4"/>
  <c r="AA18" i="4"/>
  <c r="J18" i="4"/>
  <c r="Y19" i="4"/>
  <c r="AA19" i="4"/>
  <c r="J19" i="4"/>
  <c r="Y16" i="4"/>
  <c r="AA16" i="4"/>
  <c r="J16" i="4"/>
  <c r="E20" i="4"/>
  <c r="X17" i="4"/>
  <c r="Z17" i="4"/>
  <c r="E20" i="11"/>
  <c r="H20" i="11"/>
  <c r="K20" i="11"/>
  <c r="E20" i="6"/>
  <c r="L20" i="6"/>
  <c r="E20" i="9"/>
  <c r="E20" i="7"/>
  <c r="G17" i="4"/>
  <c r="X18" i="4"/>
  <c r="Z18" i="4"/>
  <c r="G18" i="4"/>
  <c r="X19" i="4"/>
  <c r="Z19" i="4"/>
  <c r="G19" i="4"/>
  <c r="X16" i="4"/>
  <c r="Z16" i="4"/>
  <c r="G16" i="4"/>
  <c r="Y5" i="4"/>
  <c r="AA5" i="4"/>
  <c r="J5" i="4"/>
  <c r="Y6" i="4"/>
  <c r="AA6" i="4"/>
  <c r="J6" i="4"/>
  <c r="Y7" i="4"/>
  <c r="AA7" i="4"/>
  <c r="J7" i="4"/>
  <c r="X5" i="4"/>
  <c r="Z5" i="4"/>
  <c r="G5" i="4"/>
  <c r="X6" i="4"/>
  <c r="Z6" i="4"/>
  <c r="G6" i="4"/>
  <c r="X7" i="4"/>
  <c r="Z7" i="4"/>
  <c r="G7" i="4"/>
  <c r="F44" i="4"/>
  <c r="I38" i="4"/>
  <c r="F38" i="4"/>
  <c r="I32" i="4"/>
  <c r="F32" i="4"/>
  <c r="I26" i="4"/>
  <c r="F26" i="4"/>
  <c r="I20" i="4"/>
  <c r="F20" i="4"/>
  <c r="I8" i="4"/>
  <c r="F8" i="4"/>
  <c r="T68" i="16"/>
  <c r="E68" i="15"/>
  <c r="H68" i="15"/>
  <c r="K68" i="15"/>
  <c r="W68" i="15"/>
  <c r="Z68" i="15"/>
  <c r="AC68" i="15"/>
  <c r="AD14" i="16"/>
  <c r="AC14" i="16"/>
  <c r="AC68" i="16"/>
  <c r="Z68" i="16"/>
  <c r="W68" i="16"/>
  <c r="K68" i="16"/>
  <c r="H68" i="16"/>
  <c r="E68" i="16"/>
  <c r="K45" i="16"/>
  <c r="H45" i="15"/>
  <c r="F62" i="7"/>
  <c r="E62" i="7"/>
  <c r="F56" i="7"/>
  <c r="E56" i="7"/>
  <c r="F62" i="9"/>
  <c r="E62" i="9"/>
  <c r="F56" i="9"/>
  <c r="E56" i="9"/>
  <c r="M62" i="6"/>
  <c r="L62" i="6"/>
  <c r="M56" i="6"/>
  <c r="L56" i="6"/>
  <c r="E62" i="6"/>
  <c r="F62" i="6"/>
  <c r="F56" i="6"/>
  <c r="E56" i="6"/>
  <c r="F62" i="11"/>
  <c r="F56" i="11"/>
  <c r="I56" i="11"/>
  <c r="L56" i="11"/>
  <c r="L62" i="11"/>
  <c r="I62" i="11"/>
  <c r="K62" i="11"/>
  <c r="H62" i="11"/>
  <c r="E62" i="11"/>
  <c r="K56" i="11"/>
  <c r="H56" i="11"/>
  <c r="E56" i="11"/>
  <c r="H62" i="14"/>
  <c r="E62" i="14"/>
  <c r="H14" i="14"/>
  <c r="E14" i="14"/>
  <c r="H14" i="13"/>
  <c r="E14" i="13"/>
  <c r="T33" i="16"/>
  <c r="E33" i="16"/>
  <c r="H33" i="16"/>
  <c r="K33" i="16"/>
  <c r="W33" i="16"/>
  <c r="Z33" i="16"/>
  <c r="AC33" i="16"/>
  <c r="U33" i="16"/>
  <c r="F33" i="16"/>
  <c r="I33" i="16"/>
  <c r="L33" i="16"/>
  <c r="X33" i="16"/>
  <c r="AA33" i="16"/>
  <c r="AD33" i="16"/>
  <c r="T39" i="16"/>
  <c r="E39" i="16"/>
  <c r="H39" i="16"/>
  <c r="K39" i="16"/>
  <c r="W39" i="16"/>
  <c r="Z39" i="16"/>
  <c r="AC39" i="16"/>
  <c r="U39" i="16"/>
  <c r="F39" i="16"/>
  <c r="I39" i="16"/>
  <c r="L39" i="16"/>
  <c r="X39" i="16"/>
  <c r="AA39" i="16"/>
  <c r="AD39" i="16"/>
  <c r="T45" i="16"/>
  <c r="E45" i="16"/>
  <c r="H45" i="16"/>
  <c r="W45" i="16"/>
  <c r="Z45" i="16"/>
  <c r="AC45" i="16"/>
  <c r="U45" i="16"/>
  <c r="F45" i="16"/>
  <c r="I45" i="16"/>
  <c r="L45" i="16"/>
  <c r="X45" i="16"/>
  <c r="AA45" i="16"/>
  <c r="AD45" i="16"/>
  <c r="T63" i="16"/>
  <c r="E63" i="16"/>
  <c r="H63" i="16"/>
  <c r="K63" i="16"/>
  <c r="W63" i="16"/>
  <c r="Z63" i="16"/>
  <c r="AC63" i="16"/>
  <c r="U63" i="16"/>
  <c r="F63" i="16"/>
  <c r="I63" i="16"/>
  <c r="L63" i="16"/>
  <c r="X63" i="16"/>
  <c r="AA63" i="16"/>
  <c r="AD63" i="16"/>
  <c r="T69" i="16"/>
  <c r="E69" i="16"/>
  <c r="H69" i="16"/>
  <c r="K69" i="16"/>
  <c r="W69" i="16"/>
  <c r="Z69" i="16"/>
  <c r="AC69" i="16"/>
  <c r="U69" i="16"/>
  <c r="F69" i="16"/>
  <c r="I69" i="16"/>
  <c r="L69" i="16"/>
  <c r="X69" i="16"/>
  <c r="AA69" i="16"/>
  <c r="AD69" i="16"/>
  <c r="T75" i="16"/>
  <c r="E75" i="16"/>
  <c r="H75" i="16"/>
  <c r="K75" i="16"/>
  <c r="W75" i="16"/>
  <c r="Z75" i="16"/>
  <c r="AC75" i="16"/>
  <c r="U75" i="16"/>
  <c r="F75" i="16"/>
  <c r="I75" i="16"/>
  <c r="L75" i="16"/>
  <c r="X75" i="16"/>
  <c r="AA75" i="16"/>
  <c r="AD75" i="16"/>
  <c r="T81" i="16"/>
  <c r="E81" i="16"/>
  <c r="H81" i="16"/>
  <c r="K81" i="16"/>
  <c r="W81" i="16"/>
  <c r="Z81" i="16"/>
  <c r="AC81" i="16"/>
  <c r="U81" i="16"/>
  <c r="F81" i="16"/>
  <c r="I81" i="16"/>
  <c r="L81" i="16"/>
  <c r="X81" i="16"/>
  <c r="AA81" i="16"/>
  <c r="AD81" i="16"/>
  <c r="F33" i="15"/>
  <c r="I33" i="15"/>
  <c r="L33" i="15"/>
  <c r="X33" i="15"/>
  <c r="AA33" i="15"/>
  <c r="AD33" i="15"/>
  <c r="F39" i="15"/>
  <c r="I39" i="15"/>
  <c r="L39" i="15"/>
  <c r="X39" i="15"/>
  <c r="AA39" i="15"/>
  <c r="AD39" i="15"/>
  <c r="F45" i="15"/>
  <c r="I45" i="15"/>
  <c r="L45" i="15"/>
  <c r="X45" i="15"/>
  <c r="AA45" i="15"/>
  <c r="AD45" i="15"/>
  <c r="H62" i="13"/>
  <c r="F63" i="15"/>
  <c r="I63" i="15"/>
  <c r="L63" i="15"/>
  <c r="X63" i="15"/>
  <c r="AA63" i="15"/>
  <c r="AD63" i="15"/>
  <c r="F69" i="15"/>
  <c r="I69" i="15"/>
  <c r="L69" i="15"/>
  <c r="X69" i="15"/>
  <c r="AA69" i="15"/>
  <c r="AD69" i="15"/>
  <c r="F75" i="15"/>
  <c r="I75" i="15"/>
  <c r="L75" i="15"/>
  <c r="X75" i="15"/>
  <c r="AA75" i="15"/>
  <c r="AD75" i="15"/>
  <c r="F81" i="15"/>
  <c r="I81" i="15"/>
  <c r="L81" i="15"/>
  <c r="X81" i="15"/>
  <c r="AA81" i="15"/>
  <c r="AD81" i="15"/>
  <c r="E33" i="15"/>
  <c r="H33" i="15"/>
  <c r="K33" i="15"/>
  <c r="W33" i="15"/>
  <c r="Z33" i="15"/>
  <c r="AC33" i="15"/>
  <c r="E39" i="15"/>
  <c r="H39" i="15"/>
  <c r="K39" i="15"/>
  <c r="W39" i="15"/>
  <c r="Z39" i="15"/>
  <c r="AC39" i="15"/>
  <c r="E45" i="15"/>
  <c r="K45" i="15"/>
  <c r="W45" i="15"/>
  <c r="Z45" i="15"/>
  <c r="AC45" i="15"/>
  <c r="E62" i="13"/>
  <c r="E63" i="15"/>
  <c r="H63" i="15"/>
  <c r="K63" i="15"/>
  <c r="W63" i="15"/>
  <c r="Z63" i="15"/>
  <c r="AC63" i="15"/>
  <c r="E69" i="15"/>
  <c r="H69" i="15"/>
  <c r="K69" i="15"/>
  <c r="W69" i="15"/>
  <c r="Z69" i="15"/>
  <c r="AC69" i="15"/>
  <c r="E75" i="15"/>
  <c r="H75" i="15"/>
  <c r="K75" i="15"/>
  <c r="W75" i="15"/>
  <c r="Z75" i="15"/>
  <c r="AC75" i="15"/>
  <c r="E81" i="15"/>
  <c r="H81" i="15"/>
  <c r="K81" i="15"/>
  <c r="W81" i="15"/>
  <c r="Z81" i="15"/>
  <c r="AC81" i="15"/>
  <c r="H18" i="3"/>
  <c r="I18" i="3"/>
  <c r="M18" i="3"/>
  <c r="N18" i="3"/>
  <c r="R82" i="14"/>
  <c r="R76" i="14"/>
  <c r="R70" i="14"/>
  <c r="R64" i="14"/>
  <c r="R46" i="14"/>
  <c r="R40" i="14"/>
  <c r="R34" i="14"/>
  <c r="H23" i="3"/>
  <c r="I23" i="3"/>
  <c r="M23" i="3"/>
  <c r="N23" i="3"/>
  <c r="R28" i="14"/>
  <c r="H22" i="3"/>
  <c r="I22" i="3"/>
  <c r="M22" i="3"/>
  <c r="N22" i="3"/>
  <c r="R22" i="14"/>
  <c r="Q82" i="14"/>
  <c r="Q76" i="14"/>
  <c r="Q70" i="14"/>
  <c r="Q64" i="14"/>
  <c r="Q46" i="14"/>
  <c r="Q40" i="14"/>
  <c r="Q34" i="14"/>
  <c r="Q28" i="14"/>
  <c r="Q22" i="14"/>
  <c r="R34" i="13"/>
  <c r="R46" i="13"/>
  <c r="R40" i="13"/>
  <c r="Q22" i="13"/>
  <c r="R28" i="13"/>
  <c r="R22" i="13"/>
  <c r="R64" i="13"/>
  <c r="R70" i="13"/>
  <c r="R76" i="13"/>
  <c r="R82" i="13"/>
  <c r="Q82" i="13"/>
  <c r="Q76" i="13"/>
  <c r="Q70" i="13"/>
  <c r="Q64" i="13"/>
  <c r="Q46" i="13"/>
  <c r="Q40" i="13"/>
  <c r="Q34" i="13"/>
  <c r="Q28" i="13"/>
  <c r="R82" i="4"/>
  <c r="R76" i="4"/>
  <c r="R70" i="4"/>
  <c r="R64" i="4"/>
  <c r="R46" i="4"/>
  <c r="R40" i="4"/>
  <c r="R34" i="4"/>
  <c r="R28" i="4"/>
  <c r="R22" i="4"/>
  <c r="Q82" i="4"/>
  <c r="Q76" i="4"/>
  <c r="Q70" i="4"/>
  <c r="Q64" i="4"/>
  <c r="Q46" i="4"/>
  <c r="Q40" i="4"/>
  <c r="Q34" i="4"/>
  <c r="Q28" i="4"/>
  <c r="Q22" i="4"/>
  <c r="D23" i="3"/>
  <c r="D22" i="3"/>
  <c r="C23" i="3"/>
  <c r="C22" i="3"/>
  <c r="H20" i="3"/>
  <c r="I20" i="3"/>
  <c r="M20" i="3"/>
  <c r="N20" i="3"/>
  <c r="R16" i="14"/>
  <c r="Q16" i="14"/>
  <c r="H21" i="3"/>
  <c r="I21" i="3"/>
  <c r="M21" i="3"/>
  <c r="N21" i="3"/>
  <c r="R4" i="14"/>
  <c r="Q4" i="14"/>
  <c r="R16" i="13"/>
  <c r="Q16" i="13"/>
  <c r="R4" i="13"/>
  <c r="Q4" i="13"/>
  <c r="R16" i="4"/>
  <c r="R4" i="4"/>
  <c r="Q16" i="4"/>
  <c r="Q4" i="4"/>
  <c r="P32" i="6"/>
  <c r="D6" i="5"/>
  <c r="H6" i="5"/>
  <c r="I6" i="5"/>
  <c r="N23" i="5"/>
  <c r="M23" i="5"/>
  <c r="E6" i="5"/>
  <c r="N17" i="5"/>
  <c r="M17" i="5"/>
  <c r="D7" i="5"/>
  <c r="E7" i="5"/>
  <c r="H7" i="5"/>
  <c r="I7" i="5"/>
  <c r="N10" i="5"/>
  <c r="M10" i="5"/>
  <c r="N24" i="5"/>
  <c r="N22" i="5"/>
  <c r="N21" i="5"/>
  <c r="N20" i="5"/>
  <c r="N19" i="5"/>
  <c r="N18" i="5"/>
  <c r="N16" i="5"/>
  <c r="N15" i="5"/>
  <c r="N14" i="5"/>
  <c r="N13" i="5"/>
  <c r="N12" i="5"/>
  <c r="N11" i="5"/>
  <c r="N9" i="5"/>
  <c r="N8" i="5"/>
  <c r="N7" i="5"/>
  <c r="M22" i="5"/>
  <c r="M21" i="5"/>
  <c r="M20" i="5"/>
  <c r="M19" i="5"/>
  <c r="M18" i="5"/>
  <c r="M16" i="5"/>
  <c r="M15" i="5"/>
  <c r="M14" i="5"/>
  <c r="M13" i="5"/>
  <c r="M12" i="5"/>
  <c r="M11" i="5"/>
  <c r="M9" i="5"/>
  <c r="M8" i="5"/>
  <c r="M7" i="5"/>
  <c r="I19" i="3"/>
  <c r="I5" i="5"/>
  <c r="H19" i="3"/>
  <c r="H5" i="5"/>
  <c r="I4" i="5"/>
  <c r="H4" i="5"/>
  <c r="I3" i="5"/>
  <c r="H3" i="5"/>
  <c r="I2" i="5"/>
  <c r="H2" i="5"/>
  <c r="N19" i="3"/>
  <c r="E5" i="5"/>
  <c r="M19" i="3"/>
  <c r="D5" i="5"/>
  <c r="E4" i="5"/>
  <c r="D4" i="5"/>
  <c r="E3" i="5"/>
  <c r="D3" i="5"/>
  <c r="E2" i="5"/>
  <c r="D2" i="5"/>
  <c r="M24" i="5"/>
  <c r="N6" i="5"/>
  <c r="M6" i="5"/>
  <c r="N5" i="5"/>
  <c r="M5" i="5"/>
  <c r="N4" i="5"/>
  <c r="M4" i="5"/>
  <c r="N3" i="5"/>
  <c r="M3" i="5"/>
  <c r="N2" i="5"/>
  <c r="M2" i="5"/>
  <c r="D21" i="3"/>
  <c r="C21" i="3"/>
  <c r="D20" i="3"/>
  <c r="D19" i="3"/>
  <c r="C20" i="3"/>
  <c r="C19" i="3"/>
  <c r="D18" i="3"/>
  <c r="C18" i="3"/>
</calcChain>
</file>

<file path=xl/sharedStrings.xml><?xml version="1.0" encoding="utf-8"?>
<sst xmlns="http://schemas.openxmlformats.org/spreadsheetml/2006/main" count="1185" uniqueCount="105">
  <si>
    <t>5..10</t>
  </si>
  <si>
    <t>0..5</t>
  </si>
  <si>
    <t>10..30</t>
  </si>
  <si>
    <t>30..60</t>
  </si>
  <si>
    <t>v2_corr</t>
  </si>
  <si>
    <t>v2_corr_err</t>
  </si>
  <si>
    <t>npart</t>
  </si>
  <si>
    <t>ncoll</t>
  </si>
  <si>
    <t>cBin</t>
  </si>
  <si>
    <t>HFm_corr</t>
  </si>
  <si>
    <t>HFm_corr_err</t>
  </si>
  <si>
    <t>HFm_v2</t>
  </si>
  <si>
    <t>HFm_v2_err</t>
  </si>
  <si>
    <t>HFp_corr</t>
  </si>
  <si>
    <t>HFp_corr_err</t>
  </si>
  <si>
    <t>HFp_v2</t>
  </si>
  <si>
    <t>HFp_v2_err</t>
  </si>
  <si>
    <t>10..60</t>
  </si>
  <si>
    <t>|y|</t>
  </si>
  <si>
    <t>pT</t>
  </si>
  <si>
    <t>centrality</t>
  </si>
  <si>
    <t>0.0-2.4</t>
  </si>
  <si>
    <t>6.5-10</t>
  </si>
  <si>
    <t>10.0-40.0</t>
  </si>
  <si>
    <t>0.0-1.2</t>
  </si>
  <si>
    <t>6.5-40</t>
  </si>
  <si>
    <t>1.6-2.4</t>
  </si>
  <si>
    <t>3.0-6.5</t>
  </si>
  <si>
    <t>etHF (21)</t>
  </si>
  <si>
    <t>centBin_low</t>
  </si>
  <si>
    <t>centBin_high</t>
  </si>
  <si>
    <t>correction</t>
  </si>
  <si>
    <t>correction_err</t>
  </si>
  <si>
    <t>etHFp (22)</t>
  </si>
  <si>
    <t>etHFm (23)</t>
  </si>
  <si>
    <t>0..10</t>
  </si>
  <si>
    <t>3-6.5</t>
  </si>
  <si>
    <t>6.5-8</t>
  </si>
  <si>
    <t>8--10</t>
  </si>
  <si>
    <t>10.0-13.0</t>
  </si>
  <si>
    <t>13.0-40.0</t>
  </si>
  <si>
    <t>10--13</t>
  </si>
  <si>
    <t>13-40</t>
  </si>
  <si>
    <t>10--40</t>
  </si>
  <si>
    <t>6.5--10</t>
  </si>
  <si>
    <t>13--40</t>
  </si>
  <si>
    <t>6.5-10.0</t>
  </si>
  <si>
    <t>6.5--40</t>
  </si>
  <si>
    <t>phiBin</t>
  </si>
  <si>
    <t>0-0.393</t>
  </si>
  <si>
    <t>0.393-0.785</t>
  </si>
  <si>
    <t>0-1.571</t>
  </si>
  <si>
    <t>0.785-1.178</t>
  </si>
  <si>
    <t>1.178-1.571</t>
  </si>
  <si>
    <t>30-60</t>
  </si>
  <si>
    <t>|y|&lt;2.4</t>
  </si>
  <si>
    <t>10..20</t>
  </si>
  <si>
    <t>20..30</t>
  </si>
  <si>
    <t>SignalShape: CB only</t>
  </si>
  <si>
    <t>BkgShape: pol</t>
  </si>
  <si>
    <t>FitMethod:constrained</t>
  </si>
  <si>
    <t>HLT_HIL1DoubleMu0_HighQ</t>
  </si>
  <si>
    <t>No flattening</t>
  </si>
  <si>
    <t>Nsig_HFp</t>
  </si>
  <si>
    <t>NSig_HFm</t>
  </si>
  <si>
    <t>v2</t>
  </si>
  <si>
    <t>v2_err</t>
  </si>
  <si>
    <t>INCLUSIVE</t>
  </si>
  <si>
    <t>Nsig_HFm</t>
  </si>
  <si>
    <t>errNsig_HF</t>
  </si>
  <si>
    <t>errNSig_HFm</t>
  </si>
  <si>
    <t>HLT_HIL1DoubleMu0_HighQ+NoCowboy</t>
  </si>
  <si>
    <t>errNew_HFp</t>
  </si>
  <si>
    <t>errNew_HFm</t>
  </si>
  <si>
    <t>NON-PROMPT</t>
  </si>
  <si>
    <t>PROMPT</t>
  </si>
  <si>
    <t>8..10</t>
  </si>
  <si>
    <t>10..40</t>
  </si>
  <si>
    <t>6.5..10</t>
  </si>
  <si>
    <t>6.5..40</t>
  </si>
  <si>
    <t>|y|&lt;1.2</t>
  </si>
  <si>
    <t>y[1.6,2.4]</t>
  </si>
  <si>
    <t>|y|[1.2,1.6]</t>
  </si>
  <si>
    <t>3..6.5</t>
  </si>
  <si>
    <t>bFrac</t>
  </si>
  <si>
    <t>bFrac_Err</t>
  </si>
  <si>
    <t>zvtx&lt;10</t>
  </si>
  <si>
    <t>fix resolution to MC</t>
  </si>
  <si>
    <t>1 Gauss for resolution</t>
  </si>
  <si>
    <t>1 Gauss Resolution</t>
  </si>
  <si>
    <t>Fix Resolution to MC</t>
  </si>
  <si>
    <t>zVtx&lt;10</t>
  </si>
  <si>
    <t>trigger bias</t>
  </si>
  <si>
    <t>Non-flat</t>
  </si>
  <si>
    <t>trigger bias 2</t>
  </si>
  <si>
    <t>RMS</t>
  </si>
  <si>
    <t>SgnShape:CB</t>
  </si>
  <si>
    <t>nominalNormalized</t>
  </si>
  <si>
    <t>nominal_normalized</t>
  </si>
  <si>
    <t>HFp</t>
  </si>
  <si>
    <t>HFm</t>
  </si>
  <si>
    <t>yieldNormalized</t>
  </si>
  <si>
    <t>errYieldNormalized</t>
  </si>
  <si>
    <t>HFp_err</t>
  </si>
  <si>
    <t>HFm_err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</si>
</sst>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.000000"/>
    <numFmt numFmtId="178" formatCode="0.000"/>
  </numFmts>
  <fonts count="10" x14ac:knownFonts="1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2"/>
      <color rgb="FF000000"/>
      <name val="Arial"/>
      <family val="2"/>
    </font>
    <font>
      <sz val="14"/>
      <color rgb="FF000000"/>
      <name val="맑은 고딕"/>
      <family val="2"/>
      <scheme val="minor"/>
    </font>
    <font>
      <sz val="14"/>
      <color rgb="FF000000"/>
      <name val="Arial"/>
      <family val="2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</fills>
  <borders count="1">
    <border>
      <left/>
      <right/>
      <top/>
      <bottom/>
      <diagonal/>
    </border>
  </borders>
  <cellStyleXfs count="14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4">
    <xf numFmtId="0" fontId="0" fillId="0" borderId="0" xfId="0"/>
    <xf numFmtId="0" fontId="3" fillId="6" borderId="0" xfId="0" applyFont="1" applyFill="1"/>
    <xf numFmtId="176" fontId="3" fillId="0" borderId="0" xfId="0" applyNumberFormat="1" applyFont="1"/>
    <xf numFmtId="176" fontId="3" fillId="0" borderId="0" xfId="0" applyNumberFormat="1" applyFont="1" applyFill="1"/>
    <xf numFmtId="176" fontId="3" fillId="2" borderId="0" xfId="0" applyNumberFormat="1" applyFont="1" applyFill="1"/>
    <xf numFmtId="176" fontId="3" fillId="3" borderId="0" xfId="0" applyNumberFormat="1" applyFont="1" applyFill="1"/>
    <xf numFmtId="0" fontId="3" fillId="0" borderId="0" xfId="0" applyFont="1"/>
    <xf numFmtId="176" fontId="3" fillId="5" borderId="0" xfId="0" applyNumberFormat="1" applyFont="1" applyFill="1"/>
    <xf numFmtId="176" fontId="3" fillId="4" borderId="0" xfId="0" applyNumberFormat="1" applyFont="1" applyFill="1"/>
    <xf numFmtId="16" fontId="3" fillId="0" borderId="0" xfId="0" applyNumberFormat="1" applyFont="1"/>
    <xf numFmtId="177" fontId="3" fillId="0" borderId="0" xfId="0" applyNumberFormat="1" applyFont="1"/>
    <xf numFmtId="1" fontId="3" fillId="0" borderId="0" xfId="0" applyNumberFormat="1" applyFont="1"/>
    <xf numFmtId="0" fontId="5" fillId="2" borderId="0" xfId="0" applyFont="1" applyFill="1"/>
    <xf numFmtId="0" fontId="5" fillId="3" borderId="0" xfId="0" applyFont="1" applyFill="1"/>
    <xf numFmtId="176" fontId="3" fillId="8" borderId="0" xfId="0" applyNumberFormat="1" applyFont="1" applyFill="1"/>
    <xf numFmtId="176" fontId="3" fillId="9" borderId="0" xfId="0" applyNumberFormat="1" applyFont="1" applyFill="1"/>
    <xf numFmtId="0" fontId="6" fillId="3" borderId="0" xfId="0" applyFont="1" applyFill="1"/>
    <xf numFmtId="0" fontId="6" fillId="5" borderId="0" xfId="0" applyFont="1" applyFill="1"/>
    <xf numFmtId="0" fontId="6" fillId="4" borderId="0" xfId="0" applyFont="1" applyFill="1"/>
    <xf numFmtId="176" fontId="3" fillId="10" borderId="0" xfId="0" applyNumberFormat="1" applyFont="1" applyFill="1"/>
    <xf numFmtId="0" fontId="5" fillId="8" borderId="0" xfId="0" applyFont="1" applyFill="1"/>
    <xf numFmtId="0" fontId="6" fillId="8" borderId="0" xfId="0" applyFont="1" applyFill="1"/>
    <xf numFmtId="176" fontId="5" fillId="3" borderId="0" xfId="0" applyNumberFormat="1" applyFont="1" applyFill="1"/>
    <xf numFmtId="0" fontId="4" fillId="10" borderId="0" xfId="0" applyFont="1" applyFill="1"/>
    <xf numFmtId="0" fontId="6" fillId="10" borderId="0" xfId="0" applyFont="1" applyFill="1"/>
    <xf numFmtId="0" fontId="4" fillId="9" borderId="0" xfId="0" applyFont="1" applyFill="1"/>
    <xf numFmtId="176" fontId="5" fillId="0" borderId="0" xfId="0" applyNumberFormat="1" applyFont="1"/>
    <xf numFmtId="0" fontId="5" fillId="0" borderId="0" xfId="0" applyFont="1"/>
    <xf numFmtId="0" fontId="3" fillId="2" borderId="0" xfId="0" applyFont="1" applyFill="1"/>
    <xf numFmtId="0" fontId="3" fillId="4" borderId="0" xfId="0" applyFont="1" applyFill="1"/>
    <xf numFmtId="176" fontId="5" fillId="11" borderId="0" xfId="0" applyNumberFormat="1" applyFont="1" applyFill="1"/>
    <xf numFmtId="0" fontId="5" fillId="11" borderId="0" xfId="0" applyFont="1" applyFill="1"/>
    <xf numFmtId="176" fontId="5" fillId="7" borderId="0" xfId="0" applyNumberFormat="1" applyFont="1" applyFill="1"/>
    <xf numFmtId="0" fontId="3" fillId="7" borderId="0" xfId="0" applyFont="1" applyFill="1"/>
    <xf numFmtId="0" fontId="5" fillId="7" borderId="0" xfId="0" applyFont="1" applyFill="1"/>
    <xf numFmtId="0" fontId="3" fillId="3" borderId="0" xfId="0" applyFont="1" applyFill="1"/>
    <xf numFmtId="0" fontId="0" fillId="2" borderId="0" xfId="0" applyFill="1"/>
    <xf numFmtId="0" fontId="0" fillId="4" borderId="0" xfId="0" applyFill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5" fillId="16" borderId="0" xfId="0" applyFont="1" applyFill="1"/>
    <xf numFmtId="0" fontId="5" fillId="17" borderId="0" xfId="0" applyFont="1" applyFill="1"/>
    <xf numFmtId="0" fontId="3" fillId="0" borderId="0" xfId="0" applyFont="1" applyFill="1"/>
    <xf numFmtId="0" fontId="7" fillId="18" borderId="0" xfId="0" applyFont="1" applyFill="1"/>
    <xf numFmtId="0" fontId="5" fillId="19" borderId="0" xfId="0" applyFont="1" applyFill="1"/>
    <xf numFmtId="0" fontId="0" fillId="19" borderId="0" xfId="0" applyFill="1"/>
    <xf numFmtId="176" fontId="5" fillId="19" borderId="0" xfId="0" applyNumberFormat="1" applyFont="1" applyFill="1"/>
    <xf numFmtId="0" fontId="5" fillId="20" borderId="0" xfId="0" applyFont="1" applyFill="1"/>
    <xf numFmtId="176" fontId="5" fillId="20" borderId="0" xfId="0" applyNumberFormat="1" applyFont="1" applyFill="1"/>
    <xf numFmtId="0" fontId="5" fillId="21" borderId="0" xfId="0" applyFont="1" applyFill="1"/>
    <xf numFmtId="0" fontId="0" fillId="22" borderId="0" xfId="0" applyFill="1"/>
    <xf numFmtId="176" fontId="5" fillId="21" borderId="0" xfId="0" applyNumberFormat="1" applyFont="1" applyFill="1"/>
    <xf numFmtId="0" fontId="5" fillId="24" borderId="0" xfId="0" applyFont="1" applyFill="1"/>
    <xf numFmtId="0" fontId="0" fillId="23" borderId="0" xfId="0" applyFill="1"/>
    <xf numFmtId="176" fontId="5" fillId="24" borderId="0" xfId="0" applyNumberFormat="1" applyFont="1" applyFill="1"/>
    <xf numFmtId="0" fontId="5" fillId="26" borderId="0" xfId="0" applyFont="1" applyFill="1"/>
    <xf numFmtId="0" fontId="0" fillId="25" borderId="0" xfId="0" applyFill="1"/>
    <xf numFmtId="176" fontId="5" fillId="26" borderId="0" xfId="0" applyNumberFormat="1" applyFont="1" applyFill="1"/>
    <xf numFmtId="0" fontId="5" fillId="27" borderId="0" xfId="0" applyFont="1" applyFill="1"/>
    <xf numFmtId="176" fontId="5" fillId="27" borderId="0" xfId="0" applyNumberFormat="1" applyFont="1" applyFill="1"/>
    <xf numFmtId="0" fontId="0" fillId="28" borderId="0" xfId="0" applyFill="1"/>
    <xf numFmtId="0" fontId="5" fillId="29" borderId="0" xfId="0" applyFont="1" applyFill="1"/>
    <xf numFmtId="176" fontId="5" fillId="29" borderId="0" xfId="0" applyNumberFormat="1" applyFont="1" applyFill="1"/>
    <xf numFmtId="0" fontId="0" fillId="7" borderId="0" xfId="0" applyFill="1"/>
    <xf numFmtId="0" fontId="5" fillId="30" borderId="0" xfId="0" applyFont="1" applyFill="1"/>
    <xf numFmtId="176" fontId="5" fillId="30" borderId="0" xfId="0" applyNumberFormat="1" applyFont="1" applyFill="1"/>
    <xf numFmtId="0" fontId="5" fillId="31" borderId="0" xfId="0" applyFont="1" applyFill="1"/>
    <xf numFmtId="176" fontId="5" fillId="31" borderId="0" xfId="0" applyNumberFormat="1" applyFont="1" applyFill="1"/>
    <xf numFmtId="0" fontId="3" fillId="32" borderId="0" xfId="0" applyFont="1" applyFill="1"/>
    <xf numFmtId="176" fontId="3" fillId="32" borderId="0" xfId="0" applyNumberFormat="1" applyFont="1" applyFill="1" applyAlignment="1">
      <alignment vertical="center"/>
    </xf>
    <xf numFmtId="0" fontId="5" fillId="33" borderId="0" xfId="0" applyFont="1" applyFill="1"/>
    <xf numFmtId="0" fontId="3" fillId="28" borderId="0" xfId="0" applyFont="1" applyFill="1"/>
    <xf numFmtId="176" fontId="3" fillId="7" borderId="0" xfId="0" applyNumberFormat="1" applyFont="1" applyFill="1" applyAlignment="1">
      <alignment vertical="center"/>
    </xf>
    <xf numFmtId="0" fontId="7" fillId="30" borderId="0" xfId="0" applyFont="1" applyFill="1"/>
    <xf numFmtId="176" fontId="3" fillId="7" borderId="0" xfId="0" applyNumberFormat="1" applyFont="1" applyFill="1"/>
    <xf numFmtId="176" fontId="3" fillId="28" borderId="0" xfId="0" applyNumberFormat="1" applyFont="1" applyFill="1"/>
    <xf numFmtId="0" fontId="5" fillId="32" borderId="0" xfId="0" applyFont="1" applyFill="1"/>
    <xf numFmtId="0" fontId="7" fillId="33" borderId="0" xfId="0" applyFont="1" applyFill="1"/>
    <xf numFmtId="0" fontId="0" fillId="32" borderId="0" xfId="0" applyFill="1"/>
    <xf numFmtId="0" fontId="0" fillId="0" borderId="0" xfId="0" applyFill="1"/>
    <xf numFmtId="0" fontId="5" fillId="0" borderId="0" xfId="0" applyFont="1" applyFill="1"/>
    <xf numFmtId="176" fontId="5" fillId="0" borderId="0" xfId="0" applyNumberFormat="1" applyFont="1" applyFill="1"/>
    <xf numFmtId="0" fontId="7" fillId="0" borderId="0" xfId="0" applyFont="1" applyFill="1"/>
    <xf numFmtId="176" fontId="3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3" fillId="32" borderId="0" xfId="0" applyNumberFormat="1" applyFont="1" applyFill="1"/>
    <xf numFmtId="0" fontId="3" fillId="32" borderId="0" xfId="0" applyFont="1" applyFill="1" applyAlignment="1">
      <alignment vertical="center"/>
    </xf>
    <xf numFmtId="0" fontId="0" fillId="3" borderId="0" xfId="0" applyFill="1"/>
    <xf numFmtId="0" fontId="7" fillId="32" borderId="0" xfId="0" applyFont="1" applyFill="1"/>
    <xf numFmtId="176" fontId="5" fillId="32" borderId="0" xfId="0" applyNumberFormat="1" applyFont="1" applyFill="1" applyAlignment="1">
      <alignment vertical="center"/>
    </xf>
    <xf numFmtId="0" fontId="5" fillId="32" borderId="0" xfId="0" applyFont="1" applyFill="1" applyAlignment="1">
      <alignment vertical="center"/>
    </xf>
    <xf numFmtId="0" fontId="7" fillId="7" borderId="0" xfId="0" applyFont="1" applyFill="1"/>
    <xf numFmtId="176" fontId="5" fillId="7" borderId="0" xfId="0" applyNumberFormat="1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7" fillId="3" borderId="0" xfId="0" applyFont="1" applyFill="1"/>
    <xf numFmtId="0" fontId="7" fillId="28" borderId="0" xfId="0" applyFont="1" applyFill="1"/>
    <xf numFmtId="176" fontId="5" fillId="28" borderId="0" xfId="0" applyNumberFormat="1" applyFont="1" applyFill="1" applyAlignment="1">
      <alignment vertical="center"/>
    </xf>
    <xf numFmtId="0" fontId="5" fillId="6" borderId="0" xfId="0" applyFont="1" applyFill="1"/>
    <xf numFmtId="176" fontId="5" fillId="3" borderId="0" xfId="0" applyNumberFormat="1" applyFont="1" applyFill="1" applyAlignment="1">
      <alignment vertical="center"/>
    </xf>
    <xf numFmtId="178" fontId="3" fillId="32" borderId="0" xfId="0" applyNumberFormat="1" applyFont="1" applyFill="1"/>
    <xf numFmtId="178" fontId="3" fillId="0" borderId="0" xfId="0" applyNumberFormat="1" applyFont="1" applyFill="1"/>
    <xf numFmtId="176" fontId="3" fillId="28" borderId="0" xfId="0" applyNumberFormat="1" applyFont="1" applyFill="1" applyAlignment="1">
      <alignment vertical="center"/>
    </xf>
    <xf numFmtId="176" fontId="3" fillId="3" borderId="0" xfId="0" applyNumberFormat="1" applyFont="1" applyFill="1" applyAlignment="1">
      <alignment vertical="center"/>
    </xf>
    <xf numFmtId="176" fontId="0" fillId="2" borderId="0" xfId="0" applyNumberFormat="1" applyFill="1"/>
    <xf numFmtId="176" fontId="0" fillId="12" borderId="0" xfId="0" applyNumberFormat="1" applyFill="1"/>
    <xf numFmtId="176" fontId="7" fillId="13" borderId="0" xfId="0" applyNumberFormat="1" applyFont="1" applyFill="1"/>
    <xf numFmtId="176" fontId="0" fillId="0" borderId="0" xfId="0" applyNumberFormat="1"/>
    <xf numFmtId="176" fontId="0" fillId="32" borderId="0" xfId="0" applyNumberFormat="1" applyFill="1"/>
    <xf numFmtId="176" fontId="7" fillId="33" borderId="0" xfId="0" applyNumberFormat="1" applyFont="1" applyFill="1"/>
    <xf numFmtId="176" fontId="7" fillId="7" borderId="0" xfId="0" applyNumberFormat="1" applyFont="1" applyFill="1"/>
    <xf numFmtId="176" fontId="7" fillId="32" borderId="0" xfId="0" applyNumberFormat="1" applyFont="1" applyFill="1"/>
    <xf numFmtId="176" fontId="7" fillId="0" borderId="0" xfId="0" applyNumberFormat="1" applyFont="1" applyFill="1"/>
    <xf numFmtId="176" fontId="7" fillId="3" borderId="0" xfId="0" applyNumberFormat="1" applyFont="1" applyFill="1"/>
    <xf numFmtId="176" fontId="7" fillId="28" borderId="0" xfId="0" applyNumberFormat="1" applyFont="1" applyFill="1"/>
    <xf numFmtId="176" fontId="5" fillId="32" borderId="0" xfId="0" applyNumberFormat="1" applyFont="1" applyFill="1"/>
    <xf numFmtId="176" fontId="5" fillId="28" borderId="0" xfId="0" applyNumberFormat="1" applyFont="1" applyFill="1"/>
    <xf numFmtId="0" fontId="9" fillId="28" borderId="0" xfId="0" applyFont="1" applyFill="1"/>
    <xf numFmtId="0" fontId="9" fillId="7" borderId="0" xfId="0" applyFont="1" applyFill="1"/>
    <xf numFmtId="0" fontId="9" fillId="3" borderId="0" xfId="0" applyFont="1" applyFill="1"/>
    <xf numFmtId="17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176" fontId="5" fillId="7" borderId="0" xfId="0" applyNumberFormat="1" applyFont="1" applyFill="1" applyAlignment="1">
      <alignment horizontal="center" vertical="center"/>
    </xf>
    <xf numFmtId="176" fontId="3" fillId="7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6" fontId="3" fillId="28" borderId="0" xfId="0" applyNumberFormat="1" applyFont="1" applyFill="1" applyAlignment="1">
      <alignment horizontal="center" vertical="center"/>
    </xf>
    <xf numFmtId="176" fontId="5" fillId="28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" fontId="7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9" fillId="22" borderId="0" xfId="0" applyFont="1" applyFill="1"/>
  </cellXfs>
  <cellStyles count="1403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4" builtinId="9" hidden="1"/>
    <cellStyle name="열어 본 하이퍼링크" xfId="166" builtinId="9" hidden="1"/>
    <cellStyle name="열어 본 하이퍼링크" xfId="168" builtinId="9" hidden="1"/>
    <cellStyle name="열어 본 하이퍼링크" xfId="170" builtinId="9" hidden="1"/>
    <cellStyle name="열어 본 하이퍼링크" xfId="172" builtinId="9" hidden="1"/>
    <cellStyle name="열어 본 하이퍼링크" xfId="174" builtinId="9" hidden="1"/>
    <cellStyle name="열어 본 하이퍼링크" xfId="176" builtinId="9" hidden="1"/>
    <cellStyle name="열어 본 하이퍼링크" xfId="178" builtinId="9" hidden="1"/>
    <cellStyle name="열어 본 하이퍼링크" xfId="180" builtinId="9" hidden="1"/>
    <cellStyle name="열어 본 하이퍼링크" xfId="182" builtinId="9" hidden="1"/>
    <cellStyle name="열어 본 하이퍼링크" xfId="184" builtinId="9" hidden="1"/>
    <cellStyle name="열어 본 하이퍼링크" xfId="186" builtinId="9" hidden="1"/>
    <cellStyle name="열어 본 하이퍼링크" xfId="188" builtinId="9" hidden="1"/>
    <cellStyle name="열어 본 하이퍼링크" xfId="190" builtinId="9" hidden="1"/>
    <cellStyle name="열어 본 하이퍼링크" xfId="192" builtinId="9" hidden="1"/>
    <cellStyle name="열어 본 하이퍼링크" xfId="194" builtinId="9" hidden="1"/>
    <cellStyle name="열어 본 하이퍼링크" xfId="196" builtinId="9" hidden="1"/>
    <cellStyle name="열어 본 하이퍼링크" xfId="198" builtinId="9" hidden="1"/>
    <cellStyle name="열어 본 하이퍼링크" xfId="200" builtinId="9" hidden="1"/>
    <cellStyle name="열어 본 하이퍼링크" xfId="202" builtinId="9" hidden="1"/>
    <cellStyle name="열어 본 하이퍼링크" xfId="204" builtinId="9" hidden="1"/>
    <cellStyle name="열어 본 하이퍼링크" xfId="206" builtinId="9" hidden="1"/>
    <cellStyle name="열어 본 하이퍼링크" xfId="208" builtinId="9" hidden="1"/>
    <cellStyle name="열어 본 하이퍼링크" xfId="210" builtinId="9" hidden="1"/>
    <cellStyle name="열어 본 하이퍼링크" xfId="212" builtinId="9" hidden="1"/>
    <cellStyle name="열어 본 하이퍼링크" xfId="214" builtinId="9" hidden="1"/>
    <cellStyle name="열어 본 하이퍼링크" xfId="216" builtinId="9" hidden="1"/>
    <cellStyle name="열어 본 하이퍼링크" xfId="218" builtinId="9" hidden="1"/>
    <cellStyle name="열어 본 하이퍼링크" xfId="220" builtinId="9" hidden="1"/>
    <cellStyle name="열어 본 하이퍼링크" xfId="222" builtinId="9" hidden="1"/>
    <cellStyle name="열어 본 하이퍼링크" xfId="224" builtinId="9" hidden="1"/>
    <cellStyle name="열어 본 하이퍼링크" xfId="226" builtinId="9" hidden="1"/>
    <cellStyle name="열어 본 하이퍼링크" xfId="228" builtinId="9" hidden="1"/>
    <cellStyle name="열어 본 하이퍼링크" xfId="230" builtinId="9" hidden="1"/>
    <cellStyle name="열어 본 하이퍼링크" xfId="232" builtinId="9" hidden="1"/>
    <cellStyle name="열어 본 하이퍼링크" xfId="234" builtinId="9" hidden="1"/>
    <cellStyle name="열어 본 하이퍼링크" xfId="236" builtinId="9" hidden="1"/>
    <cellStyle name="열어 본 하이퍼링크" xfId="238" builtinId="9" hidden="1"/>
    <cellStyle name="열어 본 하이퍼링크" xfId="240" builtinId="9" hidden="1"/>
    <cellStyle name="열어 본 하이퍼링크" xfId="242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4" builtinId="9" hidden="1"/>
    <cellStyle name="열어 본 하이퍼링크" xfId="276" builtinId="9" hidden="1"/>
    <cellStyle name="열어 본 하이퍼링크" xfId="278" builtinId="9" hidden="1"/>
    <cellStyle name="열어 본 하이퍼링크" xfId="280" builtinId="9" hidden="1"/>
    <cellStyle name="열어 본 하이퍼링크" xfId="282" builtinId="9" hidden="1"/>
    <cellStyle name="열어 본 하이퍼링크" xfId="284" builtinId="9" hidden="1"/>
    <cellStyle name="열어 본 하이퍼링크" xfId="286" builtinId="9" hidden="1"/>
    <cellStyle name="열어 본 하이퍼링크" xfId="288" builtinId="9" hidden="1"/>
    <cellStyle name="열어 본 하이퍼링크" xfId="290" builtinId="9" hidden="1"/>
    <cellStyle name="열어 본 하이퍼링크" xfId="292" builtinId="9" hidden="1"/>
    <cellStyle name="열어 본 하이퍼링크" xfId="294" builtinId="9" hidden="1"/>
    <cellStyle name="열어 본 하이퍼링크" xfId="296" builtinId="9" hidden="1"/>
    <cellStyle name="열어 본 하이퍼링크" xfId="298" builtinId="9" hidden="1"/>
    <cellStyle name="열어 본 하이퍼링크" xfId="300" builtinId="9" hidden="1"/>
    <cellStyle name="열어 본 하이퍼링크" xfId="302" builtinId="9" hidden="1"/>
    <cellStyle name="열어 본 하이퍼링크" xfId="304" builtinId="9" hidden="1"/>
    <cellStyle name="열어 본 하이퍼링크" xfId="306" builtinId="9" hidden="1"/>
    <cellStyle name="열어 본 하이퍼링크" xfId="308" builtinId="9" hidden="1"/>
    <cellStyle name="열어 본 하이퍼링크" xfId="310" builtinId="9" hidden="1"/>
    <cellStyle name="열어 본 하이퍼링크" xfId="312" builtinId="9" hidden="1"/>
    <cellStyle name="열어 본 하이퍼링크" xfId="314" builtinId="9" hidden="1"/>
    <cellStyle name="열어 본 하이퍼링크" xfId="316" builtinId="9" hidden="1"/>
    <cellStyle name="열어 본 하이퍼링크" xfId="318" builtinId="9" hidden="1"/>
    <cellStyle name="열어 본 하이퍼링크" xfId="320" builtinId="9" hidden="1"/>
    <cellStyle name="열어 본 하이퍼링크" xfId="322" builtinId="9" hidden="1"/>
    <cellStyle name="열어 본 하이퍼링크" xfId="324" builtinId="9" hidden="1"/>
    <cellStyle name="열어 본 하이퍼링크" xfId="326" builtinId="9" hidden="1"/>
    <cellStyle name="열어 본 하이퍼링크" xfId="328" builtinId="9" hidden="1"/>
    <cellStyle name="열어 본 하이퍼링크" xfId="330" builtinId="9" hidden="1"/>
    <cellStyle name="열어 본 하이퍼링크" xfId="332" builtinId="9" hidden="1"/>
    <cellStyle name="열어 본 하이퍼링크" xfId="334" builtinId="9" hidden="1"/>
    <cellStyle name="열어 본 하이퍼링크" xfId="336" builtinId="9" hidden="1"/>
    <cellStyle name="열어 본 하이퍼링크" xfId="338" builtinId="9" hidden="1"/>
    <cellStyle name="열어 본 하이퍼링크" xfId="340" builtinId="9" hidden="1"/>
    <cellStyle name="열어 본 하이퍼링크" xfId="342" builtinId="9" hidden="1"/>
    <cellStyle name="열어 본 하이퍼링크" xfId="344" builtinId="9" hidden="1"/>
    <cellStyle name="열어 본 하이퍼링크" xfId="346" builtinId="9" hidden="1"/>
    <cellStyle name="열어 본 하이퍼링크" xfId="348" builtinId="9" hidden="1"/>
    <cellStyle name="열어 본 하이퍼링크" xfId="350" builtinId="9" hidden="1"/>
    <cellStyle name="열어 본 하이퍼링크" xfId="352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72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80" builtinId="9" hidden="1"/>
    <cellStyle name="열어 본 하이퍼링크" xfId="382" builtinId="9" hidden="1"/>
    <cellStyle name="열어 본 하이퍼링크" xfId="384" builtinId="9" hidden="1"/>
    <cellStyle name="열어 본 하이퍼링크" xfId="386" builtinId="9" hidden="1"/>
    <cellStyle name="열어 본 하이퍼링크" xfId="388" builtinId="9" hidden="1"/>
    <cellStyle name="열어 본 하이퍼링크" xfId="390" builtinId="9" hidden="1"/>
    <cellStyle name="열어 본 하이퍼링크" xfId="392" builtinId="9" hidden="1"/>
    <cellStyle name="열어 본 하이퍼링크" xfId="394" builtinId="9" hidden="1"/>
    <cellStyle name="열어 본 하이퍼링크" xfId="396" builtinId="9" hidden="1"/>
    <cellStyle name="열어 본 하이퍼링크" xfId="398" builtinId="9" hidden="1"/>
    <cellStyle name="열어 본 하이퍼링크" xfId="400" builtinId="9" hidden="1"/>
    <cellStyle name="열어 본 하이퍼링크" xfId="402" builtinId="9" hidden="1"/>
    <cellStyle name="열어 본 하이퍼링크" xfId="404" builtinId="9" hidden="1"/>
    <cellStyle name="열어 본 하이퍼링크" xfId="406" builtinId="9" hidden="1"/>
    <cellStyle name="열어 본 하이퍼링크" xfId="408" builtinId="9" hidden="1"/>
    <cellStyle name="열어 본 하이퍼링크" xfId="410" builtinId="9" hidden="1"/>
    <cellStyle name="열어 본 하이퍼링크" xfId="412" builtinId="9" hidden="1"/>
    <cellStyle name="열어 본 하이퍼링크" xfId="414" builtinId="9" hidden="1"/>
    <cellStyle name="열어 본 하이퍼링크" xfId="416" builtinId="9" hidden="1"/>
    <cellStyle name="열어 본 하이퍼링크" xfId="418" builtinId="9" hidden="1"/>
    <cellStyle name="열어 본 하이퍼링크" xfId="420" builtinId="9" hidden="1"/>
    <cellStyle name="열어 본 하이퍼링크" xfId="422" builtinId="9" hidden="1"/>
    <cellStyle name="열어 본 하이퍼링크" xfId="424" builtinId="9" hidden="1"/>
    <cellStyle name="열어 본 하이퍼링크" xfId="426" builtinId="9" hidden="1"/>
    <cellStyle name="열어 본 하이퍼링크" xfId="428" builtinId="9" hidden="1"/>
    <cellStyle name="열어 본 하이퍼링크" xfId="430" builtinId="9" hidden="1"/>
    <cellStyle name="열어 본 하이퍼링크" xfId="432" builtinId="9" hidden="1"/>
    <cellStyle name="열어 본 하이퍼링크" xfId="434" builtinId="9" hidden="1"/>
    <cellStyle name="열어 본 하이퍼링크" xfId="436" builtinId="9" hidden="1"/>
    <cellStyle name="열어 본 하이퍼링크" xfId="438" builtinId="9" hidden="1"/>
    <cellStyle name="열어 본 하이퍼링크" xfId="440" builtinId="9" hidden="1"/>
    <cellStyle name="열어 본 하이퍼링크" xfId="442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66" builtinId="9" hidden="1"/>
    <cellStyle name="열어 본 하이퍼링크" xfId="468" builtinId="9" hidden="1"/>
    <cellStyle name="열어 본 하이퍼링크" xfId="470" builtinId="9" hidden="1"/>
    <cellStyle name="열어 본 하이퍼링크" xfId="472" builtinId="9" hidden="1"/>
    <cellStyle name="열어 본 하이퍼링크" xfId="474" builtinId="9" hidden="1"/>
    <cellStyle name="열어 본 하이퍼링크" xfId="476" builtinId="9" hidden="1"/>
    <cellStyle name="열어 본 하이퍼링크" xfId="478" builtinId="9" hidden="1"/>
    <cellStyle name="열어 본 하이퍼링크" xfId="480" builtinId="9" hidden="1"/>
    <cellStyle name="열어 본 하이퍼링크" xfId="482" builtinId="9" hidden="1"/>
    <cellStyle name="열어 본 하이퍼링크" xfId="484" builtinId="9" hidden="1"/>
    <cellStyle name="열어 본 하이퍼링크" xfId="486" builtinId="9" hidden="1"/>
    <cellStyle name="열어 본 하이퍼링크" xfId="488" builtinId="9" hidden="1"/>
    <cellStyle name="열어 본 하이퍼링크" xfId="490" builtinId="9" hidden="1"/>
    <cellStyle name="열어 본 하이퍼링크" xfId="492" builtinId="9" hidden="1"/>
    <cellStyle name="열어 본 하이퍼링크" xfId="494" builtinId="9" hidden="1"/>
    <cellStyle name="열어 본 하이퍼링크" xfId="496" builtinId="9" hidden="1"/>
    <cellStyle name="열어 본 하이퍼링크" xfId="498" builtinId="9" hidden="1"/>
    <cellStyle name="열어 본 하이퍼링크" xfId="500" builtinId="9" hidden="1"/>
    <cellStyle name="열어 본 하이퍼링크" xfId="502" builtinId="9" hidden="1"/>
    <cellStyle name="열어 본 하이퍼링크" xfId="504" builtinId="9" hidden="1"/>
    <cellStyle name="열어 본 하이퍼링크" xfId="506" builtinId="9" hidden="1"/>
    <cellStyle name="열어 본 하이퍼링크" xfId="508" builtinId="9" hidden="1"/>
    <cellStyle name="열어 본 하이퍼링크" xfId="510" builtinId="9" hidden="1"/>
    <cellStyle name="열어 본 하이퍼링크" xfId="512" builtinId="9" hidden="1"/>
    <cellStyle name="열어 본 하이퍼링크" xfId="514" builtinId="9" hidden="1"/>
    <cellStyle name="열어 본 하이퍼링크" xfId="516" builtinId="9" hidden="1"/>
    <cellStyle name="열어 본 하이퍼링크" xfId="518" builtinId="9" hidden="1"/>
    <cellStyle name="열어 본 하이퍼링크" xfId="520" builtinId="9" hidden="1"/>
    <cellStyle name="열어 본 하이퍼링크" xfId="522" builtinId="9" hidden="1"/>
    <cellStyle name="열어 본 하이퍼링크" xfId="524" builtinId="9" hidden="1"/>
    <cellStyle name="열어 본 하이퍼링크" xfId="526" builtinId="9" hidden="1"/>
    <cellStyle name="열어 본 하이퍼링크" xfId="528" builtinId="9" hidden="1"/>
    <cellStyle name="열어 본 하이퍼링크" xfId="530" builtinId="9" hidden="1"/>
    <cellStyle name="열어 본 하이퍼링크" xfId="532" builtinId="9" hidden="1"/>
    <cellStyle name="열어 본 하이퍼링크" xfId="534" builtinId="9" hidden="1"/>
    <cellStyle name="열어 본 하이퍼링크" xfId="536" builtinId="9" hidden="1"/>
    <cellStyle name="열어 본 하이퍼링크" xfId="538" builtinId="9" hidden="1"/>
    <cellStyle name="열어 본 하이퍼링크" xfId="540" builtinId="9" hidden="1"/>
    <cellStyle name="열어 본 하이퍼링크" xfId="542" builtinId="9" hidden="1"/>
    <cellStyle name="열어 본 하이퍼링크" xfId="544" builtinId="9" hidden="1"/>
    <cellStyle name="열어 본 하이퍼링크" xfId="546" builtinId="9" hidden="1"/>
    <cellStyle name="열어 본 하이퍼링크" xfId="548" builtinId="9" hidden="1"/>
    <cellStyle name="열어 본 하이퍼링크" xfId="550" builtinId="9" hidden="1"/>
    <cellStyle name="열어 본 하이퍼링크" xfId="552" builtinId="9" hidden="1"/>
    <cellStyle name="열어 본 하이퍼링크" xfId="554" builtinId="9" hidden="1"/>
    <cellStyle name="열어 본 하이퍼링크" xfId="556" builtinId="9" hidden="1"/>
    <cellStyle name="열어 본 하이퍼링크" xfId="558" builtinId="9" hidden="1"/>
    <cellStyle name="열어 본 하이퍼링크" xfId="560" builtinId="9" hidden="1"/>
    <cellStyle name="열어 본 하이퍼링크" xfId="562" builtinId="9" hidden="1"/>
    <cellStyle name="열어 본 하이퍼링크" xfId="564" builtinId="9" hidden="1"/>
    <cellStyle name="열어 본 하이퍼링크" xfId="566" builtinId="9" hidden="1"/>
    <cellStyle name="열어 본 하이퍼링크" xfId="568" builtinId="9" hidden="1"/>
    <cellStyle name="열어 본 하이퍼링크" xfId="570" builtinId="9" hidden="1"/>
    <cellStyle name="열어 본 하이퍼링크" xfId="572" builtinId="9" hidden="1"/>
    <cellStyle name="열어 본 하이퍼링크" xfId="574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98" builtinId="9" hidden="1"/>
    <cellStyle name="열어 본 하이퍼링크" xfId="600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2" builtinId="9" hidden="1"/>
    <cellStyle name="열어 본 하이퍼링크" xfId="614" builtinId="9" hidden="1"/>
    <cellStyle name="열어 본 하이퍼링크" xfId="616" builtinId="9" hidden="1"/>
    <cellStyle name="열어 본 하이퍼링크" xfId="618" builtinId="9" hidden="1"/>
    <cellStyle name="열어 본 하이퍼링크" xfId="620" builtinId="9" hidden="1"/>
    <cellStyle name="열어 본 하이퍼링크" xfId="622" builtinId="9" hidden="1"/>
    <cellStyle name="열어 본 하이퍼링크" xfId="624" builtinId="9" hidden="1"/>
    <cellStyle name="열어 본 하이퍼링크" xfId="626" builtinId="9" hidden="1"/>
    <cellStyle name="열어 본 하이퍼링크" xfId="628" builtinId="9" hidden="1"/>
    <cellStyle name="열어 본 하이퍼링크" xfId="630" builtinId="9" hidden="1"/>
    <cellStyle name="열어 본 하이퍼링크" xfId="632" builtinId="9" hidden="1"/>
    <cellStyle name="열어 본 하이퍼링크" xfId="634" builtinId="9" hidden="1"/>
    <cellStyle name="열어 본 하이퍼링크" xfId="636" builtinId="9" hidden="1"/>
    <cellStyle name="열어 본 하이퍼링크" xfId="638" builtinId="9" hidden="1"/>
    <cellStyle name="열어 본 하이퍼링크" xfId="640" builtinId="9" hidden="1"/>
    <cellStyle name="열어 본 하이퍼링크" xfId="642" builtinId="9" hidden="1"/>
    <cellStyle name="열어 본 하이퍼링크" xfId="644" builtinId="9" hidden="1"/>
    <cellStyle name="열어 본 하이퍼링크" xfId="646" builtinId="9" hidden="1"/>
    <cellStyle name="열어 본 하이퍼링크" xfId="648" builtinId="9" hidden="1"/>
    <cellStyle name="열어 본 하이퍼링크" xfId="650" builtinId="9" hidden="1"/>
    <cellStyle name="열어 본 하이퍼링크" xfId="652" builtinId="9" hidden="1"/>
    <cellStyle name="열어 본 하이퍼링크" xfId="654" builtinId="9" hidden="1"/>
    <cellStyle name="열어 본 하이퍼링크" xfId="656" builtinId="9" hidden="1"/>
    <cellStyle name="열어 본 하이퍼링크" xfId="658" builtinId="9" hidden="1"/>
    <cellStyle name="열어 본 하이퍼링크" xfId="660" builtinId="9" hidden="1"/>
    <cellStyle name="열어 본 하이퍼링크" xfId="662" builtinId="9" hidden="1"/>
    <cellStyle name="열어 본 하이퍼링크" xfId="664" builtinId="9" hidden="1"/>
    <cellStyle name="열어 본 하이퍼링크" xfId="666" builtinId="9" hidden="1"/>
    <cellStyle name="열어 본 하이퍼링크" xfId="668" builtinId="9" hidden="1"/>
    <cellStyle name="열어 본 하이퍼링크" xfId="670" builtinId="9" hidden="1"/>
    <cellStyle name="열어 본 하이퍼링크" xfId="672" builtinId="9" hidden="1"/>
    <cellStyle name="열어 본 하이퍼링크" xfId="674" builtinId="9" hidden="1"/>
    <cellStyle name="열어 본 하이퍼링크" xfId="676" builtinId="9" hidden="1"/>
    <cellStyle name="열어 본 하이퍼링크" xfId="678" builtinId="9" hidden="1"/>
    <cellStyle name="열어 본 하이퍼링크" xfId="680" builtinId="9" hidden="1"/>
    <cellStyle name="열어 본 하이퍼링크" xfId="682" builtinId="9" hidden="1"/>
    <cellStyle name="열어 본 하이퍼링크" xfId="684" builtinId="9" hidden="1"/>
    <cellStyle name="열어 본 하이퍼링크" xfId="686" builtinId="9" hidden="1"/>
    <cellStyle name="열어 본 하이퍼링크" xfId="688" builtinId="9" hidden="1"/>
    <cellStyle name="열어 본 하이퍼링크" xfId="690" builtinId="9" hidden="1"/>
    <cellStyle name="열어 본 하이퍼링크" xfId="692" builtinId="9" hidden="1"/>
    <cellStyle name="열어 본 하이퍼링크" xfId="694" builtinId="9" hidden="1"/>
    <cellStyle name="열어 본 하이퍼링크" xfId="696" builtinId="9" hidden="1"/>
    <cellStyle name="열어 본 하이퍼링크" xfId="698" builtinId="9" hidden="1"/>
    <cellStyle name="열어 본 하이퍼링크" xfId="700" builtinId="9" hidden="1"/>
    <cellStyle name="열어 본 하이퍼링크" xfId="702" builtinId="9" hidden="1"/>
    <cellStyle name="열어 본 하이퍼링크" xfId="704" builtinId="9" hidden="1"/>
    <cellStyle name="열어 본 하이퍼링크" xfId="706" builtinId="9" hidden="1"/>
    <cellStyle name="열어 본 하이퍼링크" xfId="708" builtinId="9" hidden="1"/>
    <cellStyle name="열어 본 하이퍼링크" xfId="710" builtinId="9" hidden="1"/>
    <cellStyle name="열어 본 하이퍼링크" xfId="712" builtinId="9" hidden="1"/>
    <cellStyle name="열어 본 하이퍼링크" xfId="714" builtinId="9" hidden="1"/>
    <cellStyle name="열어 본 하이퍼링크" xfId="716" builtinId="9" hidden="1"/>
    <cellStyle name="열어 본 하이퍼링크" xfId="718" builtinId="9" hidden="1"/>
    <cellStyle name="열어 본 하이퍼링크" xfId="720" builtinId="9" hidden="1"/>
    <cellStyle name="열어 본 하이퍼링크" xfId="722" builtinId="9" hidden="1"/>
    <cellStyle name="열어 본 하이퍼링크" xfId="724" builtinId="9" hidden="1"/>
    <cellStyle name="열어 본 하이퍼링크" xfId="726" builtinId="9" hidden="1"/>
    <cellStyle name="열어 본 하이퍼링크" xfId="728" builtinId="9" hidden="1"/>
    <cellStyle name="열어 본 하이퍼링크" xfId="730" builtinId="9" hidden="1"/>
    <cellStyle name="열어 본 하이퍼링크" xfId="732" builtinId="9" hidden="1"/>
    <cellStyle name="열어 본 하이퍼링크" xfId="734" builtinId="9" hidden="1"/>
    <cellStyle name="열어 본 하이퍼링크" xfId="736" builtinId="9" hidden="1"/>
    <cellStyle name="열어 본 하이퍼링크" xfId="738" builtinId="9" hidden="1"/>
    <cellStyle name="열어 본 하이퍼링크" xfId="740" builtinId="9" hidden="1"/>
    <cellStyle name="열어 본 하이퍼링크" xfId="742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50" builtinId="9" hidden="1"/>
    <cellStyle name="열어 본 하이퍼링크" xfId="752" builtinId="9" hidden="1"/>
    <cellStyle name="열어 본 하이퍼링크" xfId="754" builtinId="9" hidden="1"/>
    <cellStyle name="열어 본 하이퍼링크" xfId="756" builtinId="9" hidden="1"/>
    <cellStyle name="열어 본 하이퍼링크" xfId="758" builtinId="9" hidden="1"/>
    <cellStyle name="열어 본 하이퍼링크" xfId="760" builtinId="9" hidden="1"/>
    <cellStyle name="열어 본 하이퍼링크" xfId="762" builtinId="9" hidden="1"/>
    <cellStyle name="열어 본 하이퍼링크" xfId="764" builtinId="9" hidden="1"/>
    <cellStyle name="열어 본 하이퍼링크" xfId="766" builtinId="9" hidden="1"/>
    <cellStyle name="열어 본 하이퍼링크" xfId="768" builtinId="9" hidden="1"/>
    <cellStyle name="열어 본 하이퍼링크" xfId="770" builtinId="9" hidden="1"/>
    <cellStyle name="열어 본 하이퍼링크" xfId="772" builtinId="9" hidden="1"/>
    <cellStyle name="열어 본 하이퍼링크" xfId="774" builtinId="9" hidden="1"/>
    <cellStyle name="열어 본 하이퍼링크" xfId="776" builtinId="9" hidden="1"/>
    <cellStyle name="열어 본 하이퍼링크" xfId="778" builtinId="9" hidden="1"/>
    <cellStyle name="열어 본 하이퍼링크" xfId="780" builtinId="9" hidden="1"/>
    <cellStyle name="열어 본 하이퍼링크" xfId="782" builtinId="9" hidden="1"/>
    <cellStyle name="열어 본 하이퍼링크" xfId="784" builtinId="9" hidden="1"/>
    <cellStyle name="열어 본 하이퍼링크" xfId="786" builtinId="9" hidden="1"/>
    <cellStyle name="열어 본 하이퍼링크" xfId="788" builtinId="9" hidden="1"/>
    <cellStyle name="열어 본 하이퍼링크" xfId="790" builtinId="9" hidden="1"/>
    <cellStyle name="열어 본 하이퍼링크" xfId="792" builtinId="9" hidden="1"/>
    <cellStyle name="열어 본 하이퍼링크" xfId="794" builtinId="9" hidden="1"/>
    <cellStyle name="열어 본 하이퍼링크" xfId="796" builtinId="9" hidden="1"/>
    <cellStyle name="열어 본 하이퍼링크" xfId="798" builtinId="9" hidden="1"/>
    <cellStyle name="열어 본 하이퍼링크" xfId="800" builtinId="9" hidden="1"/>
    <cellStyle name="열어 본 하이퍼링크" xfId="802" builtinId="9" hidden="1"/>
    <cellStyle name="열어 본 하이퍼링크" xfId="804" builtinId="9" hidden="1"/>
    <cellStyle name="열어 본 하이퍼링크" xfId="806" builtinId="9" hidden="1"/>
    <cellStyle name="열어 본 하이퍼링크" xfId="808" builtinId="9" hidden="1"/>
    <cellStyle name="열어 본 하이퍼링크" xfId="810" builtinId="9" hidden="1"/>
    <cellStyle name="열어 본 하이퍼링크" xfId="812" builtinId="9" hidden="1"/>
    <cellStyle name="열어 본 하이퍼링크" xfId="814" builtinId="9" hidden="1"/>
    <cellStyle name="열어 본 하이퍼링크" xfId="816" builtinId="9" hidden="1"/>
    <cellStyle name="열어 본 하이퍼링크" xfId="818" builtinId="9" hidden="1"/>
    <cellStyle name="열어 본 하이퍼링크" xfId="820" builtinId="9" hidden="1"/>
    <cellStyle name="열어 본 하이퍼링크" xfId="822" builtinId="9" hidden="1"/>
    <cellStyle name="열어 본 하이퍼링크" xfId="824" builtinId="9" hidden="1"/>
    <cellStyle name="열어 본 하이퍼링크" xfId="826" builtinId="9" hidden="1"/>
    <cellStyle name="열어 본 하이퍼링크" xfId="828" builtinId="9" hidden="1"/>
    <cellStyle name="열어 본 하이퍼링크" xfId="830" builtinId="9" hidden="1"/>
    <cellStyle name="열어 본 하이퍼링크" xfId="832" builtinId="9" hidden="1"/>
    <cellStyle name="열어 본 하이퍼링크" xfId="834" builtinId="9" hidden="1"/>
    <cellStyle name="열어 본 하이퍼링크" xfId="836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60" builtinId="9" hidden="1"/>
    <cellStyle name="열어 본 하이퍼링크" xfId="862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80" builtinId="9" hidden="1"/>
    <cellStyle name="열어 본 하이퍼링크" xfId="882" builtinId="9" hidden="1"/>
    <cellStyle name="열어 본 하이퍼링크" xfId="884" builtinId="9" hidden="1"/>
    <cellStyle name="열어 본 하이퍼링크" xfId="886" builtinId="9" hidden="1"/>
    <cellStyle name="열어 본 하이퍼링크" xfId="888" builtinId="9" hidden="1"/>
    <cellStyle name="열어 본 하이퍼링크" xfId="890" builtinId="9" hidden="1"/>
    <cellStyle name="열어 본 하이퍼링크" xfId="892" builtinId="9" hidden="1"/>
    <cellStyle name="열어 본 하이퍼링크" xfId="894" builtinId="9" hidden="1"/>
    <cellStyle name="열어 본 하이퍼링크" xfId="896" builtinId="9" hidden="1"/>
    <cellStyle name="열어 본 하이퍼링크" xfId="898" builtinId="9" hidden="1"/>
    <cellStyle name="열어 본 하이퍼링크" xfId="900" builtinId="9" hidden="1"/>
    <cellStyle name="열어 본 하이퍼링크" xfId="902" builtinId="9" hidden="1"/>
    <cellStyle name="열어 본 하이퍼링크" xfId="904" builtinId="9" hidden="1"/>
    <cellStyle name="열어 본 하이퍼링크" xfId="906" builtinId="9" hidden="1"/>
    <cellStyle name="열어 본 하이퍼링크" xfId="908" builtinId="9" hidden="1"/>
    <cellStyle name="열어 본 하이퍼링크" xfId="910" builtinId="9" hidden="1"/>
    <cellStyle name="열어 본 하이퍼링크" xfId="912" builtinId="9" hidden="1"/>
    <cellStyle name="열어 본 하이퍼링크" xfId="914" builtinId="9" hidden="1"/>
    <cellStyle name="열어 본 하이퍼링크" xfId="916" builtinId="9" hidden="1"/>
    <cellStyle name="열어 본 하이퍼링크" xfId="918" builtinId="9" hidden="1"/>
    <cellStyle name="열어 본 하이퍼링크" xfId="920" builtinId="9" hidden="1"/>
    <cellStyle name="열어 본 하이퍼링크" xfId="922" builtinId="9" hidden="1"/>
    <cellStyle name="열어 본 하이퍼링크" xfId="924" builtinId="9" hidden="1"/>
    <cellStyle name="열어 본 하이퍼링크" xfId="926" builtinId="9" hidden="1"/>
    <cellStyle name="열어 본 하이퍼링크" xfId="928" builtinId="9" hidden="1"/>
    <cellStyle name="열어 본 하이퍼링크" xfId="930" builtinId="9" hidden="1"/>
    <cellStyle name="열어 본 하이퍼링크" xfId="932" builtinId="9" hidden="1"/>
    <cellStyle name="열어 본 하이퍼링크" xfId="934" builtinId="9" hidden="1"/>
    <cellStyle name="열어 본 하이퍼링크" xfId="936" builtinId="9" hidden="1"/>
    <cellStyle name="열어 본 하이퍼링크" xfId="938" builtinId="9" hidden="1"/>
    <cellStyle name="열어 본 하이퍼링크" xfId="940" builtinId="9" hidden="1"/>
    <cellStyle name="열어 본 하이퍼링크" xfId="942" builtinId="9" hidden="1"/>
    <cellStyle name="열어 본 하이퍼링크" xfId="944" builtinId="9" hidden="1"/>
    <cellStyle name="열어 본 하이퍼링크" xfId="946" builtinId="9" hidden="1"/>
    <cellStyle name="열어 본 하이퍼링크" xfId="948" builtinId="9" hidden="1"/>
    <cellStyle name="열어 본 하이퍼링크" xfId="950" builtinId="9" hidden="1"/>
    <cellStyle name="열어 본 하이퍼링크" xfId="952" builtinId="9" hidden="1"/>
    <cellStyle name="열어 본 하이퍼링크" xfId="954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68" builtinId="9" hidden="1"/>
    <cellStyle name="열어 본 하이퍼링크" xfId="970" builtinId="9" hidden="1"/>
    <cellStyle name="열어 본 하이퍼링크" xfId="972" builtinId="9" hidden="1"/>
    <cellStyle name="열어 본 하이퍼링크" xfId="974" builtinId="9" hidden="1"/>
    <cellStyle name="열어 본 하이퍼링크" xfId="976" builtinId="9" hidden="1"/>
    <cellStyle name="열어 본 하이퍼링크" xfId="978" builtinId="9" hidden="1"/>
    <cellStyle name="열어 본 하이퍼링크" xfId="980" builtinId="9" hidden="1"/>
    <cellStyle name="열어 본 하이퍼링크" xfId="982" builtinId="9" hidden="1"/>
    <cellStyle name="열어 본 하이퍼링크" xfId="984" builtinId="9" hidden="1"/>
    <cellStyle name="열어 본 하이퍼링크" xfId="986" builtinId="9" hidden="1"/>
    <cellStyle name="열어 본 하이퍼링크" xfId="988" builtinId="9" hidden="1"/>
    <cellStyle name="열어 본 하이퍼링크" xfId="990" builtinId="9" hidden="1"/>
    <cellStyle name="열어 본 하이퍼링크" xfId="992" builtinId="9" hidden="1"/>
    <cellStyle name="열어 본 하이퍼링크" xfId="994" builtinId="9" hidden="1"/>
    <cellStyle name="열어 본 하이퍼링크" xfId="996" builtinId="9" hidden="1"/>
    <cellStyle name="열어 본 하이퍼링크" xfId="998" builtinId="9" hidden="1"/>
    <cellStyle name="열어 본 하이퍼링크" xfId="1000" builtinId="9" hidden="1"/>
    <cellStyle name="열어 본 하이퍼링크" xfId="1002" builtinId="9" hidden="1"/>
    <cellStyle name="열어 본 하이퍼링크" xfId="1004" builtinId="9" hidden="1"/>
    <cellStyle name="열어 본 하이퍼링크" xfId="1006" builtinId="9" hidden="1"/>
    <cellStyle name="열어 본 하이퍼링크" xfId="1008" builtinId="9" hidden="1"/>
    <cellStyle name="열어 본 하이퍼링크" xfId="1010" builtinId="9" hidden="1"/>
    <cellStyle name="열어 본 하이퍼링크" xfId="1012" builtinId="9" hidden="1"/>
    <cellStyle name="열어 본 하이퍼링크" xfId="1014" builtinId="9" hidden="1"/>
    <cellStyle name="열어 본 하이퍼링크" xfId="1016" builtinId="9" hidden="1"/>
    <cellStyle name="열어 본 하이퍼링크" xfId="1018" builtinId="9" hidden="1"/>
    <cellStyle name="열어 본 하이퍼링크" xfId="1020" builtinId="9" hidden="1"/>
    <cellStyle name="열어 본 하이퍼링크" xfId="1022" builtinId="9" hidden="1"/>
    <cellStyle name="열어 본 하이퍼링크" xfId="1024" builtinId="9" hidden="1"/>
    <cellStyle name="열어 본 하이퍼링크" xfId="1026" builtinId="9" hidden="1"/>
    <cellStyle name="열어 본 하이퍼링크" xfId="1028" builtinId="9" hidden="1"/>
    <cellStyle name="열어 본 하이퍼링크" xfId="1030" builtinId="9" hidden="1"/>
    <cellStyle name="열어 본 하이퍼링크" xfId="1032" builtinId="9" hidden="1"/>
    <cellStyle name="열어 본 하이퍼링크" xfId="1034" builtinId="9" hidden="1"/>
    <cellStyle name="열어 본 하이퍼링크" xfId="1036" builtinId="9" hidden="1"/>
    <cellStyle name="열어 본 하이퍼링크" xfId="1038" builtinId="9" hidden="1"/>
    <cellStyle name="열어 본 하이퍼링크" xfId="1040" builtinId="9" hidden="1"/>
    <cellStyle name="열어 본 하이퍼링크" xfId="1042" builtinId="9" hidden="1"/>
    <cellStyle name="열어 본 하이퍼링크" xfId="1044" builtinId="9" hidden="1"/>
    <cellStyle name="열어 본 하이퍼링크" xfId="1046" builtinId="9" hidden="1"/>
    <cellStyle name="열어 본 하이퍼링크" xfId="1048" builtinId="9" hidden="1"/>
    <cellStyle name="열어 본 하이퍼링크" xfId="1050" builtinId="9" hidden="1"/>
    <cellStyle name="열어 본 하이퍼링크" xfId="1052" builtinId="9" hidden="1"/>
    <cellStyle name="열어 본 하이퍼링크" xfId="1054" builtinId="9" hidden="1"/>
    <cellStyle name="열어 본 하이퍼링크" xfId="1056" builtinId="9" hidden="1"/>
    <cellStyle name="열어 본 하이퍼링크" xfId="1058" builtinId="9" hidden="1"/>
    <cellStyle name="열어 본 하이퍼링크" xfId="1060" builtinId="9" hidden="1"/>
    <cellStyle name="열어 본 하이퍼링크" xfId="1062" builtinId="9" hidden="1"/>
    <cellStyle name="열어 본 하이퍼링크" xfId="1064" builtinId="9" hidden="1"/>
    <cellStyle name="열어 본 하이퍼링크" xfId="1066" builtinId="9" hidden="1"/>
    <cellStyle name="열어 본 하이퍼링크" xfId="1068" builtinId="9" hidden="1"/>
    <cellStyle name="열어 본 하이퍼링크" xfId="1070" builtinId="9" hidden="1"/>
    <cellStyle name="열어 본 하이퍼링크" xfId="1072" builtinId="9" hidden="1"/>
    <cellStyle name="열어 본 하이퍼링크" xfId="1074" builtinId="9" hidden="1"/>
    <cellStyle name="열어 본 하이퍼링크" xfId="1076" builtinId="9" hidden="1"/>
    <cellStyle name="열어 본 하이퍼링크" xfId="1078" builtinId="9" hidden="1"/>
    <cellStyle name="열어 본 하이퍼링크" xfId="1080" builtinId="9" hidden="1"/>
    <cellStyle name="열어 본 하이퍼링크" xfId="1082" builtinId="9" hidden="1"/>
    <cellStyle name="열어 본 하이퍼링크" xfId="1084" builtinId="9" hidden="1"/>
    <cellStyle name="열어 본 하이퍼링크" xfId="1086" builtinId="9" hidden="1"/>
    <cellStyle name="열어 본 하이퍼링크" xfId="1088" builtinId="9" hidden="1"/>
    <cellStyle name="열어 본 하이퍼링크" xfId="1090" builtinId="9" hidden="1"/>
    <cellStyle name="열어 본 하이퍼링크" xfId="1092" builtinId="9" hidden="1"/>
    <cellStyle name="열어 본 하이퍼링크" xfId="1094" builtinId="9" hidden="1"/>
    <cellStyle name="열어 본 하이퍼링크" xfId="1096" builtinId="9" hidden="1"/>
    <cellStyle name="열어 본 하이퍼링크" xfId="1098" builtinId="9" hidden="1"/>
    <cellStyle name="열어 본 하이퍼링크" xfId="1100" builtinId="9" hidden="1"/>
    <cellStyle name="열어 본 하이퍼링크" xfId="1102" builtinId="9" hidden="1"/>
    <cellStyle name="열어 본 하이퍼링크" xfId="1104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28" builtinId="9" hidden="1"/>
    <cellStyle name="열어 본 하이퍼링크" xfId="1130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50" builtinId="9" hidden="1"/>
    <cellStyle name="열어 본 하이퍼링크" xfId="1152" builtinId="9" hidden="1"/>
    <cellStyle name="열어 본 하이퍼링크" xfId="1154" builtinId="9" hidden="1"/>
    <cellStyle name="열어 본 하이퍼링크" xfId="1156" builtinId="9" hidden="1"/>
    <cellStyle name="열어 본 하이퍼링크" xfId="1158" builtinId="9" hidden="1"/>
    <cellStyle name="열어 본 하이퍼링크" xfId="1160" builtinId="9" hidden="1"/>
    <cellStyle name="열어 본 하이퍼링크" xfId="1162" builtinId="9" hidden="1"/>
    <cellStyle name="열어 본 하이퍼링크" xfId="1164" builtinId="9" hidden="1"/>
    <cellStyle name="열어 본 하이퍼링크" xfId="1166" builtinId="9" hidden="1"/>
    <cellStyle name="열어 본 하이퍼링크" xfId="1168" builtinId="9" hidden="1"/>
    <cellStyle name="열어 본 하이퍼링크" xfId="1170" builtinId="9" hidden="1"/>
    <cellStyle name="열어 본 하이퍼링크" xfId="1172" builtinId="9" hidden="1"/>
    <cellStyle name="열어 본 하이퍼링크" xfId="1174" builtinId="9" hidden="1"/>
    <cellStyle name="열어 본 하이퍼링크" xfId="1176" builtinId="9" hidden="1"/>
    <cellStyle name="열어 본 하이퍼링크" xfId="1178" builtinId="9" hidden="1"/>
    <cellStyle name="열어 본 하이퍼링크" xfId="1180" builtinId="9" hidden="1"/>
    <cellStyle name="열어 본 하이퍼링크" xfId="1182" builtinId="9" hidden="1"/>
    <cellStyle name="열어 본 하이퍼링크" xfId="1184" builtinId="9" hidden="1"/>
    <cellStyle name="열어 본 하이퍼링크" xfId="1186" builtinId="9" hidden="1"/>
    <cellStyle name="열어 본 하이퍼링크" xfId="1188" builtinId="9" hidden="1"/>
    <cellStyle name="열어 본 하이퍼링크" xfId="1190" builtinId="9" hidden="1"/>
    <cellStyle name="열어 본 하이퍼링크" xfId="1192" builtinId="9" hidden="1"/>
    <cellStyle name="열어 본 하이퍼링크" xfId="1194" builtinId="9" hidden="1"/>
    <cellStyle name="열어 본 하이퍼링크" xfId="1196" builtinId="9" hidden="1"/>
    <cellStyle name="열어 본 하이퍼링크" xfId="1198" builtinId="9" hidden="1"/>
    <cellStyle name="열어 본 하이퍼링크" xfId="1200" builtinId="9" hidden="1"/>
    <cellStyle name="열어 본 하이퍼링크" xfId="1202" builtinId="9" hidden="1"/>
    <cellStyle name="열어 본 하이퍼링크" xfId="1204" builtinId="9" hidden="1"/>
    <cellStyle name="열어 본 하이퍼링크" xfId="1206" builtinId="9" hidden="1"/>
    <cellStyle name="열어 본 하이퍼링크" xfId="1208" builtinId="9" hidden="1"/>
    <cellStyle name="열어 본 하이퍼링크" xfId="1210" builtinId="9" hidden="1"/>
    <cellStyle name="열어 본 하이퍼링크" xfId="1212" builtinId="9" hidden="1"/>
    <cellStyle name="열어 본 하이퍼링크" xfId="1214" builtinId="9" hidden="1"/>
    <cellStyle name="열어 본 하이퍼링크" xfId="1216" builtinId="9" hidden="1"/>
    <cellStyle name="열어 본 하이퍼링크" xfId="1218" builtinId="9" hidden="1"/>
    <cellStyle name="열어 본 하이퍼링크" xfId="1220" builtinId="9" hidden="1"/>
    <cellStyle name="열어 본 하이퍼링크" xfId="1222" builtinId="9" hidden="1"/>
    <cellStyle name="열어 본 하이퍼링크" xfId="1224" builtinId="9" hidden="1"/>
    <cellStyle name="열어 본 하이퍼링크" xfId="1226" builtinId="9" hidden="1"/>
    <cellStyle name="열어 본 하이퍼링크" xfId="1228" builtinId="9" hidden="1"/>
    <cellStyle name="열어 본 하이퍼링크" xfId="1230" builtinId="9" hidden="1"/>
    <cellStyle name="열어 본 하이퍼링크" xfId="1232" builtinId="9" hidden="1"/>
    <cellStyle name="열어 본 하이퍼링크" xfId="1234" builtinId="9" hidden="1"/>
    <cellStyle name="열어 본 하이퍼링크" xfId="1236" builtinId="9" hidden="1"/>
    <cellStyle name="열어 본 하이퍼링크" xfId="1238" builtinId="9" hidden="1"/>
    <cellStyle name="열어 본 하이퍼링크" xfId="1240" builtinId="9" hidden="1"/>
    <cellStyle name="열어 본 하이퍼링크" xfId="1242" builtinId="9" hidden="1"/>
    <cellStyle name="열어 본 하이퍼링크" xfId="1244" builtinId="9" hidden="1"/>
    <cellStyle name="열어 본 하이퍼링크" xfId="1246" builtinId="9" hidden="1"/>
    <cellStyle name="열어 본 하이퍼링크" xfId="1248" builtinId="9" hidden="1"/>
    <cellStyle name="열어 본 하이퍼링크" xfId="1250" builtinId="9" hidden="1"/>
    <cellStyle name="열어 본 하이퍼링크" xfId="1252" builtinId="9" hidden="1"/>
    <cellStyle name="열어 본 하이퍼링크" xfId="1254" builtinId="9" hidden="1"/>
    <cellStyle name="열어 본 하이퍼링크" xfId="1256" builtinId="9" hidden="1"/>
    <cellStyle name="열어 본 하이퍼링크" xfId="1258" builtinId="9" hidden="1"/>
    <cellStyle name="열어 본 하이퍼링크" xfId="1260" builtinId="9" hidden="1"/>
    <cellStyle name="열어 본 하이퍼링크" xfId="1262" builtinId="9" hidden="1"/>
    <cellStyle name="열어 본 하이퍼링크" xfId="1264" builtinId="9" hidden="1"/>
    <cellStyle name="열어 본 하이퍼링크" xfId="1266" builtinId="9" hidden="1"/>
    <cellStyle name="열어 본 하이퍼링크" xfId="1268" builtinId="9" hidden="1"/>
    <cellStyle name="열어 본 하이퍼링크" xfId="1270" builtinId="9" hidden="1"/>
    <cellStyle name="열어 본 하이퍼링크" xfId="1272" builtinId="9" hidden="1"/>
    <cellStyle name="열어 본 하이퍼링크" xfId="1274" builtinId="9" hidden="1"/>
    <cellStyle name="열어 본 하이퍼링크" xfId="1276" builtinId="9" hidden="1"/>
    <cellStyle name="열어 본 하이퍼링크" xfId="1278" builtinId="9" hidden="1"/>
    <cellStyle name="열어 본 하이퍼링크" xfId="1280" builtinId="9" hidden="1"/>
    <cellStyle name="열어 본 하이퍼링크" xfId="1282" builtinId="9" hidden="1"/>
    <cellStyle name="열어 본 하이퍼링크" xfId="1284" builtinId="9" hidden="1"/>
    <cellStyle name="열어 본 하이퍼링크" xfId="1286" builtinId="9" hidden="1"/>
    <cellStyle name="열어 본 하이퍼링크" xfId="1288" builtinId="9" hidden="1"/>
    <cellStyle name="열어 본 하이퍼링크" xfId="1290" builtinId="9" hidden="1"/>
    <cellStyle name="열어 본 하이퍼링크" xfId="1292" builtinId="9" hidden="1"/>
    <cellStyle name="열어 본 하이퍼링크" xfId="1294" builtinId="9" hidden="1"/>
    <cellStyle name="열어 본 하이퍼링크" xfId="1296" builtinId="9" hidden="1"/>
    <cellStyle name="열어 본 하이퍼링크" xfId="1298" builtinId="9" hidden="1"/>
    <cellStyle name="열어 본 하이퍼링크" xfId="1300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8" builtinId="9" hidden="1"/>
    <cellStyle name="열어 본 하이퍼링크" xfId="1310" builtinId="9" hidden="1"/>
    <cellStyle name="열어 본 하이퍼링크" xfId="1312" builtinId="9" hidden="1"/>
    <cellStyle name="열어 본 하이퍼링크" xfId="1314" builtinId="9" hidden="1"/>
    <cellStyle name="열어 본 하이퍼링크" xfId="1316" builtinId="9" hidden="1"/>
    <cellStyle name="열어 본 하이퍼링크" xfId="1318" builtinId="9" hidden="1"/>
    <cellStyle name="열어 본 하이퍼링크" xfId="1320" builtinId="9" hidden="1"/>
    <cellStyle name="열어 본 하이퍼링크" xfId="1322" builtinId="9" hidden="1"/>
    <cellStyle name="열어 본 하이퍼링크" xfId="1324" builtinId="9" hidden="1"/>
    <cellStyle name="열어 본 하이퍼링크" xfId="1326" builtinId="9" hidden="1"/>
    <cellStyle name="열어 본 하이퍼링크" xfId="1328" builtinId="9" hidden="1"/>
    <cellStyle name="열어 본 하이퍼링크" xfId="1330" builtinId="9" hidden="1"/>
    <cellStyle name="열어 본 하이퍼링크" xfId="1332" builtinId="9" hidden="1"/>
    <cellStyle name="열어 본 하이퍼링크" xfId="1334" builtinId="9" hidden="1"/>
    <cellStyle name="열어 본 하이퍼링크" xfId="1336" builtinId="9" hidden="1"/>
    <cellStyle name="열어 본 하이퍼링크" xfId="1338" builtinId="9" hidden="1"/>
    <cellStyle name="열어 본 하이퍼링크" xfId="1340" builtinId="9" hidden="1"/>
    <cellStyle name="열어 본 하이퍼링크" xfId="1342" builtinId="9" hidden="1"/>
    <cellStyle name="열어 본 하이퍼링크" xfId="1344" builtinId="9" hidden="1"/>
    <cellStyle name="열어 본 하이퍼링크" xfId="1346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4" builtinId="9" hidden="1"/>
    <cellStyle name="열어 본 하이퍼링크" xfId="1366" builtinId="9" hidden="1"/>
    <cellStyle name="열어 본 하이퍼링크" xfId="1368" builtinId="9" hidden="1"/>
    <cellStyle name="열어 본 하이퍼링크" xfId="1370" builtinId="9" hidden="1"/>
    <cellStyle name="열어 본 하이퍼링크" xfId="1372" builtinId="9" hidden="1"/>
    <cellStyle name="열어 본 하이퍼링크" xfId="1374" builtinId="9" hidden="1"/>
    <cellStyle name="열어 본 하이퍼링크" xfId="1376" builtinId="9" hidden="1"/>
    <cellStyle name="열어 본 하이퍼링크" xfId="1378" builtinId="9" hidden="1"/>
    <cellStyle name="열어 본 하이퍼링크" xfId="1380" builtinId="9" hidden="1"/>
    <cellStyle name="열어 본 하이퍼링크" xfId="1382" builtinId="9" hidden="1"/>
    <cellStyle name="열어 본 하이퍼링크" xfId="1384" builtinId="9" hidden="1"/>
    <cellStyle name="열어 본 하이퍼링크" xfId="1386" builtinId="9" hidden="1"/>
    <cellStyle name="열어 본 하이퍼링크" xfId="1388" builtinId="9" hidden="1"/>
    <cellStyle name="열어 본 하이퍼링크" xfId="1390" builtinId="9" hidden="1"/>
    <cellStyle name="열어 본 하이퍼링크" xfId="1392" builtinId="9" hidden="1"/>
    <cellStyle name="열어 본 하이퍼링크" xfId="1394" builtinId="9" hidden="1"/>
    <cellStyle name="열어 본 하이퍼링크" xfId="1396" builtinId="9" hidden="1"/>
    <cellStyle name="열어 본 하이퍼링크" xfId="1398" builtinId="9" hidden="1"/>
    <cellStyle name="열어 본 하이퍼링크" xfId="1400" builtinId="9" hidden="1"/>
    <cellStyle name="열어 본 하이퍼링크" xfId="1402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  <cellStyle name="하이퍼링크" xfId="167" builtinId="8" hidden="1"/>
    <cellStyle name="하이퍼링크" xfId="169" builtinId="8" hidden="1"/>
    <cellStyle name="하이퍼링크" xfId="171" builtinId="8" hidden="1"/>
    <cellStyle name="하이퍼링크" xfId="173" builtinId="8" hidden="1"/>
    <cellStyle name="하이퍼링크" xfId="175" builtinId="8" hidden="1"/>
    <cellStyle name="하이퍼링크" xfId="177" builtinId="8" hidden="1"/>
    <cellStyle name="하이퍼링크" xfId="179" builtinId="8" hidden="1"/>
    <cellStyle name="하이퍼링크" xfId="181" builtinId="8" hidden="1"/>
    <cellStyle name="하이퍼링크" xfId="183" builtinId="8" hidden="1"/>
    <cellStyle name="하이퍼링크" xfId="185" builtinId="8" hidden="1"/>
    <cellStyle name="하이퍼링크" xfId="187" builtinId="8" hidden="1"/>
    <cellStyle name="하이퍼링크" xfId="189" builtinId="8" hidden="1"/>
    <cellStyle name="하이퍼링크" xfId="191" builtinId="8" hidden="1"/>
    <cellStyle name="하이퍼링크" xfId="193" builtinId="8" hidden="1"/>
    <cellStyle name="하이퍼링크" xfId="195" builtinId="8" hidden="1"/>
    <cellStyle name="하이퍼링크" xfId="197" builtinId="8" hidden="1"/>
    <cellStyle name="하이퍼링크" xfId="199" builtinId="8" hidden="1"/>
    <cellStyle name="하이퍼링크" xfId="201" builtinId="8" hidden="1"/>
    <cellStyle name="하이퍼링크" xfId="203" builtinId="8" hidden="1"/>
    <cellStyle name="하이퍼링크" xfId="205" builtinId="8" hidden="1"/>
    <cellStyle name="하이퍼링크" xfId="207" builtinId="8" hidden="1"/>
    <cellStyle name="하이퍼링크" xfId="209" builtinId="8" hidden="1"/>
    <cellStyle name="하이퍼링크" xfId="211" builtinId="8" hidden="1"/>
    <cellStyle name="하이퍼링크" xfId="213" builtinId="8" hidden="1"/>
    <cellStyle name="하이퍼링크" xfId="215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231" builtinId="8" hidden="1"/>
    <cellStyle name="하이퍼링크" xfId="233" builtinId="8" hidden="1"/>
    <cellStyle name="하이퍼링크" xfId="235" builtinId="8" hidden="1"/>
    <cellStyle name="하이퍼링크" xfId="237" builtinId="8" hidden="1"/>
    <cellStyle name="하이퍼링크" xfId="239" builtinId="8" hidden="1"/>
    <cellStyle name="하이퍼링크" xfId="241" builtinId="8" hidden="1"/>
    <cellStyle name="하이퍼링크" xfId="243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79" builtinId="8" hidden="1"/>
    <cellStyle name="하이퍼링크" xfId="281" builtinId="8" hidden="1"/>
    <cellStyle name="하이퍼링크" xfId="283" builtinId="8" hidden="1"/>
    <cellStyle name="하이퍼링크" xfId="285" builtinId="8" hidden="1"/>
    <cellStyle name="하이퍼링크" xfId="287" builtinId="8" hidden="1"/>
    <cellStyle name="하이퍼링크" xfId="289" builtinId="8" hidden="1"/>
    <cellStyle name="하이퍼링크" xfId="291" builtinId="8" hidden="1"/>
    <cellStyle name="하이퍼링크" xfId="293" builtinId="8" hidden="1"/>
    <cellStyle name="하이퍼링크" xfId="295" builtinId="8" hidden="1"/>
    <cellStyle name="하이퍼링크" xfId="297" builtinId="8" hidden="1"/>
    <cellStyle name="하이퍼링크" xfId="299" builtinId="8" hidden="1"/>
    <cellStyle name="하이퍼링크" xfId="301" builtinId="8" hidden="1"/>
    <cellStyle name="하이퍼링크" xfId="303" builtinId="8" hidden="1"/>
    <cellStyle name="하이퍼링크" xfId="305" builtinId="8" hidden="1"/>
    <cellStyle name="하이퍼링크" xfId="307" builtinId="8" hidden="1"/>
    <cellStyle name="하이퍼링크" xfId="309" builtinId="8" hidden="1"/>
    <cellStyle name="하이퍼링크" xfId="311" builtinId="8" hidden="1"/>
    <cellStyle name="하이퍼링크" xfId="313" builtinId="8" hidden="1"/>
    <cellStyle name="하이퍼링크" xfId="315" builtinId="8" hidden="1"/>
    <cellStyle name="하이퍼링크" xfId="317" builtinId="8" hidden="1"/>
    <cellStyle name="하이퍼링크" xfId="319" builtinId="8" hidden="1"/>
    <cellStyle name="하이퍼링크" xfId="321" builtinId="8" hidden="1"/>
    <cellStyle name="하이퍼링크" xfId="323" builtinId="8" hidden="1"/>
    <cellStyle name="하이퍼링크" xfId="325" builtinId="8" hidden="1"/>
    <cellStyle name="하이퍼링크" xfId="327" builtinId="8" hidden="1"/>
    <cellStyle name="하이퍼링크" xfId="329" builtinId="8" hidden="1"/>
    <cellStyle name="하이퍼링크" xfId="331" builtinId="8" hidden="1"/>
    <cellStyle name="하이퍼링크" xfId="333" builtinId="8" hidden="1"/>
    <cellStyle name="하이퍼링크" xfId="335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3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1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379" builtinId="8" hidden="1"/>
    <cellStyle name="하이퍼링크" xfId="381" builtinId="8" hidden="1"/>
    <cellStyle name="하이퍼링크" xfId="383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1" builtinId="8" hidden="1"/>
    <cellStyle name="하이퍼링크" xfId="393" builtinId="8" hidden="1"/>
    <cellStyle name="하이퍼링크" xfId="395" builtinId="8" hidden="1"/>
    <cellStyle name="하이퍼링크" xfId="397" builtinId="8" hidden="1"/>
    <cellStyle name="하이퍼링크" xfId="399" builtinId="8" hidden="1"/>
    <cellStyle name="하이퍼링크" xfId="401" builtinId="8" hidden="1"/>
    <cellStyle name="하이퍼링크" xfId="403" builtinId="8" hidden="1"/>
    <cellStyle name="하이퍼링크" xfId="405" builtinId="8" hidden="1"/>
    <cellStyle name="하이퍼링크" xfId="407" builtinId="8" hidden="1"/>
    <cellStyle name="하이퍼링크" xfId="409" builtinId="8" hidden="1"/>
    <cellStyle name="하이퍼링크" xfId="411" builtinId="8" hidden="1"/>
    <cellStyle name="하이퍼링크" xfId="413" builtinId="8" hidden="1"/>
    <cellStyle name="하이퍼링크" xfId="415" builtinId="8" hidden="1"/>
    <cellStyle name="하이퍼링크" xfId="417" builtinId="8" hidden="1"/>
    <cellStyle name="하이퍼링크" xfId="419" builtinId="8" hidden="1"/>
    <cellStyle name="하이퍼링크" xfId="421" builtinId="8" hidden="1"/>
    <cellStyle name="하이퍼링크" xfId="423" builtinId="8" hidden="1"/>
    <cellStyle name="하이퍼링크" xfId="425" builtinId="8" hidden="1"/>
    <cellStyle name="하이퍼링크" xfId="427" builtinId="8" hidden="1"/>
    <cellStyle name="하이퍼링크" xfId="429" builtinId="8" hidden="1"/>
    <cellStyle name="하이퍼링크" xfId="431" builtinId="8" hidden="1"/>
    <cellStyle name="하이퍼링크" xfId="433" builtinId="8" hidden="1"/>
    <cellStyle name="하이퍼링크" xfId="435" builtinId="8" hidden="1"/>
    <cellStyle name="하이퍼링크" xfId="437" builtinId="8" hidden="1"/>
    <cellStyle name="하이퍼링크" xfId="439" builtinId="8" hidden="1"/>
    <cellStyle name="하이퍼링크" xfId="441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65" builtinId="8" hidden="1"/>
    <cellStyle name="하이퍼링크" xfId="467" builtinId="8" hidden="1"/>
    <cellStyle name="하이퍼링크" xfId="469" builtinId="8" hidden="1"/>
    <cellStyle name="하이퍼링크" xfId="471" builtinId="8" hidden="1"/>
    <cellStyle name="하이퍼링크" xfId="473" builtinId="8" hidden="1"/>
    <cellStyle name="하이퍼링크" xfId="475" builtinId="8" hidden="1"/>
    <cellStyle name="하이퍼링크" xfId="477" builtinId="8" hidden="1"/>
    <cellStyle name="하이퍼링크" xfId="479" builtinId="8" hidden="1"/>
    <cellStyle name="하이퍼링크" xfId="481" builtinId="8" hidden="1"/>
    <cellStyle name="하이퍼링크" xfId="483" builtinId="8" hidden="1"/>
    <cellStyle name="하이퍼링크" xfId="485" builtinId="8" hidden="1"/>
    <cellStyle name="하이퍼링크" xfId="487" builtinId="8" hidden="1"/>
    <cellStyle name="하이퍼링크" xfId="489" builtinId="8" hidden="1"/>
    <cellStyle name="하이퍼링크" xfId="491" builtinId="8" hidden="1"/>
    <cellStyle name="하이퍼링크" xfId="493" builtinId="8" hidden="1"/>
    <cellStyle name="하이퍼링크" xfId="495" builtinId="8" hidden="1"/>
    <cellStyle name="하이퍼링크" xfId="497" builtinId="8" hidden="1"/>
    <cellStyle name="하이퍼링크" xfId="499" builtinId="8" hidden="1"/>
    <cellStyle name="하이퍼링크" xfId="501" builtinId="8" hidden="1"/>
    <cellStyle name="하이퍼링크" xfId="503" builtinId="8" hidden="1"/>
    <cellStyle name="하이퍼링크" xfId="505" builtinId="8" hidden="1"/>
    <cellStyle name="하이퍼링크" xfId="507" builtinId="8" hidden="1"/>
    <cellStyle name="하이퍼링크" xfId="509" builtinId="8" hidden="1"/>
    <cellStyle name="하이퍼링크" xfId="511" builtinId="8" hidden="1"/>
    <cellStyle name="하이퍼링크" xfId="513" builtinId="8" hidden="1"/>
    <cellStyle name="하이퍼링크" xfId="515" builtinId="8" hidden="1"/>
    <cellStyle name="하이퍼링크" xfId="517" builtinId="8" hidden="1"/>
    <cellStyle name="하이퍼링크" xfId="519" builtinId="8" hidden="1"/>
    <cellStyle name="하이퍼링크" xfId="521" builtinId="8" hidden="1"/>
    <cellStyle name="하이퍼링크" xfId="523" builtinId="8" hidden="1"/>
    <cellStyle name="하이퍼링크" xfId="525" builtinId="8" hidden="1"/>
    <cellStyle name="하이퍼링크" xfId="527" builtinId="8" hidden="1"/>
    <cellStyle name="하이퍼링크" xfId="529" builtinId="8" hidden="1"/>
    <cellStyle name="하이퍼링크" xfId="531" builtinId="8" hidden="1"/>
    <cellStyle name="하이퍼링크" xfId="533" builtinId="8" hidden="1"/>
    <cellStyle name="하이퍼링크" xfId="535" builtinId="8" hidden="1"/>
    <cellStyle name="하이퍼링크" xfId="537" builtinId="8" hidden="1"/>
    <cellStyle name="하이퍼링크" xfId="539" builtinId="8" hidden="1"/>
    <cellStyle name="하이퍼링크" xfId="541" builtinId="8" hidden="1"/>
    <cellStyle name="하이퍼링크" xfId="543" builtinId="8" hidden="1"/>
    <cellStyle name="하이퍼링크" xfId="545" builtinId="8" hidden="1"/>
    <cellStyle name="하이퍼링크" xfId="547" builtinId="8" hidden="1"/>
    <cellStyle name="하이퍼링크" xfId="549" builtinId="8" hidden="1"/>
    <cellStyle name="하이퍼링크" xfId="551" builtinId="8" hidden="1"/>
    <cellStyle name="하이퍼링크" xfId="553" builtinId="8" hidden="1"/>
    <cellStyle name="하이퍼링크" xfId="555" builtinId="8" hidden="1"/>
    <cellStyle name="하이퍼링크" xfId="557" builtinId="8" hidden="1"/>
    <cellStyle name="하이퍼링크" xfId="559" builtinId="8" hidden="1"/>
    <cellStyle name="하이퍼링크" xfId="561" builtinId="8" hidden="1"/>
    <cellStyle name="하이퍼링크" xfId="563" builtinId="8" hidden="1"/>
    <cellStyle name="하이퍼링크" xfId="565" builtinId="8" hidden="1"/>
    <cellStyle name="하이퍼링크" xfId="567" builtinId="8" hidden="1"/>
    <cellStyle name="하이퍼링크" xfId="569" builtinId="8" hidden="1"/>
    <cellStyle name="하이퍼링크" xfId="571" builtinId="8" hidden="1"/>
    <cellStyle name="하이퍼링크" xfId="573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97" builtinId="8" hidden="1"/>
    <cellStyle name="하이퍼링크" xfId="599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1" builtinId="8" hidden="1"/>
    <cellStyle name="하이퍼링크" xfId="613" builtinId="8" hidden="1"/>
    <cellStyle name="하이퍼링크" xfId="615" builtinId="8" hidden="1"/>
    <cellStyle name="하이퍼링크" xfId="617" builtinId="8" hidden="1"/>
    <cellStyle name="하이퍼링크" xfId="619" builtinId="8" hidden="1"/>
    <cellStyle name="하이퍼링크" xfId="621" builtinId="8" hidden="1"/>
    <cellStyle name="하이퍼링크" xfId="623" builtinId="8" hidden="1"/>
    <cellStyle name="하이퍼링크" xfId="625" builtinId="8" hidden="1"/>
    <cellStyle name="하이퍼링크" xfId="627" builtinId="8" hidden="1"/>
    <cellStyle name="하이퍼링크" xfId="629" builtinId="8" hidden="1"/>
    <cellStyle name="하이퍼링크" xfId="631" builtinId="8" hidden="1"/>
    <cellStyle name="하이퍼링크" xfId="633" builtinId="8" hidden="1"/>
    <cellStyle name="하이퍼링크" xfId="635" builtinId="8" hidden="1"/>
    <cellStyle name="하이퍼링크" xfId="637" builtinId="8" hidden="1"/>
    <cellStyle name="하이퍼링크" xfId="639" builtinId="8" hidden="1"/>
    <cellStyle name="하이퍼링크" xfId="641" builtinId="8" hidden="1"/>
    <cellStyle name="하이퍼링크" xfId="643" builtinId="8" hidden="1"/>
    <cellStyle name="하이퍼링크" xfId="645" builtinId="8" hidden="1"/>
    <cellStyle name="하이퍼링크" xfId="647" builtinId="8" hidden="1"/>
    <cellStyle name="하이퍼링크" xfId="649" builtinId="8" hidden="1"/>
    <cellStyle name="하이퍼링크" xfId="651" builtinId="8" hidden="1"/>
    <cellStyle name="하이퍼링크" xfId="653" builtinId="8" hidden="1"/>
    <cellStyle name="하이퍼링크" xfId="655" builtinId="8" hidden="1"/>
    <cellStyle name="하이퍼링크" xfId="657" builtinId="8" hidden="1"/>
    <cellStyle name="하이퍼링크" xfId="659" builtinId="8" hidden="1"/>
    <cellStyle name="하이퍼링크" xfId="661" builtinId="8" hidden="1"/>
    <cellStyle name="하이퍼링크" xfId="663" builtinId="8" hidden="1"/>
    <cellStyle name="하이퍼링크" xfId="665" builtinId="8" hidden="1"/>
    <cellStyle name="하이퍼링크" xfId="667" builtinId="8" hidden="1"/>
    <cellStyle name="하이퍼링크" xfId="669" builtinId="8" hidden="1"/>
    <cellStyle name="하이퍼링크" xfId="671" builtinId="8" hidden="1"/>
    <cellStyle name="하이퍼링크" xfId="673" builtinId="8" hidden="1"/>
    <cellStyle name="하이퍼링크" xfId="675" builtinId="8" hidden="1"/>
    <cellStyle name="하이퍼링크" xfId="677" builtinId="8" hidden="1"/>
    <cellStyle name="하이퍼링크" xfId="679" builtinId="8" hidden="1"/>
    <cellStyle name="하이퍼링크" xfId="681" builtinId="8" hidden="1"/>
    <cellStyle name="하이퍼링크" xfId="683" builtinId="8" hidden="1"/>
    <cellStyle name="하이퍼링크" xfId="685" builtinId="8" hidden="1"/>
    <cellStyle name="하이퍼링크" xfId="687" builtinId="8" hidden="1"/>
    <cellStyle name="하이퍼링크" xfId="689" builtinId="8" hidden="1"/>
    <cellStyle name="하이퍼링크" xfId="691" builtinId="8" hidden="1"/>
    <cellStyle name="하이퍼링크" xfId="693" builtinId="8" hidden="1"/>
    <cellStyle name="하이퍼링크" xfId="695" builtinId="8" hidden="1"/>
    <cellStyle name="하이퍼링크" xfId="697" builtinId="8" hidden="1"/>
    <cellStyle name="하이퍼링크" xfId="699" builtinId="8" hidden="1"/>
    <cellStyle name="하이퍼링크" xfId="701" builtinId="8" hidden="1"/>
    <cellStyle name="하이퍼링크" xfId="703" builtinId="8" hidden="1"/>
    <cellStyle name="하이퍼링크" xfId="705" builtinId="8" hidden="1"/>
    <cellStyle name="하이퍼링크" xfId="707" builtinId="8" hidden="1"/>
    <cellStyle name="하이퍼링크" xfId="709" builtinId="8" hidden="1"/>
    <cellStyle name="하이퍼링크" xfId="711" builtinId="8" hidden="1"/>
    <cellStyle name="하이퍼링크" xfId="713" builtinId="8" hidden="1"/>
    <cellStyle name="하이퍼링크" xfId="715" builtinId="8" hidden="1"/>
    <cellStyle name="하이퍼링크" xfId="717" builtinId="8" hidden="1"/>
    <cellStyle name="하이퍼링크" xfId="719" builtinId="8" hidden="1"/>
    <cellStyle name="하이퍼링크" xfId="721" builtinId="8" hidden="1"/>
    <cellStyle name="하이퍼링크" xfId="723" builtinId="8" hidden="1"/>
    <cellStyle name="하이퍼링크" xfId="725" builtinId="8" hidden="1"/>
    <cellStyle name="하이퍼링크" xfId="727" builtinId="8" hidden="1"/>
    <cellStyle name="하이퍼링크" xfId="729" builtinId="8" hidden="1"/>
    <cellStyle name="하이퍼링크" xfId="731" builtinId="8" hidden="1"/>
    <cellStyle name="하이퍼링크" xfId="733" builtinId="8" hidden="1"/>
    <cellStyle name="하이퍼링크" xfId="735" builtinId="8" hidden="1"/>
    <cellStyle name="하이퍼링크" xfId="737" builtinId="8" hidden="1"/>
    <cellStyle name="하이퍼링크" xfId="739" builtinId="8" hidden="1"/>
    <cellStyle name="하이퍼링크" xfId="741" builtinId="8" hidden="1"/>
    <cellStyle name="하이퍼링크" xfId="743" builtinId="8" hidden="1"/>
    <cellStyle name="하이퍼링크" xfId="745" builtinId="8" hidden="1"/>
    <cellStyle name="하이퍼링크" xfId="747" builtinId="8" hidden="1"/>
    <cellStyle name="하이퍼링크" xfId="749" builtinId="8" hidden="1"/>
    <cellStyle name="하이퍼링크" xfId="751" builtinId="8" hidden="1"/>
    <cellStyle name="하이퍼링크" xfId="753" builtinId="8" hidden="1"/>
    <cellStyle name="하이퍼링크" xfId="755" builtinId="8" hidden="1"/>
    <cellStyle name="하이퍼링크" xfId="757" builtinId="8" hidden="1"/>
    <cellStyle name="하이퍼링크" xfId="759" builtinId="8" hidden="1"/>
    <cellStyle name="하이퍼링크" xfId="761" builtinId="8" hidden="1"/>
    <cellStyle name="하이퍼링크" xfId="763" builtinId="8" hidden="1"/>
    <cellStyle name="하이퍼링크" xfId="765" builtinId="8" hidden="1"/>
    <cellStyle name="하이퍼링크" xfId="767" builtinId="8" hidden="1"/>
    <cellStyle name="하이퍼링크" xfId="769" builtinId="8" hidden="1"/>
    <cellStyle name="하이퍼링크" xfId="771" builtinId="8" hidden="1"/>
    <cellStyle name="하이퍼링크" xfId="773" builtinId="8" hidden="1"/>
    <cellStyle name="하이퍼링크" xfId="775" builtinId="8" hidden="1"/>
    <cellStyle name="하이퍼링크" xfId="777" builtinId="8" hidden="1"/>
    <cellStyle name="하이퍼링크" xfId="779" builtinId="8" hidden="1"/>
    <cellStyle name="하이퍼링크" xfId="781" builtinId="8" hidden="1"/>
    <cellStyle name="하이퍼링크" xfId="783" builtinId="8" hidden="1"/>
    <cellStyle name="하이퍼링크" xfId="785" builtinId="8" hidden="1"/>
    <cellStyle name="하이퍼링크" xfId="787" builtinId="8" hidden="1"/>
    <cellStyle name="하이퍼링크" xfId="789" builtinId="8" hidden="1"/>
    <cellStyle name="하이퍼링크" xfId="791" builtinId="8" hidden="1"/>
    <cellStyle name="하이퍼링크" xfId="793" builtinId="8" hidden="1"/>
    <cellStyle name="하이퍼링크" xfId="795" builtinId="8" hidden="1"/>
    <cellStyle name="하이퍼링크" xfId="797" builtinId="8" hidden="1"/>
    <cellStyle name="하이퍼링크" xfId="799" builtinId="8" hidden="1"/>
    <cellStyle name="하이퍼링크" xfId="801" builtinId="8" hidden="1"/>
    <cellStyle name="하이퍼링크" xfId="803" builtinId="8" hidden="1"/>
    <cellStyle name="하이퍼링크" xfId="805" builtinId="8" hidden="1"/>
    <cellStyle name="하이퍼링크" xfId="807" builtinId="8" hidden="1"/>
    <cellStyle name="하이퍼링크" xfId="809" builtinId="8" hidden="1"/>
    <cellStyle name="하이퍼링크" xfId="811" builtinId="8" hidden="1"/>
    <cellStyle name="하이퍼링크" xfId="813" builtinId="8" hidden="1"/>
    <cellStyle name="하이퍼링크" xfId="815" builtinId="8" hidden="1"/>
    <cellStyle name="하이퍼링크" xfId="817" builtinId="8" hidden="1"/>
    <cellStyle name="하이퍼링크" xfId="819" builtinId="8" hidden="1"/>
    <cellStyle name="하이퍼링크" xfId="821" builtinId="8" hidden="1"/>
    <cellStyle name="하이퍼링크" xfId="823" builtinId="8" hidden="1"/>
    <cellStyle name="하이퍼링크" xfId="825" builtinId="8" hidden="1"/>
    <cellStyle name="하이퍼링크" xfId="827" builtinId="8" hidden="1"/>
    <cellStyle name="하이퍼링크" xfId="829" builtinId="8" hidden="1"/>
    <cellStyle name="하이퍼링크" xfId="831" builtinId="8" hidden="1"/>
    <cellStyle name="하이퍼링크" xfId="833" builtinId="8" hidden="1"/>
    <cellStyle name="하이퍼링크" xfId="835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59" builtinId="8" hidden="1"/>
    <cellStyle name="하이퍼링크" xfId="861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879" builtinId="8" hidden="1"/>
    <cellStyle name="하이퍼링크" xfId="881" builtinId="8" hidden="1"/>
    <cellStyle name="하이퍼링크" xfId="883" builtinId="8" hidden="1"/>
    <cellStyle name="하이퍼링크" xfId="885" builtinId="8" hidden="1"/>
    <cellStyle name="하이퍼링크" xfId="887" builtinId="8" hidden="1"/>
    <cellStyle name="하이퍼링크" xfId="889" builtinId="8" hidden="1"/>
    <cellStyle name="하이퍼링크" xfId="891" builtinId="8" hidden="1"/>
    <cellStyle name="하이퍼링크" xfId="893" builtinId="8" hidden="1"/>
    <cellStyle name="하이퍼링크" xfId="895" builtinId="8" hidden="1"/>
    <cellStyle name="하이퍼링크" xfId="897" builtinId="8" hidden="1"/>
    <cellStyle name="하이퍼링크" xfId="899" builtinId="8" hidden="1"/>
    <cellStyle name="하이퍼링크" xfId="901" builtinId="8" hidden="1"/>
    <cellStyle name="하이퍼링크" xfId="903" builtinId="8" hidden="1"/>
    <cellStyle name="하이퍼링크" xfId="905" builtinId="8" hidden="1"/>
    <cellStyle name="하이퍼링크" xfId="907" builtinId="8" hidden="1"/>
    <cellStyle name="하이퍼링크" xfId="909" builtinId="8" hidden="1"/>
    <cellStyle name="하이퍼링크" xfId="911" builtinId="8" hidden="1"/>
    <cellStyle name="하이퍼링크" xfId="913" builtinId="8" hidden="1"/>
    <cellStyle name="하이퍼링크" xfId="915" builtinId="8" hidden="1"/>
    <cellStyle name="하이퍼링크" xfId="917" builtinId="8" hidden="1"/>
    <cellStyle name="하이퍼링크" xfId="919" builtinId="8" hidden="1"/>
    <cellStyle name="하이퍼링크" xfId="921" builtinId="8" hidden="1"/>
    <cellStyle name="하이퍼링크" xfId="923" builtinId="8" hidden="1"/>
    <cellStyle name="하이퍼링크" xfId="925" builtinId="8" hidden="1"/>
    <cellStyle name="하이퍼링크" xfId="927" builtinId="8" hidden="1"/>
    <cellStyle name="하이퍼링크" xfId="929" builtinId="8" hidden="1"/>
    <cellStyle name="하이퍼링크" xfId="931" builtinId="8" hidden="1"/>
    <cellStyle name="하이퍼링크" xfId="933" builtinId="8" hidden="1"/>
    <cellStyle name="하이퍼링크" xfId="935" builtinId="8" hidden="1"/>
    <cellStyle name="하이퍼링크" xfId="937" builtinId="8" hidden="1"/>
    <cellStyle name="하이퍼링크" xfId="939" builtinId="8" hidden="1"/>
    <cellStyle name="하이퍼링크" xfId="941" builtinId="8" hidden="1"/>
    <cellStyle name="하이퍼링크" xfId="943" builtinId="8" hidden="1"/>
    <cellStyle name="하이퍼링크" xfId="945" builtinId="8" hidden="1"/>
    <cellStyle name="하이퍼링크" xfId="947" builtinId="8" hidden="1"/>
    <cellStyle name="하이퍼링크" xfId="949" builtinId="8" hidden="1"/>
    <cellStyle name="하이퍼링크" xfId="951" builtinId="8" hidden="1"/>
    <cellStyle name="하이퍼링크" xfId="953" builtinId="8" hidden="1"/>
    <cellStyle name="하이퍼링크" xfId="955" builtinId="8" hidden="1"/>
    <cellStyle name="하이퍼링크" xfId="957" builtinId="8" hidden="1"/>
    <cellStyle name="하이퍼링크" xfId="959" builtinId="8" hidden="1"/>
    <cellStyle name="하이퍼링크" xfId="961" builtinId="8" hidden="1"/>
    <cellStyle name="하이퍼링크" xfId="963" builtinId="8" hidden="1"/>
    <cellStyle name="하이퍼링크" xfId="965" builtinId="8" hidden="1"/>
    <cellStyle name="하이퍼링크" xfId="967" builtinId="8" hidden="1"/>
    <cellStyle name="하이퍼링크" xfId="969" builtinId="8" hidden="1"/>
    <cellStyle name="하이퍼링크" xfId="971" builtinId="8" hidden="1"/>
    <cellStyle name="하이퍼링크" xfId="973" builtinId="8" hidden="1"/>
    <cellStyle name="하이퍼링크" xfId="975" builtinId="8" hidden="1"/>
    <cellStyle name="하이퍼링크" xfId="977" builtinId="8" hidden="1"/>
    <cellStyle name="하이퍼링크" xfId="979" builtinId="8" hidden="1"/>
    <cellStyle name="하이퍼링크" xfId="981" builtinId="8" hidden="1"/>
    <cellStyle name="하이퍼링크" xfId="983" builtinId="8" hidden="1"/>
    <cellStyle name="하이퍼링크" xfId="985" builtinId="8" hidden="1"/>
    <cellStyle name="하이퍼링크" xfId="987" builtinId="8" hidden="1"/>
    <cellStyle name="하이퍼링크" xfId="989" builtinId="8" hidden="1"/>
    <cellStyle name="하이퍼링크" xfId="991" builtinId="8" hidden="1"/>
    <cellStyle name="하이퍼링크" xfId="993" builtinId="8" hidden="1"/>
    <cellStyle name="하이퍼링크" xfId="995" builtinId="8" hidden="1"/>
    <cellStyle name="하이퍼링크" xfId="997" builtinId="8" hidden="1"/>
    <cellStyle name="하이퍼링크" xfId="999" builtinId="8" hidden="1"/>
    <cellStyle name="하이퍼링크" xfId="1001" builtinId="8" hidden="1"/>
    <cellStyle name="하이퍼링크" xfId="1003" builtinId="8" hidden="1"/>
    <cellStyle name="하이퍼링크" xfId="1005" builtinId="8" hidden="1"/>
    <cellStyle name="하이퍼링크" xfId="1007" builtinId="8" hidden="1"/>
    <cellStyle name="하이퍼링크" xfId="1009" builtinId="8" hidden="1"/>
    <cellStyle name="하이퍼링크" xfId="1011" builtinId="8" hidden="1"/>
    <cellStyle name="하이퍼링크" xfId="1013" builtinId="8" hidden="1"/>
    <cellStyle name="하이퍼링크" xfId="1015" builtinId="8" hidden="1"/>
    <cellStyle name="하이퍼링크" xfId="1017" builtinId="8" hidden="1"/>
    <cellStyle name="하이퍼링크" xfId="1019" builtinId="8" hidden="1"/>
    <cellStyle name="하이퍼링크" xfId="1021" builtinId="8" hidden="1"/>
    <cellStyle name="하이퍼링크" xfId="1023" builtinId="8" hidden="1"/>
    <cellStyle name="하이퍼링크" xfId="1025" builtinId="8" hidden="1"/>
    <cellStyle name="하이퍼링크" xfId="1027" builtinId="8" hidden="1"/>
    <cellStyle name="하이퍼링크" xfId="1029" builtinId="8" hidden="1"/>
    <cellStyle name="하이퍼링크" xfId="1031" builtinId="8" hidden="1"/>
    <cellStyle name="하이퍼링크" xfId="1033" builtinId="8" hidden="1"/>
    <cellStyle name="하이퍼링크" xfId="1035" builtinId="8" hidden="1"/>
    <cellStyle name="하이퍼링크" xfId="1037" builtinId="8" hidden="1"/>
    <cellStyle name="하이퍼링크" xfId="1039" builtinId="8" hidden="1"/>
    <cellStyle name="하이퍼링크" xfId="1041" builtinId="8" hidden="1"/>
    <cellStyle name="하이퍼링크" xfId="1043" builtinId="8" hidden="1"/>
    <cellStyle name="하이퍼링크" xfId="1045" builtinId="8" hidden="1"/>
    <cellStyle name="하이퍼링크" xfId="1047" builtinId="8" hidden="1"/>
    <cellStyle name="하이퍼링크" xfId="1049" builtinId="8" hidden="1"/>
    <cellStyle name="하이퍼링크" xfId="1051" builtinId="8" hidden="1"/>
    <cellStyle name="하이퍼링크" xfId="1053" builtinId="8" hidden="1"/>
    <cellStyle name="하이퍼링크" xfId="1055" builtinId="8" hidden="1"/>
    <cellStyle name="하이퍼링크" xfId="1057" builtinId="8" hidden="1"/>
    <cellStyle name="하이퍼링크" xfId="1059" builtinId="8" hidden="1"/>
    <cellStyle name="하이퍼링크" xfId="1061" builtinId="8" hidden="1"/>
    <cellStyle name="하이퍼링크" xfId="1063" builtinId="8" hidden="1"/>
    <cellStyle name="하이퍼링크" xfId="1065" builtinId="8" hidden="1"/>
    <cellStyle name="하이퍼링크" xfId="1067" builtinId="8" hidden="1"/>
    <cellStyle name="하이퍼링크" xfId="1069" builtinId="8" hidden="1"/>
    <cellStyle name="하이퍼링크" xfId="1071" builtinId="8" hidden="1"/>
    <cellStyle name="하이퍼링크" xfId="1073" builtinId="8" hidden="1"/>
    <cellStyle name="하이퍼링크" xfId="1075" builtinId="8" hidden="1"/>
    <cellStyle name="하이퍼링크" xfId="1077" builtinId="8" hidden="1"/>
    <cellStyle name="하이퍼링크" xfId="1079" builtinId="8" hidden="1"/>
    <cellStyle name="하이퍼링크" xfId="1081" builtinId="8" hidden="1"/>
    <cellStyle name="하이퍼링크" xfId="1083" builtinId="8" hidden="1"/>
    <cellStyle name="하이퍼링크" xfId="1085" builtinId="8" hidden="1"/>
    <cellStyle name="하이퍼링크" xfId="1087" builtinId="8" hidden="1"/>
    <cellStyle name="하이퍼링크" xfId="1089" builtinId="8" hidden="1"/>
    <cellStyle name="하이퍼링크" xfId="1091" builtinId="8" hidden="1"/>
    <cellStyle name="하이퍼링크" xfId="1093" builtinId="8" hidden="1"/>
    <cellStyle name="하이퍼링크" xfId="1095" builtinId="8" hidden="1"/>
    <cellStyle name="하이퍼링크" xfId="1097" builtinId="8" hidden="1"/>
    <cellStyle name="하이퍼링크" xfId="1099" builtinId="8" hidden="1"/>
    <cellStyle name="하이퍼링크" xfId="1101" builtinId="8" hidden="1"/>
    <cellStyle name="하이퍼링크" xfId="1103" builtinId="8" hidden="1"/>
    <cellStyle name="하이퍼링크" xfId="1105" builtinId="8" hidden="1"/>
    <cellStyle name="하이퍼링크" xfId="1107" builtinId="8" hidden="1"/>
    <cellStyle name="하이퍼링크" xfId="1109" builtinId="8" hidden="1"/>
    <cellStyle name="하이퍼링크" xfId="1111" builtinId="8" hidden="1"/>
    <cellStyle name="하이퍼링크" xfId="1113" builtinId="8" hidden="1"/>
    <cellStyle name="하이퍼링크" xfId="1115" builtinId="8" hidden="1"/>
    <cellStyle name="하이퍼링크" xfId="1117" builtinId="8" hidden="1"/>
    <cellStyle name="하이퍼링크" xfId="1119" builtinId="8" hidden="1"/>
    <cellStyle name="하이퍼링크" xfId="1121" builtinId="8" hidden="1"/>
    <cellStyle name="하이퍼링크" xfId="1123" builtinId="8" hidden="1"/>
    <cellStyle name="하이퍼링크" xfId="1125" builtinId="8" hidden="1"/>
    <cellStyle name="하이퍼링크" xfId="1127" builtinId="8" hidden="1"/>
    <cellStyle name="하이퍼링크" xfId="1129" builtinId="8" hidden="1"/>
    <cellStyle name="하이퍼링크" xfId="1131" builtinId="8" hidden="1"/>
    <cellStyle name="하이퍼링크" xfId="1133" builtinId="8" hidden="1"/>
    <cellStyle name="하이퍼링크" xfId="1135" builtinId="8" hidden="1"/>
    <cellStyle name="하이퍼링크" xfId="1137" builtinId="8" hidden="1"/>
    <cellStyle name="하이퍼링크" xfId="1139" builtinId="8" hidden="1"/>
    <cellStyle name="하이퍼링크" xfId="1141" builtinId="8" hidden="1"/>
    <cellStyle name="하이퍼링크" xfId="1143" builtinId="8" hidden="1"/>
    <cellStyle name="하이퍼링크" xfId="1145" builtinId="8" hidden="1"/>
    <cellStyle name="하이퍼링크" xfId="1147" builtinId="8" hidden="1"/>
    <cellStyle name="하이퍼링크" xfId="1149" builtinId="8" hidden="1"/>
    <cellStyle name="하이퍼링크" xfId="1151" builtinId="8" hidden="1"/>
    <cellStyle name="하이퍼링크" xfId="1153" builtinId="8" hidden="1"/>
    <cellStyle name="하이퍼링크" xfId="1155" builtinId="8" hidden="1"/>
    <cellStyle name="하이퍼링크" xfId="1157" builtinId="8" hidden="1"/>
    <cellStyle name="하이퍼링크" xfId="1159" builtinId="8" hidden="1"/>
    <cellStyle name="하이퍼링크" xfId="1161" builtinId="8" hidden="1"/>
    <cellStyle name="하이퍼링크" xfId="1163" builtinId="8" hidden="1"/>
    <cellStyle name="하이퍼링크" xfId="1165" builtinId="8" hidden="1"/>
    <cellStyle name="하이퍼링크" xfId="1167" builtinId="8" hidden="1"/>
    <cellStyle name="하이퍼링크" xfId="1169" builtinId="8" hidden="1"/>
    <cellStyle name="하이퍼링크" xfId="1171" builtinId="8" hidden="1"/>
    <cellStyle name="하이퍼링크" xfId="1173" builtinId="8" hidden="1"/>
    <cellStyle name="하이퍼링크" xfId="1175" builtinId="8" hidden="1"/>
    <cellStyle name="하이퍼링크" xfId="1177" builtinId="8" hidden="1"/>
    <cellStyle name="하이퍼링크" xfId="1179" builtinId="8" hidden="1"/>
    <cellStyle name="하이퍼링크" xfId="1181" builtinId="8" hidden="1"/>
    <cellStyle name="하이퍼링크" xfId="1183" builtinId="8" hidden="1"/>
    <cellStyle name="하이퍼링크" xfId="1185" builtinId="8" hidden="1"/>
    <cellStyle name="하이퍼링크" xfId="1187" builtinId="8" hidden="1"/>
    <cellStyle name="하이퍼링크" xfId="1189" builtinId="8" hidden="1"/>
    <cellStyle name="하이퍼링크" xfId="1191" builtinId="8" hidden="1"/>
    <cellStyle name="하이퍼링크" xfId="1193" builtinId="8" hidden="1"/>
    <cellStyle name="하이퍼링크" xfId="1195" builtinId="8" hidden="1"/>
    <cellStyle name="하이퍼링크" xfId="1197" builtinId="8" hidden="1"/>
    <cellStyle name="하이퍼링크" xfId="1199" builtinId="8" hidden="1"/>
    <cellStyle name="하이퍼링크" xfId="1201" builtinId="8" hidden="1"/>
    <cellStyle name="하이퍼링크" xfId="1203" builtinId="8" hidden="1"/>
    <cellStyle name="하이퍼링크" xfId="1205" builtinId="8" hidden="1"/>
    <cellStyle name="하이퍼링크" xfId="1207" builtinId="8" hidden="1"/>
    <cellStyle name="하이퍼링크" xfId="1209" builtinId="8" hidden="1"/>
    <cellStyle name="하이퍼링크" xfId="1211" builtinId="8" hidden="1"/>
    <cellStyle name="하이퍼링크" xfId="1213" builtinId="8" hidden="1"/>
    <cellStyle name="하이퍼링크" xfId="1215" builtinId="8" hidden="1"/>
    <cellStyle name="하이퍼링크" xfId="1217" builtinId="8" hidden="1"/>
    <cellStyle name="하이퍼링크" xfId="1219" builtinId="8" hidden="1"/>
    <cellStyle name="하이퍼링크" xfId="1221" builtinId="8" hidden="1"/>
    <cellStyle name="하이퍼링크" xfId="1223" builtinId="8" hidden="1"/>
    <cellStyle name="하이퍼링크" xfId="1225" builtinId="8" hidden="1"/>
    <cellStyle name="하이퍼링크" xfId="1227" builtinId="8" hidden="1"/>
    <cellStyle name="하이퍼링크" xfId="1229" builtinId="8" hidden="1"/>
    <cellStyle name="하이퍼링크" xfId="1231" builtinId="8" hidden="1"/>
    <cellStyle name="하이퍼링크" xfId="1233" builtinId="8" hidden="1"/>
    <cellStyle name="하이퍼링크" xfId="1235" builtinId="8" hidden="1"/>
    <cellStyle name="하이퍼링크" xfId="1237" builtinId="8" hidden="1"/>
    <cellStyle name="하이퍼링크" xfId="1239" builtinId="8" hidden="1"/>
    <cellStyle name="하이퍼링크" xfId="1241" builtinId="8" hidden="1"/>
    <cellStyle name="하이퍼링크" xfId="1243" builtinId="8" hidden="1"/>
    <cellStyle name="하이퍼링크" xfId="1245" builtinId="8" hidden="1"/>
    <cellStyle name="하이퍼링크" xfId="1247" builtinId="8" hidden="1"/>
    <cellStyle name="하이퍼링크" xfId="1249" builtinId="8" hidden="1"/>
    <cellStyle name="하이퍼링크" xfId="1251" builtinId="8" hidden="1"/>
    <cellStyle name="하이퍼링크" xfId="1253" builtinId="8" hidden="1"/>
    <cellStyle name="하이퍼링크" xfId="1255" builtinId="8" hidden="1"/>
    <cellStyle name="하이퍼링크" xfId="1257" builtinId="8" hidden="1"/>
    <cellStyle name="하이퍼링크" xfId="1259" builtinId="8" hidden="1"/>
    <cellStyle name="하이퍼링크" xfId="1261" builtinId="8" hidden="1"/>
    <cellStyle name="하이퍼링크" xfId="1263" builtinId="8" hidden="1"/>
    <cellStyle name="하이퍼링크" xfId="1265" builtinId="8" hidden="1"/>
    <cellStyle name="하이퍼링크" xfId="1267" builtinId="8" hidden="1"/>
    <cellStyle name="하이퍼링크" xfId="1269" builtinId="8" hidden="1"/>
    <cellStyle name="하이퍼링크" xfId="1271" builtinId="8" hidden="1"/>
    <cellStyle name="하이퍼링크" xfId="1273" builtinId="8" hidden="1"/>
    <cellStyle name="하이퍼링크" xfId="1275" builtinId="8" hidden="1"/>
    <cellStyle name="하이퍼링크" xfId="1277" builtinId="8" hidden="1"/>
    <cellStyle name="하이퍼링크" xfId="1279" builtinId="8" hidden="1"/>
    <cellStyle name="하이퍼링크" xfId="1281" builtinId="8" hidden="1"/>
    <cellStyle name="하이퍼링크" xfId="1283" builtinId="8" hidden="1"/>
    <cellStyle name="하이퍼링크" xfId="1285" builtinId="8" hidden="1"/>
    <cellStyle name="하이퍼링크" xfId="1287" builtinId="8" hidden="1"/>
    <cellStyle name="하이퍼링크" xfId="1289" builtinId="8" hidden="1"/>
    <cellStyle name="하이퍼링크" xfId="1291" builtinId="8" hidden="1"/>
    <cellStyle name="하이퍼링크" xfId="1293" builtinId="8" hidden="1"/>
    <cellStyle name="하이퍼링크" xfId="1295" builtinId="8" hidden="1"/>
    <cellStyle name="하이퍼링크" xfId="1297" builtinId="8" hidden="1"/>
    <cellStyle name="하이퍼링크" xfId="1299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7" builtinId="8" hidden="1"/>
    <cellStyle name="하이퍼링크" xfId="1309" builtinId="8" hidden="1"/>
    <cellStyle name="하이퍼링크" xfId="1311" builtinId="8" hidden="1"/>
    <cellStyle name="하이퍼링크" xfId="1313" builtinId="8" hidden="1"/>
    <cellStyle name="하이퍼링크" xfId="1315" builtinId="8" hidden="1"/>
    <cellStyle name="하이퍼링크" xfId="1317" builtinId="8" hidden="1"/>
    <cellStyle name="하이퍼링크" xfId="1319" builtinId="8" hidden="1"/>
    <cellStyle name="하이퍼링크" xfId="1321" builtinId="8" hidden="1"/>
    <cellStyle name="하이퍼링크" xfId="1323" builtinId="8" hidden="1"/>
    <cellStyle name="하이퍼링크" xfId="1325" builtinId="8" hidden="1"/>
    <cellStyle name="하이퍼링크" xfId="1327" builtinId="8" hidden="1"/>
    <cellStyle name="하이퍼링크" xfId="1329" builtinId="8" hidden="1"/>
    <cellStyle name="하이퍼링크" xfId="1331" builtinId="8" hidden="1"/>
    <cellStyle name="하이퍼링크" xfId="1333" builtinId="8" hidden="1"/>
    <cellStyle name="하이퍼링크" xfId="1335" builtinId="8" hidden="1"/>
    <cellStyle name="하이퍼링크" xfId="1337" builtinId="8" hidden="1"/>
    <cellStyle name="하이퍼링크" xfId="1339" builtinId="8" hidden="1"/>
    <cellStyle name="하이퍼링크" xfId="1341" builtinId="8" hidden="1"/>
    <cellStyle name="하이퍼링크" xfId="1343" builtinId="8" hidden="1"/>
    <cellStyle name="하이퍼링크" xfId="1345" builtinId="8" hidden="1"/>
    <cellStyle name="하이퍼링크" xfId="1347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3" builtinId="8" hidden="1"/>
    <cellStyle name="하이퍼링크" xfId="1365" builtinId="8" hidden="1"/>
    <cellStyle name="하이퍼링크" xfId="1367" builtinId="8" hidden="1"/>
    <cellStyle name="하이퍼링크" xfId="1369" builtinId="8" hidden="1"/>
    <cellStyle name="하이퍼링크" xfId="1371" builtinId="8" hidden="1"/>
    <cellStyle name="하이퍼링크" xfId="1373" builtinId="8" hidden="1"/>
    <cellStyle name="하이퍼링크" xfId="1375" builtinId="8" hidden="1"/>
    <cellStyle name="하이퍼링크" xfId="1377" builtinId="8" hidden="1"/>
    <cellStyle name="하이퍼링크" xfId="1379" builtinId="8" hidden="1"/>
    <cellStyle name="하이퍼링크" xfId="1381" builtinId="8" hidden="1"/>
    <cellStyle name="하이퍼링크" xfId="1383" builtinId="8" hidden="1"/>
    <cellStyle name="하이퍼링크" xfId="1385" builtinId="8" hidden="1"/>
    <cellStyle name="하이퍼링크" xfId="1387" builtinId="8" hidden="1"/>
    <cellStyle name="하이퍼링크" xfId="1389" builtinId="8" hidden="1"/>
    <cellStyle name="하이퍼링크" xfId="1391" builtinId="8" hidden="1"/>
    <cellStyle name="하이퍼링크" xfId="1393" builtinId="8" hidden="1"/>
    <cellStyle name="하이퍼링크" xfId="1395" builtinId="8" hidden="1"/>
    <cellStyle name="하이퍼링크" xfId="1397" builtinId="8" hidden="1"/>
    <cellStyle name="하이퍼링크" xfId="1399" builtinId="8" hidden="1"/>
    <cellStyle name="하이퍼링크" xfId="140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topLeftCell="A67" zoomScale="50" zoomScaleNormal="50" workbookViewId="0">
      <pane xSplit="4" topLeftCell="E1" activePane="topRight" state="frozen"/>
      <selection pane="topRight" activeCell="E78" sqref="E78"/>
    </sheetView>
  </sheetViews>
  <sheetFormatPr defaultColWidth="10.77734375" defaultRowHeight="20.25" x14ac:dyDescent="0.35"/>
  <cols>
    <col min="1" max="3" width="10.77734375" style="46"/>
    <col min="4" max="4" width="13.44140625" style="46" customWidth="1"/>
    <col min="5" max="5" width="10.77734375" style="46"/>
    <col min="6" max="6" width="14.109375" style="46" customWidth="1"/>
    <col min="7" max="7" width="13.6640625" style="46" customWidth="1"/>
    <col min="8" max="8" width="10.44140625" style="46" customWidth="1"/>
    <col min="9" max="9" width="13.33203125" style="46" customWidth="1"/>
    <col min="10" max="10" width="13.109375" style="46" customWidth="1"/>
    <col min="11" max="11" width="10.77734375" style="46"/>
    <col min="12" max="12" width="11.109375" style="46" bestFit="1" customWidth="1"/>
    <col min="13" max="13" width="13" style="46" customWidth="1"/>
    <col min="14" max="14" width="10.77734375" style="46"/>
    <col min="15" max="15" width="12.77734375" style="46" customWidth="1"/>
    <col min="16" max="25" width="10.77734375" style="46"/>
    <col min="26" max="26" width="11.109375" style="46" bestFit="1" customWidth="1"/>
    <col min="27" max="16384" width="10.77734375" style="46"/>
  </cols>
  <sheetData>
    <row r="1" spans="1:27" x14ac:dyDescent="0.35">
      <c r="J1" s="1"/>
      <c r="K1" s="1" t="s">
        <v>67</v>
      </c>
      <c r="L1" s="1"/>
      <c r="X1" s="3" t="s">
        <v>101</v>
      </c>
      <c r="Z1" s="46" t="s">
        <v>102</v>
      </c>
    </row>
    <row r="2" spans="1:27" s="3" customFormat="1" x14ac:dyDescent="0.35">
      <c r="A2" s="3" t="s">
        <v>18</v>
      </c>
      <c r="B2" s="3" t="s">
        <v>19</v>
      </c>
      <c r="C2" s="3" t="s">
        <v>20</v>
      </c>
      <c r="D2" s="3" t="s">
        <v>48</v>
      </c>
      <c r="E2" s="3" t="s">
        <v>63</v>
      </c>
      <c r="F2" s="3" t="s">
        <v>69</v>
      </c>
      <c r="G2" s="3" t="s">
        <v>72</v>
      </c>
      <c r="H2" s="3" t="s">
        <v>68</v>
      </c>
      <c r="I2" s="3" t="s">
        <v>70</v>
      </c>
      <c r="J2" s="3" t="s">
        <v>73</v>
      </c>
      <c r="L2" s="3" t="s">
        <v>15</v>
      </c>
      <c r="M2" s="3" t="s">
        <v>16</v>
      </c>
      <c r="N2" s="3" t="s">
        <v>11</v>
      </c>
      <c r="O2" s="46" t="s">
        <v>12</v>
      </c>
      <c r="Q2" s="3" t="s">
        <v>65</v>
      </c>
      <c r="R2" s="3" t="s">
        <v>66</v>
      </c>
      <c r="U2" s="3" t="s">
        <v>84</v>
      </c>
      <c r="V2" s="3" t="s">
        <v>85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 s="3" customFormat="1" x14ac:dyDescent="0.35">
      <c r="A3" s="125" t="s">
        <v>55</v>
      </c>
      <c r="B3" s="125" t="s">
        <v>25</v>
      </c>
      <c r="C3" s="125" t="s">
        <v>35</v>
      </c>
      <c r="D3" s="85" t="s">
        <v>51</v>
      </c>
      <c r="E3" s="67">
        <v>1453.04</v>
      </c>
      <c r="F3" s="67">
        <v>45.721400000000003</v>
      </c>
      <c r="G3" s="87"/>
      <c r="H3" s="67">
        <v>1326.7</v>
      </c>
      <c r="I3" s="67">
        <v>44.006500000000003</v>
      </c>
      <c r="J3" s="87"/>
      <c r="K3" s="83"/>
      <c r="L3" s="87"/>
      <c r="M3" s="87"/>
      <c r="N3" s="87"/>
      <c r="O3" s="46"/>
      <c r="U3" s="67">
        <v>0.26973000000000003</v>
      </c>
      <c r="V3" s="67">
        <v>1.2332600000000001E-2</v>
      </c>
    </row>
    <row r="4" spans="1:27" s="3" customFormat="1" x14ac:dyDescent="0.35">
      <c r="A4" s="125"/>
      <c r="B4" s="125"/>
      <c r="C4" s="125"/>
      <c r="D4" s="3" t="s">
        <v>49</v>
      </c>
      <c r="E4" s="67">
        <v>382.66</v>
      </c>
      <c r="F4" s="67">
        <v>23.063600000000001</v>
      </c>
      <c r="G4" s="87">
        <f>SQRT(POWER(Z4,2)+1/(7*POWER(PI()/8,2))*(POWER(E4/$E$8-fitSyst_Inclusive!E4/fitSyst_Inclusive!$E$8,2)+POWER(E4/$E$8-fitSyst_Inclusive!H4/fitSyst_Inclusive!$H$8,2)+POWER(E4/$E$8-fitSyst_Inclusive!K4/fitSyst_Inclusive!$K$8,2)+POWER(E4/$E$8-trgBiassing!E4/trgBiassing!$E$8,2)+POWER(E4/$E$8-trgBiassing!L4/trgBiassing!$L$8,2)+POWER(E4/$E$8-epSystematic!E4/epSystematic!$E$8,2)+POWER(E4/$E$8-zVtx_cut_10cm!E4/zVtx_cut_10cm!$E$8,2)))</f>
        <v>5.5434451295015619E-2</v>
      </c>
      <c r="H4" s="67">
        <v>354.029</v>
      </c>
      <c r="I4" s="67">
        <v>21.851400000000002</v>
      </c>
      <c r="J4" s="87">
        <f>SQRT(POWER(AA4,2)+(POWER(H4/$H$8-fitSyst_Inclusive!F4/fitSyst_Inclusive!$F$8,2)+POWER(H4/$H$8-fitSyst_Inclusive!I4/fitSyst_Inclusive!$I$8,2)+POWER(H4/$H$8-fitSyst_Inclusive!L4/fitSyst_Inclusive!$L$8,2)+POWER(H4/$H$8-trgBiassing!F4/trgBiassing!$F$8,2)+POWER(H4/$H$8-trgBiassing!M4/trgBiassing!$M$8,2)+POWER(H4/$H$8-epSystematic!F4/epSystematic!$F$8,2)+POWER(H4/$H$8-zVtx_cut_10cm!F4/zVtx_cut_10cm!$F$8,2))/(7*POWER(PI()/8,2)))</f>
        <v>4.3900426021767164E-2</v>
      </c>
      <c r="K4" s="83"/>
      <c r="L4" s="126">
        <v>2.6942000000000001E-2</v>
      </c>
      <c r="M4" s="126">
        <v>2.1938099999999999E-2</v>
      </c>
      <c r="N4" s="126">
        <v>2.1839500000000001E-2</v>
      </c>
      <c r="O4" s="126">
        <v>2.2655600000000001E-2</v>
      </c>
      <c r="P4" s="125"/>
      <c r="Q4" s="127">
        <f xml:space="preserve"> (L4/ep_CorrectionFactors!H21+N4/ep_CorrectionFactors!M21)/2</f>
        <v>3.8739706058880385E-2</v>
      </c>
      <c r="R4" s="127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2.5037297459527267E-2</v>
      </c>
      <c r="S4" s="125"/>
      <c r="T4" s="125"/>
      <c r="U4" s="67">
        <v>0.295047</v>
      </c>
      <c r="V4" s="67">
        <v>2.40731E-2</v>
      </c>
      <c r="X4" s="3">
        <f xml:space="preserve"> E4/($E$8*PI()/8)</f>
        <v>0.67911030913351422</v>
      </c>
      <c r="Y4" s="3">
        <f xml:space="preserve"> H4/($H$8*PI()/8)</f>
        <v>0.67959281874766475</v>
      </c>
      <c r="Z4" s="3">
        <f xml:space="preserve"> X4*F4/E4</f>
        <v>4.0931188328363871E-2</v>
      </c>
      <c r="AA4" s="3">
        <f xml:space="preserve"> Y4*I4/H4</f>
        <v>4.1945870308880688E-2</v>
      </c>
    </row>
    <row r="5" spans="1:27" s="3" customFormat="1" x14ac:dyDescent="0.35">
      <c r="A5" s="125"/>
      <c r="B5" s="125"/>
      <c r="C5" s="125"/>
      <c r="D5" s="3" t="s">
        <v>50</v>
      </c>
      <c r="E5" s="67">
        <v>361.68400000000003</v>
      </c>
      <c r="F5" s="67">
        <v>22.744700000000002</v>
      </c>
      <c r="G5" s="87">
        <f>SQRT(POWER(Z5,2)+(POWER(E5/$E$8-fitSyst_Inclusive!E5/fitSyst_Inclusive!$E$8,2)+POWER(E5/$E$8-fitSyst_Inclusive!H5/fitSyst_Inclusive!$H$8,2)+POWER(E5/$E$8-fitSyst_Inclusive!K5/fitSyst_Inclusive!$K$8,2)+POWER(E5/$E$8-trgBiassing!E5/trgBiassing!$E$8,2)+POWER(E5/$E$8-trgBiassing!L5/trgBiassing!$L$8,2)+POWER(E5/$E$8-epSystematic!E5/epSystematic!$E$8,2)+POWER(E5/$E$8-zVtx_cut_10cm!E5/zVtx_cut_10cm!$E$8,2))/(7*POWER(PI()/8,2)))</f>
        <v>4.3228283852673792E-2</v>
      </c>
      <c r="H5" s="67">
        <v>322.77300000000002</v>
      </c>
      <c r="I5" s="67">
        <v>21.106200000000001</v>
      </c>
      <c r="J5" s="87">
        <f>SQRT(POWER(AA5,2)+(POWER(H5/$H$8-fitSyst_Inclusive!F5/fitSyst_Inclusive!$F$8,2)+POWER(H5/$H$8-fitSyst_Inclusive!I5/fitSyst_Inclusive!$I$8,2)+POWER(H5/$H$8-fitSyst_Inclusive!L5/fitSyst_Inclusive!$L$8,2)+POWER(H5/$H$8-trgBiassing!F5/trgBiassing!$F$8,2)+POWER(H5/$H$8-trgBiassing!M5/trgBiassing!$M$8,2)+POWER(H5/$H$8-epSystematic!F5/epSystematic!$F$8,2)+POWER(H5/$H$8-zVtx_cut_10cm!F5/zVtx_cut_10cm!$F$8,2))/(7*POWER(PI()/8,2)))</f>
        <v>4.5302730148516539E-2</v>
      </c>
      <c r="K5" s="83"/>
      <c r="L5" s="126"/>
      <c r="M5" s="126"/>
      <c r="N5" s="126"/>
      <c r="O5" s="126"/>
      <c r="P5" s="125"/>
      <c r="Q5" s="127"/>
      <c r="R5" s="127"/>
      <c r="S5" s="125"/>
      <c r="T5" s="125"/>
      <c r="U5" s="67">
        <v>0.26367000000000002</v>
      </c>
      <c r="V5" s="67">
        <v>2.4772700000000002E-2</v>
      </c>
      <c r="X5" s="3">
        <f t="shared" ref="X5:X7" si="0" xml:space="preserve"> E5/($E$8*PI()/8)</f>
        <v>0.64188400420385194</v>
      </c>
      <c r="Y5" s="3">
        <f t="shared" ref="Y5:Y7" si="1" xml:space="preserve"> H5/($H$8*PI()/8)</f>
        <v>0.61959391147516174</v>
      </c>
      <c r="Z5" s="3">
        <f t="shared" ref="Z5:Z67" si="2" xml:space="preserve"> X5*F5/E5</f>
        <v>4.0365233492262176E-2</v>
      </c>
      <c r="AA5" s="3">
        <f t="shared" ref="AA5:AA67" si="3" xml:space="preserve"> Y5*I5/H5</f>
        <v>4.0515387019289278E-2</v>
      </c>
    </row>
    <row r="6" spans="1:27" x14ac:dyDescent="0.35">
      <c r="A6" s="125"/>
      <c r="B6" s="125"/>
      <c r="C6" s="125"/>
      <c r="D6" s="46" t="s">
        <v>52</v>
      </c>
      <c r="E6" s="67">
        <v>342.49799999999999</v>
      </c>
      <c r="F6" s="67">
        <v>21.930499999999999</v>
      </c>
      <c r="G6" s="87">
        <f>SQRT(POWER(Z6,2)+(POWER(E6/$E$8-fitSyst_Inclusive!E6/fitSyst_Inclusive!$E$8,2)+POWER(E6/$E$8-fitSyst_Inclusive!H6/fitSyst_Inclusive!$H$8,2)+POWER(E6/$E$8-fitSyst_Inclusive!K6/fitSyst_Inclusive!$K$8,2)+POWER(E6/$E$8-trgBiassing!E6/trgBiassing!$E$8,2)+POWER(E6/$E$8-trgBiassing!L6/trgBiassing!$L$8,2)+POWER(E6/$E$8-epSystematic!E6/epSystematic!$E$8,2)+POWER(E6/$E$8-zVtx_cut_10cm!E6/zVtx_cut_10cm!$E$8,2))/(7*POWER(PI()/8,2)))</f>
        <v>4.9482538348146109E-2</v>
      </c>
      <c r="H6" s="67">
        <v>331.21600000000001</v>
      </c>
      <c r="I6" s="67">
        <v>20.9832</v>
      </c>
      <c r="J6" s="87">
        <f>SQRT(POWER(AA6,2)+(POWER(H6/$H$8-fitSyst_Inclusive!F6/fitSyst_Inclusive!$F$8,2)+POWER(H6/$H$8-fitSyst_Inclusive!I6/fitSyst_Inclusive!$I$8,2)+POWER(H6/$H$8-fitSyst_Inclusive!L6/fitSyst_Inclusive!$L$8,2)+POWER(H6/$H$8-trgBiassing!F6/trgBiassing!$F$8,2)+POWER(H6/$H$8-trgBiassing!M6/trgBiassing!$M$8,2)+POWER(H6/$H$8-epSystematic!F6/epSystematic!$F$8,2)+POWER(H6/$H$8-zVtx_cut_10cm!F6/zVtx_cut_10cm!$F$8,2))/(7*POWER(PI()/8,2)))</f>
        <v>4.4401652222081534E-2</v>
      </c>
      <c r="K6" s="83"/>
      <c r="L6" s="126"/>
      <c r="M6" s="126"/>
      <c r="N6" s="126"/>
      <c r="O6" s="126"/>
      <c r="P6" s="125"/>
      <c r="Q6" s="127"/>
      <c r="R6" s="127"/>
      <c r="S6" s="125"/>
      <c r="T6" s="125"/>
      <c r="U6" s="67">
        <v>0.25571100000000002</v>
      </c>
      <c r="V6" s="67">
        <v>2.4815799999999999E-2</v>
      </c>
      <c r="X6" s="3">
        <f t="shared" si="0"/>
        <v>0.60783442914757313</v>
      </c>
      <c r="Y6" s="3">
        <f t="shared" si="1"/>
        <v>0.63580106447304185</v>
      </c>
      <c r="Z6" s="3">
        <f t="shared" si="2"/>
        <v>3.8920265077229212E-2</v>
      </c>
      <c r="AA6" s="3">
        <f t="shared" si="3"/>
        <v>4.0279276653454939E-2</v>
      </c>
    </row>
    <row r="7" spans="1:27" x14ac:dyDescent="0.35">
      <c r="A7" s="125"/>
      <c r="B7" s="125"/>
      <c r="C7" s="125"/>
      <c r="D7" s="46" t="s">
        <v>53</v>
      </c>
      <c r="E7" s="67">
        <v>348.029</v>
      </c>
      <c r="F7" s="67">
        <v>21.506599999999999</v>
      </c>
      <c r="G7" s="87">
        <f>SQRT(POWER(Z7,2)+(POWER(E7/$E$8-fitSyst_Inclusive!E7/fitSyst_Inclusive!$E$8,2)+POWER(E7/$E$8-fitSyst_Inclusive!H7/fitSyst_Inclusive!$H$8,2)+POWER(E7/$E$8-fitSyst_Inclusive!K7/fitSyst_Inclusive!$K$8,2)+POWER(E7/$E$8-trgBiassing!E7/trgBiassing!$E$8,2)+POWER(E7/$E$8-trgBiassing!L7/trgBiassing!$L$8,2)+POWER(E7/$E$8-epSystematic!E7/epSystematic!$E$8,2)+POWER(E7/$E$8-zVtx_cut_10cm!E7/zVtx_cut_10cm!$E$8,2))/(7*POWER(PI()/8,2)))</f>
        <v>3.9720947281241113E-2</v>
      </c>
      <c r="H7" s="67">
        <v>318.55200000000002</v>
      </c>
      <c r="I7" s="67">
        <v>20.784400000000002</v>
      </c>
      <c r="J7" s="87">
        <f>SQRT(POWER(AA7,2)+(POWER(H7/$H$8-fitSyst_Inclusive!F7/fitSyst_Inclusive!$F$8,2)+POWER(H7/$H$8-fitSyst_Inclusive!I7/fitSyst_Inclusive!$I$8,2)+POWER(H7/$H$8-fitSyst_Inclusive!L7/fitSyst_Inclusive!$L$8,2)+POWER(H7/$H$8-trgBiassing!F7/trgBiassing!$F$8,2)+POWER(H7/$H$8-trgBiassing!M7/trgBiassing!$M$8,2)+POWER(H7/$H$8-epSystematic!F7/epSystematic!$F$8,2)+POWER(H7/$H$8-zVtx_cut_10cm!F7/zVtx_cut_10cm!$F$8,2))/(7*POWER(PI()/8,2)))</f>
        <v>4.2847528916234015E-2</v>
      </c>
      <c r="K7" s="83"/>
      <c r="L7" s="126"/>
      <c r="M7" s="126"/>
      <c r="N7" s="126"/>
      <c r="O7" s="126"/>
      <c r="P7" s="125"/>
      <c r="Q7" s="127"/>
      <c r="R7" s="127"/>
      <c r="S7" s="125"/>
      <c r="T7" s="125"/>
      <c r="U7" s="67">
        <v>0.25173600000000002</v>
      </c>
      <c r="V7" s="67">
        <v>2.4316299999999999E-2</v>
      </c>
      <c r="X7" s="3">
        <f t="shared" si="0"/>
        <v>0.61765034698538601</v>
      </c>
      <c r="Y7" s="3">
        <f t="shared" si="1"/>
        <v>0.61149129477445674</v>
      </c>
      <c r="Z7" s="3">
        <f t="shared" si="2"/>
        <v>3.8167965751348024E-2</v>
      </c>
      <c r="AA7" s="3">
        <f t="shared" si="3"/>
        <v>3.9897660875179618E-2</v>
      </c>
    </row>
    <row r="8" spans="1:27" x14ac:dyDescent="0.35">
      <c r="A8" s="125"/>
      <c r="B8" s="125"/>
      <c r="C8" s="125"/>
      <c r="D8" s="72"/>
      <c r="E8" s="82">
        <f xml:space="preserve"> SUM(E4:E7)</f>
        <v>1434.8710000000001</v>
      </c>
      <c r="F8" s="82">
        <f xml:space="preserve"> SQRT(F4*F4+F5*F5+F6*F6+F7*F7)</f>
        <v>44.64002348632895</v>
      </c>
      <c r="G8" s="73"/>
      <c r="H8" s="82">
        <f xml:space="preserve"> SUM(H4:H7)</f>
        <v>1326.5700000000002</v>
      </c>
      <c r="I8" s="82">
        <f xml:space="preserve"> SQRT(I4*I4+I5*I5+I6*I6+I7*I7)</f>
        <v>42.370288245420284</v>
      </c>
      <c r="J8" s="73"/>
      <c r="K8" s="82"/>
      <c r="L8" s="73"/>
      <c r="M8" s="73"/>
      <c r="N8" s="73"/>
      <c r="O8" s="72"/>
      <c r="P8" s="72"/>
      <c r="Q8" s="105"/>
      <c r="R8" s="105"/>
      <c r="S8" s="72"/>
      <c r="T8" s="72"/>
      <c r="U8" s="72"/>
      <c r="V8" s="72"/>
      <c r="X8" s="3"/>
      <c r="Y8" s="3"/>
      <c r="Z8" s="3"/>
      <c r="AA8" s="3"/>
    </row>
    <row r="9" spans="1:27" x14ac:dyDescent="0.35">
      <c r="A9" s="125"/>
      <c r="B9" s="125"/>
      <c r="C9" s="128" t="s">
        <v>2</v>
      </c>
      <c r="D9" s="3"/>
      <c r="E9" s="67"/>
      <c r="F9" s="67"/>
      <c r="G9" s="87"/>
      <c r="H9" s="67"/>
      <c r="I9" s="67"/>
      <c r="J9" s="87"/>
      <c r="K9" s="83"/>
      <c r="L9" s="90"/>
      <c r="M9" s="90"/>
      <c r="N9" s="90"/>
      <c r="Q9" s="106"/>
      <c r="R9" s="106"/>
      <c r="X9" s="3"/>
      <c r="Y9" s="3"/>
      <c r="Z9" s="3"/>
      <c r="AA9" s="3"/>
    </row>
    <row r="10" spans="1:27" x14ac:dyDescent="0.35">
      <c r="A10" s="125"/>
      <c r="B10" s="125"/>
      <c r="C10" s="128"/>
      <c r="D10" s="3"/>
      <c r="E10" s="67"/>
      <c r="F10" s="67"/>
      <c r="G10" s="87"/>
      <c r="H10" s="67"/>
      <c r="I10" s="67"/>
      <c r="J10" s="87"/>
      <c r="K10" s="83"/>
      <c r="L10" s="126"/>
      <c r="M10" s="126"/>
      <c r="N10" s="126"/>
      <c r="O10" s="126"/>
      <c r="P10" s="126"/>
      <c r="Q10" s="127"/>
      <c r="R10" s="127"/>
      <c r="S10" s="126"/>
      <c r="T10" s="126"/>
      <c r="U10" s="67">
        <v>0.22850400000000001</v>
      </c>
      <c r="V10" s="67">
        <v>1.7362699999999998E-2</v>
      </c>
      <c r="X10" s="3"/>
      <c r="Y10" s="3"/>
      <c r="Z10" s="3"/>
      <c r="AA10" s="3"/>
    </row>
    <row r="11" spans="1:27" x14ac:dyDescent="0.35">
      <c r="A11" s="125"/>
      <c r="B11" s="125"/>
      <c r="C11" s="128"/>
      <c r="D11" s="3"/>
      <c r="E11" s="67"/>
      <c r="F11" s="67"/>
      <c r="G11" s="87"/>
      <c r="H11" s="67"/>
      <c r="I11" s="67"/>
      <c r="J11" s="87"/>
      <c r="K11" s="83"/>
      <c r="L11" s="126"/>
      <c r="M11" s="126"/>
      <c r="N11" s="126"/>
      <c r="O11" s="126"/>
      <c r="P11" s="126"/>
      <c r="Q11" s="127"/>
      <c r="R11" s="127"/>
      <c r="S11" s="126"/>
      <c r="T11" s="126"/>
      <c r="U11" s="67">
        <v>0.22984399999999999</v>
      </c>
      <c r="V11" s="67">
        <v>1.87446E-2</v>
      </c>
      <c r="X11" s="3"/>
      <c r="Y11" s="3"/>
      <c r="Z11" s="3"/>
      <c r="AA11" s="3"/>
    </row>
    <row r="12" spans="1:27" x14ac:dyDescent="0.35">
      <c r="A12" s="125"/>
      <c r="B12" s="125"/>
      <c r="C12" s="128"/>
      <c r="E12" s="67"/>
      <c r="F12" s="67"/>
      <c r="G12" s="87"/>
      <c r="H12" s="67"/>
      <c r="I12" s="67"/>
      <c r="J12" s="87"/>
      <c r="K12" s="83"/>
      <c r="L12" s="126"/>
      <c r="M12" s="126"/>
      <c r="N12" s="126"/>
      <c r="O12" s="126"/>
      <c r="P12" s="126"/>
      <c r="Q12" s="127"/>
      <c r="R12" s="127"/>
      <c r="S12" s="126"/>
      <c r="T12" s="126"/>
      <c r="U12" s="67">
        <v>0.266629</v>
      </c>
      <c r="V12" s="67">
        <v>1.9885E-2</v>
      </c>
      <c r="X12" s="3"/>
      <c r="Y12" s="3"/>
      <c r="Z12" s="3"/>
      <c r="AA12" s="3"/>
    </row>
    <row r="13" spans="1:27" x14ac:dyDescent="0.35">
      <c r="A13" s="125"/>
      <c r="B13" s="125"/>
      <c r="C13" s="128"/>
      <c r="E13" s="67"/>
      <c r="F13" s="67"/>
      <c r="G13" s="87"/>
      <c r="H13" s="67"/>
      <c r="I13" s="67"/>
      <c r="J13" s="87"/>
      <c r="K13" s="83"/>
      <c r="L13" s="126"/>
      <c r="M13" s="126"/>
      <c r="N13" s="126"/>
      <c r="O13" s="126"/>
      <c r="P13" s="126"/>
      <c r="Q13" s="127"/>
      <c r="R13" s="127"/>
      <c r="S13" s="126"/>
      <c r="T13" s="126"/>
      <c r="U13" s="67">
        <v>0.23769100000000001</v>
      </c>
      <c r="V13" s="67">
        <v>2.17025E-2</v>
      </c>
      <c r="X13" s="3"/>
      <c r="Y13" s="3"/>
      <c r="Z13" s="3"/>
      <c r="AA13" s="3"/>
    </row>
    <row r="14" spans="1:27" x14ac:dyDescent="0.35">
      <c r="A14" s="125"/>
      <c r="B14" s="125"/>
      <c r="C14" s="128"/>
      <c r="D14" s="72"/>
      <c r="E14" s="82"/>
      <c r="F14" s="82"/>
      <c r="G14" s="73"/>
      <c r="H14" s="82"/>
      <c r="I14" s="82"/>
      <c r="J14" s="73"/>
      <c r="K14" s="82"/>
      <c r="L14" s="92"/>
      <c r="M14" s="92"/>
      <c r="N14" s="92"/>
      <c r="O14" s="72"/>
      <c r="P14" s="72"/>
      <c r="Q14" s="105"/>
      <c r="R14" s="105"/>
      <c r="S14" s="72"/>
      <c r="T14" s="72"/>
      <c r="U14" s="72"/>
      <c r="V14" s="72"/>
      <c r="X14" s="3"/>
      <c r="Y14" s="3"/>
      <c r="Z14" s="3"/>
      <c r="AA14" s="3"/>
    </row>
    <row r="15" spans="1:27" x14ac:dyDescent="0.35">
      <c r="A15" s="125"/>
      <c r="B15" s="125"/>
      <c r="C15" s="126" t="s">
        <v>54</v>
      </c>
      <c r="D15" s="85" t="s">
        <v>51</v>
      </c>
      <c r="E15" s="67">
        <v>1258.8900000000001</v>
      </c>
      <c r="F15" s="67">
        <v>38.845399999999998</v>
      </c>
      <c r="G15" s="87"/>
      <c r="H15" s="67">
        <v>1234.5999999999999</v>
      </c>
      <c r="I15" s="67">
        <v>38.269599999999997</v>
      </c>
      <c r="J15" s="87"/>
      <c r="K15" s="83"/>
      <c r="L15" s="90"/>
      <c r="M15" s="90"/>
      <c r="N15" s="90"/>
      <c r="Q15" s="106"/>
      <c r="R15" s="106"/>
      <c r="U15" s="67">
        <v>0.225743</v>
      </c>
      <c r="V15" s="67">
        <v>1.1725599999999999E-2</v>
      </c>
      <c r="X15" s="3"/>
      <c r="Y15" s="3"/>
      <c r="Z15" s="3"/>
      <c r="AA15" s="3"/>
    </row>
    <row r="16" spans="1:27" x14ac:dyDescent="0.35">
      <c r="A16" s="125"/>
      <c r="B16" s="125"/>
      <c r="C16" s="126"/>
      <c r="D16" s="85" t="s">
        <v>49</v>
      </c>
      <c r="E16" s="67">
        <v>317.048</v>
      </c>
      <c r="F16" s="67">
        <v>19.6236</v>
      </c>
      <c r="G16" s="87">
        <f>SQRT(POWER(Z16,2)+(POWER(E16/$E$20-fitSyst_Inclusive!E16/fitSyst_Inclusive!$E$20,2)+POWER(E16/$E$20-fitSyst_Inclusive!H16/fitSyst_Inclusive!$H$20,2)+POWER(E16/$E$20-fitSyst_Inclusive!K16/fitSyst_Inclusive!$K$20,2)+POWER(E16/$E$20-trgBiassing!E16/trgBiassing!$E$20,2)+POWER(E16/$E$20-trgBiassing!L16/trgBiassing!$L$20,2)+POWER(E16/$E$20-epSystematic!E16/epSystematic!$E$20,2)+POWER(E16/$E$20-zVtx_cut_10cm!E16/zVtx_cut_10cm!$E$20,2))/(7*POWER(PI()/8,2)))</f>
        <v>6.2141406532916929E-2</v>
      </c>
      <c r="H16" s="67">
        <v>366.34300000000002</v>
      </c>
      <c r="I16" s="67">
        <v>20.498100000000001</v>
      </c>
      <c r="J16" s="87">
        <f>SQRT(POWER(AA16,2)+(POWER(H16/$H$20-fitSyst_Inclusive!F16/fitSyst_Inclusive!$F$20,2)+POWER(H16/$H$20-fitSyst_Inclusive!I16/fitSyst_Inclusive!$I$20,2)+POWER(H16/$H$20-fitSyst_Inclusive!L16/fitSyst_Inclusive!$L$20,2)+POWER(H16/$H$20-trgBiassing!F16/trgBiassing!$F$20,2)+POWER(H16/$H$20-trgBiassing!M16/trgBiassing!$M$20,2)+POWER(H16/$H$20-epSystematic!F16/epSystematic!$F$20,2)+POWER(H16/$H$20-zVtx_cut_10cm!F16/zVtx_cut_10cm!$F$20,2))/(7*POWER(PI()/8,2)))</f>
        <v>4.5615734781463718E-2</v>
      </c>
      <c r="K16" s="83"/>
      <c r="L16" s="126">
        <v>2.6987400000000002E-2</v>
      </c>
      <c r="M16" s="126">
        <v>2.15476E-2</v>
      </c>
      <c r="N16" s="126">
        <v>7.18665E-2</v>
      </c>
      <c r="O16" s="126">
        <v>2.1770500000000002E-2</v>
      </c>
      <c r="P16" s="126"/>
      <c r="Q16" s="127">
        <f xml:space="preserve"> (L16/ep_CorrectionFactors!H20+N16/ep_CorrectionFactors!M20)/2</f>
        <v>6.6683485715239299E-2</v>
      </c>
      <c r="R16" s="127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2.0659923419505694E-2</v>
      </c>
      <c r="S16" s="126"/>
      <c r="T16" s="126"/>
      <c r="U16" s="67">
        <v>0.218171</v>
      </c>
      <c r="V16" s="67">
        <v>2.21307E-2</v>
      </c>
      <c r="X16" s="3">
        <f xml:space="preserve"> E16/($E$20*PI()/8)</f>
        <v>0.6405148057552581</v>
      </c>
      <c r="Y16" s="3">
        <f xml:space="preserve"> H16/($H$20*PI()/8)</f>
        <v>0.75536434764154514</v>
      </c>
      <c r="Z16" s="3">
        <f t="shared" si="2"/>
        <v>3.9644490241915679E-2</v>
      </c>
      <c r="AA16" s="3">
        <f t="shared" si="3"/>
        <v>4.2265128402593083E-2</v>
      </c>
    </row>
    <row r="17" spans="1:27" x14ac:dyDescent="0.35">
      <c r="A17" s="125"/>
      <c r="B17" s="125"/>
      <c r="C17" s="126"/>
      <c r="D17" s="85" t="s">
        <v>50</v>
      </c>
      <c r="E17" s="67">
        <v>346.18900000000002</v>
      </c>
      <c r="F17" s="67">
        <v>20.259699999999999</v>
      </c>
      <c r="G17" s="87">
        <f>SQRT(POWER(Z17,2)+(POWER(E17/$E$20-fitSyst_Inclusive!E17/fitSyst_Inclusive!$E$20,2)+POWER(E17/$E$20-fitSyst_Inclusive!H17/fitSyst_Inclusive!$H$20,2)+POWER(E17/$E$20-fitSyst_Inclusive!K17/fitSyst_Inclusive!$K$20,2)+POWER(E17/$E$20-trgBiassing!E17/trgBiassing!$E$20,2)+POWER(E17/$E$20-trgBiassing!L17/trgBiassing!$L$20,2)+POWER(E17/$E$20-epSystematic!E17/epSystematic!$E$20,2)+POWER(E17/$E$20-zVtx_cut_10cm!E17/zVtx_cut_10cm!$E$20,2))/(7*POWER(PI()/8,2)))</f>
        <v>4.9632728419105016E-2</v>
      </c>
      <c r="H17" s="67">
        <v>309.68599999999998</v>
      </c>
      <c r="I17" s="67">
        <v>18.857099999999999</v>
      </c>
      <c r="J17" s="87">
        <f>SQRT(POWER(AA17,2)+(POWER(H17/$H$20-fitSyst_Inclusive!F17/fitSyst_Inclusive!$F$20,2)+POWER(H17/$H$20-fitSyst_Inclusive!I17/fitSyst_Inclusive!$I$20,2)+POWER(H17/$H$20-fitSyst_Inclusive!L17/fitSyst_Inclusive!$L$20,2)+POWER(H17/$H$20-trgBiassing!F17/trgBiassing!$F$20,2)+POWER(H17/$H$20-trgBiassing!M17/trgBiassing!$M$20,2)+POWER(H17/$H$20-epSystematic!F17/epSystematic!$F$20,2)+POWER(H17/$H$20-zVtx_cut_10cm!F17/zVtx_cut_10cm!$F$20,2))/(7*POWER(PI()/8,2)))</f>
        <v>3.9514098188481263E-2</v>
      </c>
      <c r="K17" s="83"/>
      <c r="L17" s="126"/>
      <c r="M17" s="126"/>
      <c r="N17" s="126"/>
      <c r="O17" s="126"/>
      <c r="P17" s="126"/>
      <c r="Q17" s="127"/>
      <c r="R17" s="127"/>
      <c r="S17" s="126"/>
      <c r="T17" s="126"/>
      <c r="U17" s="67">
        <v>0.21544099999999999</v>
      </c>
      <c r="V17" s="67">
        <v>2.27429E-2</v>
      </c>
      <c r="X17" s="3">
        <f t="shared" ref="X17:X19" si="4" xml:space="preserve"> E17/($E$20*PI()/8)</f>
        <v>0.69938678083320838</v>
      </c>
      <c r="Y17" s="3">
        <f t="shared" ref="Y17:Y19" si="5" xml:space="preserve"> H17/($H$20*PI()/8)</f>
        <v>0.63854301396155932</v>
      </c>
      <c r="Z17" s="3">
        <f t="shared" si="2"/>
        <v>4.0929568425474377E-2</v>
      </c>
      <c r="AA17" s="3">
        <f t="shared" si="3"/>
        <v>3.888154281618969E-2</v>
      </c>
    </row>
    <row r="18" spans="1:27" x14ac:dyDescent="0.35">
      <c r="A18" s="125"/>
      <c r="B18" s="125"/>
      <c r="C18" s="126"/>
      <c r="D18" s="84" t="s">
        <v>52</v>
      </c>
      <c r="E18" s="67">
        <v>296.834</v>
      </c>
      <c r="F18" s="67">
        <v>18.697500000000002</v>
      </c>
      <c r="G18" s="87">
        <f>SQRT(POWER(Z18,2)+(POWER(E18/$E$20-fitSyst_Inclusive!E18/fitSyst_Inclusive!$E$20,2)+POWER(E18/$E$20-fitSyst_Inclusive!H18/fitSyst_Inclusive!$H$20,2)+POWER(E18/$E$20-fitSyst_Inclusive!K18/fitSyst_Inclusive!$K$20,2)+POWER(E18/$E$20-trgBiassing!E18/trgBiassing!$E$20,2)+POWER(E18/$E$20-trgBiassing!L18/trgBiassing!$L$20,2)+POWER(E18/$E$20-epSystematic!E18/epSystematic!$E$20,2)+POWER(E18/$E$20-zVtx_cut_10cm!E18/zVtx_cut_10cm!$E$20,2))/(7*POWER(PI()/8,2)))</f>
        <v>4.0788014866763374E-2</v>
      </c>
      <c r="H18" s="67">
        <v>279.30200000000002</v>
      </c>
      <c r="I18" s="67">
        <v>17.908200000000001</v>
      </c>
      <c r="J18" s="87">
        <f>SQRT(POWER(AA18,2)+(POWER(H18/$H$20-fitSyst_Inclusive!F18/fitSyst_Inclusive!$F$20,2)+POWER(H18/$H$20-fitSyst_Inclusive!I18/fitSyst_Inclusive!$I$20,2)+POWER(H18/$H$20-fitSyst_Inclusive!L18/fitSyst_Inclusive!$L$20,2)+POWER(H18/$H$20-trgBiassing!F18/trgBiassing!$F$20,2)+POWER(H18/$H$20-trgBiassing!M18/trgBiassing!$M$20,2)+POWER(H18/$H$20-epSystematic!F18/epSystematic!$F$20,2)+POWER(H18/$H$20-zVtx_cut_10cm!F18/zVtx_cut_10cm!$F$20,2))/(7*POWER(PI()/8,2)))</f>
        <v>4.4213041002207222E-2</v>
      </c>
      <c r="K18" s="83"/>
      <c r="L18" s="126"/>
      <c r="M18" s="126"/>
      <c r="N18" s="126"/>
      <c r="O18" s="126"/>
      <c r="P18" s="126"/>
      <c r="Q18" s="127"/>
      <c r="R18" s="127"/>
      <c r="S18" s="126"/>
      <c r="T18" s="126"/>
      <c r="U18" s="67">
        <v>0.20308599999999999</v>
      </c>
      <c r="V18" s="67">
        <v>2.33149E-2</v>
      </c>
      <c r="X18" s="3">
        <f t="shared" si="4"/>
        <v>0.59967756255064308</v>
      </c>
      <c r="Y18" s="3">
        <f t="shared" si="5"/>
        <v>0.57589410204365543</v>
      </c>
      <c r="Z18" s="3">
        <f t="shared" si="2"/>
        <v>3.7773540853779042E-2</v>
      </c>
      <c r="AA18" s="3">
        <f t="shared" si="3"/>
        <v>3.6925001461565583E-2</v>
      </c>
    </row>
    <row r="19" spans="1:27" x14ac:dyDescent="0.35">
      <c r="A19" s="125"/>
      <c r="B19" s="125"/>
      <c r="C19" s="126"/>
      <c r="D19" s="84" t="s">
        <v>53</v>
      </c>
      <c r="E19" s="67">
        <v>300.40899999999999</v>
      </c>
      <c r="F19" s="67">
        <v>18.737400000000001</v>
      </c>
      <c r="G19" s="87">
        <f>SQRT(POWER(Z19,2)+(POWER(E19/$E$20-fitSyst_Inclusive!E19/fitSyst_Inclusive!$E$20,2)+POWER(E19/$E$20-fitSyst_Inclusive!H19/fitSyst_Inclusive!$H$20,2)+POWER(E19/$E$20-fitSyst_Inclusive!K19/fitSyst_Inclusive!$K$20,2)+POWER(E19/$E$20-trgBiassing!E19/trgBiassing!$E$20,2)+POWER(E19/$E$20-trgBiassing!L19/trgBiassing!$L$20,2)+POWER(E19/$E$20-epSystematic!E19/epSystematic!$E$20,2)+POWER(E19/$E$20-zVtx_cut_10cm!E19/zVtx_cut_10cm!$E$20,2))/(7*POWER(PI()/8,2)))</f>
        <v>4.3507070942313597E-2</v>
      </c>
      <c r="H19" s="67">
        <v>279.68200000000002</v>
      </c>
      <c r="I19" s="67">
        <v>17.9696</v>
      </c>
      <c r="J19" s="87">
        <f>SQRT(POWER(AA19,2)+(POWER(H19/$H$20-fitSyst_Inclusive!F19/fitSyst_Inclusive!$F$20,2)+POWER(H19/$H$20-fitSyst_Inclusive!I19/fitSyst_Inclusive!$I$20,2)+POWER(H19/$H$20-fitSyst_Inclusive!L19/fitSyst_Inclusive!$L$20,2)+POWER(H19/$H$20-trgBiassing!F19/trgBiassing!$F$20,2)+POWER(H19/$H$20-trgBiassing!M19/trgBiassing!$M$20,2)+POWER(H19/$H$20-epSystematic!F19/epSystematic!$F$20,2)+POWER(H19/$H$20-zVtx_cut_10cm!F19/zVtx_cut_10cm!$F$20,2))/(7*POWER(PI()/8,2)))</f>
        <v>4.0139765139704429E-2</v>
      </c>
      <c r="K19" s="83"/>
      <c r="L19" s="126"/>
      <c r="M19" s="126"/>
      <c r="N19" s="126"/>
      <c r="O19" s="126"/>
      <c r="P19" s="126"/>
      <c r="Q19" s="127"/>
      <c r="R19" s="127"/>
      <c r="S19" s="126"/>
      <c r="T19" s="126"/>
      <c r="U19" s="67">
        <v>0.26064300000000001</v>
      </c>
      <c r="V19" s="67">
        <v>2.5116300000000001E-2</v>
      </c>
      <c r="X19" s="3">
        <f t="shared" si="4"/>
        <v>0.60689994033121586</v>
      </c>
      <c r="Y19" s="3">
        <f t="shared" si="5"/>
        <v>0.57667762582356596</v>
      </c>
      <c r="Z19" s="3">
        <f t="shared" si="2"/>
        <v>3.7854148650546836E-2</v>
      </c>
      <c r="AA19" s="3">
        <f t="shared" si="3"/>
        <v>3.7051602409161652E-2</v>
      </c>
    </row>
    <row r="20" spans="1:27" x14ac:dyDescent="0.35">
      <c r="A20" s="125"/>
      <c r="B20" s="125"/>
      <c r="C20" s="126"/>
      <c r="D20" s="80"/>
      <c r="E20" s="82">
        <f xml:space="preserve"> SUM(E16:E19)</f>
        <v>1260.48</v>
      </c>
      <c r="F20" s="82">
        <f xml:space="preserve"> SQRT(F16*F16+F17*F17+F18*F18+F19*F19)</f>
        <v>38.681103733735419</v>
      </c>
      <c r="G20" s="73"/>
      <c r="H20" s="82">
        <f xml:space="preserve"> SUM(H16:H19)</f>
        <v>1235.0129999999999</v>
      </c>
      <c r="I20" s="82">
        <f xml:space="preserve"> SQRT(I16*I16+I17*I17+I18*I18+I19*I19)</f>
        <v>37.674560056090904</v>
      </c>
      <c r="J20" s="73"/>
      <c r="K20" s="82"/>
      <c r="L20" s="92"/>
      <c r="M20" s="92"/>
      <c r="N20" s="92"/>
      <c r="O20" s="72"/>
      <c r="P20" s="72"/>
      <c r="Q20" s="105"/>
      <c r="R20" s="105"/>
      <c r="S20" s="72"/>
      <c r="T20" s="72"/>
      <c r="U20" s="72"/>
      <c r="V20" s="72"/>
      <c r="X20" s="3"/>
      <c r="Y20" s="3"/>
      <c r="Z20" s="3"/>
      <c r="AA20" s="3"/>
    </row>
    <row r="21" spans="1:27" x14ac:dyDescent="0.35">
      <c r="A21" s="125"/>
      <c r="B21" s="125"/>
      <c r="C21" s="129" t="s">
        <v>56</v>
      </c>
      <c r="D21" s="85" t="s">
        <v>51</v>
      </c>
      <c r="E21" s="67">
        <v>1227.1400000000001</v>
      </c>
      <c r="F21" s="67">
        <v>40.649799999999999</v>
      </c>
      <c r="G21" s="87"/>
      <c r="H21" s="67">
        <v>1092.17</v>
      </c>
      <c r="I21" s="67">
        <v>38.196100000000001</v>
      </c>
      <c r="J21" s="87"/>
      <c r="L21" s="90"/>
      <c r="M21" s="90"/>
      <c r="N21" s="90"/>
      <c r="Q21" s="106"/>
      <c r="R21" s="106"/>
      <c r="U21" s="67">
        <v>0.248997</v>
      </c>
      <c r="V21" s="67">
        <v>1.3096200000000001E-2</v>
      </c>
      <c r="X21" s="3"/>
      <c r="Y21" s="3"/>
      <c r="Z21" s="3"/>
      <c r="AA21" s="3"/>
    </row>
    <row r="22" spans="1:27" x14ac:dyDescent="0.35">
      <c r="A22" s="125"/>
      <c r="B22" s="125"/>
      <c r="C22" s="129"/>
      <c r="D22" s="85" t="s">
        <v>49</v>
      </c>
      <c r="E22" s="67">
        <v>326.428</v>
      </c>
      <c r="F22" s="67">
        <v>20.9818</v>
      </c>
      <c r="G22" s="87">
        <f>SQRT(POWER(Z22,2)+(POWER(E22/$E$26-fitSyst_Inclusive!E22/fitSyst_Inclusive!$E$26,2)+POWER(E22/$E$26-fitSyst_Inclusive!H22/fitSyst_Inclusive!$H$26,2)+POWER(E22/$E$26-fitSyst_Inclusive!K22/fitSyst_Inclusive!$K$26,2)+POWER(E22/$E$26-trgBiassing!E22/trgBiassing!$E$26,2)+POWER(E22/$E$26-trgBiassing!L22/trgBiassing!$L$26,2)+POWER(E22/$E$26-epSystematic!E22/epSystematic!$E$26,2)+POWER(E22/$E$26-zVtx_cut_10cm!E22/zVtx_cut_10cm!$E$26,2))/(7*POWER(PI()/8,2)))</f>
        <v>5.8265669912363587E-2</v>
      </c>
      <c r="H22" s="67">
        <v>323.959</v>
      </c>
      <c r="I22" s="67">
        <v>20.109500000000001</v>
      </c>
      <c r="J22" s="87">
        <f>SQRT(POWER(AA22,2)+(POWER(H22/$H$26-fitSyst_Inclusive!F22/fitSyst_Inclusive!$F$26,2)+POWER(H22/$H$26-fitSyst_Inclusive!I22/fitSyst_Inclusive!$I$26,2)+POWER(H22/$H$26-fitSyst_Inclusive!L22/fitSyst_Inclusive!$L$26,2)+POWER(H22/$H$26-trgBiassing!F22/trgBiassing!$F$26,2)+POWER(H22/$H$26-trgBiassing!M22/trgBiassing!$M$26,2)+POWER(H22/$H$26-epSystematic!F22/epSystematic!$F$26,2)+POWER(H22/$H$26-zVtx_cut_10cm!F22/zVtx_cut_10cm!$F$26,2))/(7*POWER(PI()/8,2)))</f>
        <v>6.2682852518927329E-2</v>
      </c>
      <c r="L22" s="126">
        <v>5.3129299999999997E-2</v>
      </c>
      <c r="M22" s="126">
        <v>2.27861E-2</v>
      </c>
      <c r="N22" s="126">
        <v>5.6266099999999999E-2</v>
      </c>
      <c r="O22" s="126">
        <v>2.43453E-2</v>
      </c>
      <c r="Q22" s="127">
        <f xml:space="preserve"> (L22/ep_CorrectionFactors!H22+N22/ep_CorrectionFactors!M22)/2</f>
        <v>6.70263580042538E-2</v>
      </c>
      <c r="R22" s="127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2.0430234571311046E-2</v>
      </c>
      <c r="U22" s="67">
        <v>0.27051700000000001</v>
      </c>
      <c r="V22" s="67">
        <v>2.46368E-2</v>
      </c>
      <c r="X22" s="3">
        <f xml:space="preserve"> E22/($E$26*PI()/8)</f>
        <v>0.67880988586707969</v>
      </c>
      <c r="Y22" s="3">
        <f xml:space="preserve"> H22/($H$26*PI()/8)</f>
        <v>0.75503689298181509</v>
      </c>
      <c r="Z22" s="3">
        <f t="shared" si="2"/>
        <v>4.3631836923566279E-2</v>
      </c>
      <c r="AA22" s="3">
        <f t="shared" si="3"/>
        <v>4.6868320989439438E-2</v>
      </c>
    </row>
    <row r="23" spans="1:27" x14ac:dyDescent="0.35">
      <c r="A23" s="125"/>
      <c r="B23" s="125"/>
      <c r="C23" s="129"/>
      <c r="D23" s="85" t="s">
        <v>50</v>
      </c>
      <c r="E23" s="67">
        <v>324.36599999999999</v>
      </c>
      <c r="F23" s="67">
        <v>20.511199999999999</v>
      </c>
      <c r="G23" s="87">
        <f>SQRT(POWER(Z23,2)+(POWER(E23/$E$26-fitSyst_Inclusive!E23/fitSyst_Inclusive!$E$26,2)+POWER(E23/$E$26-fitSyst_Inclusive!H23/fitSyst_Inclusive!$H$26,2)+POWER(E23/$E$26-fitSyst_Inclusive!K23/fitSyst_Inclusive!$K$26,2)+POWER(E23/$E$26-trgBiassing!E23/trgBiassing!$E$26,2)+POWER(E23/$E$26-trgBiassing!L23/trgBiassing!$L$26,2)+POWER(E23/$E$26-epSystematic!E23/epSystematic!$E$26,2)+POWER(E23/$E$26-zVtx_cut_10cm!E23/zVtx_cut_10cm!$E$26,2))/(7*POWER(PI()/8,2)))</f>
        <v>5.2079296520728041E-2</v>
      </c>
      <c r="H23" s="67">
        <v>261.613</v>
      </c>
      <c r="I23" s="67">
        <v>18.221699999999998</v>
      </c>
      <c r="J23" s="87">
        <f>SQRT(POWER(AA23,2)+(POWER(H23/$H$26-fitSyst_Inclusive!F23/fitSyst_Inclusive!$F$26,2)+POWER(H23/$H$26-fitSyst_Inclusive!I23/fitSyst_Inclusive!$I$26,2)+POWER(H23/$H$26-fitSyst_Inclusive!L23/fitSyst_Inclusive!$L$26,2)+POWER(H23/$H$26-trgBiassing!F23/trgBiassing!$F$26,2)+POWER(H23/$H$26-trgBiassing!M23/trgBiassing!$M$26,2)+POWER(H23/$H$26-epSystematic!F23/epSystematic!$F$26,2)+POWER(H23/$H$26-zVtx_cut_10cm!F23/zVtx_cut_10cm!$F$26,2))/(7*POWER(PI()/8,2)))</f>
        <v>4.4648984500591453E-2</v>
      </c>
      <c r="L23" s="126"/>
      <c r="M23" s="126"/>
      <c r="N23" s="126"/>
      <c r="O23" s="126"/>
      <c r="Q23" s="127"/>
      <c r="R23" s="127"/>
      <c r="U23" s="67">
        <v>0.22556699999999999</v>
      </c>
      <c r="V23" s="67">
        <v>2.43266E-2</v>
      </c>
      <c r="X23" s="3">
        <f t="shared" ref="X23:X25" si="6" xml:space="preserve"> E23/($E$26*PI()/8)</f>
        <v>0.67452193880169953</v>
      </c>
      <c r="Y23" s="3">
        <f t="shared" ref="Y23:Y25" si="7" xml:space="preserve"> H23/($H$26*PI()/8)</f>
        <v>0.60972983211965581</v>
      </c>
      <c r="Z23" s="3">
        <f t="shared" si="2"/>
        <v>4.2653220100594448E-2</v>
      </c>
      <c r="AA23" s="3">
        <f t="shared" si="3"/>
        <v>4.2468509141115815E-2</v>
      </c>
    </row>
    <row r="24" spans="1:27" x14ac:dyDescent="0.35">
      <c r="A24" s="125"/>
      <c r="B24" s="125"/>
      <c r="C24" s="129"/>
      <c r="D24" s="84" t="s">
        <v>52</v>
      </c>
      <c r="E24" s="67">
        <v>308.90300000000002</v>
      </c>
      <c r="F24" s="67">
        <v>19.871400000000001</v>
      </c>
      <c r="G24" s="87">
        <f>SQRT(POWER(Z24,2)+(POWER(E24/$E$26-fitSyst_Inclusive!E24/fitSyst_Inclusive!$E$26,2)+POWER(E24/$E$26-fitSyst_Inclusive!H24/fitSyst_Inclusive!$H$26,2)+POWER(E24/$E$26-fitSyst_Inclusive!K24/fitSyst_Inclusive!$K$26,2)+POWER(E24/$E$26-trgBiassing!E24/trgBiassing!$E$26,2)+POWER(E24/$E$26-trgBiassing!L24/trgBiassing!$L$26,2)+POWER(E24/$E$26-epSystematic!E24/epSystematic!$E$26,2)+POWER(E24/$E$26-zVtx_cut_10cm!E24/zVtx_cut_10cm!$E$26,2))/(7*POWER(PI()/8,2)))</f>
        <v>5.3049868175753773E-2</v>
      </c>
      <c r="H24" s="67">
        <v>248.24</v>
      </c>
      <c r="I24" s="67">
        <v>17.754999999999999</v>
      </c>
      <c r="J24" s="87">
        <f>SQRT(POWER(AA24,2)+(POWER(H24/$H$26-fitSyst_Inclusive!F24/fitSyst_Inclusive!$F$26,2)+POWER(H24/$H$26-fitSyst_Inclusive!I24/fitSyst_Inclusive!$I$26,2)+POWER(H24/$H$26-fitSyst_Inclusive!L24/fitSyst_Inclusive!$L$26,2)+POWER(H24/$H$26-trgBiassing!F24/trgBiassing!$F$26,2)+POWER(H24/$H$26-trgBiassing!M24/trgBiassing!$M$26,2)+POWER(H24/$H$26-epSystematic!F24/epSystematic!$F$26,2)+POWER(H24/$H$26-zVtx_cut_10cm!F24/zVtx_cut_10cm!$F$26,2))/(7*POWER(PI()/8,2)))</f>
        <v>4.8579844798254584E-2</v>
      </c>
      <c r="L24" s="126"/>
      <c r="M24" s="126"/>
      <c r="N24" s="126"/>
      <c r="O24" s="126"/>
      <c r="Q24" s="127"/>
      <c r="R24" s="127"/>
      <c r="U24" s="67">
        <v>0.236898</v>
      </c>
      <c r="V24" s="67">
        <v>2.6208200000000001E-2</v>
      </c>
      <c r="X24" s="3">
        <f t="shared" si="6"/>
        <v>0.64236649482887054</v>
      </c>
      <c r="Y24" s="3">
        <f t="shared" si="7"/>
        <v>0.57856197331701165</v>
      </c>
      <c r="Z24" s="3">
        <f t="shared" si="2"/>
        <v>4.1322750395245161E-2</v>
      </c>
      <c r="AA24" s="3">
        <f t="shared" si="3"/>
        <v>4.1380792121509594E-2</v>
      </c>
    </row>
    <row r="25" spans="1:27" x14ac:dyDescent="0.35">
      <c r="A25" s="125"/>
      <c r="B25" s="125"/>
      <c r="C25" s="129"/>
      <c r="D25" s="84" t="s">
        <v>53</v>
      </c>
      <c r="E25" s="67">
        <v>264.86099999999999</v>
      </c>
      <c r="F25" s="67">
        <v>18.572399999999998</v>
      </c>
      <c r="G25" s="87">
        <f>SQRT(POWER(Z25,2)+(POWER(E25/$E$26-fitSyst_Inclusive!E25/fitSyst_Inclusive!$E$26,2)+POWER(E25/$E$26-fitSyst_Inclusive!H25/fitSyst_Inclusive!$H$26,2)+POWER(E25/$E$26-fitSyst_Inclusive!K25/fitSyst_Inclusive!$K$26,2)+POWER(E25/$E$26-trgBiassing!E25/trgBiassing!$E$26,2)+POWER(E25/$E$26-trgBiassing!L25/trgBiassing!$L$26,2)+POWER(E25/$E$26-epSystematic!E25/epSystematic!$E$26,2)+POWER(E25/$E$26-zVtx_cut_10cm!E25/zVtx_cut_10cm!$E$26,2))/(7*POWER(PI()/8,2)))</f>
        <v>5.2802756589443528E-2</v>
      </c>
      <c r="H25" s="67">
        <v>258.79000000000002</v>
      </c>
      <c r="I25" s="67">
        <v>17.961099999999998</v>
      </c>
      <c r="J25" s="87">
        <f>SQRT(POWER(AA25,2)+(POWER(H25/$H$26-fitSyst_Inclusive!F25/fitSyst_Inclusive!$F$26,2)+POWER(H25/$H$26-fitSyst_Inclusive!I25/fitSyst_Inclusive!$I$26,2)+POWER(H25/$H$26-fitSyst_Inclusive!L25/fitSyst_Inclusive!$L$26,2)+POWER(H25/$H$26-trgBiassing!F25/trgBiassing!$F$26,2)+POWER(H25/$H$26-trgBiassing!M25/trgBiassing!$M$26,2)+POWER(H25/$H$26-epSystematic!F25/epSystematic!$F$26,2)+POWER(H25/$H$26-zVtx_cut_10cm!F25/zVtx_cut_10cm!$F$26,2))/(7*POWER(PI()/8,2)))</f>
        <v>4.6931259814059281E-2</v>
      </c>
      <c r="L25" s="126"/>
      <c r="M25" s="126"/>
      <c r="N25" s="126"/>
      <c r="O25" s="126"/>
      <c r="Q25" s="127"/>
      <c r="R25" s="127"/>
      <c r="U25" s="67">
        <v>0.25096200000000002</v>
      </c>
      <c r="V25" s="67">
        <v>2.9690899999999999E-2</v>
      </c>
      <c r="X25" s="3">
        <f t="shared" si="6"/>
        <v>0.55078076997267567</v>
      </c>
      <c r="Y25" s="3">
        <f t="shared" si="7"/>
        <v>0.60315039105184276</v>
      </c>
      <c r="Z25" s="3">
        <f t="shared" si="2"/>
        <v>3.8621468514581307E-2</v>
      </c>
      <c r="AA25" s="3">
        <f t="shared" si="3"/>
        <v>4.1861140263229846E-2</v>
      </c>
    </row>
    <row r="26" spans="1:27" x14ac:dyDescent="0.35">
      <c r="A26" s="125"/>
      <c r="B26" s="125"/>
      <c r="C26" s="129"/>
      <c r="D26" s="80"/>
      <c r="E26" s="72">
        <f xml:space="preserve"> SUM(E22:E25)</f>
        <v>1224.558</v>
      </c>
      <c r="F26" s="82">
        <f xml:space="preserve"> SQRT(F22*F22+F23*F23+F24*F24+F25*F25)</f>
        <v>40.009396851239835</v>
      </c>
      <c r="G26" s="73"/>
      <c r="H26" s="72">
        <f xml:space="preserve"> SUM(H22:H25)</f>
        <v>1092.6020000000001</v>
      </c>
      <c r="I26" s="82">
        <f xml:space="preserve"> SQRT(I22*I22+I23*I23+I24*I24+I25*I25)</f>
        <v>37.071059862782448</v>
      </c>
      <c r="J26" s="73"/>
      <c r="K26" s="72"/>
      <c r="L26" s="92"/>
      <c r="M26" s="92"/>
      <c r="N26" s="92"/>
      <c r="O26" s="72"/>
      <c r="P26" s="72"/>
      <c r="Q26" s="105"/>
      <c r="R26" s="105"/>
      <c r="S26" s="72"/>
      <c r="T26" s="72"/>
      <c r="U26" s="72"/>
      <c r="V26" s="72"/>
      <c r="X26" s="3"/>
      <c r="Y26" s="3"/>
      <c r="Z26" s="3"/>
      <c r="AA26" s="3"/>
    </row>
    <row r="27" spans="1:27" x14ac:dyDescent="0.35">
      <c r="A27" s="125"/>
      <c r="B27" s="125"/>
      <c r="C27" s="130" t="s">
        <v>57</v>
      </c>
      <c r="D27" s="85" t="s">
        <v>51</v>
      </c>
      <c r="E27" s="67">
        <v>900.91300000000001</v>
      </c>
      <c r="F27" s="67">
        <v>33.863199999999999</v>
      </c>
      <c r="G27" s="87"/>
      <c r="H27" s="67">
        <v>874.17700000000002</v>
      </c>
      <c r="I27" s="67">
        <v>32.836100000000002</v>
      </c>
      <c r="J27" s="87"/>
      <c r="L27" s="90"/>
      <c r="M27" s="90"/>
      <c r="N27" s="90"/>
      <c r="Q27" s="106"/>
      <c r="R27" s="106"/>
      <c r="U27" s="67">
        <v>0.23571</v>
      </c>
      <c r="V27" s="67">
        <v>1.41744E-2</v>
      </c>
      <c r="X27" s="3"/>
      <c r="Y27" s="3"/>
      <c r="Z27" s="3"/>
      <c r="AA27" s="3"/>
    </row>
    <row r="28" spans="1:27" x14ac:dyDescent="0.35">
      <c r="A28" s="125"/>
      <c r="B28" s="125"/>
      <c r="C28" s="130"/>
      <c r="D28" s="85" t="s">
        <v>49</v>
      </c>
      <c r="E28" s="67">
        <v>271.31299999999999</v>
      </c>
      <c r="F28" s="67">
        <v>18.3978</v>
      </c>
      <c r="G28" s="87">
        <f>SQRT(POWER(Z28,2)+(POWER(E28/$E$32-fitSyst_Inclusive!E28/fitSyst_Inclusive!$E$32,2)+POWER(E28/$E$32-fitSyst_Inclusive!H28/fitSyst_Inclusive!$H$32,2)+POWER(E28/$E$32-fitSyst_Inclusive!K28/fitSyst_Inclusive!$K$32,2)+POWER(E28/$E$32-trgBiassing!E28/trgBiassing!$E$32,2)+POWER(E28/$E$32-trgBiassing!L28/trgBiassing!$L$32,2)+POWER(E28/$E$32-epSystematic!E28/epSystematic!$E$32,2)+POWER(E28/$E$32-zVtx_cut_10cm!E28/zVtx_cut_10cm!$E$32,2))/(7*POWER(PI()/8,2)))</f>
        <v>5.7448442460819746E-2</v>
      </c>
      <c r="H28" s="67">
        <v>245.35900000000001</v>
      </c>
      <c r="I28" s="67">
        <v>17.270399999999999</v>
      </c>
      <c r="J28" s="87">
        <f>SQRT(POWER(AA28,2)+(POWER(H28/$H$32-fitSyst_Inclusive!F28/fitSyst_Inclusive!$F$32,2)+POWER(H28/$H$32-fitSyst_Inclusive!I28/fitSyst_Inclusive!$I$32,2)+POWER(H28/$H$32-fitSyst_Inclusive!L28/fitSyst_Inclusive!$L$32,2)+POWER(H28/$H$32-trgBiassing!F28/trgBiassing!$F$32,2)+POWER(H28/$H$32-trgBiassing!M28/trgBiassing!$M$32,2)+POWER(H28/$H$32-epSystematic!F28/epSystematic!$F$32,2)+POWER(H28/$H$32-zVtx_cut_10cm!F28/zVtx_cut_10cm!$F$32,2))/(7*POWER(PI()/8,2)))</f>
        <v>5.5132615749873069E-2</v>
      </c>
      <c r="L28" s="126">
        <v>5.9188400000000002E-2</v>
      </c>
      <c r="M28" s="126">
        <v>2.6604599999999999E-2</v>
      </c>
      <c r="N28" s="126">
        <v>6.5641900000000003E-2</v>
      </c>
      <c r="O28" s="126">
        <v>2.6258699999999999E-2</v>
      </c>
      <c r="Q28" s="127">
        <f xml:space="preserve"> (L28/ep_CorrectionFactors!H23+N28/ep_CorrectionFactors!M23)/2</f>
        <v>7.443765529331331E-2</v>
      </c>
      <c r="R28" s="127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2.2288756766138295E-2</v>
      </c>
      <c r="U28" s="67">
        <v>0.175651</v>
      </c>
      <c r="V28" s="67">
        <v>2.4074600000000002E-2</v>
      </c>
      <c r="X28" s="3">
        <f xml:space="preserve"> E28/($E$32*PI()/8)</f>
        <v>0.77053284440012626</v>
      </c>
      <c r="Y28" s="3">
        <f xml:space="preserve"> H28/($H$32*PI()/8)</f>
        <v>0.71670870350765359</v>
      </c>
      <c r="Z28" s="3">
        <f t="shared" si="2"/>
        <v>5.2250018114519556E-2</v>
      </c>
      <c r="AA28" s="3">
        <f t="shared" si="3"/>
        <v>5.0447898764906032E-2</v>
      </c>
    </row>
    <row r="29" spans="1:27" x14ac:dyDescent="0.35">
      <c r="A29" s="125"/>
      <c r="B29" s="125"/>
      <c r="C29" s="130"/>
      <c r="D29" s="85" t="s">
        <v>50</v>
      </c>
      <c r="E29" s="67">
        <v>204.619</v>
      </c>
      <c r="F29" s="67">
        <v>16.218599999999999</v>
      </c>
      <c r="G29" s="87">
        <f>SQRT(POWER(Z29,2)+(POWER(E29/$E$32-fitSyst_Inclusive!E29/fitSyst_Inclusive!$E$32,2)+POWER(E29/$E$32-fitSyst_Inclusive!H29/fitSyst_Inclusive!$H$32,2)+POWER(E29/$E$32-fitSyst_Inclusive!K29/fitSyst_Inclusive!$K$32,2)+POWER(E29/$E$32-trgBiassing!E29/trgBiassing!$E$32,2)+POWER(E29/$E$32-trgBiassing!L29/trgBiassing!$L$32,2)+POWER(E29/$E$32-epSystematic!E29/epSystematic!$E$32,2)+POWER(E29/$E$32-zVtx_cut_10cm!E29/zVtx_cut_10cm!$E$32,2))/(7*POWER(PI()/8,2)))</f>
        <v>6.4210356289975498E-2</v>
      </c>
      <c r="H29" s="67">
        <v>230.03299999999999</v>
      </c>
      <c r="I29" s="67">
        <v>16.5974</v>
      </c>
      <c r="J29" s="87">
        <f>SQRT(POWER(AA29,2)+(POWER(H29/$H$32-fitSyst_Inclusive!F29/fitSyst_Inclusive!$F$32,2)+POWER(H29/$H$32-fitSyst_Inclusive!I29/fitSyst_Inclusive!$I$32,2)+POWER(H29/$H$32-fitSyst_Inclusive!L29/fitSyst_Inclusive!$L$32,2)+POWER(H29/$H$32-trgBiassing!F29/trgBiassing!$F$32,2)+POWER(H29/$H$32-trgBiassing!M29/trgBiassing!$M$32,2)+POWER(H29/$H$32-epSystematic!F29/epSystematic!$F$32,2)+POWER(H29/$H$32-zVtx_cut_10cm!F29/zVtx_cut_10cm!$F$32,2))/(7*POWER(PI()/8,2)))</f>
        <v>5.062341171878719E-2</v>
      </c>
      <c r="L29" s="126"/>
      <c r="M29" s="126"/>
      <c r="N29" s="126"/>
      <c r="O29" s="126"/>
      <c r="Q29" s="127"/>
      <c r="R29" s="127"/>
      <c r="U29" s="67">
        <v>0.234462</v>
      </c>
      <c r="V29" s="67">
        <v>2.9460500000000001E-2</v>
      </c>
      <c r="X29" s="3">
        <f t="shared" ref="X29:X31" si="8" xml:space="preserve"> E29/($E$32*PI()/8)</f>
        <v>0.58112091970642554</v>
      </c>
      <c r="Y29" s="3">
        <f t="shared" ref="Y29:Y31" si="9" xml:space="preserve"> H29/($H$32*PI()/8)</f>
        <v>0.67194051652466824</v>
      </c>
      <c r="Z29" s="3">
        <f t="shared" si="2"/>
        <v>4.6061058593535459E-2</v>
      </c>
      <c r="AA29" s="3">
        <f t="shared" si="3"/>
        <v>4.8482024444173356E-2</v>
      </c>
    </row>
    <row r="30" spans="1:27" x14ac:dyDescent="0.35">
      <c r="A30" s="125"/>
      <c r="B30" s="125"/>
      <c r="C30" s="130"/>
      <c r="D30" s="84" t="s">
        <v>52</v>
      </c>
      <c r="E30" s="67">
        <v>217.31800000000001</v>
      </c>
      <c r="F30" s="67">
        <v>16.4284</v>
      </c>
      <c r="G30" s="87">
        <f>SQRT(POWER(Z30,2)+(POWER(E30/$E$32-fitSyst_Inclusive!E30/fitSyst_Inclusive!$E$32,2)+POWER(E30/$E$32-fitSyst_Inclusive!H30/fitSyst_Inclusive!$H$32,2)+POWER(E30/$E$32-fitSyst_Inclusive!K30/fitSyst_Inclusive!$K$32,2)+POWER(E30/$E$32-trgBiassing!E30/trgBiassing!$E$32,2)+POWER(E30/$E$32-trgBiassing!L30/trgBiassing!$L$32,2)+POWER(E30/$E$32-epSystematic!E30/epSystematic!$E$32,2)+POWER(E30/$E$32-zVtx_cut_10cm!E30/zVtx_cut_10cm!$E$32,2))/(7*POWER(PI()/8,2)))</f>
        <v>4.8385756714886291E-2</v>
      </c>
      <c r="H30" s="67">
        <v>201.494</v>
      </c>
      <c r="I30" s="67">
        <v>15.554</v>
      </c>
      <c r="J30" s="87">
        <f>SQRT(POWER(AA30,2)+(POWER(H30/$H$32-fitSyst_Inclusive!F30/fitSyst_Inclusive!$F$32,2)+POWER(H30/$H$32-fitSyst_Inclusive!I30/fitSyst_Inclusive!$I$32,2)+POWER(H30/$H$32-fitSyst_Inclusive!L30/fitSyst_Inclusive!$L$32,2)+POWER(H30/$H$32-trgBiassing!F30/trgBiassing!$F$32,2)+POWER(H30/$H$32-trgBiassing!M30/trgBiassing!$M$32,2)+POWER(H30/$H$32-epSystematic!F30/epSystematic!$F$32,2)+POWER(H30/$H$32-zVtx_cut_10cm!F30/zVtx_cut_10cm!$F$32,2))/(7*POWER(PI()/8,2)))</f>
        <v>4.7813009130018277E-2</v>
      </c>
      <c r="L30" s="126"/>
      <c r="M30" s="126"/>
      <c r="N30" s="126"/>
      <c r="O30" s="126"/>
      <c r="Q30" s="127"/>
      <c r="R30" s="127"/>
      <c r="U30" s="67">
        <v>0.30035600000000001</v>
      </c>
      <c r="V30" s="67">
        <v>2.9315000000000001E-2</v>
      </c>
      <c r="X30" s="3">
        <f t="shared" si="8"/>
        <v>0.61718626339079452</v>
      </c>
      <c r="Y30" s="3">
        <f t="shared" si="9"/>
        <v>0.58857634529229064</v>
      </c>
      <c r="Z30" s="3">
        <f t="shared" si="2"/>
        <v>4.665689362818233E-2</v>
      </c>
      <c r="AA30" s="3">
        <f t="shared" si="3"/>
        <v>4.5434188981688231E-2</v>
      </c>
    </row>
    <row r="31" spans="1:27" x14ac:dyDescent="0.35">
      <c r="A31" s="125"/>
      <c r="B31" s="125"/>
      <c r="C31" s="130"/>
      <c r="D31" s="84" t="s">
        <v>53</v>
      </c>
      <c r="E31" s="67">
        <v>203.393</v>
      </c>
      <c r="F31" s="67">
        <v>15.805099999999999</v>
      </c>
      <c r="G31" s="87">
        <f>SQRT(POWER(Z31,2)+(POWER(E31/$E$32-fitSyst_Inclusive!E31/fitSyst_Inclusive!$E$32,2)+POWER(E31/$E$32-fitSyst_Inclusive!H31/fitSyst_Inclusive!$H$32,2)+POWER(E31/$E$32-fitSyst_Inclusive!K31/fitSyst_Inclusive!$K$32,2)+POWER(E31/$E$32-trgBiassing!E31/trgBiassing!$E$32,2)+POWER(E31/$E$32-trgBiassing!L31/trgBiassing!$L$32,2)+POWER(E31/$E$32-epSystematic!E31/epSystematic!$E$32,2)+POWER(E31/$E$32-zVtx_cut_10cm!E31/zVtx_cut_10cm!$E$32,2))/(7*POWER(PI()/8,2)))</f>
        <v>5.9268627867272376E-2</v>
      </c>
      <c r="H31" s="67">
        <v>194.87899999999999</v>
      </c>
      <c r="I31" s="67">
        <v>15.3475</v>
      </c>
      <c r="J31" s="87">
        <f>SQRT(POWER(AA31,2)+(POWER(H31/$H$32-fitSyst_Inclusive!F31/fitSyst_Inclusive!$F$32,2)+POWER(H31/$H$32-fitSyst_Inclusive!I31/fitSyst_Inclusive!$I$32,2)+POWER(H31/$H$32-fitSyst_Inclusive!L31/fitSyst_Inclusive!$L$32,2)+POWER(H31/$H$32-trgBiassing!F31/trgBiassing!$F$32,2)+POWER(H31/$H$32-trgBiassing!M31/trgBiassing!$M$32,2)+POWER(H31/$H$32-epSystematic!F31/epSystematic!$F$32,2)+POWER(H31/$H$32-zVtx_cut_10cm!F31/zVtx_cut_10cm!$F$32,2))/(7*POWER(PI()/8,2)))</f>
        <v>4.6041239831317152E-2</v>
      </c>
      <c r="L31" s="126"/>
      <c r="M31" s="126"/>
      <c r="N31" s="126"/>
      <c r="O31" s="126"/>
      <c r="Q31" s="127"/>
      <c r="R31" s="127"/>
      <c r="U31" s="67">
        <v>0.21670800000000001</v>
      </c>
      <c r="V31" s="67">
        <v>3.1391099999999998E-2</v>
      </c>
      <c r="X31" s="3">
        <f t="shared" si="8"/>
        <v>0.5776390619729791</v>
      </c>
      <c r="Y31" s="3">
        <f t="shared" si="9"/>
        <v>0.56925352414571306</v>
      </c>
      <c r="Z31" s="3">
        <f t="shared" si="2"/>
        <v>4.4886712612475017E-2</v>
      </c>
      <c r="AA31" s="3">
        <f t="shared" si="3"/>
        <v>4.4830989803038464E-2</v>
      </c>
    </row>
    <row r="32" spans="1:27" x14ac:dyDescent="0.35">
      <c r="A32" s="125"/>
      <c r="B32" s="125"/>
      <c r="C32" s="130"/>
      <c r="D32" s="80"/>
      <c r="E32" s="72">
        <f xml:space="preserve"> SUM(E28:E31)</f>
        <v>896.64300000000003</v>
      </c>
      <c r="F32" s="82">
        <f xml:space="preserve"> SQRT(F28*F28+F29*F29+F30*F30+F31*F31)</f>
        <v>33.484556789212547</v>
      </c>
      <c r="G32" s="73"/>
      <c r="H32" s="72">
        <f xml:space="preserve"> SUM(H28:H31)</f>
        <v>871.76499999999999</v>
      </c>
      <c r="I32" s="82">
        <f xml:space="preserve"> SQRT(I28*I28+I29*I29+I30*I30+I31*I31)</f>
        <v>32.42241624509191</v>
      </c>
      <c r="J32" s="73"/>
      <c r="K32" s="72"/>
      <c r="L32" s="92"/>
      <c r="M32" s="92"/>
      <c r="N32" s="92"/>
      <c r="O32" s="72"/>
      <c r="P32" s="72"/>
      <c r="Q32" s="105"/>
      <c r="R32" s="105"/>
      <c r="S32" s="72"/>
      <c r="T32" s="72"/>
      <c r="U32" s="72"/>
      <c r="V32" s="72"/>
      <c r="X32" s="3"/>
      <c r="Y32" s="3"/>
      <c r="Z32" s="3"/>
      <c r="AA32" s="3"/>
    </row>
    <row r="33" spans="1:27" x14ac:dyDescent="0.35">
      <c r="A33" s="132" t="s">
        <v>55</v>
      </c>
      <c r="B33" s="132" t="s">
        <v>37</v>
      </c>
      <c r="C33" s="133" t="s">
        <v>17</v>
      </c>
      <c r="D33" s="85" t="s">
        <v>51</v>
      </c>
      <c r="E33" s="93">
        <v>1115.5</v>
      </c>
      <c r="F33" s="93">
        <v>39.198999999999998</v>
      </c>
      <c r="G33" s="87"/>
      <c r="H33" s="93">
        <v>1115</v>
      </c>
      <c r="I33" s="93">
        <v>40.232100000000003</v>
      </c>
      <c r="J33" s="87"/>
      <c r="Q33" s="106"/>
      <c r="R33" s="106"/>
      <c r="U33" s="93">
        <v>0.188059</v>
      </c>
      <c r="V33" s="93">
        <v>1.2644300000000001E-2</v>
      </c>
      <c r="X33" s="3"/>
      <c r="Y33" s="3"/>
      <c r="Z33" s="3"/>
      <c r="AA33" s="3"/>
    </row>
    <row r="34" spans="1:27" x14ac:dyDescent="0.35">
      <c r="A34" s="132"/>
      <c r="B34" s="132"/>
      <c r="C34" s="133"/>
      <c r="D34" s="85" t="s">
        <v>49</v>
      </c>
      <c r="E34" s="93">
        <v>313.64600000000002</v>
      </c>
      <c r="F34" s="93">
        <v>20.915900000000001</v>
      </c>
      <c r="G34" s="87">
        <f>SQRT(POWER(Z34,2)+(POWER(E34/$E$38-fitSyst_Inclusive!E34/fitSyst_Inclusive!$E$38,2)+POWER(E34/$E$38-fitSyst_Inclusive!H34/fitSyst_Inclusive!$H$38,2)+POWER(E34/$E$38-fitSyst_Inclusive!K34/fitSyst_Inclusive!$K$38,2)+POWER(E34/$E$38-trgBiassing!E34/trgBiassing!$E$38,2)+POWER(E34/$E$38-trgBiassing!L34/trgBiassing!$L$38,2)+POWER(E34/$E$38-epSystematic!E34/epSystematic!$E$38,2)+POWER(E34/$E$38-zVtx_cut_10cm!E34/zVtx_cut_10cm!$E$38,2))/(7*POWER(PI()/8,2)))</f>
        <v>6.7045444284603073E-2</v>
      </c>
      <c r="H34" s="93">
        <v>324.58100000000002</v>
      </c>
      <c r="I34" s="93">
        <v>20.952000000000002</v>
      </c>
      <c r="J34" s="87">
        <f>SQRT(POWER(AA34,2)+(POWER(H34/$H$38-fitSyst_Inclusive!F34/fitSyst_Inclusive!$F$38,2)+POWER(H34/$H$38-fitSyst_Inclusive!I34/fitSyst_Inclusive!$I$38,2)+POWER(H34/$H$38-fitSyst_Inclusive!L34/fitSyst_Inclusive!$L$38,2)+POWER(H34/$H$38-trgBiassing!F34/trgBiassing!$F$38,2)+POWER(H34/$H$38-trgBiassing!M34/trgBiassing!$M$38,2)+POWER(H34/$H$38-epSystematic!F34/epSystematic!$F$38,2)+POWER(H34/$H$38-zVtx_cut_10cm!F33/zVtx_cut_10cm!$F$38,2))/(7*POWER(PI()/8,2)))</f>
        <v>0.68430218498109574</v>
      </c>
      <c r="L34" s="126">
        <v>4.7276800000000001E-2</v>
      </c>
      <c r="M34" s="126">
        <v>2.4670500000000001E-2</v>
      </c>
      <c r="N34" s="126">
        <v>7.0368899999999998E-2</v>
      </c>
      <c r="O34" s="126">
        <v>2.45661E-2</v>
      </c>
      <c r="Q34" s="127">
        <f xml:space="preserve"> (L34/ep_CorrectionFactors!H18+N34/ep_CorrectionFactors!M18)/2</f>
        <v>7.50048692855146E-2</v>
      </c>
      <c r="R34" s="127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2.2195100454195437E-2</v>
      </c>
      <c r="U34" s="93">
        <v>0.164053</v>
      </c>
      <c r="V34" s="93">
        <v>2.2384100000000001E-2</v>
      </c>
      <c r="X34" s="3">
        <f xml:space="preserve"> E34/($E$38*PI()/8)</f>
        <v>0.71643094637171645</v>
      </c>
      <c r="Y34" s="3">
        <f xml:space="preserve"> H34/($H$38*PI()/8)</f>
        <v>0.74001340229001056</v>
      </c>
      <c r="Z34" s="3">
        <f t="shared" si="2"/>
        <v>4.7776149006256048E-2</v>
      </c>
      <c r="AA34" s="3">
        <f t="shared" si="3"/>
        <v>4.7768540995253267E-2</v>
      </c>
    </row>
    <row r="35" spans="1:27" x14ac:dyDescent="0.35">
      <c r="A35" s="132"/>
      <c r="B35" s="132"/>
      <c r="C35" s="133"/>
      <c r="D35" s="85" t="s">
        <v>50</v>
      </c>
      <c r="E35" s="93">
        <v>269.3</v>
      </c>
      <c r="F35" s="93">
        <v>19.120100000000001</v>
      </c>
      <c r="G35" s="87">
        <f>SQRT(POWER(Z35,2)+(POWER(E35/$E$38-fitSyst_Inclusive!E35/fitSyst_Inclusive!$E$38,2)+POWER(E35/$E$38-fitSyst_Inclusive!H35/fitSyst_Inclusive!$H$38,2)+POWER(E35/$E$38-fitSyst_Inclusive!K35/fitSyst_Inclusive!$K$38,2)+POWER(E35/$E$38-trgBiassing!E35/trgBiassing!$E$38,2)+POWER(E35/$E$38-trgBiassing!L35/trgBiassing!$L$38,2)+POWER(E35/$E$38-epSystematic!E35/epSystematic!$E$38,2)+POWER(E35/$E$38-zVtx_cut_10cm!E35/zVtx_cut_10cm!$E$38,2))/(7*POWER(PI()/8,2)))</f>
        <v>4.8876699778868042E-2</v>
      </c>
      <c r="H35" s="93">
        <v>290.25299999999999</v>
      </c>
      <c r="I35" s="93">
        <v>19.683199999999999</v>
      </c>
      <c r="J35" s="87">
        <f>SQRT(POWER(AA35,2)+(POWER(H35/$H$38-fitSyst_Inclusive!F35/fitSyst_Inclusive!$F$38,2)+POWER(H35/$H$38-fitSyst_Inclusive!I35/fitSyst_Inclusive!$I$38,2)+POWER(H35/$H$38-fitSyst_Inclusive!L35/fitSyst_Inclusive!$L$38,2)+POWER(H35/$H$38-trgBiassing!F35/trgBiassing!$F$38,2)+POWER(H35/$H$38-trgBiassing!M35/trgBiassing!$M$38,2)+POWER(H35/$H$38-epSystematic!F35/epSystematic!$F$38,2)+POWER(H35/$H$38-zVtx_cut_10cm!F35/zVtx_cut_10cm!$F$38,2))/(7*POWER(PI()/8,2)))</f>
        <v>4.799227173738916E-2</v>
      </c>
      <c r="L35" s="126"/>
      <c r="M35" s="126"/>
      <c r="N35" s="126"/>
      <c r="O35" s="126"/>
      <c r="Q35" s="127"/>
      <c r="R35" s="127"/>
      <c r="U35" s="93">
        <v>0.16914899999999999</v>
      </c>
      <c r="V35" s="93">
        <v>2.4127800000000001E-2</v>
      </c>
      <c r="X35" s="3">
        <f t="shared" ref="X35:X37" si="10" xml:space="preserve"> E35/($E$38*PI()/8)</f>
        <v>0.61513570668174711</v>
      </c>
      <c r="Y35" s="3">
        <f t="shared" ref="Y35:Y37" si="11" xml:space="preserve"> H35/($H$38*PI()/8)</f>
        <v>0.66174887025082307</v>
      </c>
      <c r="Z35" s="3">
        <f t="shared" si="2"/>
        <v>4.3674178333923779E-2</v>
      </c>
      <c r="AA35" s="3">
        <f t="shared" si="3"/>
        <v>4.4875799261061902E-2</v>
      </c>
    </row>
    <row r="36" spans="1:27" x14ac:dyDescent="0.35">
      <c r="A36" s="132"/>
      <c r="B36" s="132"/>
      <c r="C36" s="133"/>
      <c r="D36" s="84" t="s">
        <v>52</v>
      </c>
      <c r="E36" s="93">
        <v>282.99900000000002</v>
      </c>
      <c r="F36" s="93">
        <v>19.071400000000001</v>
      </c>
      <c r="G36" s="87">
        <f>SQRT(POWER(Z36,2)+(POWER(E36/$E$38-fitSyst_Inclusive!E36/fitSyst_Inclusive!$E$38,2)+POWER(E36/$E$38-fitSyst_Inclusive!H36/fitSyst_Inclusive!$H$38,2)+POWER(E36/$E$38-fitSyst_Inclusive!K36/fitSyst_Inclusive!$K$38,2)+POWER(E36/$E$38-trgBiassing!E36/trgBiassing!$E$38,2)+POWER(E36/$E$38-trgBiassing!L36/trgBiassing!$L$38,2)+POWER(E36/$E$38-epSystematic!E36/epSystematic!$E$38,2)+POWER(E36/$E$38-zVtx_cut_10cm!E36/zVtx_cut_10cm!$E$38,2))/(7*POWER(PI()/8,2)))</f>
        <v>5.4852847259952084E-2</v>
      </c>
      <c r="H36" s="93">
        <v>248.505</v>
      </c>
      <c r="I36" s="93">
        <v>18.349599999999999</v>
      </c>
      <c r="J36" s="87">
        <f>SQRT(POWER(AA36,2)+(POWER(H36/$H$38-fitSyst_Inclusive!F36/fitSyst_Inclusive!$F$38,2)+POWER(H36/$H$38-fitSyst_Inclusive!I36/fitSyst_Inclusive!$I$38,2)+POWER(H36/$H$38-fitSyst_Inclusive!L36/fitSyst_Inclusive!$L$38,2)+POWER(H36/$H$38-trgBiassing!F36/trgBiassing!$F$38,2)+POWER(H36/$H$38-trgBiassing!M36/trgBiassing!$M$38,2)+POWER(H36/$H$38-epSystematic!F36/epSystematic!$F$38,2)+POWER(H36/$H$38-zVtx_cut_10cm!F36/zVtx_cut_10cm!$F$38,2))/(7*POWER(PI()/8,2)))</f>
        <v>7.3899692470953141E-2</v>
      </c>
      <c r="L36" s="126"/>
      <c r="M36" s="126"/>
      <c r="N36" s="126"/>
      <c r="O36" s="126"/>
      <c r="Q36" s="127"/>
      <c r="R36" s="127"/>
      <c r="U36" s="93">
        <v>0.20449000000000001</v>
      </c>
      <c r="V36" s="93">
        <v>2.5999499999999998E-2</v>
      </c>
      <c r="X36" s="3">
        <f t="shared" si="10"/>
        <v>0.64642699537774884</v>
      </c>
      <c r="Y36" s="3">
        <f t="shared" si="11"/>
        <v>0.56656745322763524</v>
      </c>
      <c r="Z36" s="3">
        <f t="shared" si="2"/>
        <v>4.3562937676978358E-2</v>
      </c>
      <c r="AA36" s="3">
        <f t="shared" si="3"/>
        <v>4.1835319771215129E-2</v>
      </c>
    </row>
    <row r="37" spans="1:27" x14ac:dyDescent="0.35">
      <c r="A37" s="132"/>
      <c r="B37" s="132"/>
      <c r="C37" s="133"/>
      <c r="D37" s="84" t="s">
        <v>53</v>
      </c>
      <c r="E37" s="93">
        <v>248.87700000000001</v>
      </c>
      <c r="F37" s="93">
        <v>18.213000000000001</v>
      </c>
      <c r="G37" s="87">
        <f>SQRT(POWER(Z37,2)+(POWER(E37/$E$38-fitSyst_Inclusive!E37/fitSyst_Inclusive!$E$38,2)+POWER(E37/$E$38-fitSyst_Inclusive!H37/fitSyst_Inclusive!$H$38,2)+POWER(E37/$E$38-fitSyst_Inclusive!K37/fitSyst_Inclusive!$K$38,2)+POWER(E37/$E$38-trgBiassing!E37/trgBiassing!$E$38,2)+POWER(E37/$E$38-trgBiassing!L37/trgBiassing!$L$38,2)+POWER(E37/$E$38-epSystematic!E37/epSystematic!$E$38,2)+POWER(E37/$E$38-zVtx_cut_10cm!E37/zVtx_cut_10cm!$E$38,2))/(7*POWER(PI()/8,2)))</f>
        <v>7.5571670571271121E-2</v>
      </c>
      <c r="H37" s="93">
        <v>253.58500000000001</v>
      </c>
      <c r="I37" s="93">
        <v>18.275600000000001</v>
      </c>
      <c r="J37" s="87">
        <f>SQRT(POWER(AA37,2)+(POWER(H37/$H$38-fitSyst_Inclusive!F37/fitSyst_Inclusive!$F$38,2)+POWER(H37/$H$38-fitSyst_Inclusive!I37/fitSyst_Inclusive!$I$38,2)+POWER(H37/$H$38-fitSyst_Inclusive!L37/fitSyst_Inclusive!$L$38,2)+POWER(H37/$H$38-trgBiassing!F37/trgBiassing!$F$38,2)+POWER(H37/$H$38-trgBiassing!M37/trgBiassing!$M$38,2)+POWER(H37/$H$38-epSystematic!F37/epSystematic!$F$38,2)+POWER(H37/$H$38-zVtx_cut_10cm!F37/zVtx_cut_10cm!$F$38,2))/(7*POWER(PI()/8,2)))</f>
        <v>4.2537435496266207E-2</v>
      </c>
      <c r="L37" s="126"/>
      <c r="M37" s="126"/>
      <c r="N37" s="126"/>
      <c r="O37" s="126"/>
      <c r="Q37" s="127"/>
      <c r="R37" s="127"/>
      <c r="U37" s="93">
        <v>0.22617999999999999</v>
      </c>
      <c r="V37" s="93">
        <v>2.9247100000000002E-2</v>
      </c>
      <c r="X37" s="3">
        <f t="shared" si="10"/>
        <v>0.56848544103911314</v>
      </c>
      <c r="Y37" s="3">
        <f t="shared" si="11"/>
        <v>0.57814936370185666</v>
      </c>
      <c r="Z37" s="3">
        <f t="shared" si="2"/>
        <v>4.1602178335665277E-2</v>
      </c>
      <c r="AA37" s="3">
        <f t="shared" si="3"/>
        <v>4.1666606902102457E-2</v>
      </c>
    </row>
    <row r="38" spans="1:27" x14ac:dyDescent="0.35">
      <c r="A38" s="132"/>
      <c r="B38" s="132"/>
      <c r="C38" s="133"/>
      <c r="D38" s="80"/>
      <c r="E38" s="72">
        <f xml:space="preserve"> SUM(E34:E37)</f>
        <v>1114.8220000000001</v>
      </c>
      <c r="F38" s="82">
        <f xml:space="preserve"> SQRT(F34*F34+F35*F35+F36*F36+F37*F37)</f>
        <v>38.710266904013977</v>
      </c>
      <c r="G38" s="73"/>
      <c r="H38" s="72">
        <f xml:space="preserve"> SUM(H34:H37)</f>
        <v>1116.924</v>
      </c>
      <c r="I38" s="82">
        <f xml:space="preserve"> SQRT(I34*I34+I35*I35+I36*I36+I37*I37)</f>
        <v>38.692635497727473</v>
      </c>
      <c r="J38" s="73"/>
      <c r="K38" s="72"/>
      <c r="L38" s="72"/>
      <c r="M38" s="72"/>
      <c r="N38" s="72"/>
      <c r="O38" s="72"/>
      <c r="P38" s="72"/>
      <c r="Q38" s="105"/>
      <c r="R38" s="105"/>
      <c r="S38" s="72"/>
      <c r="T38" s="72"/>
      <c r="U38" s="72"/>
      <c r="V38" s="72"/>
      <c r="X38" s="3"/>
      <c r="Y38" s="3"/>
      <c r="Z38" s="3"/>
      <c r="AA38" s="3"/>
    </row>
    <row r="39" spans="1:27" x14ac:dyDescent="0.35">
      <c r="A39" s="132"/>
      <c r="B39" s="132" t="s">
        <v>76</v>
      </c>
      <c r="C39" s="133"/>
      <c r="D39" s="84" t="s">
        <v>51</v>
      </c>
      <c r="E39" s="93">
        <v>1107.3699999999999</v>
      </c>
      <c r="F39" s="93">
        <v>37.5441</v>
      </c>
      <c r="G39" s="87"/>
      <c r="H39" s="93">
        <v>997.83900000000006</v>
      </c>
      <c r="I39" s="93">
        <v>34.260899999999999</v>
      </c>
      <c r="J39" s="87"/>
      <c r="Q39" s="106"/>
      <c r="R39" s="106"/>
      <c r="U39" s="93">
        <v>0.22628000000000001</v>
      </c>
      <c r="V39" s="93">
        <v>1.3347400000000001E-2</v>
      </c>
      <c r="X39" s="3"/>
      <c r="Y39" s="3"/>
      <c r="Z39" s="3"/>
      <c r="AA39" s="3"/>
    </row>
    <row r="40" spans="1:27" x14ac:dyDescent="0.35">
      <c r="A40" s="132"/>
      <c r="B40" s="132"/>
      <c r="C40" s="133"/>
      <c r="D40" s="85" t="s">
        <v>49</v>
      </c>
      <c r="E40" s="93">
        <v>315.66399999999999</v>
      </c>
      <c r="F40" s="93">
        <v>19.888500000000001</v>
      </c>
      <c r="G40" s="87">
        <f>SQRT(POWER(Z40,2)+(POWER(E40/$E$44-fitSyst_Inclusive!E40/fitSyst_Inclusive!$E$44,2)+POWER(E40/$E$44-fitSyst_Inclusive!H40/fitSyst_Inclusive!$H$44,2)+POWER(E40/$E$44-fitSyst_Inclusive!K40/fitSyst_Inclusive!$K$44,2)+POWER(E40/$E$44-trgBiassing!E40/trgBiassing!$E$44,2)+POWER(E40/$E$44-trgBiassing!L40/trgBiassing!$L$44,2)+POWER(E40/$E$44-epSystematic!E40/epSystematic!$E$44,2)+POWER(E40/$E$44-zVtx_cut_10cm!E40/zVtx_cut_10cm!$E$44,2))/(7*POWER(PI()/8,2)))</f>
        <v>4.8592722816821893E-2</v>
      </c>
      <c r="H40" s="93">
        <v>291.31200000000001</v>
      </c>
      <c r="I40" s="93">
        <v>18.466000000000001</v>
      </c>
      <c r="J40" s="87">
        <f>SQRT(POWER(AA40,2)+(POWER(H40/$H$44-fitSyst_Inclusive!F40/fitSyst_Inclusive!$F$44,2)+POWER(H40/$H$44-fitSyst_Inclusive!I40/fitSyst_Inclusive!$I$44,2)+POWER(H40/$H$44-fitSyst_Inclusive!L40/fitSyst_Inclusive!$L$44,2)+POWER(H40/$H$44-trgBiassing!F40/trgBiassing!$F$44,2)+POWER(H40/$H$44-trgBiassing!M40/trgBiassing!$M$44,2)+POWER(H40/$H$44-epSystematic!F40/epSystematic!$F$44,2)+POWER(H40/$H$44-zVtx_cut_10cm!F39/zVtx_cut_10cm!$F$44,2))/(7*POWER(PI()/8,2)))</f>
        <v>0.68377998963112263</v>
      </c>
      <c r="L40" s="126">
        <v>8.53883E-2</v>
      </c>
      <c r="M40" s="126">
        <v>2.3232200000000001E-2</v>
      </c>
      <c r="N40" s="126">
        <v>7.1889900000000007E-2</v>
      </c>
      <c r="O40" s="126">
        <v>2.4604899999999999E-2</v>
      </c>
      <c r="Q40" s="127">
        <f xml:space="preserve"> (L40/ep_CorrectionFactors!H18+N40/ep_CorrectionFactors!M18)/2</f>
        <v>0.10026235222495483</v>
      </c>
      <c r="R40" s="127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2.1573572553017145E-2</v>
      </c>
      <c r="U40" s="93">
        <v>0.20146700000000001</v>
      </c>
      <c r="V40" s="93">
        <v>2.4004600000000001E-2</v>
      </c>
      <c r="X40" s="3">
        <f xml:space="preserve"> E40/($E$44*PI()/8)</f>
        <v>0.72769191486265183</v>
      </c>
      <c r="Y40" s="3">
        <f xml:space="preserve"> H40/($H$44*PI()/8)</f>
        <v>0.74418269657340008</v>
      </c>
      <c r="Z40" s="3">
        <f t="shared" si="2"/>
        <v>4.5848435832866123E-2</v>
      </c>
      <c r="AA40" s="3">
        <f t="shared" si="3"/>
        <v>4.7173057323160066E-2</v>
      </c>
    </row>
    <row r="41" spans="1:27" x14ac:dyDescent="0.35">
      <c r="A41" s="132"/>
      <c r="B41" s="132"/>
      <c r="C41" s="133"/>
      <c r="D41" s="85" t="s">
        <v>50</v>
      </c>
      <c r="E41" s="93">
        <v>293.19400000000002</v>
      </c>
      <c r="F41" s="93">
        <v>19.280100000000001</v>
      </c>
      <c r="G41" s="87">
        <f>SQRT(POWER(Z41,2)+(POWER(E41/$E$44-fitSyst_Inclusive!E41/fitSyst_Inclusive!$E$44,2)+POWER(E41/$E$44-fitSyst_Inclusive!H41/fitSyst_Inclusive!$H$44,2)+POWER(E41/$E$44-fitSyst_Inclusive!K41/fitSyst_Inclusive!$K$44,2)+POWER(E41/$E$44-trgBiassing!E41/trgBiassing!$E$44,2)+POWER(E41/$E$44-trgBiassing!L41/trgBiassing!$L$44,2)+POWER(E41/$E$44-epSystematic!E41/epSystematic!$E$44,2)+POWER(E41/$E$44-zVtx_cut_10cm!E41/zVtx_cut_10cm!$E$44,2))/(7*POWER(PI()/8,2)))</f>
        <v>4.7962624768704096E-2</v>
      </c>
      <c r="H41" s="93">
        <v>258.95999999999998</v>
      </c>
      <c r="I41" s="93">
        <v>17.309799999999999</v>
      </c>
      <c r="J41" s="87">
        <f>SQRT(POWER(AA41,2)+(POWER(H41/$H$44-fitSyst_Inclusive!F41/fitSyst_Inclusive!$F$44,2)+POWER(H41/$H$44-fitSyst_Inclusive!I41/fitSyst_Inclusive!$I$44,2)+POWER(H41/$H$44-fitSyst_Inclusive!L41/fitSyst_Inclusive!$L$44,2)+POWER(H41/$H$44-trgBiassing!F41/trgBiassing!$F$44,2)+POWER(H41/$H$44-trgBiassing!M41/trgBiassing!$M$44,2)+POWER(H41/$H$44-epSystematic!F41/epSystematic!$F$44,2)+POWER(H41/$H$44-zVtx_cut_10cm!F41/zVtx_cut_10cm!$F$44,2))/(7*POWER(PI()/8,2)))</f>
        <v>4.6276382689049725E-2</v>
      </c>
      <c r="L41" s="126"/>
      <c r="M41" s="126"/>
      <c r="N41" s="126"/>
      <c r="O41" s="126"/>
      <c r="Q41" s="127"/>
      <c r="R41" s="127"/>
      <c r="U41" s="93">
        <v>0.233436</v>
      </c>
      <c r="V41" s="93">
        <v>2.6683499999999999E-2</v>
      </c>
      <c r="X41" s="3">
        <f t="shared" ref="X41:X43" si="12" xml:space="preserve"> E41/($E$44*PI()/8)</f>
        <v>0.67589241499265151</v>
      </c>
      <c r="Y41" s="3">
        <f t="shared" ref="Y41:Y43" si="13" xml:space="preserve"> H41/($H$44*PI()/8)</f>
        <v>0.66153660372606571</v>
      </c>
      <c r="Z41" s="3">
        <f t="shared" si="2"/>
        <v>4.4445907318361975E-2</v>
      </c>
      <c r="AA41" s="3">
        <f t="shared" si="3"/>
        <v>4.4219440466394241E-2</v>
      </c>
    </row>
    <row r="42" spans="1:27" x14ac:dyDescent="0.35">
      <c r="A42" s="132"/>
      <c r="B42" s="132"/>
      <c r="C42" s="133"/>
      <c r="D42" s="84" t="s">
        <v>52</v>
      </c>
      <c r="E42" s="93">
        <v>270.495</v>
      </c>
      <c r="F42" s="93">
        <v>18.408100000000001</v>
      </c>
      <c r="G42" s="87">
        <f>SQRT(POWER(Z42,2)+(POWER(E42/$E$44-fitSyst_Inclusive!E42/fitSyst_Inclusive!$E$44,2)+POWER(E42/$E$44-fitSyst_Inclusive!H42/fitSyst_Inclusive!$H$44,2)+POWER(E42/$E$44-fitSyst_Inclusive!K42/fitSyst_Inclusive!$K$44,2)+POWER(E42/$E$44-trgBiassing!E42/trgBiassing!$E$44,2)+POWER(E42/$E$44-trgBiassing!L42/trgBiassing!$L$44,2)+POWER(E42/$E$44-epSystematic!E42/epSystematic!$E$44,2)+POWER(E42/$E$44-zVtx_cut_10cm!E42/zVtx_cut_10cm!$E$44,2))/(7*POWER(PI()/8,2)))</f>
        <v>5.595095497393332E-2</v>
      </c>
      <c r="H42" s="93">
        <v>211.68299999999999</v>
      </c>
      <c r="I42" s="93">
        <v>15.8331</v>
      </c>
      <c r="J42" s="87">
        <f>SQRT(POWER(AA42,2)+(POWER(H42/$H$44-fitSyst_Inclusive!F42/fitSyst_Inclusive!$F$44,2)+POWER(H42/$H$44-fitSyst_Inclusive!I42/fitSyst_Inclusive!$I$44,2)+POWER(H42/$H$44-fitSyst_Inclusive!L42/fitSyst_Inclusive!$L$44,2)+POWER(H42/$H$44-trgBiassing!F42/trgBiassing!$F$44,2)+POWER(H42/$H$44-trgBiassing!M42/trgBiassing!$M$44,2)+POWER(H42/$H$44-epSystematic!F42/epSystematic!$F$44,2)+POWER(H42/$H$44-zVtx_cut_10cm!F42/zVtx_cut_10cm!$F$44,2))/(7*POWER(PI()/8,2)))</f>
        <v>4.1071449803008211E-2</v>
      </c>
      <c r="L42" s="126"/>
      <c r="M42" s="126"/>
      <c r="N42" s="126"/>
      <c r="O42" s="126"/>
      <c r="Q42" s="127"/>
      <c r="R42" s="127"/>
      <c r="U42" s="93">
        <v>0.24581600000000001</v>
      </c>
      <c r="V42" s="93">
        <v>2.72616E-2</v>
      </c>
      <c r="X42" s="3">
        <f t="shared" si="12"/>
        <v>0.62356500744707355</v>
      </c>
      <c r="Y42" s="3">
        <f t="shared" si="13"/>
        <v>0.54076325643552969</v>
      </c>
      <c r="Z42" s="3">
        <f t="shared" si="2"/>
        <v>4.2435708658520394E-2</v>
      </c>
      <c r="AA42" s="3">
        <f t="shared" si="3"/>
        <v>4.0447077542690654E-2</v>
      </c>
    </row>
    <row r="43" spans="1:27" x14ac:dyDescent="0.35">
      <c r="A43" s="132"/>
      <c r="B43" s="132"/>
      <c r="C43" s="133"/>
      <c r="D43" s="84" t="s">
        <v>53</v>
      </c>
      <c r="E43" s="93">
        <v>225.279</v>
      </c>
      <c r="F43" s="93">
        <v>16.601299999999998</v>
      </c>
      <c r="G43" s="87">
        <f>SQRT(POWER(Z43,2)+(POWER(E43/$E$44-fitSyst_Inclusive!E43/fitSyst_Inclusive!$E$44,2)+POWER(E43/$E$44-fitSyst_Inclusive!H43/fitSyst_Inclusive!$H$44,2)+POWER(E43/$E$44-fitSyst_Inclusive!K43/fitSyst_Inclusive!$K$44,2)+POWER(E43/$E$44-trgBiassing!E43/trgBiassing!$E$44,2)+POWER(E43/$E$44-trgBiassing!L43/trgBiassing!$L$44,2)+POWER(E43/$E$44-epSystematic!E43/epSystematic!$E$44,2)+POWER(E43/$E$44-zVtx_cut_10cm!E43/zVtx_cut_10cm!$E$44,2))/(7*POWER(PI()/8,2)))</f>
        <v>5.6579910411970441E-2</v>
      </c>
      <c r="H43" s="93">
        <v>234.87</v>
      </c>
      <c r="I43" s="93">
        <v>16.5304</v>
      </c>
      <c r="J43" s="87">
        <f>SQRT(POWER(AA43,2)+(POWER(H43/$H$44-fitSyst_Inclusive!F43/fitSyst_Inclusive!$F$44,2)+POWER(H43/$H$44-fitSyst_Inclusive!I43/fitSyst_Inclusive!$I$44,2)+POWER(H43/$H$44-fitSyst_Inclusive!L43/fitSyst_Inclusive!$L$44,2)+POWER(H43/$H$44-trgBiassing!F43/trgBiassing!$F$44,2)+POWER(H43/$H$44-trgBiassing!M43/trgBiassing!$M$44,2)+POWER(H43/$H$44-epSystematic!F43/epSystematic!$F$44,2)+POWER(H43/$H$44-zVtx_cut_10cm!F43/zVtx_cut_10cm!$F$44,2))/(7*POWER(PI()/8,2)))</f>
        <v>4.375566611332192E-2</v>
      </c>
      <c r="L43" s="126"/>
      <c r="M43" s="126"/>
      <c r="N43" s="126"/>
      <c r="O43" s="126"/>
      <c r="Q43" s="127"/>
      <c r="R43" s="127"/>
      <c r="U43" s="93">
        <v>0.24069199999999999</v>
      </c>
      <c r="V43" s="93">
        <v>2.9741799999999999E-2</v>
      </c>
      <c r="X43" s="3">
        <f t="shared" si="12"/>
        <v>0.51932975216794863</v>
      </c>
      <c r="Y43" s="3">
        <f t="shared" si="13"/>
        <v>0.59999653273533005</v>
      </c>
      <c r="Z43" s="3">
        <f t="shared" si="2"/>
        <v>3.8270540150949557E-2</v>
      </c>
      <c r="AA43" s="3">
        <f t="shared" si="3"/>
        <v>4.2228393088636691E-2</v>
      </c>
    </row>
    <row r="44" spans="1:27" x14ac:dyDescent="0.35">
      <c r="A44" s="132"/>
      <c r="B44" s="132"/>
      <c r="C44" s="133"/>
      <c r="D44" s="80"/>
      <c r="E44" s="72">
        <f xml:space="preserve"> SUM(E40:E43)</f>
        <v>1104.6320000000001</v>
      </c>
      <c r="F44" s="82">
        <f xml:space="preserve"> SQRT(F40*F40+F41*F41+F42*F42+F43*F43)</f>
        <v>37.171709613091515</v>
      </c>
      <c r="G44" s="73"/>
      <c r="H44" s="72">
        <f xml:space="preserve"> SUM(H40:H43)</f>
        <v>996.82499999999993</v>
      </c>
      <c r="I44" s="82">
        <f xml:space="preserve"> SQRT(I40*I40+I41*I41+I42*I42+I43*I43)</f>
        <v>34.125701631028775</v>
      </c>
      <c r="J44" s="73"/>
      <c r="K44" s="72"/>
      <c r="L44" s="72"/>
      <c r="M44" s="72"/>
      <c r="N44" s="72"/>
      <c r="O44" s="72"/>
      <c r="P44" s="72"/>
      <c r="Q44" s="105"/>
      <c r="R44" s="105"/>
      <c r="S44" s="72"/>
      <c r="T44" s="72"/>
      <c r="U44" s="72"/>
      <c r="V44" s="72"/>
      <c r="X44" s="3"/>
      <c r="Y44" s="3"/>
      <c r="Z44" s="3"/>
      <c r="AA44" s="3"/>
    </row>
    <row r="45" spans="1:27" x14ac:dyDescent="0.35">
      <c r="A45" s="132"/>
      <c r="B45" s="132" t="s">
        <v>77</v>
      </c>
      <c r="C45" s="133"/>
      <c r="D45" s="84" t="s">
        <v>51</v>
      </c>
      <c r="E45" s="93">
        <v>1202.29</v>
      </c>
      <c r="F45" s="93">
        <v>37.948500000000003</v>
      </c>
      <c r="G45" s="87"/>
      <c r="H45" s="93">
        <v>1095.1099999999999</v>
      </c>
      <c r="I45" s="93">
        <v>35.190399999999997</v>
      </c>
      <c r="J45" s="87"/>
      <c r="Q45" s="106"/>
      <c r="R45" s="106"/>
      <c r="U45" s="93">
        <v>0.28964899999999999</v>
      </c>
      <c r="V45" s="93">
        <v>1.0388E-2</v>
      </c>
      <c r="X45" s="3"/>
      <c r="Y45" s="3"/>
      <c r="Z45" s="3"/>
      <c r="AA45" s="3"/>
    </row>
    <row r="46" spans="1:27" x14ac:dyDescent="0.35">
      <c r="A46" s="132"/>
      <c r="B46" s="132"/>
      <c r="C46" s="133"/>
      <c r="D46" s="85" t="s">
        <v>49</v>
      </c>
      <c r="E46" s="93">
        <v>296.32900000000001</v>
      </c>
      <c r="F46" s="93">
        <v>18.778500000000001</v>
      </c>
      <c r="G46" s="87">
        <f>SQRT(POWER(Z46,2)+(POWER(E46/$E$50-fitSyst_Inclusive!E46/fitSyst_Inclusive!$E$50,2)+POWER(E46/$E$50-fitSyst_Inclusive!H46/fitSyst_Inclusive!$H$50,2)+POWER(E46/$E$50-fitSyst_Inclusive!K46/fitSyst_Inclusive!$K$50,2)+POWER(E46/$E$50-trgBiassing!E46/trgBiassing!$E$50,2)+POWER(E46/$E$50-trgBiassing!L46/trgBiassing!$L$50,2)+POWER(E46/$E$50-epSystematic!E46/epSystematic!$E$50,2)+POWER(E46/$E$50-zVtx_cut_10cm!E46/zVtx_cut_10cm!$E$50,2))/(7*POWER(PI()/8,2)))</f>
        <v>6.3236302315280324E-2</v>
      </c>
      <c r="H46" s="93">
        <v>324.79199999999997</v>
      </c>
      <c r="I46" s="93">
        <v>18.908300000000001</v>
      </c>
      <c r="J46" s="87">
        <f>SQRT(POWER(AA46,2)+(POWER(H46/$H$50-fitSyst_Inclusive!F46/fitSyst_Inclusive!$F$50,2)+POWER(H46/$H$50-fitSyst_Inclusive!I46/fitSyst_Inclusive!$I$50,2)+POWER(H46/$H$50-fitSyst_Inclusive!L46/fitSyst_Inclusive!$L$50,2)+POWER(H46/$H$50-trgBiassing!F46/trgBiassing!$F$50,2)+POWER(H46/$H$50-trgBiassing!M46/trgBiassing!$M$50,2)+POWER(H46/$H$50-epSystematic!F46/epSystematic!$F$50,2)+POWER(H46/$H$50-zVtx_cut_10cm!F45/zVtx_cut_10cm!$F$50,2))/(7*POWER(PI()/8,2)))</f>
        <v>0.67842083164631162</v>
      </c>
      <c r="L46" s="131">
        <v>1.07308E-2</v>
      </c>
      <c r="M46" s="126">
        <v>2.2285800000000001E-2</v>
      </c>
      <c r="N46" s="126">
        <v>5.7409099999999998E-2</v>
      </c>
      <c r="O46" s="126">
        <v>2.3145800000000001E-2</v>
      </c>
      <c r="Q46" s="127">
        <f xml:space="preserve"> (L46/ep_CorrectionFactors!H18+N46/ep_CorrectionFactors!M18)/2</f>
        <v>4.3450140234018386E-2</v>
      </c>
      <c r="R46" s="127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2.0483777887866143E-2</v>
      </c>
      <c r="U46" s="93">
        <v>0.30506699999999998</v>
      </c>
      <c r="V46" s="93">
        <v>2.0329099999999999E-2</v>
      </c>
      <c r="X46" s="3">
        <f xml:space="preserve"> E46/($E$50*PI()/8)</f>
        <v>0.62639143974052003</v>
      </c>
      <c r="Y46" s="3">
        <f xml:space="preserve"> H46/($H$50*PI()/8)</f>
        <v>0.75473058178012975</v>
      </c>
      <c r="Z46" s="3">
        <f t="shared" si="2"/>
        <v>3.9694703019844013E-2</v>
      </c>
      <c r="AA46" s="3">
        <f t="shared" si="3"/>
        <v>4.3937881042246205E-2</v>
      </c>
    </row>
    <row r="47" spans="1:27" x14ac:dyDescent="0.35">
      <c r="A47" s="132"/>
      <c r="B47" s="132"/>
      <c r="C47" s="133"/>
      <c r="D47" s="85" t="s">
        <v>50</v>
      </c>
      <c r="E47" s="93">
        <v>323.87200000000001</v>
      </c>
      <c r="F47" s="93">
        <v>19.488800000000001</v>
      </c>
      <c r="G47" s="87">
        <f>SQRT(POWER(Z47,2)+(POWER(E47/$E$50-fitSyst_Inclusive!E47/fitSyst_Inclusive!$E$50,2)+POWER(E47/$E$50-fitSyst_Inclusive!H47/fitSyst_Inclusive!$H$50,2)+POWER(E47/$E$50-fitSyst_Inclusive!K47/fitSyst_Inclusive!$K$50,2)+POWER(E47/$E$50-trgBiassing!E47/trgBiassing!$E$50,2)+POWER(E47/$E$50-trgBiassing!L47/trgBiassing!$L$50,2)+POWER(E47/$E$50-epSystematic!E47/epSystematic!$E$50,2)+POWER(E47/$E$50-zVtx_cut_10cm!E47/zVtx_cut_10cm!$E$50,2))/(7*POWER(PI()/8,2)))</f>
        <v>5.5495812788155498E-2</v>
      </c>
      <c r="H47" s="93">
        <v>252.911</v>
      </c>
      <c r="I47" s="93">
        <v>16.807200000000002</v>
      </c>
      <c r="J47" s="87">
        <f>SQRT(POWER(AA47,2)+(POWER(H47/$H$50-fitSyst_Inclusive!F47/fitSyst_Inclusive!$F$50,2)+POWER(H47/$H$50-fitSyst_Inclusive!I47/fitSyst_Inclusive!$I$50,2)+POWER(H47/$H$50-fitSyst_Inclusive!L47/fitSyst_Inclusive!$L$50,2)+POWER(H47/$H$50-trgBiassing!F47/trgBiassing!$F$50,2)+POWER(H47/$H$50-trgBiassing!M47/trgBiassing!$M$50,2)+POWER(H47/$H$50-epSystematic!F47/epSystematic!$F$50,2)+POWER(H47/$H$50-zVtx_cut_10cm!F47/zVtx_cut_10cm!$F$50,2))/(7*POWER(PI()/8,2)))</f>
        <v>4.3964955263168952E-2</v>
      </c>
      <c r="L47" s="126"/>
      <c r="M47" s="126"/>
      <c r="N47" s="126"/>
      <c r="O47" s="126"/>
      <c r="Q47" s="127"/>
      <c r="R47" s="127"/>
      <c r="U47" s="93">
        <v>0.26907900000000001</v>
      </c>
      <c r="V47" s="93">
        <v>2.06684E-2</v>
      </c>
      <c r="X47" s="3">
        <f t="shared" ref="X47:X49" si="14" xml:space="preserve"> E47/($E$50*PI()/8)</f>
        <v>0.68461287410831106</v>
      </c>
      <c r="Y47" s="3">
        <f t="shared" ref="Y47:Y49" si="15" xml:space="preserve"> H47/($H$50*PI()/8)</f>
        <v>0.58769817658253409</v>
      </c>
      <c r="Z47" s="3">
        <f t="shared" si="2"/>
        <v>4.1196162005119469E-2</v>
      </c>
      <c r="AA47" s="3">
        <f t="shared" si="3"/>
        <v>3.9055481151306068E-2</v>
      </c>
    </row>
    <row r="48" spans="1:27" x14ac:dyDescent="0.35">
      <c r="A48" s="132"/>
      <c r="B48" s="132"/>
      <c r="C48" s="133"/>
      <c r="D48" s="84" t="s">
        <v>52</v>
      </c>
      <c r="E48" s="93">
        <v>279.29300000000001</v>
      </c>
      <c r="F48" s="93">
        <v>18.172699999999999</v>
      </c>
      <c r="G48" s="87">
        <f>SQRT(POWER(Z48,2)+(POWER(E48/$E$50-fitSyst_Inclusive!E48/fitSyst_Inclusive!$E$50,2)+POWER(E48/$E$50-fitSyst_Inclusive!H48/fitSyst_Inclusive!$H$50,2)+POWER(E48/$E$50-fitSyst_Inclusive!K48/fitSyst_Inclusive!$K$50,2)+POWER(E48/$E$50-trgBiassing!E48/trgBiassing!$E$50,2)+POWER(E48/$E$50-trgBiassing!L48/trgBiassing!$L$50,2)+POWER(E48/$E$50-epSystematic!E48/epSystematic!$E$50,2)+POWER(E48/$E$50-zVtx_cut_10cm!E48/zVtx_cut_10cm!$E$50,2))/(7*POWER(PI()/8,2)))</f>
        <v>4.163313108791513E-2</v>
      </c>
      <c r="H48" s="93">
        <v>270.505</v>
      </c>
      <c r="I48" s="93">
        <v>17.323699999999999</v>
      </c>
      <c r="J48" s="87">
        <f>SQRT(POWER(AA48,2)+(POWER(H48/$H$50-fitSyst_Inclusive!F48/fitSyst_Inclusive!$F$50,2)+POWER(H48/$H$50-fitSyst_Inclusive!I48/fitSyst_Inclusive!$I$50,2)+POWER(H48/$H$50-fitSyst_Inclusive!L48/fitSyst_Inclusive!$L$50,2)+POWER(H48/$H$50-trgBiassing!F48/trgBiassing!$F$50,2)+POWER(H48/$H$50-trgBiassing!M48/trgBiassing!$M$50,2)+POWER(H48/$H$50-epSystematic!F48/epSystematic!$F$50,2)+POWER(H48/$H$50-zVtx_cut_10cm!F48/zVtx_cut_10cm!$F$50,2))/(7*POWER(PI()/8,2)))</f>
        <v>4.2966892475206256E-2</v>
      </c>
      <c r="L48" s="126"/>
      <c r="M48" s="126"/>
      <c r="N48" s="126"/>
      <c r="O48" s="126"/>
      <c r="Q48" s="127"/>
      <c r="R48" s="127"/>
      <c r="U48" s="93">
        <v>0.297176</v>
      </c>
      <c r="V48" s="93">
        <v>2.1836899999999999E-2</v>
      </c>
      <c r="X48" s="3">
        <f t="shared" si="14"/>
        <v>0.5903800990772049</v>
      </c>
      <c r="Y48" s="3">
        <f t="shared" si="15"/>
        <v>0.62858197253760562</v>
      </c>
      <c r="Z48" s="3">
        <f t="shared" si="2"/>
        <v>3.8414140084070569E-2</v>
      </c>
      <c r="AA48" s="3">
        <f t="shared" si="3"/>
        <v>4.0255690348236513E-2</v>
      </c>
    </row>
    <row r="49" spans="1:27" x14ac:dyDescent="0.35">
      <c r="A49" s="132"/>
      <c r="B49" s="132"/>
      <c r="C49" s="133"/>
      <c r="D49" s="84" t="s">
        <v>53</v>
      </c>
      <c r="E49" s="93">
        <v>305.17700000000002</v>
      </c>
      <c r="F49" s="93">
        <v>19.0549</v>
      </c>
      <c r="G49" s="87">
        <f>SQRT(POWER(Z49,2)+(POWER(E49/$E$50-fitSyst_Inclusive!E49/fitSyst_Inclusive!$E$50,2)+POWER(E49/$E$50-fitSyst_Inclusive!H49/fitSyst_Inclusive!$H$50,2)+POWER(E49/$E$50-fitSyst_Inclusive!K49/fitSyst_Inclusive!$K$50,2)+POWER(E49/$E$50-trgBiassing!E49/trgBiassing!$E$50,2)+POWER(E49/$E$50-trgBiassing!L49/trgBiassing!$L$50,2)+POWER(E49/$E$50-epSystematic!E49/epSystematic!$E$50,2)+POWER(E49/$E$50-zVtx_cut_10cm!E49/zVtx_cut_10cm!$E$50,2))/(7*POWER(PI()/8,2)))</f>
        <v>4.9445218969758224E-2</v>
      </c>
      <c r="H49" s="93">
        <v>247.648</v>
      </c>
      <c r="I49" s="93">
        <v>16.8001</v>
      </c>
      <c r="J49" s="87">
        <f>SQRT(POWER(AA49,2)+(POWER(H49/$H$50-fitSyst_Inclusive!F49/fitSyst_Inclusive!$F$50,2)+POWER(H49/$H$50-fitSyst_Inclusive!I49/fitSyst_Inclusive!$I$50,2)+POWER(H49/$H$50-fitSyst_Inclusive!L49/fitSyst_Inclusive!$L$50,2)+POWER(H49/$H$50-trgBiassing!F49/trgBiassing!$F$50,2)+POWER(H49/$H$50-trgBiassing!M49/trgBiassing!$M$50,2)+POWER(H49/$H$50-epSystematic!F49/epSystematic!$F$50,2)+POWER(H49/$H$50-zVtx_cut_10cm!F49/zVtx_cut_10cm!$F$50,2))/(7*POWER(PI()/8,2)))</f>
        <v>4.0283196751711589E-2</v>
      </c>
      <c r="L49" s="126"/>
      <c r="M49" s="126"/>
      <c r="N49" s="126"/>
      <c r="O49" s="126"/>
      <c r="Q49" s="127"/>
      <c r="R49" s="127"/>
      <c r="U49" s="93">
        <v>0.28903000000000001</v>
      </c>
      <c r="V49" s="93">
        <v>2.1288700000000001E-2</v>
      </c>
      <c r="X49" s="3">
        <f t="shared" si="14"/>
        <v>0.64509467654428931</v>
      </c>
      <c r="Y49" s="3">
        <f t="shared" si="15"/>
        <v>0.57546835857005585</v>
      </c>
      <c r="Z49" s="3">
        <f t="shared" si="2"/>
        <v>4.0278967786182375E-2</v>
      </c>
      <c r="AA49" s="3">
        <f t="shared" si="3"/>
        <v>3.9038982631851647E-2</v>
      </c>
    </row>
    <row r="50" spans="1:27" x14ac:dyDescent="0.35">
      <c r="A50" s="132"/>
      <c r="B50" s="132"/>
      <c r="C50" s="133"/>
      <c r="D50" s="80"/>
      <c r="E50" s="72">
        <f xml:space="preserve"> SUM(E46:E49)</f>
        <v>1204.671</v>
      </c>
      <c r="F50" s="47">
        <f xml:space="preserve"> SQRT(F46*F46+F47*F47+F48*F48+F49*F49)</f>
        <v>37.759523659469011</v>
      </c>
      <c r="G50" s="73"/>
      <c r="H50" s="72">
        <f xml:space="preserve"> SUM(H46:H49)</f>
        <v>1095.856</v>
      </c>
      <c r="I50" s="82">
        <f xml:space="preserve"> SQRT(I46*I46+I47*I47+I48*I48+I49*I49)</f>
        <v>34.962261403261664</v>
      </c>
      <c r="J50" s="73"/>
      <c r="K50" s="72"/>
      <c r="L50" s="72"/>
      <c r="M50" s="72"/>
      <c r="N50" s="72"/>
      <c r="O50" s="72"/>
      <c r="P50" s="72"/>
      <c r="Q50" s="105"/>
      <c r="R50" s="105"/>
      <c r="S50" s="72"/>
      <c r="T50" s="72"/>
      <c r="U50" s="72"/>
      <c r="V50" s="72"/>
      <c r="X50" s="3"/>
      <c r="Y50" s="3"/>
      <c r="Z50" s="3"/>
      <c r="AA50" s="3"/>
    </row>
    <row r="51" spans="1:27" x14ac:dyDescent="0.35">
      <c r="A51" s="132"/>
      <c r="B51" s="132" t="s">
        <v>78</v>
      </c>
      <c r="C51" s="133"/>
      <c r="D51" s="84" t="s">
        <v>51</v>
      </c>
      <c r="G51" s="87"/>
      <c r="J51" s="87"/>
      <c r="Q51" s="106"/>
      <c r="R51" s="106"/>
      <c r="X51" s="3"/>
      <c r="Y51" s="3"/>
      <c r="Z51" s="3"/>
      <c r="AA51" s="3"/>
    </row>
    <row r="52" spans="1:27" x14ac:dyDescent="0.35">
      <c r="A52" s="132"/>
      <c r="B52" s="132"/>
      <c r="C52" s="133"/>
      <c r="D52" s="85" t="s">
        <v>49</v>
      </c>
      <c r="G52" s="87"/>
      <c r="J52" s="87"/>
      <c r="L52" s="126"/>
      <c r="M52" s="126"/>
      <c r="N52" s="126"/>
      <c r="O52" s="126"/>
      <c r="Q52" s="127"/>
      <c r="R52" s="127"/>
      <c r="X52" s="3"/>
      <c r="Y52" s="3"/>
      <c r="Z52" s="3"/>
      <c r="AA52" s="3"/>
    </row>
    <row r="53" spans="1:27" x14ac:dyDescent="0.35">
      <c r="A53" s="132"/>
      <c r="B53" s="132"/>
      <c r="C53" s="133"/>
      <c r="D53" s="85" t="s">
        <v>50</v>
      </c>
      <c r="G53" s="87"/>
      <c r="J53" s="87"/>
      <c r="L53" s="126"/>
      <c r="M53" s="126"/>
      <c r="N53" s="126"/>
      <c r="O53" s="126"/>
      <c r="Q53" s="127"/>
      <c r="R53" s="127"/>
      <c r="X53" s="3"/>
      <c r="Y53" s="3"/>
      <c r="Z53" s="3"/>
      <c r="AA53" s="3"/>
    </row>
    <row r="54" spans="1:27" x14ac:dyDescent="0.35">
      <c r="A54" s="132"/>
      <c r="B54" s="132"/>
      <c r="C54" s="133"/>
      <c r="D54" s="84" t="s">
        <v>52</v>
      </c>
      <c r="G54" s="87"/>
      <c r="J54" s="87"/>
      <c r="L54" s="126"/>
      <c r="M54" s="126"/>
      <c r="N54" s="126"/>
      <c r="O54" s="126"/>
      <c r="Q54" s="127"/>
      <c r="R54" s="127"/>
      <c r="X54" s="3"/>
      <c r="Y54" s="3"/>
      <c r="Z54" s="3"/>
      <c r="AA54" s="3"/>
    </row>
    <row r="55" spans="1:27" x14ac:dyDescent="0.35">
      <c r="A55" s="132"/>
      <c r="B55" s="132"/>
      <c r="C55" s="133"/>
      <c r="D55" s="84" t="s">
        <v>53</v>
      </c>
      <c r="G55" s="87"/>
      <c r="J55" s="87"/>
      <c r="L55" s="126"/>
      <c r="M55" s="126"/>
      <c r="N55" s="126"/>
      <c r="O55" s="126"/>
      <c r="Q55" s="127"/>
      <c r="R55" s="127"/>
      <c r="X55" s="3"/>
      <c r="Y55" s="3"/>
      <c r="Z55" s="3"/>
      <c r="AA55" s="3"/>
    </row>
    <row r="56" spans="1:27" x14ac:dyDescent="0.35">
      <c r="A56" s="132"/>
      <c r="B56" s="132"/>
      <c r="C56" s="133"/>
      <c r="D56" s="80"/>
      <c r="E56" s="72"/>
      <c r="F56" s="72"/>
      <c r="G56" s="87"/>
      <c r="H56" s="72"/>
      <c r="I56" s="72"/>
      <c r="J56" s="87"/>
      <c r="K56" s="72"/>
      <c r="L56" s="72"/>
      <c r="M56" s="72"/>
      <c r="N56" s="72"/>
      <c r="O56" s="72"/>
      <c r="P56" s="72"/>
      <c r="Q56" s="105"/>
      <c r="R56" s="105"/>
      <c r="S56" s="72"/>
      <c r="T56" s="72"/>
      <c r="U56" s="72"/>
      <c r="V56" s="72"/>
      <c r="X56" s="3"/>
      <c r="Y56" s="3"/>
      <c r="Z56" s="3"/>
      <c r="AA56" s="3"/>
    </row>
    <row r="57" spans="1:27" x14ac:dyDescent="0.35">
      <c r="A57" s="132"/>
      <c r="B57" s="132" t="s">
        <v>79</v>
      </c>
      <c r="C57" s="133"/>
      <c r="D57" s="84" t="s">
        <v>51</v>
      </c>
      <c r="G57" s="87"/>
      <c r="J57" s="87"/>
      <c r="Q57" s="106"/>
      <c r="R57" s="106"/>
      <c r="X57" s="3"/>
      <c r="Y57" s="3"/>
      <c r="Z57" s="3"/>
      <c r="AA57" s="3"/>
    </row>
    <row r="58" spans="1:27" x14ac:dyDescent="0.35">
      <c r="A58" s="132"/>
      <c r="B58" s="132"/>
      <c r="C58" s="133"/>
      <c r="D58" s="85" t="s">
        <v>49</v>
      </c>
      <c r="G58" s="87"/>
      <c r="J58" s="87"/>
      <c r="L58" s="126"/>
      <c r="M58" s="126"/>
      <c r="N58" s="126"/>
      <c r="O58" s="126"/>
      <c r="Q58" s="127"/>
      <c r="R58" s="127"/>
      <c r="X58" s="3"/>
      <c r="Y58" s="3"/>
      <c r="Z58" s="3"/>
      <c r="AA58" s="3"/>
    </row>
    <row r="59" spans="1:27" x14ac:dyDescent="0.35">
      <c r="A59" s="132"/>
      <c r="B59" s="132"/>
      <c r="C59" s="133"/>
      <c r="D59" s="85" t="s">
        <v>50</v>
      </c>
      <c r="G59" s="87"/>
      <c r="J59" s="87"/>
      <c r="L59" s="126"/>
      <c r="M59" s="126"/>
      <c r="N59" s="126"/>
      <c r="O59" s="126"/>
      <c r="Q59" s="127"/>
      <c r="R59" s="127"/>
      <c r="X59" s="3"/>
      <c r="Y59" s="3"/>
      <c r="Z59" s="3"/>
      <c r="AA59" s="3"/>
    </row>
    <row r="60" spans="1:27" x14ac:dyDescent="0.35">
      <c r="A60" s="132"/>
      <c r="B60" s="132"/>
      <c r="C60" s="133"/>
      <c r="D60" s="84" t="s">
        <v>52</v>
      </c>
      <c r="G60" s="87"/>
      <c r="J60" s="87"/>
      <c r="L60" s="126"/>
      <c r="M60" s="126"/>
      <c r="N60" s="126"/>
      <c r="O60" s="126"/>
      <c r="Q60" s="127"/>
      <c r="R60" s="127"/>
      <c r="X60" s="3"/>
      <c r="Y60" s="3"/>
      <c r="Z60" s="3"/>
      <c r="AA60" s="3"/>
    </row>
    <row r="61" spans="1:27" x14ac:dyDescent="0.35">
      <c r="A61" s="132"/>
      <c r="B61" s="132"/>
      <c r="C61" s="133"/>
      <c r="D61" s="84" t="s">
        <v>53</v>
      </c>
      <c r="G61" s="87"/>
      <c r="J61" s="87"/>
      <c r="L61" s="126"/>
      <c r="M61" s="126"/>
      <c r="N61" s="126"/>
      <c r="O61" s="126"/>
      <c r="Q61" s="127"/>
      <c r="R61" s="127"/>
      <c r="X61" s="3"/>
      <c r="Y61" s="3"/>
      <c r="Z61" s="3"/>
      <c r="AA61" s="3"/>
    </row>
    <row r="62" spans="1:27" x14ac:dyDescent="0.35">
      <c r="A62" s="132"/>
      <c r="B62" s="132"/>
      <c r="C62" s="133"/>
      <c r="D62" s="80"/>
      <c r="E62" s="72">
        <f xml:space="preserve"> SUM(E58:E61)</f>
        <v>0</v>
      </c>
      <c r="F62" s="72"/>
      <c r="G62" s="73"/>
      <c r="H62" s="72">
        <f xml:space="preserve"> SUM(H58:H61)</f>
        <v>0</v>
      </c>
      <c r="I62" s="72"/>
      <c r="J62" s="73"/>
      <c r="K62" s="72"/>
      <c r="L62" s="72"/>
      <c r="M62" s="72"/>
      <c r="N62" s="72"/>
      <c r="O62" s="72"/>
      <c r="P62" s="72"/>
      <c r="Q62" s="105"/>
      <c r="R62" s="105"/>
      <c r="S62" s="72"/>
      <c r="T62" s="72"/>
      <c r="U62" s="72"/>
      <c r="V62" s="72"/>
      <c r="X62" s="3"/>
      <c r="Y62" s="3"/>
      <c r="Z62" s="3"/>
      <c r="AA62" s="3"/>
    </row>
    <row r="63" spans="1:27" x14ac:dyDescent="0.35">
      <c r="A63" s="132" t="s">
        <v>80</v>
      </c>
      <c r="B63" s="132" t="s">
        <v>79</v>
      </c>
      <c r="C63" s="132" t="s">
        <v>17</v>
      </c>
      <c r="D63" s="84" t="s">
        <v>51</v>
      </c>
      <c r="E63" s="64">
        <v>1723.89</v>
      </c>
      <c r="F63" s="64">
        <v>45.948700000000002</v>
      </c>
      <c r="G63" s="87"/>
      <c r="H63" s="64">
        <v>1521.15</v>
      </c>
      <c r="I63" s="64">
        <v>42.279299999999999</v>
      </c>
      <c r="J63" s="87"/>
      <c r="Q63" s="106"/>
      <c r="R63" s="106"/>
      <c r="U63" s="64">
        <v>0.26040799999999997</v>
      </c>
      <c r="V63" s="64">
        <v>1.05126E-2</v>
      </c>
      <c r="X63" s="3"/>
      <c r="Y63" s="3"/>
      <c r="Z63" s="3"/>
      <c r="AA63" s="3"/>
    </row>
    <row r="64" spans="1:27" x14ac:dyDescent="0.35">
      <c r="A64" s="132"/>
      <c r="B64" s="132"/>
      <c r="C64" s="132"/>
      <c r="D64" s="85" t="s">
        <v>49</v>
      </c>
      <c r="E64" s="64">
        <v>460.56099999999998</v>
      </c>
      <c r="F64" s="64">
        <v>23.462800000000001</v>
      </c>
      <c r="G64" s="87">
        <f>SQRT(POWER(Z64,2)+(POWER(E64/$E$68-fitSyst_Inclusive!E64/fitSyst_Inclusive!$E$68,2)+POWER(E64/$E$68-fitSyst_Inclusive!H64/fitSyst_Inclusive!$H$68,2)+POWER(E64/$E$68-fitSyst_Inclusive!K64/fitSyst_Inclusive!$K$68,2)+POWER(E64/$E$68-trgBiassing!E64/trgBiassing!$E$68,2)+POWER(E64/$E$68-trgBiassing!L64/trgBiassing!$L$68,2)+POWER(E64/$E$68-epSystematic!E63/epSystematic!$E$68,2)+POWER(E64/$E$68-zVtx_cut_10cm!E64/zVtx_cut_10cm!$E$68,2))/(7*POWER(PI()/8,2)))</f>
        <v>0.22823235144227538</v>
      </c>
      <c r="H64" s="64">
        <v>444.07400000000001</v>
      </c>
      <c r="I64" s="64">
        <v>22.5608</v>
      </c>
      <c r="J64" s="87" t="e">
        <f>SQRT(POWER(AA64,2)+(POWER(H64/$H$68-fitSyst_Inclusive!F64/fitSyst_Inclusive!$F$68,2)+POWER(H64/$H$68-fitSyst_Inclusive!I64/fitSyst_Inclusive!$I$68,2)+POWER(H64/$H$68-fitSyst_Inclusive!L64/fitSyst_Inclusive!$L$68,2)+POWER(H64/$H$68-trgBiassing!F64/trgBiassing!$F$68,2)+POWER(H64/$H$68-trgBiassing!M64/trgBiassing!$M$68,2)+POWER(H64/$H$68-epSystematic!#REF!/epSystematic!$F$68,2)+POWER(H64/$H$68-zVtx_cut_10cm!F63/zVtx_cut_10cm!$F$68,2))/(7*POWER(PI()/8,2)))</f>
        <v>#REF!</v>
      </c>
      <c r="L64" s="126">
        <v>3.9405900000000001E-2</v>
      </c>
      <c r="M64" s="126">
        <v>1.8771599999999999E-2</v>
      </c>
      <c r="N64" s="126">
        <v>7.2301099999999993E-2</v>
      </c>
      <c r="O64" s="126">
        <v>1.94866E-2</v>
      </c>
      <c r="Q64" s="127">
        <f xml:space="preserve"> (L64/ep_CorrectionFactors!H18+N64/ep_CorrectionFactors!M18)/2</f>
        <v>7.1221172168530258E-2</v>
      </c>
      <c r="R64" s="127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1.7249459041077577E-2</v>
      </c>
      <c r="U64" s="64">
        <v>0.262959</v>
      </c>
      <c r="V64" s="64">
        <v>1.9956399999999999E-2</v>
      </c>
      <c r="X64" s="3">
        <f xml:space="preserve"> E64/($E$68*PI()/8)</f>
        <v>0.68098356078611111</v>
      </c>
      <c r="Y64" s="3">
        <f xml:space="preserve"> H64/($H$68*PI()/8)</f>
        <v>0.74303365929198206</v>
      </c>
      <c r="Z64" s="3">
        <f t="shared" si="2"/>
        <v>3.4691997563867476E-2</v>
      </c>
      <c r="AA64" s="3">
        <f t="shared" si="3"/>
        <v>3.7749189956076123E-2</v>
      </c>
    </row>
    <row r="65" spans="1:27" x14ac:dyDescent="0.35">
      <c r="A65" s="132"/>
      <c r="B65" s="132"/>
      <c r="C65" s="132"/>
      <c r="D65" s="85" t="s">
        <v>50</v>
      </c>
      <c r="E65" s="64">
        <v>451.99900000000002</v>
      </c>
      <c r="F65" s="64">
        <v>23.582899999999999</v>
      </c>
      <c r="G65" s="87">
        <f>SQRT(POWER(Z65,2)+(POWER(E65/$E$68-fitSyst_Inclusive!E65/fitSyst_Inclusive!$E$68,2)+POWER(E65/$E$68-fitSyst_Inclusive!H65/fitSyst_Inclusive!$H$68,2)+POWER(E65/$E$68-fitSyst_Inclusive!K65/fitSyst_Inclusive!$K$68,2)+POWER(E65/$E$68-trgBiassing!E65/trgBiassing!$E$68,2)+POWER(E65/$E$68-trgBiassing!L65/trgBiassing!$L$68,2)+POWER(E65/$E$68-epSystematic!E65/epSystematic!$E$68,2)+POWER(E65/$E$68-zVtx_cut_10cm!E65/zVtx_cut_10cm!$E$68,2))/(7*POWER(PI()/8,2)))</f>
        <v>0.128153935127272</v>
      </c>
      <c r="H65" s="64">
        <v>389.85700000000003</v>
      </c>
      <c r="I65" s="64">
        <v>21.116599999999998</v>
      </c>
      <c r="J65" s="87">
        <f>SQRT(POWER(AA65,2)+(POWER(H65/$H$68-fitSyst_Inclusive!F65/fitSyst_Inclusive!$F$68,2)+POWER(H65/$H$68-fitSyst_Inclusive!I65/fitSyst_Inclusive!$I$68,2)+POWER(H65/$H$68-fitSyst_Inclusive!L65/fitSyst_Inclusive!$L$68,2)+POWER(H65/$H$68-trgBiassing!F65/trgBiassing!$F$68,2)+POWER(H65/$H$68-trgBiassing!M65/trgBiassing!$M$68,2)+POWER(H65/$H$68-epSystematic!F65/epSystematic!$F$68,2)+POWER(H65/$H$68-zVtx_cut_10cm!F65/zVtx_cut_10cm!$F$68,2))/(7*POWER(PI()/8,2)))</f>
        <v>3.5749771365851633E-2</v>
      </c>
      <c r="L65" s="126"/>
      <c r="M65" s="126"/>
      <c r="N65" s="126"/>
      <c r="O65" s="126"/>
      <c r="Q65" s="127"/>
      <c r="R65" s="127"/>
      <c r="U65" s="64">
        <v>0.23635700000000001</v>
      </c>
      <c r="V65" s="64">
        <v>1.9738100000000001E-2</v>
      </c>
      <c r="X65" s="3">
        <f t="shared" ref="X65:X67" si="16" xml:space="preserve"> E65/($E$68*PI()/8)</f>
        <v>0.66832382353642938</v>
      </c>
      <c r="Y65" s="3">
        <f t="shared" ref="Y65:Y67" si="17" xml:space="preserve"> H65/($H$68*PI()/8)</f>
        <v>0.65231667089402734</v>
      </c>
      <c r="Z65" s="3">
        <f t="shared" si="2"/>
        <v>3.486957691958889E-2</v>
      </c>
      <c r="AA65" s="3">
        <f t="shared" si="3"/>
        <v>3.5332725108439288E-2</v>
      </c>
    </row>
    <row r="66" spans="1:27" x14ac:dyDescent="0.35">
      <c r="A66" s="132"/>
      <c r="B66" s="132"/>
      <c r="C66" s="132"/>
      <c r="D66" s="84" t="s">
        <v>52</v>
      </c>
      <c r="E66" s="64">
        <v>410.29700000000003</v>
      </c>
      <c r="F66" s="64">
        <v>22.052600000000002</v>
      </c>
      <c r="G66" s="87">
        <f>SQRT(POWER(Z66,2)+(POWER(E66/$E$68-fitSyst_Inclusive!E66/fitSyst_Inclusive!$E$68,2)+POWER(E66/$E$68-fitSyst_Inclusive!H66/fitSyst_Inclusive!$H$68,2)+POWER(E66/$E$68-fitSyst_Inclusive!K66/fitSyst_Inclusive!$K$68,2)+POWER(E66/$E$68-trgBiassing!E66/trgBiassing!$E$68,2)+POWER(E66/$E$68-trgBiassing!L66/trgBiassing!$L$68,2)+POWER(E66/$E$68-epSystematic!E66/epSystematic!$E$68,2)+POWER(E66/$E$68-zVtx_cut_10cm!E66/zVtx_cut_10cm!$E$68,2))/(7*POWER(PI()/8,2)))</f>
        <v>0.12381895710062625</v>
      </c>
      <c r="H66" s="64">
        <v>351.166</v>
      </c>
      <c r="I66" s="64">
        <v>20.037600000000001</v>
      </c>
      <c r="J66" s="87">
        <f>SQRT(POWER(AA66,2)+(POWER(H66/$H$68-fitSyst_Inclusive!F66/fitSyst_Inclusive!$F$68,2)+POWER(H66/$H$68-fitSyst_Inclusive!I66/fitSyst_Inclusive!$I$68,2)+POWER(H66/$H$68-fitSyst_Inclusive!L66/fitSyst_Inclusive!$L$68,2)+POWER(H66/$H$68-trgBiassing!F66/trgBiassing!$F$68,2)+POWER(H66/$H$68-trgBiassing!M66/trgBiassing!$M$68,2)+POWER(H66/$H$68-epSystematic!F66/epSystematic!$F$68,2)+POWER(H66/$H$68-zVtx_cut_10cm!F66/zVtx_cut_10cm!$F$68,2))/(7*POWER(PI()/8,2)))</f>
        <v>3.63954771357596E-2</v>
      </c>
      <c r="L66" s="126"/>
      <c r="M66" s="126"/>
      <c r="N66" s="126"/>
      <c r="O66" s="126"/>
      <c r="Q66" s="127"/>
      <c r="R66" s="127"/>
      <c r="U66" s="64">
        <v>0.29721500000000001</v>
      </c>
      <c r="V66" s="64">
        <v>2.2252999999999998E-2</v>
      </c>
      <c r="X66" s="3">
        <f t="shared" si="16"/>
        <v>0.60666342143572527</v>
      </c>
      <c r="Y66" s="3">
        <f t="shared" si="17"/>
        <v>0.58757810184547665</v>
      </c>
      <c r="Z66" s="3">
        <f t="shared" si="2"/>
        <v>3.2606881765046968E-2</v>
      </c>
      <c r="AA66" s="3">
        <f t="shared" si="3"/>
        <v>3.3527320337216365E-2</v>
      </c>
    </row>
    <row r="67" spans="1:27" x14ac:dyDescent="0.35">
      <c r="A67" s="132"/>
      <c r="B67" s="132"/>
      <c r="C67" s="132"/>
      <c r="D67" s="84" t="s">
        <v>53</v>
      </c>
      <c r="E67" s="64">
        <v>399.37099999999998</v>
      </c>
      <c r="F67" s="64">
        <v>21.989799999999999</v>
      </c>
      <c r="G67" s="87">
        <f>SQRT(POWER(Z67,2)+(POWER(E67/$E$68-fitSyst_Inclusive!E67/fitSyst_Inclusive!$E$68,2)+POWER(E67/$E$68-fitSyst_Inclusive!H67/fitSyst_Inclusive!$H$68,2)+POWER(E67/$E$68-fitSyst_Inclusive!K67/fitSyst_Inclusive!$K$68,2)+POWER(E67/$E$68-trgBiassing!E67/trgBiassing!$E$68,2)+POWER(E67/$E$68-trgBiassing!L67/trgBiassing!$L$68,2)+POWER(E67/$E$68-epSystematic!E67/epSystematic!$E$68,2)+POWER(E67/$E$68-zVtx_cut_10cm!E67/zVtx_cut_10cm!$E$68,2))/(7*POWER(PI()/8,2)))</f>
        <v>0.11616343180744521</v>
      </c>
      <c r="H67" s="64">
        <v>336.80599999999998</v>
      </c>
      <c r="I67" s="64">
        <v>19.668700000000001</v>
      </c>
      <c r="J67" s="87">
        <f>SQRT(POWER(AA67,2)+(POWER(H67/$H$68-fitSyst_Inclusive!F67/fitSyst_Inclusive!$F$68,2)+POWER(H67/$H$68-fitSyst_Inclusive!I67/fitSyst_Inclusive!$I$68,2)+POWER(H67/$H$68-fitSyst_Inclusive!L67/fitSyst_Inclusive!$L$68,2)+POWER(H67/$H$68-trgBiassing!F67/trgBiassing!$F$68,2)+POWER(H67/$H$68-trgBiassing!M67/trgBiassing!$M$68,2)+POWER(H67/$H$68-epSystematic!F67/epSystematic!$F$68,2)+POWER(H67/$H$68-zVtx_cut_10cm!F67/zVtx_cut_10cm!$F$68,2))/(7*POWER(PI()/8,2)))</f>
        <v>3.3207088501722569E-2</v>
      </c>
      <c r="L67" s="126"/>
      <c r="M67" s="126"/>
      <c r="N67" s="126"/>
      <c r="O67" s="126"/>
      <c r="Q67" s="127"/>
      <c r="R67" s="127"/>
      <c r="U67" s="64">
        <v>0.25709100000000001</v>
      </c>
      <c r="V67" s="64">
        <v>2.28463E-2</v>
      </c>
      <c r="X67" s="3">
        <f t="shared" si="16"/>
        <v>0.59050828371205977</v>
      </c>
      <c r="Y67" s="3">
        <f t="shared" si="17"/>
        <v>0.5635506574388397</v>
      </c>
      <c r="Z67" s="3">
        <f t="shared" si="2"/>
        <v>3.2514025948733011E-2</v>
      </c>
      <c r="AA67" s="3">
        <f t="shared" si="3"/>
        <v>3.291006934546091E-2</v>
      </c>
    </row>
    <row r="68" spans="1:27" x14ac:dyDescent="0.35">
      <c r="A68" s="132"/>
      <c r="B68" s="132"/>
      <c r="C68" s="132"/>
      <c r="D68" s="80"/>
      <c r="E68" s="72">
        <f xml:space="preserve"> SUM(E64:E67)</f>
        <v>1722.2280000000001</v>
      </c>
      <c r="F68" s="47">
        <f xml:space="preserve"> SQRT(F64*F64+F65*F65+F66*F66+F67*F67)</f>
        <v>45.568899778796506</v>
      </c>
      <c r="G68" s="73"/>
      <c r="H68" s="72">
        <f xml:space="preserve"> SUM(H64:H67)</f>
        <v>1521.903</v>
      </c>
      <c r="I68" s="82">
        <f xml:space="preserve"> SQRT(I64*I64+I65*I65+I66*I66+I67*I67)</f>
        <v>41.752409099954939</v>
      </c>
      <c r="J68" s="73"/>
      <c r="K68" s="72"/>
      <c r="L68" s="72"/>
      <c r="M68" s="72"/>
      <c r="N68" s="72"/>
      <c r="O68" s="72"/>
      <c r="P68" s="72"/>
      <c r="Q68" s="105"/>
      <c r="R68" s="105"/>
      <c r="S68" s="72"/>
      <c r="T68" s="72"/>
      <c r="U68" s="72"/>
      <c r="V68" s="72"/>
      <c r="X68" s="3"/>
      <c r="Y68" s="3"/>
      <c r="Z68" s="3"/>
      <c r="AA68" s="3"/>
    </row>
    <row r="69" spans="1:27" x14ac:dyDescent="0.35">
      <c r="A69" s="132" t="s">
        <v>82</v>
      </c>
      <c r="B69" s="132" t="s">
        <v>79</v>
      </c>
      <c r="C69" s="132" t="s">
        <v>17</v>
      </c>
      <c r="D69" s="84" t="s">
        <v>51</v>
      </c>
      <c r="E69" s="64">
        <v>869.03499999999997</v>
      </c>
      <c r="F69" s="64">
        <v>36.441800000000001</v>
      </c>
      <c r="G69" s="87"/>
      <c r="H69" s="64">
        <v>823.77499999999998</v>
      </c>
      <c r="I69" s="64">
        <v>33.247500000000002</v>
      </c>
      <c r="J69" s="87"/>
      <c r="Q69" s="106"/>
      <c r="R69" s="106"/>
      <c r="U69" s="64">
        <v>0.20730599999999999</v>
      </c>
      <c r="V69" s="64">
        <v>1.51877E-2</v>
      </c>
      <c r="X69" s="3"/>
      <c r="Y69" s="3"/>
      <c r="Z69" s="3"/>
      <c r="AA69" s="3"/>
    </row>
    <row r="70" spans="1:27" x14ac:dyDescent="0.35">
      <c r="A70" s="132"/>
      <c r="B70" s="132"/>
      <c r="C70" s="132"/>
      <c r="D70" s="85" t="s">
        <v>49</v>
      </c>
      <c r="E70" s="64">
        <v>225.13</v>
      </c>
      <c r="F70" s="64">
        <v>18.725300000000001</v>
      </c>
      <c r="G70" s="87">
        <f>SQRT(POWER(Z70,2)+(POWER(E70/$E$74-fitSyst_Inclusive!E70/fitSyst_Inclusive!$E$74,2)+POWER(E70/$E$74-fitSyst_Inclusive!H70/fitSyst_Inclusive!$H$74,2)+POWER(E70/$E$74-fitSyst_Inclusive!K70/fitSyst_Inclusive!$K$74,2)+POWER(E70/$E$74-trgBiassing!E70/trgBiassing!$E$74,2)+POWER(E70/$E$74-trgBiassing!L70/trgBiassing!$L$74,2)+POWER(E70/$E$74-epSystematic!E70/epSystematic!$E$74,2)+POWER(E70/$E$74-zVtx_cut_10cm!E70/zVtx_cut_10cm!$E$74,2))/(7*POWER(PI()/8,2)))</f>
        <v>8.9519644545757421E-2</v>
      </c>
      <c r="H70" s="64">
        <v>263.637</v>
      </c>
      <c r="I70" s="64">
        <v>17.9252</v>
      </c>
      <c r="J70" s="87">
        <f>SQRT(POWER(AA70,2)+(POWER(H70/$H$74-fitSyst_Inclusive!F70/fitSyst_Inclusive!$F$74,2)+POWER(H70/$H$74-fitSyst_Inclusive!I70/fitSyst_Inclusive!$I$74,2)+POWER(H70/$H$74-fitSyst_Inclusive!L70/fitSyst_Inclusive!$L$74,2)+POWER(H70/$H$74-trgBiassing!F70/trgBiassing!$F$74,2)+POWER(H70/$H$74-trgBiassing!M70/trgBiassing!$M$74,2)+POWER(H70/$H$74-epSystematic!F70/epSystematic!$F$74,2)+POWER(H70/$H$74-zVtx_cut_10cm!F69/zVtx_cut_10cm!$F$74,2))/(7*POWER(PI()/8,2)))</f>
        <v>0.6609571863930146</v>
      </c>
      <c r="L70" s="126">
        <v>4.2582700000000001E-2</v>
      </c>
      <c r="M70" s="126">
        <v>2.8864399999999998E-2</v>
      </c>
      <c r="N70" s="126">
        <v>8.2800100000000001E-2</v>
      </c>
      <c r="O70" s="126">
        <v>2.7916199999999999E-2</v>
      </c>
      <c r="Q70" s="127">
        <f xml:space="preserve"> (L70/ep_CorrectionFactors!H18+N70/ep_CorrectionFactors!M18)/2</f>
        <v>7.9941224231087696E-2</v>
      </c>
      <c r="R70" s="127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2.5599057041403157E-2</v>
      </c>
      <c r="U70" s="64">
        <v>0.17543600000000001</v>
      </c>
      <c r="V70" s="64">
        <v>2.6065600000000001E-2</v>
      </c>
      <c r="X70" s="3">
        <f xml:space="preserve"> E70/($E$74*PI()/8)</f>
        <v>0.66779210493434282</v>
      </c>
      <c r="Y70" s="3">
        <f xml:space="preserve"> H70/($H$74*PI()/8)</f>
        <v>0.81809221727696013</v>
      </c>
      <c r="Z70" s="3">
        <f t="shared" ref="Z70:Z85" si="18" xml:space="preserve"> X70*F70/E70</f>
        <v>5.5543941289597339E-2</v>
      </c>
      <c r="AA70" s="3">
        <f t="shared" ref="AA70:AA85" si="19" xml:space="preserve"> Y70*I70/H70</f>
        <v>5.5623704613286321E-2</v>
      </c>
    </row>
    <row r="71" spans="1:27" x14ac:dyDescent="0.35">
      <c r="A71" s="132"/>
      <c r="B71" s="132"/>
      <c r="C71" s="132"/>
      <c r="D71" s="85" t="s">
        <v>50</v>
      </c>
      <c r="E71" s="64">
        <v>229.64</v>
      </c>
      <c r="F71" s="64">
        <v>18.2864</v>
      </c>
      <c r="G71" s="87">
        <f>SQRT(POWER(Z71,2)+(POWER(E71/$E$74-fitSyst_Inclusive!E71/fitSyst_Inclusive!$E$74,2)+POWER(E71/$E$74-fitSyst_Inclusive!H71/fitSyst_Inclusive!$H$74,2)+POWER(E71/$E$74-fitSyst_Inclusive!K71/fitSyst_Inclusive!$K$74,2)+POWER(E71/$E$74-trgBiassing!E71/trgBiassing!$E$74,2)+POWER(E71/$E$74-trgBiassing!L71/trgBiassing!$L$74,2)+POWER(E71/$E$74-epSystematic!E71/epSystematic!$E$74,2)+POWER(E71/$E$74-zVtx_cut_10cm!E71/zVtx_cut_10cm!$E$74,2))/(7*POWER(PI()/8,2)))</f>
        <v>7.2767445736292E-2</v>
      </c>
      <c r="H71" s="64">
        <v>186.911</v>
      </c>
      <c r="I71" s="64">
        <v>15.151899999999999</v>
      </c>
      <c r="J71" s="87">
        <f>SQRT(POWER(AA71,2)+(POWER(H71/$H$74-fitSyst_Inclusive!F71/fitSyst_Inclusive!$F$74,2)+POWER(H71/$H$74-fitSyst_Inclusive!I71/fitSyst_Inclusive!$I$74,2)+POWER(H71/$H$74-fitSyst_Inclusive!L71/fitSyst_Inclusive!$L$74,2)+POWER(H71/$H$74-trgBiassing!F71/trgBiassing!$F$74,2)+POWER(H71/$H$74-trgBiassing!M71/trgBiassing!$M$74,2)+POWER(H71/$H$74-epSystematic!F71/epSystematic!$F$74,2)+POWER(H71/$H$74-zVtx_cut_10cm!F71/zVtx_cut_10cm!$F$74,2))/(7*POWER(PI()/8,2)))</f>
        <v>4.9896248367180519E-2</v>
      </c>
      <c r="L71" s="126"/>
      <c r="M71" s="126"/>
      <c r="N71" s="126"/>
      <c r="O71" s="126"/>
      <c r="Q71" s="127"/>
      <c r="R71" s="127"/>
      <c r="U71" s="64">
        <v>0.23035700000000001</v>
      </c>
      <c r="V71" s="64">
        <v>3.1875300000000002E-2</v>
      </c>
      <c r="X71" s="3">
        <f t="shared" ref="X71:X73" si="20" xml:space="preserve"> E71/($E$74*PI()/8)</f>
        <v>0.68116989729099842</v>
      </c>
      <c r="Y71" s="3">
        <f t="shared" ref="Y71:Y73" si="21" xml:space="preserve"> H71/($H$74*PI()/8)</f>
        <v>0.58000369608004154</v>
      </c>
      <c r="Z71" s="3">
        <f t="shared" si="18"/>
        <v>5.4242053691961833E-2</v>
      </c>
      <c r="AA71" s="3">
        <f t="shared" si="19"/>
        <v>4.7017874831525065E-2</v>
      </c>
    </row>
    <row r="72" spans="1:27" x14ac:dyDescent="0.35">
      <c r="A72" s="132"/>
      <c r="B72" s="132"/>
      <c r="C72" s="132"/>
      <c r="D72" s="84" t="s">
        <v>52</v>
      </c>
      <c r="E72" s="64">
        <v>208.55600000000001</v>
      </c>
      <c r="F72" s="64">
        <v>17.4038</v>
      </c>
      <c r="G72" s="87">
        <f>SQRT(POWER(Z72,2)+(POWER(E72/$E$74-fitSyst_Inclusive!E72/fitSyst_Inclusive!$E$74,2)+POWER(E72/$E$74-fitSyst_Inclusive!H72/fitSyst_Inclusive!$H$74,2)+POWER(E72/$E$74-fitSyst_Inclusive!K72/fitSyst_Inclusive!$K$74,2)+POWER(E72/$E$74-trgBiassing!E72/trgBiassing!$E$74,2)+POWER(E72/$E$74-trgBiassing!L72/trgBiassing!$L$74,2)+POWER(E72/$E$74-epSystematic!E72/epSystematic!$E$74,2)+POWER(E72/$E$74-zVtx_cut_10cm!E72/zVtx_cut_10cm!$E$74,2))/(7*POWER(PI()/8,2)))</f>
        <v>5.9646708858530705E-2</v>
      </c>
      <c r="H72" s="64">
        <v>188.27600000000001</v>
      </c>
      <c r="I72" s="64">
        <v>15.3613</v>
      </c>
      <c r="J72" s="87">
        <f>SQRT(POWER(AA72,2)+(POWER(H72/$H$74-fitSyst_Inclusive!F72/fitSyst_Inclusive!$F$74,2)+POWER(H72/$H$74-fitSyst_Inclusive!I72/fitSyst_Inclusive!$I$74,2)+POWER(H72/$H$74-fitSyst_Inclusive!L72/fitSyst_Inclusive!$L$74,2)+POWER(H72/$H$74-trgBiassing!F72/trgBiassing!$F$74,2)+POWER(H72/$H$74-trgBiassing!M72/trgBiassing!$M$74,2)+POWER(H72/$H$74-epSystematic!F72/epSystematic!$F$74,2)+POWER(H72/$H$74-zVtx_cut_10cm!F72/zVtx_cut_10cm!$F$74,2))/(7*POWER(PI()/8,2)))</f>
        <v>5.6262428786311512E-2</v>
      </c>
      <c r="L72" s="126"/>
      <c r="M72" s="126"/>
      <c r="N72" s="126"/>
      <c r="O72" s="126"/>
      <c r="Q72" s="127"/>
      <c r="R72" s="127"/>
      <c r="U72" s="64">
        <v>0.19790099999999999</v>
      </c>
      <c r="V72" s="64">
        <v>3.1360300000000001E-2</v>
      </c>
      <c r="X72" s="3">
        <f t="shared" si="20"/>
        <v>0.61862945958640259</v>
      </c>
      <c r="Y72" s="3">
        <f t="shared" si="21"/>
        <v>0.58423942883600166</v>
      </c>
      <c r="Z72" s="3">
        <f t="shared" si="18"/>
        <v>5.1624040491521861E-2</v>
      </c>
      <c r="AA72" s="3">
        <f t="shared" si="19"/>
        <v>4.7667664164197626E-2</v>
      </c>
    </row>
    <row r="73" spans="1:27" x14ac:dyDescent="0.35">
      <c r="A73" s="132"/>
      <c r="B73" s="132"/>
      <c r="C73" s="132"/>
      <c r="D73" s="84" t="s">
        <v>53</v>
      </c>
      <c r="E73" s="64">
        <v>195.15799999999999</v>
      </c>
      <c r="F73" s="64">
        <v>16.438099999999999</v>
      </c>
      <c r="G73" s="87">
        <f>SQRT(POWER(Z73,2)+(POWER(E73/$E$74-fitSyst_Inclusive!E73/fitSyst_Inclusive!$E$74,2)+POWER(E73/$E$74-fitSyst_Inclusive!H73/fitSyst_Inclusive!$H$74,2)+POWER(E73/$E$74-fitSyst_Inclusive!K73/fitSyst_Inclusive!$K$74,2)+POWER(E73/$E$74-trgBiassing!E73/trgBiassing!$E$74,2)+POWER(E73/$E$74-trgBiassing!L73/trgBiassing!$L$74,2)+POWER(E73/$E$74-epSystematic!E73/epSystematic!$E$74,2)+POWER(E73/$E$74-zVtx_cut_10cm!E73/zVtx_cut_10cm!$E$74,2))/(7*POWER(PI()/8,2)))</f>
        <v>6.466840209116452E-2</v>
      </c>
      <c r="H73" s="64">
        <v>181.8</v>
      </c>
      <c r="I73" s="64">
        <v>15.1853</v>
      </c>
      <c r="J73" s="87">
        <f>SQRT(POWER(AA73,2)+(POWER(H73/$H$74-fitSyst_Inclusive!F73/fitSyst_Inclusive!$F$74,2)+POWER(H73/$H$74-fitSyst_Inclusive!I73/fitSyst_Inclusive!$I$74,2)+POWER(H73/$H$74-fitSyst_Inclusive!L73/fitSyst_Inclusive!$L$74,2)+POWER(H73/$H$74-trgBiassing!F73/trgBiassing!$F$74,2)+POWER(H73/$H$74-trgBiassing!M73/trgBiassing!$M$74,2)+POWER(H73/$H$74-epSystematic!F73/epSystematic!$F$74,2)+POWER(H73/$H$74-zVtx_cut_10cm!F73/zVtx_cut_10cm!$F$74,2))/(7*POWER(PI()/8,2)))</f>
        <v>5.4370662391402168E-2</v>
      </c>
      <c r="L73" s="126"/>
      <c r="M73" s="126"/>
      <c r="N73" s="126"/>
      <c r="O73" s="126"/>
      <c r="Q73" s="127"/>
      <c r="R73" s="127"/>
      <c r="U73" s="64">
        <v>0.22900599999999999</v>
      </c>
      <c r="V73" s="64">
        <v>3.2966099999999998E-2</v>
      </c>
      <c r="X73" s="3">
        <f t="shared" si="20"/>
        <v>0.57888762765858159</v>
      </c>
      <c r="Y73" s="3">
        <f t="shared" si="21"/>
        <v>0.56414374727732208</v>
      </c>
      <c r="Z73" s="3">
        <f t="shared" si="18"/>
        <v>4.8759531826594503E-2</v>
      </c>
      <c r="AA73" s="3">
        <f t="shared" si="19"/>
        <v>4.7121518402256979E-2</v>
      </c>
    </row>
    <row r="74" spans="1:27" x14ac:dyDescent="0.35">
      <c r="A74" s="132"/>
      <c r="B74" s="132"/>
      <c r="C74" s="132"/>
      <c r="D74" s="80"/>
      <c r="E74" s="72">
        <f xml:space="preserve"> SUM(E70:E73)</f>
        <v>858.48400000000004</v>
      </c>
      <c r="F74" s="47">
        <f xml:space="preserve"> SQRT(F70*F70+F71*F71+F72*F72+F73*F73)</f>
        <v>35.470165929975572</v>
      </c>
      <c r="G74" s="73"/>
      <c r="H74" s="72">
        <f xml:space="preserve"> SUM(H70:H73)</f>
        <v>820.62400000000002</v>
      </c>
      <c r="I74" s="82">
        <f xml:space="preserve"> SQRT(I70*I70+I71*I71+I72*I72+I73*I73)</f>
        <v>31.897582078113697</v>
      </c>
      <c r="J74" s="73"/>
      <c r="K74" s="72"/>
      <c r="L74" s="72"/>
      <c r="M74" s="72"/>
      <c r="N74" s="72"/>
      <c r="O74" s="72"/>
      <c r="P74" s="72"/>
      <c r="Q74" s="105"/>
      <c r="R74" s="105"/>
      <c r="S74" s="72"/>
      <c r="T74" s="72"/>
      <c r="U74" s="72"/>
      <c r="V74" s="72"/>
      <c r="X74" s="3"/>
      <c r="Y74" s="3"/>
      <c r="Z74" s="3"/>
      <c r="AA74" s="3"/>
    </row>
    <row r="75" spans="1:27" x14ac:dyDescent="0.35">
      <c r="A75" s="132" t="s">
        <v>81</v>
      </c>
      <c r="B75" s="132" t="s">
        <v>83</v>
      </c>
      <c r="C75" s="132" t="s">
        <v>17</v>
      </c>
      <c r="D75" s="84" t="s">
        <v>51</v>
      </c>
      <c r="E75" s="122">
        <v>1694.17</v>
      </c>
      <c r="F75" s="122">
        <v>66.479100000000003</v>
      </c>
      <c r="G75" s="87"/>
      <c r="H75" s="75">
        <v>1711.08</v>
      </c>
      <c r="I75" s="75">
        <v>74.035799999999995</v>
      </c>
      <c r="J75" s="87"/>
      <c r="Q75" s="106"/>
      <c r="R75" s="106"/>
      <c r="U75" s="64">
        <v>0.121017</v>
      </c>
      <c r="V75" s="64">
        <v>1.1499000000000001E-2</v>
      </c>
      <c r="X75" s="3"/>
      <c r="Y75" s="3"/>
      <c r="Z75" s="3"/>
      <c r="AA75" s="3"/>
    </row>
    <row r="76" spans="1:27" x14ac:dyDescent="0.35">
      <c r="A76" s="132"/>
      <c r="B76" s="132"/>
      <c r="C76" s="132"/>
      <c r="D76" s="85" t="s">
        <v>49</v>
      </c>
      <c r="E76" s="122">
        <v>464.09699999999998</v>
      </c>
      <c r="F76" s="122">
        <v>31.398499999999999</v>
      </c>
      <c r="G76" s="87">
        <f>SQRT(POWER(Z76,2)+(POWER(E76/$E$80-fitSyst_Inclusive!E76/fitSyst_Inclusive!$E$80,2)+POWER(E76/$E$80-fitSyst_Inclusive!H76/fitSyst_Inclusive!$H$80,2)+POWER(E76/$E$80-fitSyst_Inclusive!K76/fitSyst_Inclusive!$K$80,2)+POWER(E76/$E$80-trgBiassing!E76/trgBiassing!$E$80,2)+POWER(E76/$E$80-trgBiassing!L76/trgBiassing!$L$80,2)+POWER(E76/$E$80-epSystematic!E76/epSystematic!$E$80,2)+POWER(E76/$E$80-zVtx_cut_10cm!E76/zVtx_cut_10cm!$E$80,2))/(7*POWER(PI()/8,2)))</f>
        <v>5.0347089791858327E-2</v>
      </c>
      <c r="H76" s="75">
        <v>491.375</v>
      </c>
      <c r="I76" s="75">
        <v>33.997999999999998</v>
      </c>
      <c r="J76" s="87">
        <f>SQRT(POWER(AA76,2)+(POWER(H76/$H$80-fitSyst_Inclusive!F76/fitSyst_Inclusive!$F$80,2)+POWER(H76/$H$80-fitSyst_Inclusive!I76/fitSyst_Inclusive!$I$80,2)+POWER(H76/$H$80-fitSyst_Inclusive!L76/fitSyst_Inclusive!$L$80,2)+POWER(H76/$H$80-trgBiassing!F76/trgBiassing!$F$80,2)+POWER(H76/$H$80-trgBiassing!M76/trgBiassing!$M$80,2)+POWER(H76/$H$80-epSystematic!F76/epSystematic!$F$80,2)+POWER(H76/$H$80-zVtx_cut_10cm!F75/zVtx_cut_10cm!$F$80,2))/(7*POWER(PI()/8,2)))</f>
        <v>0.68807678328016919</v>
      </c>
      <c r="L76" s="126">
        <v>2.5040400000000001E-2</v>
      </c>
      <c r="M76" s="126">
        <v>2.5074200000000001E-2</v>
      </c>
      <c r="N76" s="126">
        <v>1.96642E-2</v>
      </c>
      <c r="O76" s="126">
        <v>2.3217700000000001E-2</v>
      </c>
      <c r="Q76" s="127">
        <f xml:space="preserve"> (L76/ep_CorrectionFactors!H18+N76/ep_CorrectionFactors!M18)/2</f>
        <v>2.8498119041236787E-2</v>
      </c>
      <c r="R76" s="127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2.1784666579369654E-2</v>
      </c>
      <c r="U76" s="64">
        <v>8.5732500000000003E-2</v>
      </c>
      <c r="V76" s="64">
        <v>1.98587E-2</v>
      </c>
      <c r="X76" s="3">
        <f xml:space="preserve"> E76/($E$80*PI()/8)</f>
        <v>0.69703225314755624</v>
      </c>
      <c r="Y76" s="3">
        <f xml:space="preserve"> H76/($H$80*PI()/8)</f>
        <v>0.73099918713332868</v>
      </c>
      <c r="Z76" s="3">
        <f t="shared" si="18"/>
        <v>4.7157743317568404E-2</v>
      </c>
      <c r="AA76" s="3">
        <f t="shared" si="19"/>
        <v>5.0577482297957582E-2</v>
      </c>
    </row>
    <row r="77" spans="1:27" x14ac:dyDescent="0.35">
      <c r="A77" s="132"/>
      <c r="B77" s="132"/>
      <c r="C77" s="132"/>
      <c r="D77" s="85" t="s">
        <v>50</v>
      </c>
      <c r="E77" s="122">
        <v>415.12299999999999</v>
      </c>
      <c r="F77" s="122">
        <v>30.370699999999999</v>
      </c>
      <c r="G77" s="87">
        <f>SQRT(POWER(Z77,2)+(POWER(E77/$E$80-fitSyst_Inclusive!E77/fitSyst_Inclusive!$E$80,2)+POWER(E77/$E$80-fitSyst_Inclusive!H77/fitSyst_Inclusive!$H$80,2)+POWER(E77/$E$80-fitSyst_Inclusive!K77/fitSyst_Inclusive!$K$80,2)+POWER(E77/$E$80-trgBiassing!E77/trgBiassing!$E$80,2)+POWER(E77/$E$80-trgBiassing!L77/trgBiassing!$L$80,2)+POWER(E77/$E$80-epSystematic!E77/epSystematic!$E$80,2)+POWER(E77/$E$80-zVtx_cut_10cm!E77/zVtx_cut_10cm!$E$80,2))/(7*POWER(PI()/8,2)))</f>
        <v>4.6310284476834336E-2</v>
      </c>
      <c r="H77" s="75">
        <v>421.50799999999998</v>
      </c>
      <c r="I77" s="75">
        <v>32.240900000000003</v>
      </c>
      <c r="J77" s="87">
        <f>SQRT(POWER(AA77,2)+(POWER(H77/$H$80-fitSyst_Inclusive!F77/fitSyst_Inclusive!$F$80,2)+POWER(H77/$H$80-fitSyst_Inclusive!I77/fitSyst_Inclusive!$I$80,2)+POWER(H77/$H$80-fitSyst_Inclusive!L77/fitSyst_Inclusive!$L$80,2)+POWER(H77/$H$80-trgBiassing!F77/trgBiassing!$F$80,2)+POWER(H77/$H$80-trgBiassing!M77/trgBiassing!$M$80,2)+POWER(H77/$H$80-epSystematic!F77/epSystematic!$F$80,2)+POWER(H77/$H$80-zVtx_cut_10cm!F77/zVtx_cut_10cm!$F$80,2))/(7*POWER(PI()/8,2)))</f>
        <v>5.1863792042554799E-2</v>
      </c>
      <c r="L77" s="126"/>
      <c r="M77" s="126"/>
      <c r="N77" s="126"/>
      <c r="O77" s="126"/>
      <c r="Q77" s="127"/>
      <c r="R77" s="127"/>
      <c r="U77" s="64">
        <v>0.16781299999999999</v>
      </c>
      <c r="V77" s="64">
        <v>2.5153600000000002E-2</v>
      </c>
      <c r="X77" s="3">
        <f t="shared" ref="X77:X79" si="22" xml:space="preserve"> E77/($E$80*PI()/8)</f>
        <v>0.62347767820816113</v>
      </c>
      <c r="Y77" s="3">
        <f t="shared" ref="Y77:Y79" si="23" xml:space="preserve"> H77/($H$80*PI()/8)</f>
        <v>0.62706080970785061</v>
      </c>
      <c r="Z77" s="3">
        <f t="shared" si="18"/>
        <v>4.5614079493443149E-2</v>
      </c>
      <c r="AA77" s="3">
        <f t="shared" si="19"/>
        <v>4.7963514001418343E-2</v>
      </c>
    </row>
    <row r="78" spans="1:27" x14ac:dyDescent="0.35">
      <c r="A78" s="132"/>
      <c r="B78" s="132"/>
      <c r="C78" s="132"/>
      <c r="D78" s="84" t="s">
        <v>52</v>
      </c>
      <c r="E78" s="122">
        <v>388.45699999999999</v>
      </c>
      <c r="F78" s="122">
        <v>28.800599999999999</v>
      </c>
      <c r="G78" s="87">
        <f>SQRT(POWER(Z78,2)+(POWER(E78/$E$80-fitSyst_Inclusive!E78/fitSyst_Inclusive!$E$80,2)+POWER(E78/$E$80-fitSyst_Inclusive!H78/fitSyst_Inclusive!$H$80,2)+POWER(E78/$E$80-fitSyst_Inclusive!K78/fitSyst_Inclusive!$K$80,2)+POWER(E78/$E$80-trgBiassing!E78/trgBiassing!$E$80,2)+POWER(E78/$E$80-trgBiassing!L78/trgBiassing!$L$80,2)+POWER(E78/$E$80-epSystematic!E78/epSystematic!$E$80,2)+POWER(E78/$E$80-zVtx_cut_10cm!E78/zVtx_cut_10cm!$E$80,2))/(7*POWER(PI()/8,2)))</f>
        <v>4.8151111302250901E-2</v>
      </c>
      <c r="H78" s="75">
        <v>401.64</v>
      </c>
      <c r="I78" s="75">
        <v>30.848700000000001</v>
      </c>
      <c r="J78" s="87">
        <f>SQRT(POWER(AA78,2)+(POWER(H78/$H$80-fitSyst_Inclusive!F78/fitSyst_Inclusive!$F$80,2)+POWER(H78/$H$80-fitSyst_Inclusive!I78/fitSyst_Inclusive!$I$80,2)+POWER(H78/$H$80-fitSyst_Inclusive!L78/fitSyst_Inclusive!$L$80,2)+POWER(H78/$H$80-trgBiassing!F78/trgBiassing!$F$80,2)+POWER(H78/$H$80-trgBiassing!M78/trgBiassing!$M$80,2)+POWER(H78/$H$80-epSystematic!F78/epSystematic!$F$80,2)+POWER(H78/$H$80-zVtx_cut_10cm!F78/zVtx_cut_10cm!$F$80,2))/(7*POWER(PI()/8,2)))</f>
        <v>5.2324224004702116E-2</v>
      </c>
      <c r="L78" s="126"/>
      <c r="M78" s="126"/>
      <c r="N78" s="126"/>
      <c r="O78" s="126"/>
      <c r="Q78" s="127"/>
      <c r="R78" s="127"/>
      <c r="U78" s="64">
        <v>0.117185</v>
      </c>
      <c r="V78" s="64">
        <v>2.3757899999999998E-2</v>
      </c>
      <c r="X78" s="3">
        <f t="shared" si="22"/>
        <v>0.58342772730903292</v>
      </c>
      <c r="Y78" s="3">
        <f t="shared" si="23"/>
        <v>0.59750397053213966</v>
      </c>
      <c r="Z78" s="3">
        <f t="shared" si="18"/>
        <v>4.3255929493191098E-2</v>
      </c>
      <c r="AA78" s="3">
        <f t="shared" si="19"/>
        <v>4.5892393027972357E-2</v>
      </c>
    </row>
    <row r="79" spans="1:27" x14ac:dyDescent="0.35">
      <c r="A79" s="132"/>
      <c r="B79" s="132"/>
      <c r="C79" s="132"/>
      <c r="D79" s="84" t="s">
        <v>53</v>
      </c>
      <c r="E79" s="122">
        <v>427.81599999999997</v>
      </c>
      <c r="F79" s="122">
        <v>28.941500000000001</v>
      </c>
      <c r="G79" s="87">
        <f>SQRT(POWER(Z79,2)+(POWER(E79/$E$80-fitSyst_Inclusive!E79/fitSyst_Inclusive!$E$80,2)+POWER(E79/$E$80-fitSyst_Inclusive!H79/fitSyst_Inclusive!$H$80,2)+POWER(E79/$E$80-fitSyst_Inclusive!K79/fitSyst_Inclusive!$K$80,2)+POWER(E79/$E$80-trgBiassing!E79/trgBiassing!$E$80,2)+POWER(E79/$E$80-trgBiassing!L79/trgBiassing!$L$80,2)+POWER(E79/$E$80-epSystematic!E79/epSystematic!$E$80,2)+POWER(E79/$E$80-zVtx_cut_10cm!E79/zVtx_cut_10cm!$E$80,2))/(7*POWER(PI()/8,2)))</f>
        <v>5.0120143807814439E-2</v>
      </c>
      <c r="H79" s="75">
        <v>397.21100000000001</v>
      </c>
      <c r="I79" s="75">
        <v>30.107700000000001</v>
      </c>
      <c r="J79" s="87">
        <f>SQRT(POWER(AA79,2)+(POWER(H79/$H$80-fitSyst_Inclusive!F79/fitSyst_Inclusive!$F$80,2)+POWER(H79/$H$80-fitSyst_Inclusive!I79/fitSyst_Inclusive!$I$80,2)+POWER(H79/$H$80-fitSyst_Inclusive!L79/fitSyst_Inclusive!$L$80,2)+POWER(H79/$H$80-trgBiassing!F79/trgBiassing!$F$80,2)+POWER(H79/$H$80-trgBiassing!M79/trgBiassing!$M$80,2)+POWER(H79/$H$80-epSystematic!F79/epSystematic!$F$80,2)+POWER(H79/$H$80-zVtx_cut_10cm!F79/zVtx_cut_10cm!$F$80,2))/(7*POWER(PI()/8,2)))</f>
        <v>4.6707736475657916E-2</v>
      </c>
      <c r="L79" s="126"/>
      <c r="M79" s="126"/>
      <c r="N79" s="126"/>
      <c r="O79" s="126"/>
      <c r="Q79" s="127"/>
      <c r="R79" s="127"/>
      <c r="U79" s="64">
        <v>0.10270899999999999</v>
      </c>
      <c r="V79" s="64">
        <v>2.09984E-2</v>
      </c>
      <c r="X79" s="3">
        <f t="shared" si="22"/>
        <v>0.64254143080557491</v>
      </c>
      <c r="Y79" s="3">
        <f t="shared" si="23"/>
        <v>0.59091512209700658</v>
      </c>
      <c r="Z79" s="3">
        <f t="shared" si="18"/>
        <v>4.3467548711734826E-2</v>
      </c>
      <c r="AA79" s="3">
        <f t="shared" si="19"/>
        <v>4.4790036583981924E-2</v>
      </c>
    </row>
    <row r="80" spans="1:27" x14ac:dyDescent="0.35">
      <c r="A80" s="132"/>
      <c r="B80" s="132"/>
      <c r="C80" s="132"/>
      <c r="D80" s="80"/>
      <c r="E80" s="72">
        <f xml:space="preserve"> SUM(E76:E79)</f>
        <v>1695.4930000000002</v>
      </c>
      <c r="F80" s="47">
        <f xml:space="preserve"> SQRT(F76*F76+F77*F77+F78*F78+F79*F79)</f>
        <v>59.79406495087953</v>
      </c>
      <c r="G80" s="73"/>
      <c r="H80" s="72">
        <f xml:space="preserve"> SUM(H76:H79)</f>
        <v>1711.7340000000002</v>
      </c>
      <c r="I80" s="82">
        <f xml:space="preserve"> SQRT(I76*I76+I77*I77+I78*I78+I79*I79)</f>
        <v>63.666753708587976</v>
      </c>
      <c r="J80" s="73"/>
      <c r="K80" s="72"/>
      <c r="L80" s="72"/>
      <c r="M80" s="72"/>
      <c r="N80" s="72"/>
      <c r="O80" s="72"/>
      <c r="P80" s="72"/>
      <c r="Q80" s="105"/>
      <c r="R80" s="105"/>
      <c r="S80" s="72"/>
      <c r="T80" s="72"/>
      <c r="U80" s="72"/>
      <c r="V80" s="72"/>
      <c r="X80" s="3"/>
      <c r="Y80" s="3"/>
      <c r="Z80" s="3"/>
      <c r="AA80" s="3"/>
    </row>
    <row r="81" spans="1:27" x14ac:dyDescent="0.35">
      <c r="A81" s="132"/>
      <c r="B81" s="132" t="s">
        <v>79</v>
      </c>
      <c r="C81" s="132" t="s">
        <v>17</v>
      </c>
      <c r="D81" s="84" t="s">
        <v>51</v>
      </c>
      <c r="E81" s="64">
        <v>951.87400000000002</v>
      </c>
      <c r="F81" s="64">
        <v>36.203699999999998</v>
      </c>
      <c r="G81" s="87"/>
      <c r="H81" s="64">
        <v>879.52300000000002</v>
      </c>
      <c r="I81" s="64">
        <v>34.138300000000001</v>
      </c>
      <c r="J81" s="87"/>
      <c r="Q81" s="106"/>
      <c r="R81" s="106"/>
      <c r="U81" s="64">
        <v>0.202377</v>
      </c>
      <c r="V81" s="64">
        <v>1.4241500000000001E-2</v>
      </c>
      <c r="X81" s="3"/>
      <c r="Y81" s="3"/>
      <c r="Z81" s="3"/>
      <c r="AA81" s="3"/>
    </row>
    <row r="82" spans="1:27" x14ac:dyDescent="0.35">
      <c r="A82" s="132"/>
      <c r="B82" s="132"/>
      <c r="C82" s="132"/>
      <c r="D82" s="85" t="s">
        <v>49</v>
      </c>
      <c r="E82" s="64">
        <v>274.625</v>
      </c>
      <c r="F82" s="64">
        <v>19.561199999999999</v>
      </c>
      <c r="G82" s="87">
        <f>SQRT(POWER(Z82,2)+(POWER(E82/$E$86-fitSyst_Inclusive!E82/fitSyst_Inclusive!$E$86,2)+POWER(E82/$E$86-fitSyst_Inclusive!H82/fitSyst_Inclusive!$H$86,2)+POWER(E82/$E$86-fitSyst_Inclusive!K82/fitSyst_Inclusive!$K$86,2)+POWER(E82/$E$86-trgBiassing!E82/trgBiassing!$E$86,2)+POWER(E82/$E$86-trgBiassing!L82/trgBiassing!$L$86,2)+POWER(E82/$E$86-epSystematic!E82/epSystematic!$E$86,2)+POWER(E82/$E$86-zVtx_cut_10cm!E82/zVtx_cut_10cm!$E$86,2))/(7*POWER(PI()/8,2)))</f>
        <v>5.9946399554642517E-2</v>
      </c>
      <c r="H82" s="64">
        <v>238.74700000000001</v>
      </c>
      <c r="I82" s="64">
        <v>17.961500000000001</v>
      </c>
      <c r="J82" s="87">
        <f>SQRT(POWER(AA82,2)+(POWER(H82/$H$86-fitSyst_Inclusive!F82/fitSyst_Inclusive!$F$86,2)+POWER(H82/$H$86-fitSyst_Inclusive!I82/fitSyst_Inclusive!$I$86,2)+POWER(H82/$H$86-fitSyst_Inclusive!L82/fitSyst_Inclusive!$L$86,2)+POWER(H82/$H$86-trgBiassing!F82/trgBiassing!$F$86,2)+POWER(H82/$H$86-trgBiassing!M82/trgBiassing!$M$86,2)+POWER(H82/$H$86-epSystematic!F82/epSystematic!$F$86,2)+POWER(H82/$H$86-zVtx_cut_10cm!F81/zVtx_cut_10cm!$F$86,2))/(7*POWER(PI()/8,2)))</f>
        <v>0.13107288028661668</v>
      </c>
      <c r="L82" s="126">
        <v>6.1346699999999997E-2</v>
      </c>
      <c r="M82" s="126">
        <v>2.65671E-2</v>
      </c>
      <c r="N82" s="126">
        <v>3.8789799999999999E-2</v>
      </c>
      <c r="O82" s="126">
        <v>2.7592999999999999E-2</v>
      </c>
      <c r="Q82" s="127">
        <f xml:space="preserve"> (L82/ep_CorrectionFactors!H18+N82/ep_CorrectionFactors!M18)/2</f>
        <v>6.3832227106114803E-2</v>
      </c>
      <c r="R82" s="127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2.441921144583881E-2</v>
      </c>
      <c r="U82" s="64">
        <v>0.19911499999999999</v>
      </c>
      <c r="V82" s="64">
        <v>2.6323900000000001E-2</v>
      </c>
      <c r="X82" s="3">
        <f xml:space="preserve"> E82/($E$86*PI()/8)</f>
        <v>0.73583683625000462</v>
      </c>
      <c r="Y82" s="3">
        <f xml:space="preserve"> H82/($H$86*PI()/8)</f>
        <v>0.69254236452627171</v>
      </c>
      <c r="Z82" s="3">
        <f t="shared" si="18"/>
        <v>5.2412750191182848E-2</v>
      </c>
      <c r="AA82" s="3">
        <f t="shared" si="19"/>
        <v>5.2101595749637186E-2</v>
      </c>
    </row>
    <row r="83" spans="1:27" x14ac:dyDescent="0.35">
      <c r="A83" s="132"/>
      <c r="B83" s="132"/>
      <c r="C83" s="132"/>
      <c r="D83" s="85" t="s">
        <v>50</v>
      </c>
      <c r="E83" s="64">
        <v>230.774</v>
      </c>
      <c r="F83" s="64">
        <v>17.448799999999999</v>
      </c>
      <c r="G83" s="87">
        <f>SQRT(POWER(Z83,2)+(POWER(E83/$E$86-fitSyst_Inclusive!E83/fitSyst_Inclusive!$E$86,2)+POWER(E83/$E$86-fitSyst_Inclusive!H83/fitSyst_Inclusive!$H$86,2)+POWER(E83/$E$86-fitSyst_Inclusive!K83/fitSyst_Inclusive!$K$86,2)+POWER(E83/$E$86-trgBiassing!E83/trgBiassing!$E$86,2)+POWER(E83/$E$86-trgBiassing!L83/trgBiassing!$L$86,2)+POWER(E83/$E$86-epSystematic!E83/epSystematic!$E$86,2)+POWER(E83/$E$86-zVtx_cut_10cm!E83/zVtx_cut_10cm!$E$86,2))/(7*POWER(PI()/8,2)))</f>
        <v>5.2771016879253348E-2</v>
      </c>
      <c r="H83" s="64">
        <v>229.221</v>
      </c>
      <c r="I83" s="64">
        <v>17.320499999999999</v>
      </c>
      <c r="J83" s="87">
        <f>SQRT(POWER(AA83,2)+(POWER(H83/$H$86-fitSyst_Inclusive!F83/fitSyst_Inclusive!$F$86,2)+POWER(H83/$H$86-fitSyst_Inclusive!I83/fitSyst_Inclusive!$I$86,2)+POWER(H83/$H$86-fitSyst_Inclusive!L83/fitSyst_Inclusive!$L$86,2)+POWER(H83/$H$86-trgBiassing!F83/trgBiassing!$F$86,2)+POWER(H83/$H$86-trgBiassing!M83/trgBiassing!$M$86,2)+POWER(H83/$H$86-epSystematic!F83/epSystematic!$F$86,2)+POWER(H83/$H$86-zVtx_cut_10cm!F83/zVtx_cut_10cm!$F$86,2))/(7*POWER(PI()/8,2)))</f>
        <v>0.1397164921100294</v>
      </c>
      <c r="L83" s="126"/>
      <c r="M83" s="126"/>
      <c r="N83" s="126"/>
      <c r="O83" s="126"/>
      <c r="Q83" s="127"/>
      <c r="R83" s="127"/>
      <c r="U83" s="64">
        <v>0.17042499999999999</v>
      </c>
      <c r="V83" s="64">
        <v>2.7852100000000001E-2</v>
      </c>
      <c r="X83" s="3">
        <f t="shared" ref="X83:X85" si="24" xml:space="preserve"> E83/($E$86*PI()/8)</f>
        <v>0.61834141119256647</v>
      </c>
      <c r="Y83" s="3">
        <f t="shared" ref="Y83:Y85" si="25" xml:space="preserve"> H83/($H$86*PI()/8)</f>
        <v>0.66490993955558197</v>
      </c>
      <c r="Z83" s="3">
        <f t="shared" si="18"/>
        <v>4.6752734777820958E-2</v>
      </c>
      <c r="AA83" s="3">
        <f t="shared" si="19"/>
        <v>5.02422230427075E-2</v>
      </c>
    </row>
    <row r="84" spans="1:27" x14ac:dyDescent="0.35">
      <c r="A84" s="132"/>
      <c r="B84" s="132"/>
      <c r="C84" s="132"/>
      <c r="D84" s="84" t="s">
        <v>52</v>
      </c>
      <c r="E84" s="64">
        <v>240.994</v>
      </c>
      <c r="F84" s="64">
        <v>17.8353</v>
      </c>
      <c r="G84" s="87">
        <f>SQRT(POWER(Z84,2)+(POWER(E84/$E$86-fitSyst_Inclusive!E84/fitSyst_Inclusive!$E$86,2)+POWER(E84/$E$86-fitSyst_Inclusive!H84/fitSyst_Inclusive!$H$86,2)+POWER(E84/$E$86-fitSyst_Inclusive!K84/fitSyst_Inclusive!$K$86,2)+POWER(E84/$E$86-trgBiassing!E84/trgBiassing!$E$86,2)+POWER(E84/$E$86-trgBiassing!L84/trgBiassing!$L$86,2)+POWER(E84/$E$86-epSystematic!E84/epSystematic!$E$86,2)+POWER(E84/$E$86-zVtx_cut_10cm!E84/zVtx_cut_10cm!$E$86,2))/(7*POWER(PI()/8,2)))</f>
        <v>6.0256076041530715E-2</v>
      </c>
      <c r="H84" s="64">
        <v>195.00800000000001</v>
      </c>
      <c r="I84" s="64">
        <v>16.092500000000001</v>
      </c>
      <c r="J84" s="87">
        <f>SQRT(POWER(AA84,2)+(POWER(H84/$H$86-fitSyst_Inclusive!F84/fitSyst_Inclusive!$F$86,2)+POWER(H84/$H$86-fitSyst_Inclusive!I84/fitSyst_Inclusive!$I$86,2)+POWER(H84/$H$86-fitSyst_Inclusive!L84/fitSyst_Inclusive!$L$86,2)+POWER(H84/$H$86-trgBiassing!F84/trgBiassing!$F$86,2)+POWER(H84/$H$86-trgBiassing!M84/trgBiassing!$M$86,2)+POWER(H84/$H$86-epSystematic!F84/epSystematic!$F$86,2)+POWER(H84/$H$86-zVtx_cut_10cm!F84/zVtx_cut_10cm!$F$86,2))/(7*POWER(PI()/8,2)))</f>
        <v>9.2325986564986959E-2</v>
      </c>
      <c r="L84" s="126"/>
      <c r="M84" s="126"/>
      <c r="N84" s="126"/>
      <c r="O84" s="126"/>
      <c r="Q84" s="127"/>
      <c r="R84" s="127"/>
      <c r="U84" s="64">
        <v>0.20465800000000001</v>
      </c>
      <c r="V84" s="64">
        <v>2.8122299999999999E-2</v>
      </c>
      <c r="X84" s="3">
        <f t="shared" si="24"/>
        <v>0.64572512522615788</v>
      </c>
      <c r="Y84" s="3">
        <f t="shared" si="25"/>
        <v>0.56566700909975498</v>
      </c>
      <c r="Z84" s="3">
        <f t="shared" si="18"/>
        <v>4.7788332182320287E-2</v>
      </c>
      <c r="AA84" s="3">
        <f t="shared" si="19"/>
        <v>4.6680117451272804E-2</v>
      </c>
    </row>
    <row r="85" spans="1:27" x14ac:dyDescent="0.35">
      <c r="A85" s="132"/>
      <c r="B85" s="132"/>
      <c r="C85" s="132"/>
      <c r="D85" s="84" t="s">
        <v>53</v>
      </c>
      <c r="E85" s="64">
        <v>203.99</v>
      </c>
      <c r="F85" s="64">
        <v>16.478200000000001</v>
      </c>
      <c r="G85" s="87">
        <f>SQRT(POWER(Z85,2)+(POWER(E85/$E$86-fitSyst_Inclusive!E85/fitSyst_Inclusive!$E$86,2)+POWER(E85/$E$86-fitSyst_Inclusive!H85/fitSyst_Inclusive!$H$86,2)+POWER(E85/$E$86-fitSyst_Inclusive!K85/fitSyst_Inclusive!$K$86,2)+POWER(E85/$E$86-trgBiassing!E85/trgBiassing!$E$86,2)+POWER(E85/$E$86-trgBiassing!L85/trgBiassing!$L$86,2)+POWER(E85/$E$86-epSystematic!E85/epSystematic!$E$86,2)+POWER(E85/$E$86-zVtx_cut_10cm!E85/zVtx_cut_10cm!$E$86,2))/(7*POWER(PI()/8,2)))</f>
        <v>6.0204701819017485E-2</v>
      </c>
      <c r="H85" s="64">
        <v>214.89699999999999</v>
      </c>
      <c r="I85" s="64">
        <v>16.48</v>
      </c>
      <c r="J85" s="87">
        <f>SQRT(POWER(AA85,2)+(POWER(H85/$H$86-fitSyst_Inclusive!F85/fitSyst_Inclusive!$F$86,2)+POWER(H85/$H$86-fitSyst_Inclusive!I85/fitSyst_Inclusive!$I$86,2)+POWER(H85/$H$86-fitSyst_Inclusive!L85/fitSyst_Inclusive!$L$86,2)+POWER(H85/$H$86-trgBiassing!F85/trgBiassing!$F$86,2)+POWER(H85/$H$86-trgBiassing!M85/trgBiassing!$M$86,2)+POWER(H85/$H$86-epSystematic!F85/epSystematic!$F$86,2)+POWER(H85/$H$86-zVtx_cut_10cm!F85/zVtx_cut_10cm!$F$86,2))/(7*POWER(PI()/8,2)))</f>
        <v>0.10662485457728346</v>
      </c>
      <c r="L85" s="126"/>
      <c r="M85" s="126"/>
      <c r="N85" s="126"/>
      <c r="O85" s="126"/>
      <c r="Q85" s="127"/>
      <c r="R85" s="127"/>
      <c r="U85" s="64">
        <v>0.238874</v>
      </c>
      <c r="V85" s="64">
        <v>3.2054199999999998E-2</v>
      </c>
      <c r="X85" s="3">
        <f t="shared" si="24"/>
        <v>0.54657571680159656</v>
      </c>
      <c r="Y85" s="3">
        <f t="shared" si="25"/>
        <v>0.62335977628871653</v>
      </c>
      <c r="Z85" s="3">
        <f t="shared" si="18"/>
        <v>4.4152085771851896E-2</v>
      </c>
      <c r="AA85" s="3">
        <f t="shared" si="19"/>
        <v>4.78041532140423E-2</v>
      </c>
    </row>
    <row r="86" spans="1:27" x14ac:dyDescent="0.35">
      <c r="A86" s="132"/>
      <c r="B86" s="132"/>
      <c r="C86" s="132"/>
      <c r="D86" s="80"/>
      <c r="E86" s="72">
        <f xml:space="preserve"> SUM(E82:E85)</f>
        <v>950.38300000000004</v>
      </c>
      <c r="F86" s="47">
        <f xml:space="preserve"> SQRT(F82*F82+F83*F83+F84*F84+F85*F85)</f>
        <v>35.731361130105299</v>
      </c>
      <c r="G86" s="73"/>
      <c r="H86" s="72">
        <f xml:space="preserve"> SUM(H82:H85)</f>
        <v>877.87300000000005</v>
      </c>
      <c r="I86" s="82">
        <f xml:space="preserve"> SQRT(I82*I82+I83*I83+I84*I84+I85*I85)</f>
        <v>33.958418083738827</v>
      </c>
      <c r="J86" s="73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</row>
  </sheetData>
  <mergeCells count="118">
    <mergeCell ref="Q82:Q85"/>
    <mergeCell ref="R82:R85"/>
    <mergeCell ref="M28:M31"/>
    <mergeCell ref="O22:O25"/>
    <mergeCell ref="O28:O31"/>
    <mergeCell ref="Q64:Q67"/>
    <mergeCell ref="R64:R67"/>
    <mergeCell ref="Q70:Q73"/>
    <mergeCell ref="R70:R73"/>
    <mergeCell ref="Q76:Q79"/>
    <mergeCell ref="R76:R79"/>
    <mergeCell ref="Q34:Q37"/>
    <mergeCell ref="R34:R37"/>
    <mergeCell ref="Q40:Q43"/>
    <mergeCell ref="R40:R43"/>
    <mergeCell ref="R46:R49"/>
    <mergeCell ref="L76:L79"/>
    <mergeCell ref="L82:L85"/>
    <mergeCell ref="M70:M73"/>
    <mergeCell ref="N70:N73"/>
    <mergeCell ref="O70:O73"/>
    <mergeCell ref="O76:O79"/>
    <mergeCell ref="M76:M79"/>
    <mergeCell ref="N76:N79"/>
    <mergeCell ref="M82:M85"/>
    <mergeCell ref="N82:N85"/>
    <mergeCell ref="O82:O85"/>
    <mergeCell ref="L64:L67"/>
    <mergeCell ref="M64:M67"/>
    <mergeCell ref="N64:N67"/>
    <mergeCell ref="O64:O67"/>
    <mergeCell ref="L70:L73"/>
    <mergeCell ref="R52:R55"/>
    <mergeCell ref="L58:L61"/>
    <mergeCell ref="M58:M61"/>
    <mergeCell ref="N58:N61"/>
    <mergeCell ref="O58:O61"/>
    <mergeCell ref="Q58:Q61"/>
    <mergeCell ref="R58:R61"/>
    <mergeCell ref="L52:L55"/>
    <mergeCell ref="M52:M55"/>
    <mergeCell ref="N52:N55"/>
    <mergeCell ref="O52:O55"/>
    <mergeCell ref="Q52:Q55"/>
    <mergeCell ref="A33:A62"/>
    <mergeCell ref="B33:B38"/>
    <mergeCell ref="C33:C62"/>
    <mergeCell ref="B39:B44"/>
    <mergeCell ref="L34:L37"/>
    <mergeCell ref="M34:M37"/>
    <mergeCell ref="N34:N37"/>
    <mergeCell ref="O34:O37"/>
    <mergeCell ref="L40:L43"/>
    <mergeCell ref="M40:M43"/>
    <mergeCell ref="N40:N43"/>
    <mergeCell ref="O40:O43"/>
    <mergeCell ref="B45:B50"/>
    <mergeCell ref="B51:B56"/>
    <mergeCell ref="B57:B62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S4:S7"/>
    <mergeCell ref="T4:T7"/>
    <mergeCell ref="S10:S13"/>
    <mergeCell ref="T10:T13"/>
    <mergeCell ref="S16:S19"/>
    <mergeCell ref="T16:T19"/>
    <mergeCell ref="R22:R25"/>
    <mergeCell ref="Q28:Q31"/>
    <mergeCell ref="R28:R31"/>
    <mergeCell ref="R4:R7"/>
    <mergeCell ref="Q10:Q13"/>
    <mergeCell ref="R10:R13"/>
    <mergeCell ref="Q16:Q19"/>
    <mergeCell ref="R16:R19"/>
    <mergeCell ref="B3:B32"/>
    <mergeCell ref="L46:L49"/>
    <mergeCell ref="M46:M49"/>
    <mergeCell ref="N46:N49"/>
    <mergeCell ref="O46:O49"/>
    <mergeCell ref="Q46:Q49"/>
    <mergeCell ref="O10:O13"/>
    <mergeCell ref="P10:P13"/>
    <mergeCell ref="N4:N7"/>
    <mergeCell ref="N10:N13"/>
    <mergeCell ref="N16:N19"/>
    <mergeCell ref="N22:N25"/>
    <mergeCell ref="N28:N31"/>
    <mergeCell ref="O4:O7"/>
    <mergeCell ref="A3:A32"/>
    <mergeCell ref="L22:L25"/>
    <mergeCell ref="L28:L31"/>
    <mergeCell ref="Q4:Q7"/>
    <mergeCell ref="Q22:Q25"/>
    <mergeCell ref="C3:C8"/>
    <mergeCell ref="C9:C14"/>
    <mergeCell ref="C15:C20"/>
    <mergeCell ref="M4:M7"/>
    <mergeCell ref="M10:M13"/>
    <mergeCell ref="M16:M19"/>
    <mergeCell ref="M22:M25"/>
    <mergeCell ref="L4:L7"/>
    <mergeCell ref="L10:L13"/>
    <mergeCell ref="L16:L19"/>
    <mergeCell ref="C21:C26"/>
    <mergeCell ref="C27:C32"/>
    <mergeCell ref="P4:P7"/>
    <mergeCell ref="O16:O19"/>
    <mergeCell ref="P16:P19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6"/>
  <sheetViews>
    <sheetView tabSelected="1" showRuler="0" topLeftCell="A76" zoomScale="50" zoomScaleNormal="50" workbookViewId="0">
      <pane xSplit="3" topLeftCell="D1" activePane="topRight" state="frozen"/>
      <selection activeCell="F3" sqref="F3"/>
      <selection pane="topRight" activeCell="E86" sqref="E86"/>
    </sheetView>
  </sheetViews>
  <sheetFormatPr defaultColWidth="10.77734375" defaultRowHeight="20.25" x14ac:dyDescent="0.35"/>
  <cols>
    <col min="1" max="16384" width="10.77734375" style="46"/>
  </cols>
  <sheetData>
    <row r="2" spans="1:18" x14ac:dyDescent="0.35">
      <c r="A2" s="3" t="s">
        <v>18</v>
      </c>
      <c r="B2" s="3" t="s">
        <v>19</v>
      </c>
      <c r="C2" s="3" t="s">
        <v>20</v>
      </c>
      <c r="D2" s="3" t="s">
        <v>48</v>
      </c>
      <c r="E2" s="85" t="s">
        <v>63</v>
      </c>
      <c r="F2" s="85" t="s">
        <v>64</v>
      </c>
      <c r="G2" s="85"/>
      <c r="H2" s="85"/>
      <c r="I2" s="85"/>
      <c r="J2" s="85"/>
    </row>
    <row r="3" spans="1:18" x14ac:dyDescent="0.35">
      <c r="A3" s="125" t="s">
        <v>55</v>
      </c>
      <c r="B3" s="125" t="s">
        <v>25</v>
      </c>
      <c r="C3" s="125" t="s">
        <v>35</v>
      </c>
      <c r="D3" s="3" t="s">
        <v>51</v>
      </c>
      <c r="E3" s="67">
        <v>1299.0999999999999</v>
      </c>
      <c r="F3" s="67">
        <v>1150.5</v>
      </c>
      <c r="G3" s="83"/>
      <c r="H3" s="83"/>
      <c r="I3" s="83"/>
      <c r="J3" s="83"/>
    </row>
    <row r="4" spans="1:18" x14ac:dyDescent="0.35">
      <c r="A4" s="125"/>
      <c r="B4" s="125"/>
      <c r="C4" s="125"/>
      <c r="D4" s="3" t="s">
        <v>49</v>
      </c>
      <c r="E4" s="67">
        <v>342.51600000000002</v>
      </c>
      <c r="F4" s="67">
        <v>318.50299999999999</v>
      </c>
      <c r="G4" s="83"/>
      <c r="H4" s="83"/>
      <c r="I4" s="83"/>
      <c r="J4" s="83"/>
    </row>
    <row r="5" spans="1:18" x14ac:dyDescent="0.35">
      <c r="A5" s="125"/>
      <c r="B5" s="125"/>
      <c r="C5" s="125"/>
      <c r="D5" s="3" t="s">
        <v>50</v>
      </c>
      <c r="E5" s="67">
        <v>331.42599999999999</v>
      </c>
      <c r="F5" s="67">
        <v>282.39600000000002</v>
      </c>
      <c r="G5" s="83"/>
      <c r="H5" s="83"/>
      <c r="I5" s="83"/>
      <c r="J5" s="83"/>
    </row>
    <row r="6" spans="1:18" x14ac:dyDescent="0.35">
      <c r="A6" s="125"/>
      <c r="B6" s="125"/>
      <c r="C6" s="125"/>
      <c r="D6" s="46" t="s">
        <v>52</v>
      </c>
      <c r="E6" s="67">
        <v>300.43</v>
      </c>
      <c r="F6" s="67">
        <v>285.51100000000002</v>
      </c>
      <c r="G6" s="83"/>
      <c r="H6" s="83"/>
      <c r="I6" s="83"/>
      <c r="J6" s="83"/>
    </row>
    <row r="7" spans="1:18" x14ac:dyDescent="0.35">
      <c r="A7" s="125"/>
      <c r="B7" s="125"/>
      <c r="C7" s="125"/>
      <c r="D7" s="46" t="s">
        <v>53</v>
      </c>
      <c r="E7" s="67">
        <v>310.79199999999997</v>
      </c>
      <c r="F7" s="67">
        <v>263.42500000000001</v>
      </c>
      <c r="G7" s="83"/>
      <c r="H7" s="83"/>
      <c r="I7" s="83"/>
      <c r="J7" s="83"/>
    </row>
    <row r="8" spans="1:18" x14ac:dyDescent="0.35">
      <c r="A8" s="125"/>
      <c r="B8" s="125"/>
      <c r="C8" s="125"/>
      <c r="D8" s="80"/>
      <c r="E8" s="80">
        <f xml:space="preserve"> SUM(E4:E7)</f>
        <v>1285.164</v>
      </c>
      <c r="F8" s="80">
        <f xml:space="preserve"> SUM(F4:F7)</f>
        <v>1149.835</v>
      </c>
      <c r="G8" s="80"/>
      <c r="H8" s="80"/>
      <c r="I8" s="94"/>
      <c r="J8" s="80"/>
      <c r="K8" s="80"/>
      <c r="L8" s="80"/>
      <c r="M8" s="84"/>
      <c r="N8" s="86"/>
      <c r="O8" s="84"/>
      <c r="P8" s="84"/>
      <c r="Q8" s="84"/>
      <c r="R8" s="84"/>
    </row>
    <row r="9" spans="1:18" x14ac:dyDescent="0.35">
      <c r="A9" s="125"/>
      <c r="B9" s="125"/>
      <c r="C9" s="128" t="s">
        <v>2</v>
      </c>
      <c r="D9" s="3" t="s">
        <v>51</v>
      </c>
      <c r="E9" s="83">
        <v>1</v>
      </c>
      <c r="F9" s="83">
        <v>1</v>
      </c>
      <c r="G9" s="83"/>
      <c r="H9" s="83"/>
      <c r="I9" s="83"/>
      <c r="J9" s="83"/>
    </row>
    <row r="10" spans="1:18" x14ac:dyDescent="0.35">
      <c r="A10" s="125"/>
      <c r="B10" s="125"/>
      <c r="C10" s="128"/>
      <c r="D10" s="3" t="s">
        <v>49</v>
      </c>
      <c r="E10" s="83">
        <v>1</v>
      </c>
      <c r="F10" s="83">
        <v>1</v>
      </c>
      <c r="G10" s="83"/>
      <c r="H10" s="83"/>
      <c r="I10" s="83"/>
      <c r="J10" s="83"/>
    </row>
    <row r="11" spans="1:18" x14ac:dyDescent="0.35">
      <c r="A11" s="125"/>
      <c r="B11" s="125"/>
      <c r="C11" s="128"/>
      <c r="D11" s="3" t="s">
        <v>50</v>
      </c>
      <c r="E11" s="83">
        <v>1</v>
      </c>
      <c r="F11" s="83">
        <v>1</v>
      </c>
      <c r="G11" s="83"/>
      <c r="H11" s="83"/>
      <c r="I11" s="83"/>
      <c r="J11" s="83"/>
    </row>
    <row r="12" spans="1:18" x14ac:dyDescent="0.35">
      <c r="A12" s="125"/>
      <c r="B12" s="125"/>
      <c r="C12" s="128"/>
      <c r="D12" s="46" t="s">
        <v>52</v>
      </c>
      <c r="E12" s="83">
        <v>1</v>
      </c>
      <c r="F12" s="83">
        <v>1</v>
      </c>
      <c r="G12" s="83"/>
      <c r="H12" s="83"/>
      <c r="I12" s="83"/>
      <c r="J12" s="83"/>
    </row>
    <row r="13" spans="1:18" x14ac:dyDescent="0.35">
      <c r="A13" s="125"/>
      <c r="B13" s="125"/>
      <c r="C13" s="128"/>
      <c r="D13" s="46" t="s">
        <v>53</v>
      </c>
      <c r="E13" s="83">
        <v>1</v>
      </c>
      <c r="F13" s="83">
        <v>1</v>
      </c>
      <c r="G13" s="83"/>
      <c r="H13" s="83"/>
      <c r="I13" s="83"/>
      <c r="J13" s="83"/>
    </row>
    <row r="14" spans="1:18" x14ac:dyDescent="0.35">
      <c r="A14" s="125"/>
      <c r="B14" s="125"/>
      <c r="C14" s="128"/>
      <c r="D14" s="80"/>
      <c r="E14" s="80"/>
      <c r="F14" s="80"/>
      <c r="G14" s="80"/>
      <c r="H14" s="80"/>
      <c r="I14" s="94"/>
      <c r="J14" s="80"/>
      <c r="K14" s="80"/>
      <c r="L14" s="80"/>
      <c r="M14" s="84"/>
      <c r="N14" s="86"/>
      <c r="O14" s="84"/>
      <c r="P14" s="84"/>
      <c r="Q14" s="84"/>
      <c r="R14" s="84"/>
    </row>
    <row r="15" spans="1:18" x14ac:dyDescent="0.35">
      <c r="A15" s="125"/>
      <c r="B15" s="125"/>
      <c r="C15" s="126" t="s">
        <v>54</v>
      </c>
      <c r="D15" s="85" t="s">
        <v>51</v>
      </c>
      <c r="E15" s="67">
        <v>1116.95</v>
      </c>
      <c r="F15" s="67">
        <v>1074.68</v>
      </c>
      <c r="G15" s="83"/>
      <c r="H15" s="83"/>
      <c r="I15" s="83"/>
      <c r="J15" s="83"/>
    </row>
    <row r="16" spans="1:18" x14ac:dyDescent="0.35">
      <c r="A16" s="125"/>
      <c r="B16" s="125"/>
      <c r="C16" s="126"/>
      <c r="D16" s="85" t="s">
        <v>49</v>
      </c>
      <c r="E16" s="67">
        <v>282.11900000000003</v>
      </c>
      <c r="F16" s="67">
        <v>324.03899999999999</v>
      </c>
      <c r="G16" s="83"/>
      <c r="H16" s="83"/>
      <c r="I16" s="83"/>
      <c r="J16" s="83"/>
    </row>
    <row r="17" spans="1:18" x14ac:dyDescent="0.35">
      <c r="A17" s="125"/>
      <c r="B17" s="125"/>
      <c r="C17" s="126"/>
      <c r="D17" s="85" t="s">
        <v>50</v>
      </c>
      <c r="E17" s="67">
        <v>293.35000000000002</v>
      </c>
      <c r="F17" s="67">
        <v>272.00900000000001</v>
      </c>
      <c r="G17" s="83"/>
      <c r="H17" s="83"/>
      <c r="I17" s="83"/>
      <c r="J17" s="83"/>
    </row>
    <row r="18" spans="1:18" x14ac:dyDescent="0.35">
      <c r="A18" s="125"/>
      <c r="B18" s="125"/>
      <c r="C18" s="126"/>
      <c r="D18" s="84" t="s">
        <v>52</v>
      </c>
      <c r="E18" s="67">
        <v>276.44200000000001</v>
      </c>
      <c r="F18" s="67">
        <v>238.244</v>
      </c>
      <c r="G18" s="83"/>
      <c r="H18" s="83"/>
      <c r="I18" s="83"/>
      <c r="J18" s="83"/>
    </row>
    <row r="19" spans="1:18" x14ac:dyDescent="0.35">
      <c r="A19" s="125"/>
      <c r="B19" s="125"/>
      <c r="C19" s="126"/>
      <c r="D19" s="84" t="s">
        <v>53</v>
      </c>
      <c r="E19" s="67">
        <v>266.81299999999999</v>
      </c>
      <c r="F19" s="67">
        <v>240.75299999999999</v>
      </c>
      <c r="G19" s="83"/>
      <c r="H19" s="83"/>
      <c r="I19" s="83"/>
      <c r="J19" s="83"/>
    </row>
    <row r="20" spans="1:18" x14ac:dyDescent="0.35">
      <c r="A20" s="125"/>
      <c r="B20" s="125"/>
      <c r="C20" s="126"/>
      <c r="D20" s="80"/>
      <c r="E20" s="80">
        <f xml:space="preserve"> SUM(E16:E19)</f>
        <v>1118.7240000000002</v>
      </c>
      <c r="F20" s="80">
        <f xml:space="preserve"> SUM(F16:F19)</f>
        <v>1075.0450000000001</v>
      </c>
      <c r="G20" s="80"/>
      <c r="H20" s="80"/>
      <c r="I20" s="94"/>
      <c r="J20" s="80"/>
      <c r="K20" s="80"/>
      <c r="L20" s="80"/>
      <c r="M20" s="84"/>
      <c r="N20" s="86"/>
      <c r="O20" s="84"/>
      <c r="P20" s="84"/>
      <c r="Q20" s="84"/>
      <c r="R20" s="84"/>
    </row>
    <row r="21" spans="1:18" x14ac:dyDescent="0.35">
      <c r="A21" s="125"/>
      <c r="B21" s="125"/>
      <c r="C21" s="129" t="s">
        <v>56</v>
      </c>
      <c r="D21" s="85" t="s">
        <v>51</v>
      </c>
      <c r="E21" s="33">
        <v>1086.05</v>
      </c>
      <c r="F21" s="67">
        <v>957.89300000000003</v>
      </c>
    </row>
    <row r="22" spans="1:18" x14ac:dyDescent="0.35">
      <c r="A22" s="125"/>
      <c r="B22" s="125"/>
      <c r="C22" s="129"/>
      <c r="D22" s="85" t="s">
        <v>49</v>
      </c>
      <c r="E22" s="67">
        <v>290.89100000000002</v>
      </c>
      <c r="F22" s="67">
        <v>274.52699999999999</v>
      </c>
    </row>
    <row r="23" spans="1:18" x14ac:dyDescent="0.35">
      <c r="A23" s="125"/>
      <c r="B23" s="125"/>
      <c r="C23" s="129"/>
      <c r="D23" s="85" t="s">
        <v>50</v>
      </c>
      <c r="E23" s="67">
        <v>294.35300000000001</v>
      </c>
      <c r="F23" s="67">
        <v>237.08600000000001</v>
      </c>
    </row>
    <row r="24" spans="1:18" x14ac:dyDescent="0.35">
      <c r="A24" s="125"/>
      <c r="B24" s="125"/>
      <c r="C24" s="129"/>
      <c r="D24" s="84" t="s">
        <v>52</v>
      </c>
      <c r="E24" s="67">
        <v>268.50099999999998</v>
      </c>
      <c r="F24" s="67">
        <v>220.21299999999999</v>
      </c>
    </row>
    <row r="25" spans="1:18" x14ac:dyDescent="0.35">
      <c r="A25" s="125"/>
      <c r="B25" s="125"/>
      <c r="C25" s="129"/>
      <c r="D25" s="84" t="s">
        <v>53</v>
      </c>
      <c r="E25" s="67">
        <v>228.99</v>
      </c>
      <c r="F25" s="67">
        <v>226.53</v>
      </c>
    </row>
    <row r="26" spans="1:18" x14ac:dyDescent="0.35">
      <c r="A26" s="125"/>
      <c r="B26" s="125"/>
      <c r="C26" s="129"/>
      <c r="D26" s="80"/>
      <c r="E26" s="80">
        <f xml:space="preserve"> SUM(E22:E25)</f>
        <v>1082.7350000000001</v>
      </c>
      <c r="F26" s="80">
        <f xml:space="preserve"> SUM(F22:F25)</f>
        <v>958.35599999999999</v>
      </c>
      <c r="G26" s="80"/>
      <c r="H26" s="80"/>
      <c r="I26" s="94"/>
      <c r="J26" s="80"/>
      <c r="K26" s="80"/>
      <c r="L26" s="80"/>
      <c r="M26" s="84"/>
      <c r="N26" s="86"/>
      <c r="O26" s="84"/>
      <c r="P26" s="84"/>
      <c r="Q26" s="84"/>
      <c r="R26" s="84"/>
    </row>
    <row r="27" spans="1:18" x14ac:dyDescent="0.35">
      <c r="A27" s="125"/>
      <c r="B27" s="125"/>
      <c r="C27" s="130" t="s">
        <v>57</v>
      </c>
      <c r="D27" s="85" t="s">
        <v>51</v>
      </c>
      <c r="E27" s="67">
        <v>788.81700000000001</v>
      </c>
      <c r="F27" s="67">
        <v>741.24099999999999</v>
      </c>
    </row>
    <row r="28" spans="1:18" x14ac:dyDescent="0.35">
      <c r="A28" s="125"/>
      <c r="B28" s="125"/>
      <c r="C28" s="130"/>
      <c r="D28" s="85" t="s">
        <v>49</v>
      </c>
      <c r="E28" s="67">
        <v>245.68299999999999</v>
      </c>
      <c r="F28" s="67">
        <v>206.86199999999999</v>
      </c>
    </row>
    <row r="29" spans="1:18" x14ac:dyDescent="0.35">
      <c r="A29" s="125"/>
      <c r="B29" s="125"/>
      <c r="C29" s="130"/>
      <c r="D29" s="85" t="s">
        <v>50</v>
      </c>
      <c r="E29" s="67">
        <v>181.363</v>
      </c>
      <c r="F29" s="67">
        <v>193.762</v>
      </c>
    </row>
    <row r="30" spans="1:18" x14ac:dyDescent="0.35">
      <c r="A30" s="125"/>
      <c r="B30" s="125"/>
      <c r="C30" s="130"/>
      <c r="D30" s="84" t="s">
        <v>52</v>
      </c>
      <c r="E30" s="67">
        <v>187.80199999999999</v>
      </c>
      <c r="F30" s="67">
        <v>170.352</v>
      </c>
    </row>
    <row r="31" spans="1:18" x14ac:dyDescent="0.35">
      <c r="A31" s="125"/>
      <c r="B31" s="125"/>
      <c r="C31" s="130"/>
      <c r="D31" s="84" t="s">
        <v>53</v>
      </c>
      <c r="E31" s="67">
        <v>171.32300000000001</v>
      </c>
      <c r="F31" s="67">
        <v>168.90299999999999</v>
      </c>
    </row>
    <row r="32" spans="1:18" x14ac:dyDescent="0.35">
      <c r="A32" s="125"/>
      <c r="B32" s="125"/>
      <c r="C32" s="130"/>
      <c r="D32" s="80"/>
      <c r="E32" s="80">
        <f xml:space="preserve"> SUM(E28:E31)</f>
        <v>786.17099999999994</v>
      </c>
      <c r="F32" s="80">
        <f xml:space="preserve"> SUM(F28:F31)</f>
        <v>739.87900000000002</v>
      </c>
      <c r="G32" s="80"/>
      <c r="H32" s="80"/>
      <c r="I32" s="94"/>
      <c r="J32" s="80"/>
      <c r="K32" s="80"/>
      <c r="L32" s="80"/>
      <c r="M32" s="84"/>
      <c r="N32" s="86"/>
      <c r="O32" s="84"/>
      <c r="P32" s="84"/>
      <c r="Q32" s="84"/>
      <c r="R32" s="84"/>
    </row>
    <row r="33" spans="1:18" x14ac:dyDescent="0.35">
      <c r="A33" s="144" t="s">
        <v>55</v>
      </c>
      <c r="B33" s="144" t="s">
        <v>37</v>
      </c>
      <c r="C33" s="145" t="s">
        <v>17</v>
      </c>
      <c r="D33" s="84" t="s">
        <v>51</v>
      </c>
      <c r="E33" s="124">
        <v>998.57399999999996</v>
      </c>
      <c r="F33" s="124">
        <v>974.55200000000002</v>
      </c>
    </row>
    <row r="34" spans="1:18" x14ac:dyDescent="0.35">
      <c r="A34" s="144"/>
      <c r="B34" s="144"/>
      <c r="C34" s="145"/>
      <c r="D34" s="85" t="s">
        <v>49</v>
      </c>
      <c r="E34" s="124">
        <v>282.12799999999999</v>
      </c>
      <c r="F34" s="124">
        <v>286.81299999999999</v>
      </c>
    </row>
    <row r="35" spans="1:18" x14ac:dyDescent="0.35">
      <c r="A35" s="144"/>
      <c r="B35" s="144"/>
      <c r="C35" s="145"/>
      <c r="D35" s="85" t="s">
        <v>50</v>
      </c>
      <c r="E35" s="124">
        <v>247.214</v>
      </c>
      <c r="F35" s="124">
        <v>256.50799999999998</v>
      </c>
    </row>
    <row r="36" spans="1:18" x14ac:dyDescent="0.35">
      <c r="A36" s="144"/>
      <c r="B36" s="144"/>
      <c r="C36" s="145"/>
      <c r="D36" s="84" t="s">
        <v>52</v>
      </c>
      <c r="E36" s="124">
        <v>256.41000000000003</v>
      </c>
      <c r="F36" s="124">
        <v>219.15</v>
      </c>
    </row>
    <row r="37" spans="1:18" x14ac:dyDescent="0.35">
      <c r="A37" s="144"/>
      <c r="B37" s="144"/>
      <c r="C37" s="145"/>
      <c r="D37" s="84" t="s">
        <v>53</v>
      </c>
      <c r="E37" s="124">
        <v>212.07300000000001</v>
      </c>
      <c r="F37" s="124">
        <v>214.10400000000001</v>
      </c>
    </row>
    <row r="38" spans="1:18" x14ac:dyDescent="0.35">
      <c r="A38" s="144"/>
      <c r="B38" s="144"/>
      <c r="C38" s="145"/>
      <c r="D38" s="80"/>
      <c r="E38" s="80">
        <f xml:space="preserve"> SUM(E34:E37)</f>
        <v>997.82499999999993</v>
      </c>
      <c r="F38" s="80">
        <f xml:space="preserve"> SUM(F34:F37)</f>
        <v>976.57499999999993</v>
      </c>
      <c r="G38" s="80"/>
      <c r="H38" s="80"/>
      <c r="I38" s="94"/>
      <c r="J38" s="80"/>
      <c r="K38" s="80"/>
      <c r="L38" s="80"/>
      <c r="M38" s="84"/>
      <c r="N38" s="86"/>
      <c r="O38" s="84"/>
      <c r="P38" s="84"/>
      <c r="Q38" s="84"/>
      <c r="R38" s="84"/>
    </row>
    <row r="39" spans="1:18" x14ac:dyDescent="0.35">
      <c r="A39" s="144"/>
      <c r="B39" s="144" t="s">
        <v>76</v>
      </c>
      <c r="C39" s="145"/>
      <c r="D39" s="84" t="s">
        <v>51</v>
      </c>
      <c r="E39" s="124">
        <v>985.48400000000004</v>
      </c>
      <c r="F39" s="124">
        <v>848.73299999999995</v>
      </c>
    </row>
    <row r="40" spans="1:18" x14ac:dyDescent="0.35">
      <c r="A40" s="144"/>
      <c r="B40" s="144"/>
      <c r="C40" s="145"/>
      <c r="D40" s="85" t="s">
        <v>49</v>
      </c>
      <c r="E40" s="124">
        <v>291.10700000000003</v>
      </c>
      <c r="F40" s="124">
        <v>233.83799999999999</v>
      </c>
    </row>
    <row r="41" spans="1:18" x14ac:dyDescent="0.35">
      <c r="A41" s="144"/>
      <c r="B41" s="144"/>
      <c r="C41" s="145"/>
      <c r="D41" s="85" t="s">
        <v>50</v>
      </c>
      <c r="E41" s="124">
        <v>249.19200000000001</v>
      </c>
      <c r="F41" s="124">
        <v>228.23599999999999</v>
      </c>
    </row>
    <row r="42" spans="1:18" x14ac:dyDescent="0.35">
      <c r="A42" s="144"/>
      <c r="B42" s="144"/>
      <c r="C42" s="145"/>
      <c r="D42" s="84" t="s">
        <v>52</v>
      </c>
      <c r="E42" s="124">
        <v>244.35300000000001</v>
      </c>
      <c r="F42" s="124">
        <v>183.38800000000001</v>
      </c>
    </row>
    <row r="43" spans="1:18" x14ac:dyDescent="0.35">
      <c r="A43" s="144"/>
      <c r="B43" s="144"/>
      <c r="C43" s="145"/>
      <c r="D43" s="84" t="s">
        <v>53</v>
      </c>
      <c r="E43" s="124">
        <v>198.143</v>
      </c>
      <c r="F43" s="124">
        <v>202.482</v>
      </c>
    </row>
    <row r="44" spans="1:18" x14ac:dyDescent="0.35">
      <c r="A44" s="144"/>
      <c r="B44" s="144"/>
      <c r="C44" s="145"/>
      <c r="D44" s="80"/>
      <c r="E44" s="80">
        <f xml:space="preserve"> SUM(E40:E43)</f>
        <v>982.79500000000007</v>
      </c>
      <c r="F44" s="80">
        <f xml:space="preserve"> SUM(F40:F43)</f>
        <v>847.94399999999996</v>
      </c>
      <c r="G44" s="80"/>
      <c r="H44" s="80"/>
      <c r="I44" s="94"/>
      <c r="J44" s="80"/>
      <c r="K44" s="80"/>
      <c r="L44" s="80"/>
      <c r="M44" s="84"/>
      <c r="N44" s="86"/>
      <c r="O44" s="84"/>
      <c r="P44" s="84"/>
      <c r="Q44" s="84"/>
      <c r="R44" s="84"/>
    </row>
    <row r="45" spans="1:18" x14ac:dyDescent="0.35">
      <c r="A45" s="144"/>
      <c r="B45" s="144" t="s">
        <v>77</v>
      </c>
      <c r="C45" s="145"/>
      <c r="D45" s="84" t="s">
        <v>51</v>
      </c>
      <c r="E45" s="124">
        <v>1002.65</v>
      </c>
      <c r="F45" s="124">
        <v>949.18799999999999</v>
      </c>
    </row>
    <row r="46" spans="1:18" x14ac:dyDescent="0.35">
      <c r="A46" s="144"/>
      <c r="B46" s="144"/>
      <c r="C46" s="145"/>
      <c r="D46" s="85" t="s">
        <v>49</v>
      </c>
      <c r="E46" s="124">
        <v>247.119</v>
      </c>
      <c r="F46" s="124">
        <v>285.65100000000001</v>
      </c>
    </row>
    <row r="47" spans="1:18" x14ac:dyDescent="0.35">
      <c r="A47" s="144"/>
      <c r="B47" s="144"/>
      <c r="C47" s="145"/>
      <c r="D47" s="85" t="s">
        <v>50</v>
      </c>
      <c r="E47" s="124">
        <v>269.79199999999997</v>
      </c>
      <c r="F47" s="124">
        <v>217.553</v>
      </c>
    </row>
    <row r="48" spans="1:18" x14ac:dyDescent="0.35">
      <c r="A48" s="144"/>
      <c r="B48" s="144"/>
      <c r="C48" s="145"/>
      <c r="D48" s="84" t="s">
        <v>52</v>
      </c>
      <c r="E48" s="124">
        <v>231.77</v>
      </c>
      <c r="F48" s="124">
        <v>226.38900000000001</v>
      </c>
    </row>
    <row r="49" spans="1:18" x14ac:dyDescent="0.35">
      <c r="A49" s="144"/>
      <c r="B49" s="144"/>
      <c r="C49" s="145"/>
      <c r="D49" s="84" t="s">
        <v>53</v>
      </c>
      <c r="E49" s="124">
        <v>254.958</v>
      </c>
      <c r="F49" s="124">
        <v>220.24600000000001</v>
      </c>
    </row>
    <row r="50" spans="1:18" x14ac:dyDescent="0.35">
      <c r="A50" s="144"/>
      <c r="B50" s="144"/>
      <c r="C50" s="145"/>
      <c r="D50" s="80"/>
      <c r="E50" s="80">
        <f xml:space="preserve"> SUM(E46:E49)</f>
        <v>1003.6389999999999</v>
      </c>
      <c r="F50" s="80">
        <f xml:space="preserve"> SUM(F46:F49)</f>
        <v>949.83900000000006</v>
      </c>
      <c r="G50" s="80"/>
      <c r="H50" s="80"/>
      <c r="I50" s="94"/>
      <c r="J50" s="80"/>
      <c r="K50" s="80"/>
      <c r="L50" s="80"/>
      <c r="M50" s="84"/>
      <c r="N50" s="86"/>
      <c r="O50" s="84"/>
      <c r="P50" s="84"/>
      <c r="Q50" s="84"/>
      <c r="R50" s="84"/>
    </row>
    <row r="51" spans="1:18" x14ac:dyDescent="0.35">
      <c r="A51" s="144"/>
      <c r="B51" s="144" t="s">
        <v>78</v>
      </c>
      <c r="C51" s="145"/>
      <c r="D51" s="84" t="s">
        <v>51</v>
      </c>
    </row>
    <row r="52" spans="1:18" x14ac:dyDescent="0.35">
      <c r="A52" s="144"/>
      <c r="B52" s="144"/>
      <c r="C52" s="145"/>
      <c r="D52" s="85" t="s">
        <v>49</v>
      </c>
    </row>
    <row r="53" spans="1:18" x14ac:dyDescent="0.35">
      <c r="A53" s="144"/>
      <c r="B53" s="144"/>
      <c r="C53" s="145"/>
      <c r="D53" s="85" t="s">
        <v>50</v>
      </c>
    </row>
    <row r="54" spans="1:18" x14ac:dyDescent="0.35">
      <c r="A54" s="144"/>
      <c r="B54" s="144"/>
      <c r="C54" s="145"/>
      <c r="D54" s="84" t="s">
        <v>52</v>
      </c>
    </row>
    <row r="55" spans="1:18" x14ac:dyDescent="0.35">
      <c r="A55" s="144"/>
      <c r="B55" s="144"/>
      <c r="C55" s="145"/>
      <c r="D55" s="84" t="s">
        <v>53</v>
      </c>
    </row>
    <row r="56" spans="1:18" x14ac:dyDescent="0.35">
      <c r="A56" s="144"/>
      <c r="B56" s="144"/>
      <c r="C56" s="145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/>
      <c r="M56" s="84"/>
      <c r="N56" s="86"/>
      <c r="O56" s="84"/>
      <c r="P56" s="84"/>
      <c r="Q56" s="84"/>
      <c r="R56" s="84"/>
    </row>
    <row r="57" spans="1:18" x14ac:dyDescent="0.35">
      <c r="A57" s="144"/>
      <c r="B57" s="144" t="s">
        <v>79</v>
      </c>
      <c r="C57" s="145"/>
      <c r="D57" s="84" t="s">
        <v>51</v>
      </c>
    </row>
    <row r="58" spans="1:18" x14ac:dyDescent="0.35">
      <c r="A58" s="144"/>
      <c r="B58" s="144"/>
      <c r="C58" s="145"/>
      <c r="D58" s="85" t="s">
        <v>49</v>
      </c>
    </row>
    <row r="59" spans="1:18" x14ac:dyDescent="0.35">
      <c r="A59" s="144"/>
      <c r="B59" s="144"/>
      <c r="C59" s="145"/>
      <c r="D59" s="85" t="s">
        <v>50</v>
      </c>
    </row>
    <row r="60" spans="1:18" x14ac:dyDescent="0.35">
      <c r="A60" s="144"/>
      <c r="B60" s="144"/>
      <c r="C60" s="145"/>
      <c r="D60" s="84" t="s">
        <v>52</v>
      </c>
    </row>
    <row r="61" spans="1:18" x14ac:dyDescent="0.35">
      <c r="A61" s="144"/>
      <c r="B61" s="144"/>
      <c r="C61" s="145"/>
      <c r="D61" s="84" t="s">
        <v>53</v>
      </c>
    </row>
    <row r="62" spans="1:18" x14ac:dyDescent="0.35">
      <c r="A62" s="144"/>
      <c r="B62" s="144"/>
      <c r="C62" s="145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/>
      <c r="M62" s="84"/>
      <c r="N62" s="86"/>
      <c r="O62" s="84"/>
      <c r="P62" s="84"/>
      <c r="Q62" s="84"/>
      <c r="R62" s="84"/>
    </row>
    <row r="63" spans="1:18" x14ac:dyDescent="0.35">
      <c r="A63" s="144" t="s">
        <v>80</v>
      </c>
      <c r="B63" s="144" t="s">
        <v>79</v>
      </c>
      <c r="C63" s="144" t="s">
        <v>17</v>
      </c>
      <c r="D63" s="84" t="s">
        <v>51</v>
      </c>
      <c r="E63" s="122">
        <v>1431</v>
      </c>
      <c r="F63" s="122">
        <v>1303.83</v>
      </c>
    </row>
    <row r="64" spans="1:18" x14ac:dyDescent="0.35">
      <c r="A64" s="144"/>
      <c r="B64" s="144"/>
      <c r="C64" s="144"/>
      <c r="D64" s="85" t="s">
        <v>49</v>
      </c>
      <c r="E64" s="122">
        <v>383.98099999999999</v>
      </c>
      <c r="F64" s="122">
        <v>378.64699999999999</v>
      </c>
    </row>
    <row r="65" spans="1:18" x14ac:dyDescent="0.35">
      <c r="A65" s="144"/>
      <c r="B65" s="144"/>
      <c r="C65" s="144"/>
      <c r="D65" s="85" t="s">
        <v>50</v>
      </c>
      <c r="E65" s="122">
        <v>370.49599999999998</v>
      </c>
      <c r="F65" s="122">
        <v>338.04</v>
      </c>
    </row>
    <row r="66" spans="1:18" x14ac:dyDescent="0.35">
      <c r="A66" s="144"/>
      <c r="B66" s="144"/>
      <c r="C66" s="144"/>
      <c r="D66" s="84" t="s">
        <v>52</v>
      </c>
      <c r="E66" s="122">
        <v>349.077</v>
      </c>
      <c r="F66" s="122">
        <v>297.99400000000003</v>
      </c>
    </row>
    <row r="67" spans="1:18" x14ac:dyDescent="0.35">
      <c r="A67" s="144"/>
      <c r="B67" s="144"/>
      <c r="C67" s="144"/>
      <c r="D67" s="84" t="s">
        <v>53</v>
      </c>
      <c r="E67" s="122">
        <v>326.96300000000002</v>
      </c>
      <c r="F67" s="122">
        <v>290.529</v>
      </c>
    </row>
    <row r="68" spans="1:18" x14ac:dyDescent="0.35">
      <c r="A68" s="144"/>
      <c r="B68" s="144"/>
      <c r="C68" s="144"/>
      <c r="D68" s="80"/>
      <c r="E68" s="80">
        <f xml:space="preserve"> SUM(E64:E67)</f>
        <v>1430.5170000000001</v>
      </c>
      <c r="F68" s="80">
        <f xml:space="preserve"> SUM(F64:F67)</f>
        <v>1305.21</v>
      </c>
      <c r="G68" s="80"/>
      <c r="H68" s="80"/>
      <c r="I68" s="94"/>
      <c r="J68" s="80"/>
      <c r="K68" s="80"/>
      <c r="L68" s="80"/>
      <c r="M68" s="84"/>
      <c r="N68" s="86"/>
      <c r="O68" s="84"/>
      <c r="P68" s="84"/>
      <c r="Q68" s="84"/>
      <c r="R68" s="84"/>
    </row>
    <row r="69" spans="1:18" x14ac:dyDescent="0.35">
      <c r="A69" s="144" t="s">
        <v>82</v>
      </c>
      <c r="B69" s="144" t="s">
        <v>79</v>
      </c>
      <c r="C69" s="144" t="s">
        <v>17</v>
      </c>
      <c r="D69" s="84" t="s">
        <v>51</v>
      </c>
      <c r="E69" s="122">
        <v>766.04499999999996</v>
      </c>
      <c r="F69" s="122">
        <v>729.19100000000003</v>
      </c>
    </row>
    <row r="70" spans="1:18" x14ac:dyDescent="0.35">
      <c r="A70" s="144"/>
      <c r="B70" s="144"/>
      <c r="C70" s="144"/>
      <c r="D70" s="85" t="s">
        <v>49</v>
      </c>
      <c r="E70" s="122">
        <v>195.84899999999999</v>
      </c>
      <c r="F70" s="122">
        <v>233.47200000000001</v>
      </c>
    </row>
    <row r="71" spans="1:18" x14ac:dyDescent="0.35">
      <c r="A71" s="144"/>
      <c r="B71" s="144"/>
      <c r="C71" s="144"/>
      <c r="D71" s="85" t="s">
        <v>50</v>
      </c>
      <c r="E71" s="122">
        <v>206.68700000000001</v>
      </c>
      <c r="F71" s="122">
        <v>166.62799999999999</v>
      </c>
    </row>
    <row r="72" spans="1:18" x14ac:dyDescent="0.35">
      <c r="A72" s="144"/>
      <c r="B72" s="144"/>
      <c r="C72" s="144"/>
      <c r="D72" s="84" t="s">
        <v>52</v>
      </c>
      <c r="E72" s="122">
        <v>177.73699999999999</v>
      </c>
      <c r="F72" s="122">
        <v>170.19800000000001</v>
      </c>
    </row>
    <row r="73" spans="1:18" x14ac:dyDescent="0.35">
      <c r="A73" s="144"/>
      <c r="B73" s="144"/>
      <c r="C73" s="144"/>
      <c r="D73" s="84" t="s">
        <v>53</v>
      </c>
      <c r="E73" s="122">
        <v>176.33600000000001</v>
      </c>
      <c r="F73" s="75">
        <v>155.17599999999999</v>
      </c>
    </row>
    <row r="74" spans="1:18" x14ac:dyDescent="0.35">
      <c r="A74" s="144"/>
      <c r="B74" s="144"/>
      <c r="C74" s="144"/>
      <c r="D74" s="80"/>
      <c r="E74" s="80">
        <f xml:space="preserve"> SUM(E70:E73)</f>
        <v>756.60900000000004</v>
      </c>
      <c r="F74" s="80">
        <f xml:space="preserve"> SUM(F70:F73)</f>
        <v>725.47399999999993</v>
      </c>
      <c r="G74" s="80"/>
      <c r="H74" s="80"/>
      <c r="I74" s="94"/>
      <c r="J74" s="80"/>
      <c r="K74" s="80"/>
      <c r="L74" s="80"/>
      <c r="M74" s="84"/>
      <c r="N74" s="86"/>
      <c r="O74" s="84"/>
      <c r="P74" s="84"/>
      <c r="Q74" s="84"/>
      <c r="R74" s="84"/>
    </row>
    <row r="75" spans="1:18" x14ac:dyDescent="0.35">
      <c r="A75" s="144" t="s">
        <v>81</v>
      </c>
      <c r="B75" s="144" t="s">
        <v>83</v>
      </c>
      <c r="C75" s="144" t="s">
        <v>17</v>
      </c>
      <c r="D75" s="84" t="s">
        <v>51</v>
      </c>
      <c r="E75" s="122">
        <v>1481.16</v>
      </c>
      <c r="F75" s="122">
        <v>1516.72</v>
      </c>
    </row>
    <row r="76" spans="1:18" x14ac:dyDescent="0.35">
      <c r="A76" s="144"/>
      <c r="B76" s="144"/>
      <c r="C76" s="144"/>
      <c r="D76" s="85" t="s">
        <v>49</v>
      </c>
      <c r="E76" s="122">
        <v>417.60899999999998</v>
      </c>
      <c r="F76" s="122">
        <v>434.40800000000002</v>
      </c>
    </row>
    <row r="77" spans="1:18" x14ac:dyDescent="0.35">
      <c r="A77" s="144"/>
      <c r="B77" s="144"/>
      <c r="C77" s="144"/>
      <c r="D77" s="85" t="s">
        <v>50</v>
      </c>
      <c r="E77" s="122">
        <v>364.33199999999999</v>
      </c>
      <c r="F77" s="122">
        <v>363.20299999999997</v>
      </c>
    </row>
    <row r="78" spans="1:18" x14ac:dyDescent="0.35">
      <c r="A78" s="144"/>
      <c r="B78" s="144"/>
      <c r="C78" s="144"/>
      <c r="D78" s="84" t="s">
        <v>52</v>
      </c>
      <c r="E78" s="122">
        <v>340.23500000000001</v>
      </c>
      <c r="F78" s="122">
        <v>367.13200000000001</v>
      </c>
    </row>
    <row r="79" spans="1:18" x14ac:dyDescent="0.35">
      <c r="A79" s="144"/>
      <c r="B79" s="144"/>
      <c r="C79" s="144"/>
      <c r="D79" s="84" t="s">
        <v>53</v>
      </c>
      <c r="E79" s="122">
        <v>359.99799999999999</v>
      </c>
      <c r="F79" s="75">
        <v>352.07400000000001</v>
      </c>
    </row>
    <row r="80" spans="1:18" x14ac:dyDescent="0.35">
      <c r="A80" s="144"/>
      <c r="B80" s="144"/>
      <c r="C80" s="144"/>
      <c r="D80" s="80"/>
      <c r="E80" s="80">
        <f xml:space="preserve"> SUM(E76:E79)</f>
        <v>1482.174</v>
      </c>
      <c r="F80" s="80">
        <f xml:space="preserve"> SUM(F76:F79)</f>
        <v>1516.817</v>
      </c>
      <c r="G80" s="80"/>
      <c r="H80" s="80"/>
      <c r="I80" s="94"/>
      <c r="J80" s="80"/>
      <c r="K80" s="80"/>
      <c r="L80" s="80"/>
      <c r="M80" s="84"/>
      <c r="N80" s="86"/>
      <c r="O80" s="84"/>
      <c r="P80" s="84"/>
      <c r="Q80" s="84"/>
      <c r="R80" s="84"/>
    </row>
    <row r="81" spans="1:18" x14ac:dyDescent="0.35">
      <c r="A81" s="144"/>
      <c r="B81" s="144" t="s">
        <v>79</v>
      </c>
      <c r="C81" s="144" t="s">
        <v>17</v>
      </c>
      <c r="D81" s="84" t="s">
        <v>51</v>
      </c>
      <c r="E81" s="122">
        <v>860.20699999999999</v>
      </c>
      <c r="F81" s="122">
        <v>205.208</v>
      </c>
    </row>
    <row r="82" spans="1:18" x14ac:dyDescent="0.35">
      <c r="A82" s="144"/>
      <c r="B82" s="144"/>
      <c r="C82" s="144"/>
      <c r="D82" s="85" t="s">
        <v>49</v>
      </c>
      <c r="E82" s="122">
        <v>260.464</v>
      </c>
      <c r="F82" s="122">
        <v>773.26599999999996</v>
      </c>
    </row>
    <row r="83" spans="1:18" x14ac:dyDescent="0.35">
      <c r="A83" s="144"/>
      <c r="B83" s="144"/>
      <c r="C83" s="144"/>
      <c r="D83" s="85" t="s">
        <v>50</v>
      </c>
      <c r="E83" s="122">
        <v>204.87</v>
      </c>
      <c r="F83" s="122">
        <v>167.773</v>
      </c>
    </row>
    <row r="84" spans="1:18" x14ac:dyDescent="0.35">
      <c r="A84" s="144"/>
      <c r="B84" s="144"/>
      <c r="C84" s="144"/>
      <c r="D84" s="84" t="s">
        <v>52</v>
      </c>
      <c r="E84" s="122">
        <v>218.61099999999999</v>
      </c>
      <c r="F84" s="122">
        <v>192.78200000000001</v>
      </c>
    </row>
    <row r="85" spans="1:18" x14ac:dyDescent="0.35">
      <c r="A85" s="144"/>
      <c r="B85" s="144"/>
      <c r="C85" s="144"/>
      <c r="D85" s="84" t="s">
        <v>53</v>
      </c>
      <c r="E85" s="122">
        <v>173.63800000000001</v>
      </c>
      <c r="F85" s="75">
        <v>193.744</v>
      </c>
    </row>
    <row r="86" spans="1:18" x14ac:dyDescent="0.35">
      <c r="A86" s="144"/>
      <c r="B86" s="144"/>
      <c r="C86" s="144"/>
      <c r="D86" s="80"/>
      <c r="E86" s="80">
        <f xml:space="preserve"> SUM(E82:E85)</f>
        <v>857.58299999999997</v>
      </c>
      <c r="F86" s="80">
        <f xml:space="preserve"> SUM(F82:F85)</f>
        <v>1327.5649999999998</v>
      </c>
      <c r="G86" s="80"/>
      <c r="H86" s="80"/>
      <c r="I86" s="94"/>
      <c r="J86" s="80"/>
      <c r="K86" s="80"/>
      <c r="L86" s="80"/>
      <c r="M86" s="84"/>
      <c r="N86" s="86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Ruler="0" zoomScale="50" zoomScaleNormal="50" workbookViewId="0">
      <pane xSplit="3" topLeftCell="D1" activePane="topRight" state="frozen"/>
      <selection activeCell="F3" sqref="F3"/>
      <selection pane="topRight" activeCell="F3" sqref="F3"/>
    </sheetView>
  </sheetViews>
  <sheetFormatPr defaultColWidth="10.77734375" defaultRowHeight="20.25" x14ac:dyDescent="0.35"/>
  <cols>
    <col min="1" max="16384" width="10.77734375" style="6"/>
  </cols>
  <sheetData>
    <row r="1" spans="1:14" s="2" customFormat="1" x14ac:dyDescent="0.35">
      <c r="A1" s="2" t="s">
        <v>18</v>
      </c>
      <c r="B1" s="2" t="s">
        <v>19</v>
      </c>
      <c r="C1" s="2" t="s">
        <v>20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M1" s="2" t="s">
        <v>4</v>
      </c>
      <c r="N1" s="2" t="s">
        <v>5</v>
      </c>
    </row>
    <row r="2" spans="1:14" s="2" customFormat="1" x14ac:dyDescent="0.35">
      <c r="A2" s="146" t="s">
        <v>21</v>
      </c>
      <c r="B2" s="146" t="s">
        <v>25</v>
      </c>
      <c r="C2" s="2" t="s">
        <v>1</v>
      </c>
      <c r="D2" s="2">
        <f>ep_CorrectionFactors!M3</f>
        <v>0.53944999999999999</v>
      </c>
      <c r="E2" s="2">
        <f xml:space="preserve"> ep_CorrectionFactors!N3</f>
        <v>2.428E-3</v>
      </c>
      <c r="F2" s="2">
        <v>1</v>
      </c>
      <c r="G2" s="2">
        <v>1</v>
      </c>
      <c r="H2" s="2">
        <f xml:space="preserve"> ep_CorrectionFactors!H3</f>
        <v>0.53345500000000001</v>
      </c>
      <c r="I2" s="2">
        <f xml:space="preserve"> ep_CorrectionFactors!I3</f>
        <v>2.4009999999999999E-3</v>
      </c>
      <c r="J2" s="2">
        <v>1</v>
      </c>
      <c r="K2" s="2">
        <v>1</v>
      </c>
      <c r="M2" s="2">
        <f t="shared" ref="M2:M7" si="0">(F2/D2+J2/H2)/2</f>
        <v>1.8641561417344166</v>
      </c>
      <c r="N2" s="2">
        <f t="shared" ref="N2:N7" si="1">0.5*SQRT((F2/D2)^2*((G2/F2)^2+(E2/D2)^2)+(J2/H2)^2*((K2/J2)^2+(I2/H2)^2))</f>
        <v>1.3181913779865995</v>
      </c>
    </row>
    <row r="3" spans="1:14" s="2" customFormat="1" x14ac:dyDescent="0.35">
      <c r="A3" s="146"/>
      <c r="B3" s="146"/>
      <c r="C3" s="2" t="s">
        <v>0</v>
      </c>
      <c r="D3" s="2">
        <f xml:space="preserve"> ep_CorrectionFactors!M4</f>
        <v>0.72284099999999996</v>
      </c>
      <c r="E3" s="2">
        <f xml:space="preserve"> ep_CorrectionFactors!N4</f>
        <v>2.0920000000000001E-3</v>
      </c>
      <c r="F3" s="2">
        <v>1</v>
      </c>
      <c r="G3" s="2">
        <v>1</v>
      </c>
      <c r="H3" s="2">
        <f xml:space="preserve"> ep_CorrectionFactors!H4</f>
        <v>0.72327200000000003</v>
      </c>
      <c r="I3" s="2">
        <f xml:space="preserve">  ep_CorrectionFactors!I4</f>
        <v>2.0929999999999998E-3</v>
      </c>
      <c r="J3" s="2">
        <v>1</v>
      </c>
      <c r="K3" s="2">
        <v>1</v>
      </c>
      <c r="M3" s="2">
        <f t="shared" si="0"/>
        <v>1.3830179091510111</v>
      </c>
      <c r="N3" s="2">
        <f t="shared" si="1"/>
        <v>0.9779454806343939</v>
      </c>
    </row>
    <row r="4" spans="1:14" s="2" customFormat="1" x14ac:dyDescent="0.35">
      <c r="A4" s="146"/>
      <c r="B4" s="146"/>
      <c r="C4" s="3" t="s">
        <v>35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4.0846100000000003E-2</v>
      </c>
      <c r="G4" s="12">
        <v>2.2915399999999999E-2</v>
      </c>
      <c r="H4" s="3">
        <f xml:space="preserve"> ep_CorrectionFactors!H21</f>
        <v>0.62836350000000007</v>
      </c>
      <c r="I4" s="3">
        <f xml:space="preserve"> ep_CorrectionFactors!I21</f>
        <v>1.5925961509434838E-3</v>
      </c>
      <c r="J4" s="12">
        <v>8.4866999999999998E-2</v>
      </c>
      <c r="K4" s="12">
        <v>2.2172999999999998E-2</v>
      </c>
      <c r="M4" s="4">
        <f t="shared" si="0"/>
        <v>9.9888882927323369E-2</v>
      </c>
      <c r="N4" s="4">
        <f t="shared" si="1"/>
        <v>2.5315774719910204E-2</v>
      </c>
    </row>
    <row r="5" spans="1:14" s="2" customFormat="1" x14ac:dyDescent="0.35">
      <c r="A5" s="146"/>
      <c r="B5" s="146"/>
      <c r="C5" s="3" t="s">
        <v>2</v>
      </c>
      <c r="D5" s="3">
        <f xml:space="preserve"> ep_CorrectionFactors!M19</f>
        <v>0.82695874999999996</v>
      </c>
      <c r="E5" s="3">
        <f xml:space="preserve"> ep_CorrectionFactors!N19</f>
        <v>1.0157645519508938E-3</v>
      </c>
      <c r="F5" s="12">
        <v>8.6188899999999999E-2</v>
      </c>
      <c r="G5" s="12">
        <v>2.2625599999999999E-2</v>
      </c>
      <c r="H5" s="3">
        <f xml:space="preserve"> ep_CorrectionFactors!H19</f>
        <v>0.82764124999999999</v>
      </c>
      <c r="I5" s="3">
        <f xml:space="preserve"> ep_CorrectionFactors!I19</f>
        <v>1.016645064661212E-3</v>
      </c>
      <c r="J5" s="12">
        <v>9.8422200000000001E-2</v>
      </c>
      <c r="K5" s="12">
        <v>2.3758999999999999E-2</v>
      </c>
      <c r="M5" s="4">
        <f t="shared" si="0"/>
        <v>0.11157142834516628</v>
      </c>
      <c r="N5" s="4">
        <f t="shared" si="1"/>
        <v>1.9828596716968329E-2</v>
      </c>
    </row>
    <row r="6" spans="1:14" s="2" customFormat="1" x14ac:dyDescent="0.35">
      <c r="A6" s="146"/>
      <c r="B6" s="146"/>
      <c r="C6" s="3" t="s">
        <v>3</v>
      </c>
      <c r="D6" s="3">
        <f xml:space="preserve"> ep_CorrectionFactors!M20</f>
        <v>0.74109574999999994</v>
      </c>
      <c r="E6" s="3">
        <f xml:space="preserve"> ep_CorrectionFactors!N20</f>
        <v>8.7811908360996228E-4</v>
      </c>
      <c r="F6" s="12">
        <v>0.12748399999999999</v>
      </c>
      <c r="G6" s="12">
        <v>4.2549299999999998E-2</v>
      </c>
      <c r="H6" s="3">
        <f xml:space="preserve"> ep_CorrectionFactors!H20</f>
        <v>0.74154100000000001</v>
      </c>
      <c r="I6" s="3">
        <f xml:space="preserve"> ep_CorrectionFactors!I20</f>
        <v>8.7917852282684886E-4</v>
      </c>
      <c r="J6" s="12">
        <v>0.176125</v>
      </c>
      <c r="K6" s="12">
        <v>4.1379899999999997E-2</v>
      </c>
      <c r="M6" s="4">
        <f t="shared" si="0"/>
        <v>0.20476655527544529</v>
      </c>
      <c r="N6" s="4">
        <f t="shared" si="1"/>
        <v>4.0032550688868997E-2</v>
      </c>
    </row>
    <row r="7" spans="1:14" s="2" customFormat="1" x14ac:dyDescent="0.35">
      <c r="A7" s="146"/>
      <c r="B7" s="2" t="s">
        <v>36</v>
      </c>
      <c r="C7" s="146" t="s">
        <v>17</v>
      </c>
      <c r="D7" s="146">
        <f xml:space="preserve"> ep_CorrectionFactors!M18</f>
        <v>0.78402725000000006</v>
      </c>
      <c r="E7" s="146">
        <f xml:space="preserve"> ep_CorrectionFactors!N18</f>
        <v>6.7586967123847187E-4</v>
      </c>
      <c r="F7" s="13">
        <v>0.105639</v>
      </c>
      <c r="G7" s="13">
        <v>1.10321E-2</v>
      </c>
      <c r="H7" s="146">
        <f xml:space="preserve"> ep_CorrectionFactors!H18</f>
        <v>0.78459112500000006</v>
      </c>
      <c r="I7" s="146">
        <f xml:space="preserve"> ep_CorrectionFactors!I18</f>
        <v>6.7640811460241955E-4</v>
      </c>
      <c r="J7" s="16">
        <v>8.34004E-2</v>
      </c>
      <c r="K7" s="16">
        <v>1.1448699999999999E-2</v>
      </c>
      <c r="M7" s="5">
        <f t="shared" si="0"/>
        <v>0.12051842666418369</v>
      </c>
      <c r="N7" s="5">
        <f t="shared" si="1"/>
        <v>1.0135843375834445E-2</v>
      </c>
    </row>
    <row r="8" spans="1:14" s="2" customFormat="1" x14ac:dyDescent="0.35">
      <c r="A8" s="146"/>
      <c r="B8" s="2" t="s">
        <v>37</v>
      </c>
      <c r="C8" s="146"/>
      <c r="D8" s="146"/>
      <c r="E8" s="146"/>
      <c r="F8" s="20">
        <v>0.116205</v>
      </c>
      <c r="G8" s="20">
        <v>2.6889799999999998E-2</v>
      </c>
      <c r="H8" s="146"/>
      <c r="I8" s="146"/>
      <c r="J8" s="21">
        <v>0.116685</v>
      </c>
      <c r="K8" s="21">
        <v>3.4132999999999997E-2</v>
      </c>
      <c r="M8" s="14">
        <f>(F8/D7+J8/H7)/2</f>
        <v>0.14846814321384727</v>
      </c>
      <c r="N8" s="14">
        <f>0.5*SQRT((F8/D7)^2*((G8/F8)^2+(E7/D7)^2)+(J8/H7)^2*((K8/J8)^2+(I7/H7)^2))</f>
        <v>2.7698975120573521E-2</v>
      </c>
    </row>
    <row r="9" spans="1:14" s="2" customFormat="1" x14ac:dyDescent="0.35">
      <c r="A9" s="146"/>
      <c r="B9" s="2" t="s">
        <v>38</v>
      </c>
      <c r="C9" s="146"/>
      <c r="D9" s="146"/>
      <c r="E9" s="146"/>
      <c r="F9" s="20">
        <v>0.15997</v>
      </c>
      <c r="G9" s="20">
        <v>3.8700900000000003E-2</v>
      </c>
      <c r="H9" s="146"/>
      <c r="I9" s="146"/>
      <c r="J9" s="21">
        <v>0.16952300000000001</v>
      </c>
      <c r="K9" s="21">
        <v>3.8985400000000003E-2</v>
      </c>
      <c r="M9" s="14">
        <f>(F9/D7+J9/H7)/2</f>
        <v>0.21005084078338354</v>
      </c>
      <c r="N9" s="14">
        <f>0.5*SQRT((F9/D7)^2*((G9/F9)^2+(E7/D7)^2)+(J9/H7)^2*((K9/J9)^2+(I7/H7)^2))</f>
        <v>3.5020061143609851E-2</v>
      </c>
    </row>
    <row r="10" spans="1:14" s="2" customFormat="1" x14ac:dyDescent="0.35">
      <c r="A10" s="146"/>
      <c r="B10" s="2" t="s">
        <v>46</v>
      </c>
      <c r="C10" s="146"/>
      <c r="D10" s="146"/>
      <c r="E10" s="146"/>
      <c r="F10" s="13">
        <v>0.125887</v>
      </c>
      <c r="G10" s="13">
        <v>2.2269500000000001E-2</v>
      </c>
      <c r="H10" s="146"/>
      <c r="I10" s="146"/>
      <c r="J10" s="13">
        <v>0.12460499999999999</v>
      </c>
      <c r="K10" s="13">
        <v>2.2007700000000002E-2</v>
      </c>
      <c r="M10" s="5">
        <f>(F10/D7+J10/H7)/2</f>
        <v>0.159689888378585</v>
      </c>
      <c r="N10" s="5">
        <f>0.5*SQRT((F10/D7)^2*((G10/F10)^2+(E7/D7)^2)+(J10/H7)^2*((K10/J10)^2+(I7/H7)^2))</f>
        <v>1.9960092058497764E-2</v>
      </c>
    </row>
    <row r="11" spans="1:14" s="2" customFormat="1" x14ac:dyDescent="0.35">
      <c r="A11" s="146"/>
      <c r="B11" s="2" t="s">
        <v>39</v>
      </c>
      <c r="C11" s="146"/>
      <c r="D11" s="146"/>
      <c r="E11" s="146"/>
      <c r="F11" s="20">
        <v>-0.115852</v>
      </c>
      <c r="G11" s="20">
        <v>5.7431799999999998E-2</v>
      </c>
      <c r="H11" s="146"/>
      <c r="I11" s="146"/>
      <c r="J11" s="21">
        <v>0.16267300000000001</v>
      </c>
      <c r="K11" s="21">
        <v>7.5367900000000002E-2</v>
      </c>
      <c r="M11" s="14">
        <f>(F11/D7+J11/H7)/2</f>
        <v>2.9784735875736754E-2</v>
      </c>
      <c r="N11" s="14">
        <f>0.5*SQRT((F11/D7)^2*((G11/F11)^2+(E7/D7)^2)+(J11/H7)^2*((K11/J11)^2+(I7/H7)^2))</f>
        <v>6.0401759282789479E-2</v>
      </c>
    </row>
    <row r="12" spans="1:14" s="2" customFormat="1" x14ac:dyDescent="0.35">
      <c r="A12" s="146"/>
      <c r="B12" s="2" t="s">
        <v>40</v>
      </c>
      <c r="C12" s="146"/>
      <c r="D12" s="146"/>
      <c r="E12" s="146"/>
      <c r="F12" s="20">
        <v>4.7512300000000004E-3</v>
      </c>
      <c r="G12" s="20">
        <v>7.4479299999999998E-2</v>
      </c>
      <c r="H12" s="146"/>
      <c r="I12" s="146"/>
      <c r="J12" s="21">
        <v>-3.28209E-2</v>
      </c>
      <c r="K12" s="21">
        <v>9.5568100000000003E-2</v>
      </c>
      <c r="M12" s="14">
        <f>(F12/D7+J12/H7)/2</f>
        <v>-1.7885910256515463E-2</v>
      </c>
      <c r="N12" s="14">
        <f>0.5*SQRT((F12/D7)^2*((G12/F12)^2+(E7/D7)^2)+(J12/H7)^2*((K12/J12)^2+(I12/H7)^2))</f>
        <v>7.7234973860213205E-2</v>
      </c>
    </row>
    <row r="13" spans="1:14" s="2" customFormat="1" x14ac:dyDescent="0.35">
      <c r="A13" s="146"/>
      <c r="B13" s="2" t="s">
        <v>23</v>
      </c>
      <c r="C13" s="146"/>
      <c r="D13" s="146"/>
      <c r="E13" s="146"/>
      <c r="F13" s="13">
        <v>-6.7327600000000001E-2</v>
      </c>
      <c r="G13" s="13">
        <v>4.5509000000000001E-2</v>
      </c>
      <c r="H13" s="146"/>
      <c r="I13" s="146"/>
      <c r="J13" s="16">
        <v>9.4178100000000001E-2</v>
      </c>
      <c r="K13" s="16">
        <v>5.7611299999999997E-2</v>
      </c>
      <c r="M13" s="5">
        <f>(F13/D7+J13/H7)/2</f>
        <v>1.7080283546830125E-2</v>
      </c>
      <c r="N13" s="5">
        <f>0.5*SQRT((F13/D7)^2*((G13/F13)^2+(E7/D7)^2)+(J13/H7)^2*((K13/J13)^2+(I7/H7)^2))</f>
        <v>4.6800090944449771E-2</v>
      </c>
    </row>
    <row r="14" spans="1:14" s="2" customFormat="1" x14ac:dyDescent="0.35">
      <c r="A14" s="146" t="s">
        <v>24</v>
      </c>
      <c r="B14" s="2" t="s">
        <v>22</v>
      </c>
      <c r="C14" s="146"/>
      <c r="D14" s="146"/>
      <c r="E14" s="146"/>
      <c r="F14" s="17">
        <v>0.11516899999999999</v>
      </c>
      <c r="G14" s="17">
        <v>4.2176499999999999E-2</v>
      </c>
      <c r="H14" s="146"/>
      <c r="I14" s="146"/>
      <c r="J14" s="17">
        <v>1.9651800000000001E-2</v>
      </c>
      <c r="K14" s="17">
        <v>3.7381200000000003E-2</v>
      </c>
      <c r="M14" s="7">
        <f>(F14/D7+J14/H7)/2</f>
        <v>8.5970657600153932E-2</v>
      </c>
      <c r="N14" s="7">
        <f>0.5*SQRT((F14/D7)^2*((G14/F14)^2+(E7/D7)^2)+(J14/H7)^2*((K14/J14)^2+(I7/H7)^2))</f>
        <v>3.5929975552583752E-2</v>
      </c>
    </row>
    <row r="15" spans="1:14" s="2" customFormat="1" x14ac:dyDescent="0.35">
      <c r="A15" s="146"/>
      <c r="B15" s="2" t="s">
        <v>41</v>
      </c>
      <c r="C15" s="146"/>
      <c r="D15" s="146"/>
      <c r="E15" s="146"/>
      <c r="F15" s="17">
        <v>-0.1454</v>
      </c>
      <c r="G15" s="17">
        <v>7.1881899999999999E-2</v>
      </c>
      <c r="H15" s="146"/>
      <c r="I15" s="146"/>
      <c r="J15" s="17">
        <v>0.20282800000000001</v>
      </c>
      <c r="K15" s="17">
        <v>9.2281100000000005E-2</v>
      </c>
      <c r="M15" s="7">
        <f>(F15/D7+J15/H7)/2</f>
        <v>3.653076488565242E-2</v>
      </c>
      <c r="N15" s="7">
        <f>0.5*SQRT((F15/D7)^2*((G15/F15)^2+(E7/D7)^2)+(J15/H7)^2*((K15/J15)^2+(I7/H7)^2))</f>
        <v>7.4564642549854801E-2</v>
      </c>
    </row>
    <row r="16" spans="1:14" s="2" customFormat="1" x14ac:dyDescent="0.35">
      <c r="A16" s="146"/>
      <c r="B16" s="2" t="s">
        <v>42</v>
      </c>
      <c r="C16" s="146"/>
      <c r="D16" s="146"/>
      <c r="E16" s="146"/>
      <c r="F16" s="17">
        <v>1.7475299999999999E-2</v>
      </c>
      <c r="G16" s="17">
        <v>0.107739</v>
      </c>
      <c r="H16" s="146"/>
      <c r="I16" s="146"/>
      <c r="J16" s="17">
        <v>-3.4298500000000003E-2</v>
      </c>
      <c r="K16" s="17">
        <v>0.105346</v>
      </c>
      <c r="M16" s="7">
        <f>(F16/D7+J16/H7)/2</f>
        <v>-1.0712988696021825E-2</v>
      </c>
      <c r="N16" s="7">
        <f>0.5*SQRT((F16/D7)^2*((G16/F16)^2+(E7/D7)^2)+(J16/H7)^2*((K16/J16)^2+(I7/H7)^2))</f>
        <v>9.6061987592926751E-2</v>
      </c>
    </row>
    <row r="17" spans="1:14" s="2" customFormat="1" x14ac:dyDescent="0.35">
      <c r="A17" s="146"/>
      <c r="B17" s="2" t="s">
        <v>43</v>
      </c>
      <c r="C17" s="146"/>
      <c r="D17" s="146"/>
      <c r="E17" s="146"/>
      <c r="F17" s="17">
        <v>-0.10698100000000001</v>
      </c>
      <c r="G17" s="17">
        <v>6.4505699999999999E-2</v>
      </c>
      <c r="H17" s="146"/>
      <c r="I17" s="146"/>
      <c r="J17" s="17">
        <v>7.1163500000000005E-2</v>
      </c>
      <c r="K17" s="17">
        <v>8.28319E-2</v>
      </c>
      <c r="M17" s="7">
        <f>(F17/D6+J17/H6)/2</f>
        <v>-2.4194059490745365E-2</v>
      </c>
      <c r="N17" s="7">
        <f>0.5*SQRT((F17/D6)^2*((G17/F17)^2+(E6/D6)^2)+(J17/H6)^2*((K17/J17)^2+(I6/H6)^2))</f>
        <v>7.0805362884543407E-2</v>
      </c>
    </row>
    <row r="18" spans="1:14" s="2" customFormat="1" x14ac:dyDescent="0.35">
      <c r="A18" s="146"/>
      <c r="B18" s="2" t="s">
        <v>47</v>
      </c>
      <c r="C18" s="146"/>
      <c r="D18" s="146"/>
      <c r="E18" s="146"/>
      <c r="F18" s="25">
        <v>3.5309399999999998E-2</v>
      </c>
      <c r="G18" s="25">
        <v>3.4367300000000003E-2</v>
      </c>
      <c r="H18" s="146"/>
      <c r="I18" s="146"/>
      <c r="J18" s="25">
        <v>4.1926499999999998E-2</v>
      </c>
      <c r="K18" s="25">
        <v>3.3195099999999998E-2</v>
      </c>
      <c r="M18" s="15">
        <f>(F18/D7+J18/H7)/2</f>
        <v>4.9236661093798692E-2</v>
      </c>
      <c r="N18" s="15">
        <f>0.5*SQRT((F18/D7)^2*((G18/F18)^2+(E7/D7)^2)+(J18/H7)^2*((K18/J18)^2+(I7/H7)^2))</f>
        <v>3.0460977802570247E-2</v>
      </c>
    </row>
    <row r="19" spans="1:14" s="2" customFormat="1" x14ac:dyDescent="0.35">
      <c r="A19" s="146" t="s">
        <v>26</v>
      </c>
      <c r="B19" s="2" t="s">
        <v>27</v>
      </c>
      <c r="C19" s="146"/>
      <c r="D19" s="146"/>
      <c r="E19" s="146"/>
      <c r="F19" s="24">
        <v>9.5987600000000006E-2</v>
      </c>
      <c r="G19" s="24">
        <v>1.18557E-2</v>
      </c>
      <c r="H19" s="146"/>
      <c r="I19" s="146"/>
      <c r="J19" s="24">
        <v>7.6631699999999997E-2</v>
      </c>
      <c r="K19" s="24">
        <v>1.19063E-2</v>
      </c>
      <c r="M19" s="19">
        <f>(F19/D7+J19/H7)/2</f>
        <v>0.11004989038109214</v>
      </c>
      <c r="N19" s="19">
        <f>0.5*SQRT((F19/D7)^2*((G19/F19)^2+(E7/D7)^2)+(J19/H7)^2*((K19/J19)^2+(I7/H7)^2))</f>
        <v>1.0711732638138611E-2</v>
      </c>
    </row>
    <row r="20" spans="1:14" s="2" customFormat="1" x14ac:dyDescent="0.35">
      <c r="A20" s="146"/>
      <c r="B20" s="2" t="s">
        <v>44</v>
      </c>
      <c r="C20" s="146"/>
      <c r="D20" s="146"/>
      <c r="E20" s="146"/>
      <c r="F20" s="18">
        <v>0.161134</v>
      </c>
      <c r="G20" s="18">
        <v>3.6502300000000001E-2</v>
      </c>
      <c r="H20" s="146"/>
      <c r="I20" s="146"/>
      <c r="J20" s="18">
        <v>0.12682099999999999</v>
      </c>
      <c r="K20" s="18">
        <v>3.7779800000000002E-2</v>
      </c>
      <c r="M20" s="8">
        <f>(F20/D7+J20/H7)/2</f>
        <v>0.18358026169842562</v>
      </c>
      <c r="N20" s="8">
        <f>0.5*SQRT((F20/D7)^2*((G20/F20)^2+(E7/D7)^2)+(J20/H7)^2*((K20/J20)^2+(I7/H7)^2))</f>
        <v>3.3489855085418858E-2</v>
      </c>
    </row>
    <row r="21" spans="1:14" s="2" customFormat="1" x14ac:dyDescent="0.35">
      <c r="A21" s="146"/>
      <c r="B21" s="2" t="s">
        <v>41</v>
      </c>
      <c r="C21" s="146"/>
      <c r="D21" s="146"/>
      <c r="E21" s="146"/>
      <c r="F21" s="18">
        <v>-0.11078300000000001</v>
      </c>
      <c r="G21" s="18">
        <v>0.121529</v>
      </c>
      <c r="H21" s="146"/>
      <c r="I21" s="146"/>
      <c r="J21" s="18">
        <v>0.268627</v>
      </c>
      <c r="K21" s="18">
        <v>0.12162000000000001</v>
      </c>
      <c r="M21" s="8">
        <f>(F21/D7+J21/H7)/2</f>
        <v>0.10053919772465297</v>
      </c>
      <c r="N21" s="8">
        <f>0.5*SQRT((F21/D7)^2*((G21/F21)^2+(E7/D7)^2)+(J21/H7)^2*((K21/J21)^2+(I7/H7)^2))</f>
        <v>0.10960759543842308</v>
      </c>
    </row>
    <row r="22" spans="1:14" s="2" customFormat="1" x14ac:dyDescent="0.35">
      <c r="A22" s="146"/>
      <c r="B22" s="2" t="s">
        <v>45</v>
      </c>
      <c r="C22" s="146"/>
      <c r="D22" s="146"/>
      <c r="E22" s="146"/>
      <c r="F22" s="18">
        <v>4.1037499999999998E-2</v>
      </c>
      <c r="G22" s="18">
        <v>0.132081</v>
      </c>
      <c r="H22" s="146"/>
      <c r="I22" s="146"/>
      <c r="J22" s="18">
        <v>0.19731299999999999</v>
      </c>
      <c r="K22" s="18">
        <v>0.33160499999999998</v>
      </c>
      <c r="M22" s="8">
        <f>(F22/D7+J22/H7)/2</f>
        <v>0.15191352967839344</v>
      </c>
      <c r="N22" s="8">
        <f>0.5*SQRT((F22/D7)^2*((G22/F22)^2+(E7/D7)^2)+(J22/H7)^2*((K22/J22)^2+(I7/H7)^2))</f>
        <v>0.22749221707897765</v>
      </c>
    </row>
    <row r="23" spans="1:14" s="2" customFormat="1" x14ac:dyDescent="0.35">
      <c r="A23" s="146"/>
      <c r="B23" s="2" t="s">
        <v>43</v>
      </c>
      <c r="C23" s="146"/>
      <c r="D23" s="146"/>
      <c r="E23" s="146"/>
      <c r="F23" s="18">
        <v>-6.9695699999999999E-2</v>
      </c>
      <c r="G23" s="18">
        <v>9.23017E-2</v>
      </c>
      <c r="H23" s="146"/>
      <c r="I23" s="146"/>
      <c r="J23" s="18">
        <v>0.28633700000000001</v>
      </c>
      <c r="K23" s="18">
        <v>0.114092</v>
      </c>
      <c r="M23" s="8">
        <f>(F23/D6+J23/H6)/2</f>
        <v>0.14604683143221669</v>
      </c>
      <c r="N23" s="8">
        <f>0.5*SQRT((F23/D6)^2*((G23/F23)^2+(E23/D6)^2)+(J23/H6)^2*((K23/J23)^2+(I6/H6)^2))</f>
        <v>9.8975493327509836E-2</v>
      </c>
    </row>
    <row r="24" spans="1:14" s="2" customFormat="1" x14ac:dyDescent="0.35">
      <c r="A24" s="146"/>
      <c r="B24" s="2" t="s">
        <v>47</v>
      </c>
      <c r="C24" s="146"/>
      <c r="D24" s="146"/>
      <c r="E24" s="146"/>
      <c r="F24" s="23">
        <v>0.12180000000000001</v>
      </c>
      <c r="G24" s="23">
        <v>3.4109899999999999E-2</v>
      </c>
      <c r="H24" s="146"/>
      <c r="I24" s="146"/>
      <c r="J24" s="23">
        <v>0.127443</v>
      </c>
      <c r="K24" s="23">
        <v>3.5309399999999998E-2</v>
      </c>
      <c r="M24" s="19">
        <f>(F24/D7+J24/H7)/2</f>
        <v>0.15889205920102278</v>
      </c>
      <c r="N24" s="19">
        <f>0.5*SQRT((F24/D7)^2*((G24/F24)^2+(E24/D7)^2)+(J24/H7)^2*((K24/J24)^2+(I7/H7)^2))</f>
        <v>3.1297419759436979E-2</v>
      </c>
    </row>
  </sheetData>
  <mergeCells count="9">
    <mergeCell ref="H7:H24"/>
    <mergeCell ref="I7:I24"/>
    <mergeCell ref="A14:A18"/>
    <mergeCell ref="A19:A24"/>
    <mergeCell ref="A2:A13"/>
    <mergeCell ref="B2:B6"/>
    <mergeCell ref="C7:C24"/>
    <mergeCell ref="D7:D24"/>
    <mergeCell ref="E7:E24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zoomScale="50" zoomScaleNormal="50" workbookViewId="0">
      <selection activeCell="F3" sqref="F3"/>
    </sheetView>
  </sheetViews>
  <sheetFormatPr defaultColWidth="11.5546875" defaultRowHeight="17.25" x14ac:dyDescent="0.3"/>
  <sheetData>
    <row r="1" spans="1:3" ht="20.25" x14ac:dyDescent="0.35">
      <c r="A1" s="6" t="s">
        <v>8</v>
      </c>
      <c r="B1" s="6" t="s">
        <v>6</v>
      </c>
      <c r="C1" s="6" t="s">
        <v>7</v>
      </c>
    </row>
    <row r="2" spans="1:3" ht="20.25" x14ac:dyDescent="0.35">
      <c r="A2" s="6" t="s">
        <v>1</v>
      </c>
      <c r="B2" s="6">
        <v>381.3</v>
      </c>
      <c r="C2" s="6">
        <v>1657.7</v>
      </c>
    </row>
    <row r="3" spans="1:3" ht="20.25" x14ac:dyDescent="0.35">
      <c r="A3" s="9" t="s">
        <v>0</v>
      </c>
      <c r="B3" s="6">
        <v>329.4</v>
      </c>
      <c r="C3" s="6">
        <v>1310.0999999999999</v>
      </c>
    </row>
    <row r="4" spans="1:3" ht="20.25" x14ac:dyDescent="0.35">
      <c r="A4" s="9" t="s">
        <v>35</v>
      </c>
      <c r="B4" s="6">
        <v>355.4</v>
      </c>
      <c r="C4" s="6">
        <v>1483.9</v>
      </c>
    </row>
    <row r="5" spans="1:3" ht="20.25" x14ac:dyDescent="0.35">
      <c r="A5" s="6" t="s">
        <v>2</v>
      </c>
      <c r="B5" s="6">
        <v>224.3</v>
      </c>
      <c r="C5" s="6">
        <v>744.3</v>
      </c>
    </row>
    <row r="6" spans="1:3" ht="20.25" x14ac:dyDescent="0.35">
      <c r="A6" s="6" t="s">
        <v>3</v>
      </c>
      <c r="B6" s="6">
        <v>89.9</v>
      </c>
      <c r="C6" s="6">
        <v>196.2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Ruler="0" topLeftCell="A2" zoomScale="50" zoomScaleNormal="50" workbookViewId="0">
      <selection activeCell="F3" sqref="F3"/>
    </sheetView>
  </sheetViews>
  <sheetFormatPr defaultColWidth="10.77734375" defaultRowHeight="20.25" x14ac:dyDescent="0.35"/>
  <cols>
    <col min="1" max="16384" width="10.77734375" style="6"/>
  </cols>
  <sheetData>
    <row r="1" spans="1:14" x14ac:dyDescent="0.35">
      <c r="A1" s="6" t="s">
        <v>28</v>
      </c>
      <c r="F1" s="6" t="s">
        <v>33</v>
      </c>
      <c r="K1" s="6" t="s">
        <v>34</v>
      </c>
    </row>
    <row r="2" spans="1:14" x14ac:dyDescent="0.35">
      <c r="A2" s="6" t="s">
        <v>29</v>
      </c>
      <c r="B2" s="6" t="s">
        <v>30</v>
      </c>
      <c r="C2" s="6" t="s">
        <v>31</v>
      </c>
      <c r="D2" s="6" t="s">
        <v>32</v>
      </c>
      <c r="F2" s="6" t="s">
        <v>29</v>
      </c>
      <c r="G2" s="6" t="s">
        <v>30</v>
      </c>
      <c r="H2" s="6" t="s">
        <v>31</v>
      </c>
      <c r="I2" s="6" t="s">
        <v>32</v>
      </c>
      <c r="K2" s="6" t="s">
        <v>29</v>
      </c>
      <c r="L2" s="6" t="s">
        <v>30</v>
      </c>
      <c r="M2" s="6" t="s">
        <v>31</v>
      </c>
      <c r="N2" s="6" t="s">
        <v>32</v>
      </c>
    </row>
    <row r="3" spans="1:14" x14ac:dyDescent="0.35">
      <c r="A3" s="6">
        <v>0</v>
      </c>
      <c r="B3" s="6">
        <v>5</v>
      </c>
      <c r="C3" s="6">
        <v>0.66059900000000005</v>
      </c>
      <c r="D3" s="6">
        <v>3.8969999999999999E-3</v>
      </c>
      <c r="F3" s="6">
        <v>0</v>
      </c>
      <c r="G3" s="6">
        <v>5</v>
      </c>
      <c r="H3" s="6">
        <v>0.53345500000000001</v>
      </c>
      <c r="I3" s="6">
        <v>2.4009999999999999E-3</v>
      </c>
      <c r="K3" s="6">
        <v>0</v>
      </c>
      <c r="L3" s="6">
        <v>5</v>
      </c>
      <c r="M3" s="6">
        <v>0.53944999999999999</v>
      </c>
      <c r="N3" s="6">
        <v>2.428E-3</v>
      </c>
    </row>
    <row r="4" spans="1:14" x14ac:dyDescent="0.35">
      <c r="A4" s="6">
        <v>5</v>
      </c>
      <c r="B4" s="6">
        <v>10</v>
      </c>
      <c r="C4" s="6">
        <v>0.82322899999999999</v>
      </c>
      <c r="D4" s="6">
        <v>2.8479999999999998E-3</v>
      </c>
      <c r="F4" s="6">
        <v>5</v>
      </c>
      <c r="G4" s="6">
        <v>10</v>
      </c>
      <c r="H4" s="6">
        <v>0.72327200000000003</v>
      </c>
      <c r="I4" s="6">
        <v>2.0929999999999998E-3</v>
      </c>
      <c r="K4" s="6">
        <v>5</v>
      </c>
      <c r="L4" s="6">
        <v>10</v>
      </c>
      <c r="M4" s="6">
        <v>0.72284099999999996</v>
      </c>
      <c r="N4" s="6">
        <v>2.0920000000000001E-3</v>
      </c>
    </row>
    <row r="5" spans="1:14" x14ac:dyDescent="0.35">
      <c r="A5" s="6">
        <v>10</v>
      </c>
      <c r="B5" s="6">
        <v>15</v>
      </c>
      <c r="C5" s="6">
        <v>0.88322299999999998</v>
      </c>
      <c r="D5" s="6">
        <v>2.5469999999999998E-3</v>
      </c>
      <c r="F5" s="6">
        <v>10</v>
      </c>
      <c r="G5" s="6">
        <v>15</v>
      </c>
      <c r="H5" s="6">
        <v>0.79893700000000001</v>
      </c>
      <c r="I5" s="6">
        <v>2.0209999999999998E-3</v>
      </c>
      <c r="K5" s="6">
        <v>10</v>
      </c>
      <c r="L5" s="6">
        <v>15</v>
      </c>
      <c r="M5" s="6">
        <v>0.80148299999999995</v>
      </c>
      <c r="N5" s="6">
        <v>2.0270000000000002E-3</v>
      </c>
    </row>
    <row r="6" spans="1:14" x14ac:dyDescent="0.35">
      <c r="A6" s="6">
        <v>15</v>
      </c>
      <c r="B6" s="6">
        <v>20</v>
      </c>
      <c r="C6" s="6">
        <v>0.90586599999999995</v>
      </c>
      <c r="D6" s="6">
        <v>2.477E-3</v>
      </c>
      <c r="F6" s="6">
        <v>15</v>
      </c>
      <c r="G6" s="6">
        <v>20</v>
      </c>
      <c r="H6" s="6">
        <v>0.83217799999999997</v>
      </c>
      <c r="I6" s="6">
        <v>2.0449999999999999E-3</v>
      </c>
      <c r="K6" s="6">
        <v>15</v>
      </c>
      <c r="L6" s="6">
        <v>20</v>
      </c>
      <c r="M6" s="6">
        <v>0.83159700000000003</v>
      </c>
      <c r="N6" s="6">
        <v>2.0439999999999998E-3</v>
      </c>
    </row>
    <row r="7" spans="1:14" x14ac:dyDescent="0.35">
      <c r="A7" s="6">
        <v>20</v>
      </c>
      <c r="B7" s="6">
        <v>25</v>
      </c>
      <c r="C7" s="6">
        <v>0.91149599999999997</v>
      </c>
      <c r="D7" s="6">
        <v>2.4429999999999999E-3</v>
      </c>
      <c r="F7" s="6">
        <v>20</v>
      </c>
      <c r="G7" s="6">
        <v>25</v>
      </c>
      <c r="H7" s="6">
        <v>0.84243500000000004</v>
      </c>
      <c r="I7" s="6">
        <v>2.0470000000000002E-3</v>
      </c>
      <c r="K7" s="6">
        <v>20</v>
      </c>
      <c r="L7" s="6">
        <v>25</v>
      </c>
      <c r="M7" s="6">
        <v>0.83922799999999997</v>
      </c>
      <c r="N7" s="6">
        <v>2.039E-3</v>
      </c>
    </row>
    <row r="8" spans="1:14" x14ac:dyDescent="0.35">
      <c r="A8" s="6">
        <v>25</v>
      </c>
      <c r="B8" s="6">
        <v>30</v>
      </c>
      <c r="C8" s="6">
        <v>0.91091200000000005</v>
      </c>
      <c r="D8" s="6">
        <v>2.4299999999999999E-3</v>
      </c>
      <c r="F8" s="6">
        <v>25</v>
      </c>
      <c r="G8" s="6">
        <v>30</v>
      </c>
      <c r="H8" s="6">
        <v>0.83701499999999995</v>
      </c>
      <c r="I8" s="6">
        <v>2.0200000000000001E-3</v>
      </c>
      <c r="K8" s="6">
        <v>25</v>
      </c>
      <c r="L8" s="6">
        <v>30</v>
      </c>
      <c r="M8" s="6">
        <v>0.83552700000000002</v>
      </c>
      <c r="N8" s="6">
        <v>2.016E-3</v>
      </c>
    </row>
    <row r="9" spans="1:14" x14ac:dyDescent="0.35">
      <c r="A9" s="6">
        <v>30</v>
      </c>
      <c r="B9" s="6">
        <v>35</v>
      </c>
      <c r="C9" s="6">
        <v>0.90135100000000001</v>
      </c>
      <c r="D9" s="6">
        <v>2.4940000000000001E-3</v>
      </c>
      <c r="F9" s="6">
        <v>30</v>
      </c>
      <c r="G9" s="6">
        <v>35</v>
      </c>
      <c r="H9" s="6">
        <v>0.82152099999999995</v>
      </c>
      <c r="I9" s="6">
        <v>2.0339999999999998E-3</v>
      </c>
      <c r="K9" s="6">
        <v>30</v>
      </c>
      <c r="L9" s="6">
        <v>35</v>
      </c>
      <c r="M9" s="6">
        <v>0.821654</v>
      </c>
      <c r="N9" s="6">
        <v>2.0349999999999999E-3</v>
      </c>
    </row>
    <row r="10" spans="1:14" x14ac:dyDescent="0.35">
      <c r="A10" s="6">
        <v>35</v>
      </c>
      <c r="B10" s="6">
        <v>40</v>
      </c>
      <c r="C10" s="6">
        <v>0.88160000000000005</v>
      </c>
      <c r="D10" s="6">
        <v>2.5469999999999998E-3</v>
      </c>
      <c r="F10" s="6">
        <v>35</v>
      </c>
      <c r="G10" s="6">
        <v>40</v>
      </c>
      <c r="H10" s="6">
        <v>0.79802499999999998</v>
      </c>
      <c r="I10" s="6">
        <v>2.0330000000000001E-3</v>
      </c>
      <c r="K10" s="6">
        <v>35</v>
      </c>
      <c r="L10" s="6">
        <v>40</v>
      </c>
      <c r="M10" s="6">
        <v>0.79656499999999997</v>
      </c>
      <c r="N10" s="6">
        <v>2.029E-3</v>
      </c>
    </row>
    <row r="11" spans="1:14" x14ac:dyDescent="0.35">
      <c r="A11" s="6">
        <v>40</v>
      </c>
      <c r="B11" s="6">
        <v>50</v>
      </c>
      <c r="C11" s="6">
        <v>0.84253500000000003</v>
      </c>
      <c r="D11" s="6">
        <v>1.9550000000000001E-3</v>
      </c>
      <c r="F11" s="6">
        <v>40</v>
      </c>
      <c r="G11" s="6">
        <v>50</v>
      </c>
      <c r="H11" s="6">
        <v>0.73732500000000001</v>
      </c>
      <c r="I11" s="6">
        <v>1.4480000000000001E-3</v>
      </c>
      <c r="K11" s="6">
        <v>40</v>
      </c>
      <c r="L11" s="6">
        <v>50</v>
      </c>
      <c r="M11" s="6">
        <v>0.736792</v>
      </c>
      <c r="N11" s="6">
        <v>1.446E-3</v>
      </c>
    </row>
    <row r="12" spans="1:14" x14ac:dyDescent="0.35">
      <c r="A12" s="6">
        <v>50</v>
      </c>
      <c r="B12" s="6">
        <v>60</v>
      </c>
      <c r="C12" s="6">
        <v>0.74462399999999995</v>
      </c>
      <c r="D12" s="6">
        <v>2.4260000000000002E-3</v>
      </c>
      <c r="F12" s="6">
        <v>50</v>
      </c>
      <c r="G12" s="6">
        <v>60</v>
      </c>
      <c r="H12" s="6">
        <v>0.60929299999999997</v>
      </c>
      <c r="I12" s="6">
        <v>1.542E-3</v>
      </c>
      <c r="K12" s="6">
        <v>50</v>
      </c>
      <c r="L12" s="6">
        <v>60</v>
      </c>
      <c r="M12" s="6">
        <v>0.60937200000000002</v>
      </c>
      <c r="N12" s="6">
        <v>1.542E-3</v>
      </c>
    </row>
    <row r="13" spans="1:14" x14ac:dyDescent="0.35">
      <c r="A13" s="6">
        <v>60</v>
      </c>
      <c r="B13" s="6">
        <v>70</v>
      </c>
      <c r="C13" s="6">
        <v>0.57414399999999999</v>
      </c>
      <c r="D13" s="6">
        <v>3.5349999999999999E-3</v>
      </c>
      <c r="F13" s="6">
        <v>60</v>
      </c>
      <c r="G13" s="6">
        <v>70</v>
      </c>
      <c r="H13" s="6">
        <v>0.43292700000000001</v>
      </c>
      <c r="I13" s="6">
        <v>1.939E-3</v>
      </c>
      <c r="K13" s="6">
        <v>60</v>
      </c>
      <c r="L13" s="6">
        <v>70</v>
      </c>
      <c r="M13" s="6">
        <v>0.43255700000000002</v>
      </c>
      <c r="N13" s="6">
        <v>1.9369999999999999E-3</v>
      </c>
    </row>
    <row r="14" spans="1:14" x14ac:dyDescent="0.35">
      <c r="A14" s="6">
        <v>70</v>
      </c>
      <c r="B14" s="6">
        <v>80</v>
      </c>
      <c r="C14" s="6">
        <v>0.36757200000000001</v>
      </c>
      <c r="D14" s="6">
        <v>6.0289999999999996E-3</v>
      </c>
      <c r="F14" s="6">
        <v>70</v>
      </c>
      <c r="G14" s="6">
        <v>80</v>
      </c>
      <c r="H14" s="6">
        <v>0.25198100000000001</v>
      </c>
      <c r="I14" s="6">
        <v>3.1159999999999998E-3</v>
      </c>
      <c r="K14" s="6">
        <v>70</v>
      </c>
      <c r="L14" s="6">
        <v>80</v>
      </c>
      <c r="M14" s="6">
        <v>0.24412</v>
      </c>
      <c r="N14" s="6">
        <v>3.019E-3</v>
      </c>
    </row>
    <row r="15" spans="1:14" x14ac:dyDescent="0.35">
      <c r="A15" s="6">
        <v>80</v>
      </c>
      <c r="B15" s="6">
        <v>90</v>
      </c>
      <c r="C15" s="6">
        <v>0.198353</v>
      </c>
      <c r="D15" s="6">
        <v>1.0795000000000001E-2</v>
      </c>
      <c r="F15" s="6">
        <v>80</v>
      </c>
      <c r="G15" s="6">
        <v>90</v>
      </c>
      <c r="H15" s="6">
        <v>0.100606</v>
      </c>
      <c r="I15" s="6">
        <v>5.8310000000000002E-3</v>
      </c>
      <c r="K15" s="6">
        <v>80</v>
      </c>
      <c r="L15" s="6">
        <v>90</v>
      </c>
      <c r="M15" s="6">
        <v>0.10120700000000001</v>
      </c>
      <c r="N15" s="6">
        <v>5.8659999999999997E-3</v>
      </c>
    </row>
    <row r="16" spans="1:14" x14ac:dyDescent="0.35">
      <c r="A16" s="6">
        <v>90</v>
      </c>
      <c r="B16" s="6">
        <v>100</v>
      </c>
      <c r="C16" s="6">
        <v>0.14237900000000001</v>
      </c>
      <c r="D16" s="6">
        <v>3.2124E-2</v>
      </c>
      <c r="F16" s="6">
        <v>90</v>
      </c>
      <c r="G16" s="6">
        <v>100</v>
      </c>
      <c r="H16" s="6">
        <v>5.5759999999999997E-2</v>
      </c>
      <c r="I16" s="6">
        <v>1.2723999999999999E-2</v>
      </c>
      <c r="K16" s="6">
        <v>90</v>
      </c>
      <c r="L16" s="6">
        <v>100</v>
      </c>
      <c r="M16" s="6">
        <v>4.6038999999999997E-2</v>
      </c>
      <c r="N16" s="6">
        <v>1.0545000000000001E-2</v>
      </c>
    </row>
    <row r="18" spans="1:14" x14ac:dyDescent="0.35">
      <c r="A18" s="6">
        <v>10</v>
      </c>
      <c r="B18" s="6">
        <v>60</v>
      </c>
      <c r="C18" s="10">
        <f>SUM(C5:C12)/8</f>
        <v>0.87270087499999993</v>
      </c>
      <c r="D18" s="10">
        <f>1/8*SQRT(D5^2+D6^2+D7^2+D8^2+D9^2+D10^2+D11^2+D12^2)</f>
        <v>8.5614171760579449E-4</v>
      </c>
      <c r="F18" s="6">
        <v>10</v>
      </c>
      <c r="G18" s="6">
        <v>60</v>
      </c>
      <c r="H18" s="10">
        <f>1/8*SUM(H5:H12)</f>
        <v>0.78459112500000006</v>
      </c>
      <c r="I18" s="10">
        <f>1/8*SQRT(I5*I5+I6*I6+I7*I7+I8*I8+I9*I9+I10*I10+I11*I11+I12*I12)</f>
        <v>6.7640811460241955E-4</v>
      </c>
      <c r="K18" s="6">
        <v>10</v>
      </c>
      <c r="L18" s="6">
        <v>60</v>
      </c>
      <c r="M18" s="10">
        <f>1/8*SUM(M5:M12)</f>
        <v>0.78402725000000006</v>
      </c>
      <c r="N18" s="10">
        <f>1/8*SQRT(N5^2+N6^2+N7^2+N8^2+N9^2+N10^2+N11^2+N12^2)</f>
        <v>6.7586967123847187E-4</v>
      </c>
    </row>
    <row r="19" spans="1:14" x14ac:dyDescent="0.35">
      <c r="A19" s="6">
        <v>10</v>
      </c>
      <c r="B19" s="6">
        <v>30</v>
      </c>
      <c r="C19" s="10">
        <f>1/4*SUM(C5:C8)</f>
        <v>0.90287424999999999</v>
      </c>
      <c r="D19" s="10">
        <f xml:space="preserve"> 1/4*SQRT(I5^2+I6^2+I7^2+I8^2)</f>
        <v>1.016645064661212E-3</v>
      </c>
      <c r="F19" s="6">
        <v>10</v>
      </c>
      <c r="G19" s="6">
        <v>30</v>
      </c>
      <c r="H19" s="10">
        <f>1/4*SUM(H5:H8)</f>
        <v>0.82764124999999999</v>
      </c>
      <c r="I19" s="10">
        <f>1/4*SQRT(I5*I5+I6*I6+I7*I7+I8*I8)</f>
        <v>1.016645064661212E-3</v>
      </c>
      <c r="K19" s="6">
        <v>10</v>
      </c>
      <c r="L19" s="6">
        <v>30</v>
      </c>
      <c r="M19" s="10">
        <f xml:space="preserve"> 1/4*SUM(M5:M8)</f>
        <v>0.82695874999999996</v>
      </c>
      <c r="N19" s="10">
        <f>1/4*SQRT(N5*N5+N6*N6+N7*N7+N8*N8)</f>
        <v>1.0157645519508938E-3</v>
      </c>
    </row>
    <row r="20" spans="1:14" x14ac:dyDescent="0.35">
      <c r="A20" s="6">
        <v>30</v>
      </c>
      <c r="B20" s="6">
        <v>60</v>
      </c>
      <c r="C20" s="10">
        <f>1/4*SUM(C9:C12)</f>
        <v>0.8425275000000001</v>
      </c>
      <c r="D20" s="10">
        <f xml:space="preserve"> 1/4*SQRT(D10*D10+D11*D11+D12*D12+D13*D13)</f>
        <v>1.3390979939869971E-3</v>
      </c>
      <c r="F20" s="6">
        <v>30</v>
      </c>
      <c r="G20" s="6">
        <v>60</v>
      </c>
      <c r="H20" s="10">
        <f xml:space="preserve"> 1/4*SUM(H9:H12)</f>
        <v>0.74154100000000001</v>
      </c>
      <c r="I20" s="10">
        <f xml:space="preserve"> 1/4*SQRT(I10*I10+I11*I11+I12*I12+I13*I13)</f>
        <v>8.7917852282684886E-4</v>
      </c>
      <c r="K20" s="6">
        <v>30</v>
      </c>
      <c r="L20" s="6">
        <v>60</v>
      </c>
      <c r="M20" s="10">
        <f xml:space="preserve"> 1/4*SUM(M9:M12)</f>
        <v>0.74109574999999994</v>
      </c>
      <c r="N20" s="10">
        <f xml:space="preserve"> 1/4*SQRT(N10*N10+N11*N11+N12*N12+N13*N13)</f>
        <v>8.7811908360996228E-4</v>
      </c>
    </row>
    <row r="21" spans="1:14" x14ac:dyDescent="0.35">
      <c r="A21" s="6">
        <v>0</v>
      </c>
      <c r="B21" s="6">
        <v>10</v>
      </c>
      <c r="C21" s="10">
        <f xml:space="preserve"> 1/2 * SUM(C3:C4)</f>
        <v>0.74191399999999996</v>
      </c>
      <c r="D21" s="10">
        <f xml:space="preserve"> 1/2*SQRT(D3*D3+D4*D4)</f>
        <v>2.4133852261916246E-3</v>
      </c>
      <c r="E21" s="2"/>
      <c r="F21" s="11">
        <v>0</v>
      </c>
      <c r="G21" s="11">
        <v>10</v>
      </c>
      <c r="H21" s="10">
        <f xml:space="preserve"> 1/2 * SUM(H3:H4)</f>
        <v>0.62836350000000007</v>
      </c>
      <c r="I21" s="10">
        <f xml:space="preserve"> 1/2*SQRT(I3*I3+I4*I4)</f>
        <v>1.5925961509434838E-3</v>
      </c>
      <c r="J21" s="2"/>
      <c r="K21" s="11">
        <v>0</v>
      </c>
      <c r="L21" s="11">
        <v>10</v>
      </c>
      <c r="M21" s="10">
        <f xml:space="preserve"> 1/2 * SUM(M3:M4)</f>
        <v>0.63114549999999991</v>
      </c>
      <c r="N21" s="10">
        <f xml:space="preserve"> 1/2*SQRT(N3*N3+N4*N4)</f>
        <v>1.6024705925538852E-3</v>
      </c>
    </row>
    <row r="22" spans="1:14" x14ac:dyDescent="0.35">
      <c r="A22" s="6">
        <v>10</v>
      </c>
      <c r="B22" s="6">
        <v>20</v>
      </c>
      <c r="C22" s="6">
        <f xml:space="preserve"> 1/2*SUM(C5:C6)</f>
        <v>0.89454449999999996</v>
      </c>
      <c r="D22" s="10">
        <f xml:space="preserve"> 1/2*SQRT(D5*D5+D6*D6)</f>
        <v>1.7764246395499022E-3</v>
      </c>
      <c r="F22" s="6">
        <v>10</v>
      </c>
      <c r="G22" s="6">
        <v>20</v>
      </c>
      <c r="H22" s="27">
        <f xml:space="preserve"> 1/2*SUM(H5:H6)</f>
        <v>0.81555749999999994</v>
      </c>
      <c r="I22" s="10">
        <f xml:space="preserve"> 1/2*SQRT(I5*I5+I6*I6)</f>
        <v>1.4375731285746823E-3</v>
      </c>
      <c r="K22" s="6">
        <v>10</v>
      </c>
      <c r="L22" s="6">
        <v>20</v>
      </c>
      <c r="M22" s="6">
        <f xml:space="preserve"> 1/2*SUM(M5:M6)</f>
        <v>0.81654000000000004</v>
      </c>
      <c r="N22" s="10">
        <f xml:space="preserve"> 1/2*SQRT(N5*N5+N6*N6)</f>
        <v>1.4393284024155155E-3</v>
      </c>
    </row>
    <row r="23" spans="1:14" x14ac:dyDescent="0.35">
      <c r="A23" s="6">
        <v>20</v>
      </c>
      <c r="B23" s="6">
        <v>30</v>
      </c>
      <c r="C23" s="6">
        <f xml:space="preserve"> 1/2*SUM(C7:C8)</f>
        <v>0.91120400000000001</v>
      </c>
      <c r="D23" s="10">
        <f xml:space="preserve"> 1/2*SQRT(D7*D7+D8*D8)</f>
        <v>1.7228718031240744E-3</v>
      </c>
      <c r="F23" s="6">
        <v>20</v>
      </c>
      <c r="G23" s="6">
        <v>30</v>
      </c>
      <c r="H23" s="6">
        <f xml:space="preserve"> 1/2*SUM(H7:H8)</f>
        <v>0.83972500000000005</v>
      </c>
      <c r="I23" s="10">
        <f xml:space="preserve"> 1/2*SQRT(I7*I7+I8*I8)</f>
        <v>1.4379333259925511E-3</v>
      </c>
      <c r="K23" s="6">
        <v>20</v>
      </c>
      <c r="L23" s="6">
        <v>30</v>
      </c>
      <c r="M23" s="6">
        <f xml:space="preserve"> 1/2*SUM(M7:M8)</f>
        <v>0.8373775</v>
      </c>
      <c r="N23" s="10">
        <f xml:space="preserve"> 1/2*SQRT(N7*N7+N8*N8)</f>
        <v>1.4336820602909141E-3</v>
      </c>
    </row>
    <row r="31" spans="1:14" ht="18.75" customHeight="1" x14ac:dyDescent="0.35"/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zoomScale="50" zoomScaleNormal="50" workbookViewId="0">
      <pane xSplit="4" topLeftCell="E1" activePane="topRight" state="frozen"/>
      <selection activeCell="F3" sqref="F3"/>
      <selection pane="topRight" activeCell="E4" sqref="E4"/>
    </sheetView>
  </sheetViews>
  <sheetFormatPr defaultColWidth="10.77734375" defaultRowHeight="20.25" x14ac:dyDescent="0.35"/>
  <cols>
    <col min="1" max="3" width="10.77734375" style="46"/>
    <col min="4" max="4" width="10.77734375" style="46" customWidth="1"/>
    <col min="5" max="6" width="10.77734375" style="46"/>
    <col min="7" max="7" width="13.44140625" style="46" bestFit="1" customWidth="1"/>
    <col min="8" max="8" width="11.77734375" style="46" bestFit="1" customWidth="1"/>
    <col min="9" max="9" width="11" style="46" bestFit="1" customWidth="1"/>
    <col min="10" max="16384" width="10.77734375" style="46"/>
  </cols>
  <sheetData>
    <row r="1" spans="1:27" x14ac:dyDescent="0.35">
      <c r="A1" s="84"/>
      <c r="B1" s="84"/>
      <c r="C1" s="84"/>
      <c r="D1" s="84"/>
      <c r="E1" s="84"/>
      <c r="F1" s="84"/>
      <c r="G1" s="84"/>
      <c r="H1" s="84"/>
      <c r="I1" s="84"/>
      <c r="J1" s="103"/>
      <c r="K1" s="103" t="s">
        <v>75</v>
      </c>
      <c r="L1" s="103"/>
      <c r="M1" s="84"/>
      <c r="N1" s="84"/>
      <c r="O1" s="84"/>
      <c r="X1" s="3" t="s">
        <v>101</v>
      </c>
      <c r="Z1" s="46" t="s">
        <v>102</v>
      </c>
    </row>
    <row r="2" spans="1:27" x14ac:dyDescent="0.35">
      <c r="A2" s="85" t="s">
        <v>18</v>
      </c>
      <c r="B2" s="85" t="s">
        <v>19</v>
      </c>
      <c r="C2" s="85" t="s">
        <v>20</v>
      </c>
      <c r="D2" s="85" t="s">
        <v>48</v>
      </c>
      <c r="E2" s="85" t="s">
        <v>63</v>
      </c>
      <c r="F2" s="85" t="s">
        <v>69</v>
      </c>
      <c r="G2" s="85" t="s">
        <v>72</v>
      </c>
      <c r="H2" s="85" t="s">
        <v>68</v>
      </c>
      <c r="I2" s="85" t="s">
        <v>70</v>
      </c>
      <c r="J2" s="85" t="s">
        <v>73</v>
      </c>
      <c r="K2" s="85"/>
      <c r="L2" s="85" t="s">
        <v>15</v>
      </c>
      <c r="M2" s="85" t="s">
        <v>16</v>
      </c>
      <c r="N2" s="85" t="s">
        <v>11</v>
      </c>
      <c r="O2" s="84" t="s">
        <v>12</v>
      </c>
      <c r="Q2" s="3" t="s">
        <v>65</v>
      </c>
      <c r="R2" s="3" t="s">
        <v>66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 x14ac:dyDescent="0.35">
      <c r="A3" s="136" t="s">
        <v>55</v>
      </c>
      <c r="B3" s="136" t="s">
        <v>25</v>
      </c>
      <c r="C3" s="136" t="s">
        <v>35</v>
      </c>
      <c r="D3" s="26" t="s">
        <v>51</v>
      </c>
      <c r="E3" s="115">
        <f xml:space="preserve"> (1-defaultFit_Inclusive!$U3)*defaultFit_Inclusive!E3</f>
        <v>1061.1115207999999</v>
      </c>
      <c r="F3" s="115">
        <f xml:space="preserve"> E3*SQRT(POWER(defaultFit_Inclusive!$V3/(1-defaultFit_Inclusive!$U3),2)+POWER(defaultFit_Inclusive!F3/defaultFit_Inclusive!E3,2))</f>
        <v>37.893811375036144</v>
      </c>
      <c r="G3" s="76"/>
      <c r="H3" s="115">
        <f xml:space="preserve"> (1-defaultFit_Inclusive!$U3)*defaultFit_Inclusive!H3</f>
        <v>968.84920899999997</v>
      </c>
      <c r="I3" s="115">
        <f xml:space="preserve"> H3*SQRT(POWER(defaultFit_Inclusive!$V3/(1-defaultFit_Inclusive!$U3),2)+POWER(defaultFit_Inclusive!I3/defaultFit_Inclusive!H3,2))</f>
        <v>36.061984289408933</v>
      </c>
      <c r="J3" s="76"/>
      <c r="K3" s="97"/>
      <c r="L3" s="98"/>
      <c r="M3" s="98"/>
      <c r="N3" s="98"/>
      <c r="O3" s="34"/>
      <c r="P3" s="33"/>
      <c r="Q3" s="78"/>
      <c r="R3" s="78"/>
      <c r="X3" s="3"/>
      <c r="Y3" s="3"/>
      <c r="Z3" s="3"/>
      <c r="AA3" s="3"/>
    </row>
    <row r="4" spans="1:27" x14ac:dyDescent="0.35">
      <c r="A4" s="136"/>
      <c r="B4" s="136"/>
      <c r="C4" s="136"/>
      <c r="D4" s="85" t="s">
        <v>49</v>
      </c>
      <c r="E4" s="115">
        <f xml:space="preserve"> (1-defaultFit_Inclusive!$U4)*defaultFit_Inclusive!E4</f>
        <v>269.75731497999999</v>
      </c>
      <c r="F4" s="115">
        <f xml:space="preserve"> E4*SQRT(POWER(defaultFit_Inclusive!$V4/(1-defaultFit_Inclusive!$U4),2)+POWER(defaultFit_Inclusive!F4/defaultFit_Inclusive!E4,2))</f>
        <v>18.687016094710934</v>
      </c>
      <c r="G4" s="76">
        <f>SQRT(POWER(Z4,2)+POWER(fitSyst_Prompt!AE4,2))</f>
        <v>5.5512771854289274E-2</v>
      </c>
      <c r="H4" s="115">
        <f xml:space="preserve"> (1-defaultFit_Inclusive!$U4)*defaultFit_Inclusive!H4</f>
        <v>249.57380563699996</v>
      </c>
      <c r="I4" s="115">
        <f xml:space="preserve"> H4*SQRT(POWER(defaultFit_Inclusive!$V4/(1-defaultFit_Inclusive!$U4),2)+POWER(defaultFit_Inclusive!I4/defaultFit_Inclusive!H4,2))</f>
        <v>17.604657870283241</v>
      </c>
      <c r="J4" s="76">
        <f>SQRT(POWER(AA4,2)+POWER(fitSyst_Prompt!AF4,2))</f>
        <v>4.6715943114314824E-2</v>
      </c>
      <c r="K4" s="97"/>
      <c r="L4" s="134">
        <v>1.1456900000000001E-2</v>
      </c>
      <c r="M4" s="134">
        <v>2.74164E-2</v>
      </c>
      <c r="N4" s="134">
        <v>7.6088800000000002E-3</v>
      </c>
      <c r="O4" s="134">
        <v>2.59438E-2</v>
      </c>
      <c r="P4" s="33"/>
      <c r="Q4" s="135">
        <f xml:space="preserve"> (L4/ep_CorrectionFactors!H21+N4/ep_CorrectionFactors!M21)/2</f>
        <v>1.5144292383550787E-2</v>
      </c>
      <c r="R4" s="135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2.9972485481494324E-2</v>
      </c>
      <c r="X4" s="3">
        <f xml:space="preserve"> E4/($E$8*PI()/8)</f>
        <v>0.65334227729388106</v>
      </c>
      <c r="Y4" s="3">
        <f xml:space="preserve"> H4/($H$8*PI()/8)</f>
        <v>0.65375954942062575</v>
      </c>
      <c r="Z4" s="3">
        <f xml:space="preserve"> X4*F4/E4</f>
        <v>4.5259264431998944E-2</v>
      </c>
      <c r="AA4" s="3">
        <f xml:space="preserve"> Y4*I4/H4</f>
        <v>4.6115469400344687E-2</v>
      </c>
    </row>
    <row r="5" spans="1:27" x14ac:dyDescent="0.35">
      <c r="A5" s="136"/>
      <c r="B5" s="136"/>
      <c r="C5" s="136"/>
      <c r="D5" s="85" t="s">
        <v>50</v>
      </c>
      <c r="E5" s="115">
        <f xml:space="preserve"> (1-defaultFit_Inclusive!$U5)*defaultFit_Inclusive!E5</f>
        <v>266.31877972000001</v>
      </c>
      <c r="F5" s="115">
        <f xml:space="preserve"> E5*SQRT(POWER(defaultFit_Inclusive!$V5/(1-defaultFit_Inclusive!$U5),2)+POWER(defaultFit_Inclusive!F5/defaultFit_Inclusive!E5,2))</f>
        <v>18.993732822994179</v>
      </c>
      <c r="G5" s="76">
        <f>SQRT(POWER(Z5,2)+POWER(fitSyst_Prompt!AE5,2))</f>
        <v>4.7790758254057951E-2</v>
      </c>
      <c r="H5" s="115">
        <f xml:space="preserve"> (1-defaultFit_Inclusive!$U5)*defaultFit_Inclusive!H5</f>
        <v>237.66744309000001</v>
      </c>
      <c r="I5" s="115">
        <f xml:space="preserve"> H5*SQRT(POWER(defaultFit_Inclusive!$V5/(1-defaultFit_Inclusive!$U5),2)+POWER(defaultFit_Inclusive!I5/defaultFit_Inclusive!H5,2))</f>
        <v>17.477471860779758</v>
      </c>
      <c r="J5" s="76">
        <f>SQRT(POWER(AA5,2)+POWER(fitSyst_Prompt!AF5,2))</f>
        <v>4.9206126856134978E-2</v>
      </c>
      <c r="K5" s="97"/>
      <c r="L5" s="134"/>
      <c r="M5" s="134"/>
      <c r="N5" s="134"/>
      <c r="O5" s="134"/>
      <c r="P5" s="33"/>
      <c r="Q5" s="135"/>
      <c r="R5" s="135"/>
      <c r="X5" s="3">
        <f t="shared" ref="X5:X7" si="0" xml:space="preserve"> E5/($E$8*PI()/8)</f>
        <v>0.645014271591829</v>
      </c>
      <c r="Y5" s="3">
        <f t="shared" ref="Y5:Y7" si="1" xml:space="preserve"> H5/($H$8*PI()/8)</f>
        <v>0.62257078666526344</v>
      </c>
      <c r="Z5" s="3">
        <f t="shared" ref="Z5:Z67" si="2" xml:space="preserve"> X5*F5/E5</f>
        <v>4.600212104649172E-2</v>
      </c>
      <c r="AA5" s="3">
        <f t="shared" ref="AA5:AA67" si="3" xml:space="preserve"> Y5*I5/H5</f>
        <v>4.5782305156391374E-2</v>
      </c>
    </row>
    <row r="6" spans="1:27" x14ac:dyDescent="0.35">
      <c r="A6" s="136"/>
      <c r="B6" s="136"/>
      <c r="C6" s="136"/>
      <c r="D6" s="84" t="s">
        <v>52</v>
      </c>
      <c r="E6" s="115">
        <f xml:space="preserve"> (1-defaultFit_Inclusive!$U6)*defaultFit_Inclusive!E6</f>
        <v>254.91749392199998</v>
      </c>
      <c r="F6" s="115">
        <f xml:space="preserve"> E6*SQRT(POWER(defaultFit_Inclusive!$V6/(1-defaultFit_Inclusive!$U6),2)+POWER(defaultFit_Inclusive!F6/defaultFit_Inclusive!E6,2))</f>
        <v>18.402918233142866</v>
      </c>
      <c r="G6" s="76">
        <f>SQRT(POWER(Z6,2)+POWER(fitSyst_Prompt!AE6,2))</f>
        <v>5.1935782273344833E-2</v>
      </c>
      <c r="H6" s="115">
        <f xml:space="preserve"> (1-defaultFit_Inclusive!$U6)*defaultFit_Inclusive!H6</f>
        <v>246.520425424</v>
      </c>
      <c r="I6" s="115">
        <f xml:space="preserve"> H6*SQRT(POWER(defaultFit_Inclusive!$V6/(1-defaultFit_Inclusive!$U6),2)+POWER(defaultFit_Inclusive!I6/defaultFit_Inclusive!H6,2))</f>
        <v>17.648419390629922</v>
      </c>
      <c r="J6" s="76">
        <f>SQRT(POWER(AA6,2)+POWER(fitSyst_Prompt!AF6,2))</f>
        <v>4.9153268865511662E-2</v>
      </c>
      <c r="K6" s="97"/>
      <c r="L6" s="134"/>
      <c r="M6" s="134"/>
      <c r="N6" s="134"/>
      <c r="O6" s="134"/>
      <c r="P6" s="33"/>
      <c r="Q6" s="135"/>
      <c r="R6" s="135"/>
      <c r="X6" s="3">
        <f t="shared" si="0"/>
        <v>0.61740077748548383</v>
      </c>
      <c r="Y6" s="3">
        <f t="shared" si="1"/>
        <v>0.64576120813971383</v>
      </c>
      <c r="Z6" s="3">
        <f t="shared" si="2"/>
        <v>4.4571189879266372E-2</v>
      </c>
      <c r="AA6" s="3">
        <f t="shared" si="3"/>
        <v>4.6230102872197983E-2</v>
      </c>
    </row>
    <row r="7" spans="1:27" x14ac:dyDescent="0.35">
      <c r="A7" s="136"/>
      <c r="B7" s="136"/>
      <c r="C7" s="136"/>
      <c r="D7" s="84" t="s">
        <v>53</v>
      </c>
      <c r="E7" s="115">
        <f xml:space="preserve"> (1-defaultFit_Inclusive!$U7)*defaultFit_Inclusive!E7</f>
        <v>260.41757165600001</v>
      </c>
      <c r="F7" s="115">
        <f xml:space="preserve"> E7*SQRT(POWER(defaultFit_Inclusive!$V7/(1-defaultFit_Inclusive!$U7),2)+POWER(defaultFit_Inclusive!F7/defaultFit_Inclusive!E7,2))</f>
        <v>18.182157381764629</v>
      </c>
      <c r="G7" s="76">
        <f>SQRT(POWER(Z7,2)+POWER(fitSyst_Prompt!AE7,2))</f>
        <v>4.5071365129105055E-2</v>
      </c>
      <c r="H7" s="115">
        <f xml:space="preserve"> (1-defaultFit_Inclusive!$U7)*defaultFit_Inclusive!H7</f>
        <v>238.36099372800004</v>
      </c>
      <c r="I7" s="115">
        <f xml:space="preserve"> H7*SQRT(POWER(defaultFit_Inclusive!$V7/(1-defaultFit_Inclusive!$U7),2)+POWER(defaultFit_Inclusive!I7/defaultFit_Inclusive!H7,2))</f>
        <v>17.374466967173081</v>
      </c>
      <c r="J7" s="76">
        <f>SQRT(POWER(AA7,2)+POWER(fitSyst_Prompt!AF7,2))</f>
        <v>4.6682339243712102E-2</v>
      </c>
      <c r="K7" s="97"/>
      <c r="L7" s="134"/>
      <c r="M7" s="134"/>
      <c r="N7" s="134"/>
      <c r="O7" s="134"/>
      <c r="P7" s="33"/>
      <c r="Q7" s="135"/>
      <c r="R7" s="135"/>
      <c r="X7" s="3">
        <f t="shared" si="0"/>
        <v>0.63072176309913197</v>
      </c>
      <c r="Y7" s="3">
        <f t="shared" si="1"/>
        <v>0.62438754524472251</v>
      </c>
      <c r="Z7" s="3">
        <f t="shared" si="2"/>
        <v>4.403651523147234E-2</v>
      </c>
      <c r="AA7" s="3">
        <f t="shared" si="3"/>
        <v>4.5512483439081951E-2</v>
      </c>
    </row>
    <row r="8" spans="1:27" x14ac:dyDescent="0.35">
      <c r="A8" s="136"/>
      <c r="B8" s="136"/>
      <c r="C8" s="136"/>
      <c r="D8" s="80"/>
      <c r="E8" s="116">
        <f xml:space="preserve"> SUM(E4:E7)</f>
        <v>1051.4111602779999</v>
      </c>
      <c r="F8" s="116"/>
      <c r="G8" s="73"/>
      <c r="H8" s="116">
        <f xml:space="preserve"> SUM(H4:H7)</f>
        <v>972.12266787900001</v>
      </c>
      <c r="I8" s="116"/>
      <c r="J8" s="73"/>
      <c r="K8" s="94"/>
      <c r="L8" s="95"/>
      <c r="M8" s="95"/>
      <c r="N8" s="95"/>
      <c r="O8" s="120"/>
      <c r="P8" s="72"/>
      <c r="Q8" s="91"/>
      <c r="R8" s="72"/>
      <c r="X8" s="3"/>
      <c r="Y8" s="3"/>
      <c r="Z8" s="3"/>
      <c r="AA8" s="3"/>
    </row>
    <row r="9" spans="1:27" x14ac:dyDescent="0.35">
      <c r="A9" s="136"/>
      <c r="B9" s="136"/>
      <c r="C9" s="137" t="s">
        <v>2</v>
      </c>
      <c r="D9" s="26" t="s">
        <v>51</v>
      </c>
      <c r="E9" s="117"/>
      <c r="F9" s="117"/>
      <c r="G9" s="87"/>
      <c r="H9" s="117"/>
      <c r="I9" s="117"/>
      <c r="J9" s="87"/>
      <c r="K9" s="86"/>
      <c r="L9" s="89"/>
      <c r="M9" s="89"/>
      <c r="N9" s="89"/>
      <c r="O9" s="85"/>
      <c r="X9" s="3"/>
      <c r="Y9" s="3"/>
      <c r="Z9" s="3"/>
      <c r="AA9" s="3"/>
    </row>
    <row r="10" spans="1:27" x14ac:dyDescent="0.35">
      <c r="A10" s="136"/>
      <c r="B10" s="136"/>
      <c r="C10" s="137"/>
      <c r="D10" s="85" t="s">
        <v>49</v>
      </c>
      <c r="E10" s="117"/>
      <c r="F10" s="117"/>
      <c r="G10" s="87"/>
      <c r="H10" s="117"/>
      <c r="I10" s="117"/>
      <c r="J10" s="87"/>
      <c r="K10" s="86"/>
      <c r="L10" s="130"/>
      <c r="M10" s="130"/>
      <c r="N10" s="130"/>
      <c r="O10" s="136"/>
      <c r="Q10" s="126"/>
      <c r="R10" s="125"/>
      <c r="X10" s="3"/>
      <c r="Y10" s="3"/>
      <c r="Z10" s="3"/>
      <c r="AA10" s="3"/>
    </row>
    <row r="11" spans="1:27" x14ac:dyDescent="0.35">
      <c r="A11" s="136"/>
      <c r="B11" s="136"/>
      <c r="C11" s="137"/>
      <c r="D11" s="85" t="s">
        <v>50</v>
      </c>
      <c r="E11" s="117"/>
      <c r="F11" s="117"/>
      <c r="G11" s="87"/>
      <c r="H11" s="117"/>
      <c r="I11" s="117"/>
      <c r="J11" s="87"/>
      <c r="K11" s="86"/>
      <c r="L11" s="130"/>
      <c r="M11" s="130"/>
      <c r="N11" s="130"/>
      <c r="O11" s="136"/>
      <c r="Q11" s="126"/>
      <c r="R11" s="125"/>
      <c r="X11" s="3"/>
      <c r="Y11" s="3"/>
      <c r="Z11" s="3"/>
      <c r="AA11" s="3"/>
    </row>
    <row r="12" spans="1:27" x14ac:dyDescent="0.35">
      <c r="A12" s="136"/>
      <c r="B12" s="136"/>
      <c r="C12" s="137"/>
      <c r="D12" s="84" t="s">
        <v>52</v>
      </c>
      <c r="E12" s="117"/>
      <c r="F12" s="117"/>
      <c r="G12" s="87"/>
      <c r="H12" s="117"/>
      <c r="I12" s="117"/>
      <c r="J12" s="87"/>
      <c r="K12" s="86"/>
      <c r="L12" s="130"/>
      <c r="M12" s="130"/>
      <c r="N12" s="130"/>
      <c r="O12" s="136"/>
      <c r="Q12" s="126"/>
      <c r="R12" s="125"/>
      <c r="X12" s="3"/>
      <c r="Y12" s="3"/>
      <c r="Z12" s="3"/>
      <c r="AA12" s="3"/>
    </row>
    <row r="13" spans="1:27" x14ac:dyDescent="0.35">
      <c r="A13" s="136"/>
      <c r="B13" s="136"/>
      <c r="C13" s="137"/>
      <c r="D13" s="84" t="s">
        <v>53</v>
      </c>
      <c r="E13" s="117"/>
      <c r="F13" s="117"/>
      <c r="G13" s="87"/>
      <c r="H13" s="117"/>
      <c r="I13" s="117"/>
      <c r="J13" s="87"/>
      <c r="K13" s="86"/>
      <c r="L13" s="130"/>
      <c r="M13" s="130"/>
      <c r="N13" s="130"/>
      <c r="O13" s="136"/>
      <c r="Q13" s="126"/>
      <c r="R13" s="125"/>
      <c r="X13" s="3"/>
      <c r="Y13" s="3"/>
      <c r="Z13" s="3"/>
      <c r="AA13" s="3"/>
    </row>
    <row r="14" spans="1:27" x14ac:dyDescent="0.35">
      <c r="A14" s="136"/>
      <c r="B14" s="136"/>
      <c r="C14" s="137"/>
      <c r="D14" s="80"/>
      <c r="E14" s="116">
        <f xml:space="preserve"> SUM(E10:E13)</f>
        <v>0</v>
      </c>
      <c r="F14" s="116"/>
      <c r="G14" s="73"/>
      <c r="H14" s="116">
        <f xml:space="preserve"> SUM(H10:H13)</f>
        <v>0</v>
      </c>
      <c r="I14" s="116"/>
      <c r="J14" s="73"/>
      <c r="K14" s="94"/>
      <c r="L14" s="96"/>
      <c r="M14" s="96"/>
      <c r="N14" s="96"/>
      <c r="O14" s="120"/>
      <c r="P14" s="72"/>
      <c r="Q14" s="72"/>
      <c r="R14" s="72"/>
      <c r="X14" s="3"/>
      <c r="Y14" s="3"/>
      <c r="Z14" s="3"/>
      <c r="AA14" s="3"/>
    </row>
    <row r="15" spans="1:27" x14ac:dyDescent="0.35">
      <c r="A15" s="136"/>
      <c r="B15" s="136"/>
      <c r="C15" s="130" t="s">
        <v>54</v>
      </c>
      <c r="D15" s="26" t="s">
        <v>51</v>
      </c>
      <c r="E15" s="115">
        <f xml:space="preserve"> (1-defaultFit_Inclusive!$U15)*defaultFit_Inclusive!E15</f>
        <v>974.70439472999999</v>
      </c>
      <c r="F15" s="115">
        <f xml:space="preserve"> E15*SQRT(POWER(defaultFit_Inclusive!$V15/(1-defaultFit_Inclusive!$U15),2)+POWER(defaultFit_Inclusive!F15/defaultFit_Inclusive!E15,2))</f>
        <v>33.503424016462525</v>
      </c>
      <c r="G15" s="76"/>
      <c r="H15" s="115">
        <f xml:space="preserve"> (1-defaultFit_Inclusive!$U15)*defaultFit_Inclusive!H15</f>
        <v>955.89769219999994</v>
      </c>
      <c r="I15" s="115">
        <f xml:space="preserve"> H15*SQRT(POWER(defaultFit_Inclusive!$V15/(1-defaultFit_Inclusive!$U15),2)+POWER(defaultFit_Inclusive!I15/defaultFit_Inclusive!H15,2))</f>
        <v>32.977776912096161</v>
      </c>
      <c r="J15" s="76"/>
      <c r="K15" s="97"/>
      <c r="L15" s="99"/>
      <c r="M15" s="99"/>
      <c r="N15" s="99"/>
      <c r="O15" s="32"/>
      <c r="P15" s="33"/>
      <c r="Q15" s="33"/>
      <c r="R15" s="33"/>
      <c r="X15" s="3"/>
      <c r="Y15" s="3"/>
      <c r="Z15" s="3"/>
      <c r="AA15" s="3"/>
    </row>
    <row r="16" spans="1:27" x14ac:dyDescent="0.35">
      <c r="A16" s="136"/>
      <c r="B16" s="136"/>
      <c r="C16" s="130"/>
      <c r="D16" s="85" t="s">
        <v>49</v>
      </c>
      <c r="E16" s="115">
        <f xml:space="preserve"> (1-defaultFit_Inclusive!$U16)*defaultFit_Inclusive!E16</f>
        <v>247.87732079200001</v>
      </c>
      <c r="F16" s="115">
        <f xml:space="preserve"> E16*SQRT(POWER(defaultFit_Inclusive!$V16/(1-defaultFit_Inclusive!$U16),2)+POWER(defaultFit_Inclusive!F16/defaultFit_Inclusive!E16,2))</f>
        <v>16.870605988284808</v>
      </c>
      <c r="G16" s="76">
        <f>SQRT(POWER(Z16,2)+POWER(fitSyst_Prompt!AE16,2))</f>
        <v>6.1171539587859328E-2</v>
      </c>
      <c r="H16" s="115">
        <f xml:space="preserve"> (1-defaultFit_Inclusive!$U16)*defaultFit_Inclusive!H16</f>
        <v>286.41758134700001</v>
      </c>
      <c r="I16" s="115">
        <f xml:space="preserve"> H16*SQRT(POWER(defaultFit_Inclusive!$V16/(1-defaultFit_Inclusive!$U16),2)+POWER(defaultFit_Inclusive!I16/defaultFit_Inclusive!H16,2))</f>
        <v>17.960048393993052</v>
      </c>
      <c r="J16" s="76">
        <f>SQRT(POWER(AA16,2)+POWER(fitSyst_Prompt!AF16,2))</f>
        <v>5.0191268024944835E-2</v>
      </c>
      <c r="K16" s="97"/>
      <c r="L16" s="134">
        <v>3.8930600000000003E-2</v>
      </c>
      <c r="M16" s="134">
        <v>2.5308000000000001E-2</v>
      </c>
      <c r="N16" s="134">
        <v>8.2129300000000002E-2</v>
      </c>
      <c r="O16" s="134">
        <v>2.5288600000000001E-2</v>
      </c>
      <c r="P16" s="33"/>
      <c r="Q16" s="135">
        <f xml:space="preserve"> (L16/ep_CorrectionFactors!H20+N16/ep_CorrectionFactors!M20)/2</f>
        <v>8.1660517252077583E-2</v>
      </c>
      <c r="R16" s="135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2.4130900828230134E-2</v>
      </c>
      <c r="X16" s="3">
        <f xml:space="preserve"> E16/($E$20*PI()/8)</f>
        <v>0.64531870383543921</v>
      </c>
      <c r="Y16" s="3">
        <f xml:space="preserve"> H16/($H$20*PI()/8)</f>
        <v>0.76073753673073641</v>
      </c>
      <c r="Z16" s="3">
        <f t="shared" si="2"/>
        <v>4.3920587629772849E-2</v>
      </c>
      <c r="AA16" s="3">
        <f t="shared" si="3"/>
        <v>4.7702668637014521E-2</v>
      </c>
    </row>
    <row r="17" spans="1:27" x14ac:dyDescent="0.35">
      <c r="A17" s="136"/>
      <c r="B17" s="136"/>
      <c r="C17" s="130"/>
      <c r="D17" s="85" t="s">
        <v>50</v>
      </c>
      <c r="E17" s="115">
        <f xml:space="preserve"> (1-defaultFit_Inclusive!$U17)*defaultFit_Inclusive!E17</f>
        <v>271.60569565100002</v>
      </c>
      <c r="F17" s="115">
        <f xml:space="preserve"> E17*SQRT(POWER(defaultFit_Inclusive!$V17/(1-defaultFit_Inclusive!$U17),2)+POWER(defaultFit_Inclusive!F17/defaultFit_Inclusive!E17,2))</f>
        <v>17.738046962715377</v>
      </c>
      <c r="G17" s="76">
        <f>SQRT(POWER(Z17,2)+POWER(fitSyst_Prompt!AE17,2))</f>
        <v>5.1799077708556372E-2</v>
      </c>
      <c r="H17" s="115">
        <f xml:space="preserve"> (1-defaultFit_Inclusive!$U17)*defaultFit_Inclusive!H17</f>
        <v>242.96693847399999</v>
      </c>
      <c r="I17" s="115">
        <f xml:space="preserve"> H17*SQRT(POWER(defaultFit_Inclusive!$V17/(1-defaultFit_Inclusive!$U17),2)+POWER(defaultFit_Inclusive!I17/defaultFit_Inclusive!H17,2))</f>
        <v>16.385466838878763</v>
      </c>
      <c r="J17" s="76">
        <f>SQRT(POWER(AA17,2)+POWER(fitSyst_Prompt!AF17,2))</f>
        <v>4.4284124352716572E-2</v>
      </c>
      <c r="K17" s="97"/>
      <c r="L17" s="134"/>
      <c r="M17" s="134"/>
      <c r="N17" s="134"/>
      <c r="O17" s="134"/>
      <c r="P17" s="33"/>
      <c r="Q17" s="135"/>
      <c r="R17" s="135"/>
      <c r="X17" s="3">
        <f t="shared" ref="X17:X19" si="4" xml:space="preserve"> E17/($E$20*PI()/8)</f>
        <v>0.70709266548391247</v>
      </c>
      <c r="Y17" s="3">
        <f t="shared" ref="Y17:Y19" si="5" xml:space="preserve"> H17/($H$20*PI()/8)</f>
        <v>0.64533074196234264</v>
      </c>
      <c r="Z17" s="3">
        <f t="shared" si="2"/>
        <v>4.6178865569379134E-2</v>
      </c>
      <c r="AA17" s="3">
        <f t="shared" si="3"/>
        <v>4.3520511633991413E-2</v>
      </c>
    </row>
    <row r="18" spans="1:27" x14ac:dyDescent="0.35">
      <c r="A18" s="136"/>
      <c r="B18" s="136"/>
      <c r="C18" s="130"/>
      <c r="D18" s="84" t="s">
        <v>52</v>
      </c>
      <c r="E18" s="115">
        <f xml:space="preserve"> (1-defaultFit_Inclusive!$U18)*defaultFit_Inclusive!E18</f>
        <v>236.55117027599999</v>
      </c>
      <c r="F18" s="115">
        <f xml:space="preserve"> E18*SQRT(POWER(defaultFit_Inclusive!$V18/(1-defaultFit_Inclusive!$U18),2)+POWER(defaultFit_Inclusive!F18/defaultFit_Inclusive!E18,2))</f>
        <v>16.429071539010145</v>
      </c>
      <c r="G18" s="76">
        <f>SQRT(POWER(Z18,2)+POWER(fitSyst_Prompt!AE18,2))</f>
        <v>4.3891952867166302E-2</v>
      </c>
      <c r="H18" s="115">
        <f xml:space="preserve"> (1-defaultFit_Inclusive!$U18)*defaultFit_Inclusive!H18</f>
        <v>222.57967402800003</v>
      </c>
      <c r="I18" s="115">
        <f xml:space="preserve"> H18*SQRT(POWER(defaultFit_Inclusive!$V18/(1-defaultFit_Inclusive!$U18),2)+POWER(defaultFit_Inclusive!I18/defaultFit_Inclusive!H18,2))</f>
        <v>15.686767912987658</v>
      </c>
      <c r="J18" s="76">
        <f>SQRT(POWER(AA18,2)+POWER(fitSyst_Prompt!AF18,2))</f>
        <v>4.6876866582906011E-2</v>
      </c>
      <c r="K18" s="97"/>
      <c r="L18" s="134"/>
      <c r="M18" s="134"/>
      <c r="N18" s="134"/>
      <c r="O18" s="134"/>
      <c r="P18" s="33"/>
      <c r="Q18" s="135"/>
      <c r="R18" s="135"/>
      <c r="X18" s="3">
        <f t="shared" si="4"/>
        <v>0.61583243721339764</v>
      </c>
      <c r="Y18" s="3">
        <f t="shared" si="5"/>
        <v>0.59118128206400533</v>
      </c>
      <c r="Z18" s="3">
        <f t="shared" si="2"/>
        <v>4.2771105952327602E-2</v>
      </c>
      <c r="AA18" s="3">
        <f t="shared" si="3"/>
        <v>4.166473693853074E-2</v>
      </c>
    </row>
    <row r="19" spans="1:27" x14ac:dyDescent="0.35">
      <c r="A19" s="136"/>
      <c r="B19" s="136"/>
      <c r="C19" s="130"/>
      <c r="D19" s="84" t="s">
        <v>53</v>
      </c>
      <c r="E19" s="115">
        <f xml:space="preserve"> (1-defaultFit_Inclusive!$U19)*defaultFit_Inclusive!E19</f>
        <v>222.10949701300001</v>
      </c>
      <c r="F19" s="115">
        <f xml:space="preserve"> E19*SQRT(POWER(defaultFit_Inclusive!$V19/(1-defaultFit_Inclusive!$U19),2)+POWER(defaultFit_Inclusive!F19/defaultFit_Inclusive!E19,2))</f>
        <v>15.775058884647613</v>
      </c>
      <c r="G19" s="76">
        <f>SQRT(POWER(Z19,2)+POWER(fitSyst_Prompt!AE19,2))</f>
        <v>4.4971143887234423E-2</v>
      </c>
      <c r="H19" s="115">
        <f xml:space="preserve"> (1-defaultFit_Inclusive!$U19)*defaultFit_Inclusive!H19</f>
        <v>206.78484447400001</v>
      </c>
      <c r="I19" s="115">
        <f xml:space="preserve"> H19*SQRT(POWER(defaultFit_Inclusive!$V19/(1-defaultFit_Inclusive!$U19),2)+POWER(defaultFit_Inclusive!I19/defaultFit_Inclusive!H19,2))</f>
        <v>15.028677175083933</v>
      </c>
      <c r="J19" s="76">
        <f>SQRT(POWER(AA19,2)+POWER(fitSyst_Prompt!AF19,2))</f>
        <v>4.2020680944106811E-2</v>
      </c>
      <c r="K19" s="97"/>
      <c r="L19" s="134"/>
      <c r="M19" s="134"/>
      <c r="N19" s="134"/>
      <c r="O19" s="134"/>
      <c r="P19" s="33"/>
      <c r="Q19" s="135"/>
      <c r="R19" s="135"/>
      <c r="X19" s="3">
        <f t="shared" si="4"/>
        <v>0.57823528293757642</v>
      </c>
      <c r="Y19" s="3">
        <f t="shared" si="5"/>
        <v>0.54922952871324104</v>
      </c>
      <c r="Z19" s="3">
        <f t="shared" si="2"/>
        <v>4.1068462898672227E-2</v>
      </c>
      <c r="AA19" s="3">
        <f t="shared" si="3"/>
        <v>3.9916819354198989E-2</v>
      </c>
    </row>
    <row r="20" spans="1:27" x14ac:dyDescent="0.35">
      <c r="A20" s="136"/>
      <c r="B20" s="136"/>
      <c r="C20" s="130"/>
      <c r="D20" s="80"/>
      <c r="E20" s="116">
        <f xml:space="preserve"> SUM(E16:E19)</f>
        <v>978.143683732</v>
      </c>
      <c r="F20" s="116"/>
      <c r="G20" s="73"/>
      <c r="H20" s="116">
        <f xml:space="preserve"> SUM(H16:H19)</f>
        <v>958.74903832300004</v>
      </c>
      <c r="I20" s="116"/>
      <c r="J20" s="73"/>
      <c r="K20" s="94"/>
      <c r="L20" s="95"/>
      <c r="M20" s="95"/>
      <c r="N20" s="95"/>
      <c r="O20" s="120"/>
      <c r="P20" s="72"/>
      <c r="Q20" s="91"/>
      <c r="R20" s="91"/>
      <c r="X20" s="3"/>
      <c r="Y20" s="3"/>
      <c r="Z20" s="3"/>
      <c r="AA20" s="3"/>
    </row>
    <row r="21" spans="1:27" x14ac:dyDescent="0.35">
      <c r="A21" s="136"/>
      <c r="B21" s="136"/>
      <c r="C21" s="138" t="s">
        <v>56</v>
      </c>
      <c r="D21" s="26" t="s">
        <v>51</v>
      </c>
      <c r="E21" s="115">
        <f xml:space="preserve"> (1-defaultFit_Inclusive!$U21)*defaultFit_Inclusive!E21</f>
        <v>921.58582142</v>
      </c>
      <c r="F21" s="115">
        <f xml:space="preserve"> E21*SQRT(POWER(defaultFit_Inclusive!$V21/(1-defaultFit_Inclusive!$U21),2)+POWER(defaultFit_Inclusive!F21/defaultFit_Inclusive!E21,2))</f>
        <v>34.499842144597132</v>
      </c>
      <c r="G21" s="76"/>
      <c r="H21" s="115">
        <f xml:space="preserve"> (1-defaultFit_Inclusive!$U21)*defaultFit_Inclusive!H21</f>
        <v>820.22294651000004</v>
      </c>
      <c r="I21" s="115">
        <f xml:space="preserve"> H21*SQRT(POWER(defaultFit_Inclusive!$V21/(1-defaultFit_Inclusive!$U21),2)+POWER(defaultFit_Inclusive!I21/defaultFit_Inclusive!H21,2))</f>
        <v>32.053628156388839</v>
      </c>
      <c r="J21" s="76"/>
      <c r="K21" s="34"/>
      <c r="L21" s="98"/>
      <c r="M21" s="98"/>
      <c r="N21" s="98"/>
      <c r="O21" s="32"/>
      <c r="P21" s="33"/>
      <c r="Q21" s="78"/>
      <c r="R21" s="78"/>
      <c r="X21" s="3"/>
      <c r="Y21" s="3"/>
      <c r="Z21" s="3"/>
      <c r="AA21" s="3"/>
    </row>
    <row r="22" spans="1:27" x14ac:dyDescent="0.35">
      <c r="A22" s="136"/>
      <c r="B22" s="136"/>
      <c r="C22" s="138"/>
      <c r="D22" s="85" t="s">
        <v>49</v>
      </c>
      <c r="E22" s="115">
        <f xml:space="preserve"> (1-defaultFit_Inclusive!$U22)*defaultFit_Inclusive!E22</f>
        <v>238.12367672400001</v>
      </c>
      <c r="F22" s="115">
        <f xml:space="preserve"> E22*SQRT(POWER(defaultFit_Inclusive!$V22/(1-defaultFit_Inclusive!$U22),2)+POWER(defaultFit_Inclusive!F22/defaultFit_Inclusive!E22,2))</f>
        <v>17.290042916147225</v>
      </c>
      <c r="G22" s="76">
        <f>SQRT(POWER(Z22,2)+POWER(fitSyst_Prompt!AE22,2))</f>
        <v>5.829325913116612E-2</v>
      </c>
      <c r="H22" s="115">
        <f xml:space="preserve"> (1-defaultFit_Inclusive!$U22)*defaultFit_Inclusive!H22</f>
        <v>236.322583197</v>
      </c>
      <c r="I22" s="115">
        <f xml:space="preserve"> H22*SQRT(POWER(defaultFit_Inclusive!$V22/(1-defaultFit_Inclusive!$U22),2)+POWER(defaultFit_Inclusive!I22/defaultFit_Inclusive!H22,2))</f>
        <v>16.700201052425559</v>
      </c>
      <c r="J22" s="76">
        <f>SQRT(POWER(AA22,2)+POWER(fitSyst_Prompt!AF22,2))</f>
        <v>6.2505831137070617E-2</v>
      </c>
      <c r="K22" s="34"/>
      <c r="L22" s="134">
        <v>4.6857299999999998E-2</v>
      </c>
      <c r="M22" s="134">
        <v>2.8772800000000001E-2</v>
      </c>
      <c r="N22" s="134">
        <v>4.8919200000000003E-2</v>
      </c>
      <c r="O22" s="134">
        <v>3.0667699999999999E-2</v>
      </c>
      <c r="P22" s="33"/>
      <c r="Q22" s="135">
        <f xml:space="preserve"> (L22/ep_CorrectionFactors!H22+N22/ep_CorrectionFactors!M22)/2</f>
        <v>5.8682335750540382E-2</v>
      </c>
      <c r="R22" s="135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2.5764828641394087E-2</v>
      </c>
      <c r="X22" s="3">
        <f xml:space="preserve"> E22/($E$26*PI()/8)</f>
        <v>0.65665090394298875</v>
      </c>
      <c r="Y22" s="3">
        <f xml:space="preserve"> H22/($H$26*PI()/8)</f>
        <v>0.73192689242892994</v>
      </c>
      <c r="Z22" s="3">
        <f t="shared" si="2"/>
        <v>4.7679098804024329E-2</v>
      </c>
      <c r="AA22" s="3">
        <f t="shared" si="3"/>
        <v>5.1723056230520058E-2</v>
      </c>
    </row>
    <row r="23" spans="1:27" x14ac:dyDescent="0.35">
      <c r="A23" s="136"/>
      <c r="B23" s="136"/>
      <c r="C23" s="138"/>
      <c r="D23" s="85" t="s">
        <v>50</v>
      </c>
      <c r="E23" s="115">
        <f xml:space="preserve"> (1-defaultFit_Inclusive!$U23)*defaultFit_Inclusive!E23</f>
        <v>251.19973447800001</v>
      </c>
      <c r="F23" s="115">
        <f xml:space="preserve"> E23*SQRT(POWER(defaultFit_Inclusive!$V23/(1-defaultFit_Inclusive!$U23),2)+POWER(defaultFit_Inclusive!F23/defaultFit_Inclusive!E23,2))</f>
        <v>17.736471636718402</v>
      </c>
      <c r="G23" s="76">
        <f>SQRT(POWER(Z23,2)+POWER(fitSyst_Prompt!AE23,2))</f>
        <v>5.5556868847651777E-2</v>
      </c>
      <c r="H23" s="115">
        <f xml:space="preserve"> (1-defaultFit_Inclusive!$U23)*defaultFit_Inclusive!H23</f>
        <v>202.60174042900002</v>
      </c>
      <c r="I23" s="115">
        <f xml:space="preserve"> H23*SQRT(POWER(defaultFit_Inclusive!$V23/(1-defaultFit_Inclusive!$U23),2)+POWER(defaultFit_Inclusive!I23/defaultFit_Inclusive!H23,2))</f>
        <v>15.480196955004136</v>
      </c>
      <c r="J23" s="76">
        <f>SQRT(POWER(AA23,2)+POWER(fitSyst_Prompt!AF23,2))</f>
        <v>4.926774286453043E-2</v>
      </c>
      <c r="K23" s="34"/>
      <c r="L23" s="134"/>
      <c r="M23" s="134"/>
      <c r="N23" s="134"/>
      <c r="O23" s="134"/>
      <c r="P23" s="33"/>
      <c r="Q23" s="135"/>
      <c r="R23" s="135"/>
      <c r="X23" s="3">
        <f t="shared" ref="X23:X25" si="6" xml:space="preserve"> E23/($E$26*PI()/8)</f>
        <v>0.69270949862917353</v>
      </c>
      <c r="Y23" s="3">
        <f t="shared" ref="Y23:Y25" si="7" xml:space="preserve"> H23/($H$26*PI()/8)</f>
        <v>0.62748832662037834</v>
      </c>
      <c r="Z23" s="3">
        <f t="shared" si="2"/>
        <v>4.8910172618027929E-2</v>
      </c>
      <c r="AA23" s="3">
        <f t="shared" si="3"/>
        <v>4.7944518455178241E-2</v>
      </c>
    </row>
    <row r="24" spans="1:27" x14ac:dyDescent="0.35">
      <c r="A24" s="136"/>
      <c r="B24" s="136"/>
      <c r="C24" s="138"/>
      <c r="D24" s="84" t="s">
        <v>52</v>
      </c>
      <c r="E24" s="115">
        <f xml:space="preserve"> (1-defaultFit_Inclusive!$U24)*defaultFit_Inclusive!E24</f>
        <v>235.724497106</v>
      </c>
      <c r="F24" s="115">
        <f xml:space="preserve"> E24*SQRT(POWER(defaultFit_Inclusive!$V24/(1-defaultFit_Inclusive!$U24),2)+POWER(defaultFit_Inclusive!F24/defaultFit_Inclusive!E24,2))</f>
        <v>17.189702122645393</v>
      </c>
      <c r="G24" s="76">
        <f>SQRT(POWER(Z24,2)+POWER(fitSyst_Prompt!AE24,2))</f>
        <v>5.5780138445231824E-2</v>
      </c>
      <c r="H24" s="115">
        <f xml:space="preserve"> (1-defaultFit_Inclusive!$U24)*defaultFit_Inclusive!H24</f>
        <v>189.43244048</v>
      </c>
      <c r="I24" s="115">
        <f xml:space="preserve"> H24*SQRT(POWER(defaultFit_Inclusive!$V24/(1-defaultFit_Inclusive!$U24),2)+POWER(defaultFit_Inclusive!I24/defaultFit_Inclusive!H24,2))</f>
        <v>15.029939541029808</v>
      </c>
      <c r="J24" s="76">
        <f>SQRT(POWER(AA24,2)+POWER(fitSyst_Prompt!AF24,2))</f>
        <v>5.1702568386312923E-2</v>
      </c>
      <c r="K24" s="34"/>
      <c r="L24" s="134"/>
      <c r="M24" s="134"/>
      <c r="N24" s="134"/>
      <c r="O24" s="134"/>
      <c r="P24" s="33"/>
      <c r="Q24" s="135"/>
      <c r="R24" s="135"/>
      <c r="X24" s="3">
        <f t="shared" si="6"/>
        <v>0.65003491561895776</v>
      </c>
      <c r="Y24" s="3">
        <f t="shared" si="7"/>
        <v>0.5867010067767181</v>
      </c>
      <c r="Z24" s="3">
        <f t="shared" si="2"/>
        <v>4.7402398588145732E-2</v>
      </c>
      <c r="AA24" s="3">
        <f t="shared" si="3"/>
        <v>4.6550002935988113E-2</v>
      </c>
    </row>
    <row r="25" spans="1:27" x14ac:dyDescent="0.35">
      <c r="A25" s="136"/>
      <c r="B25" s="136"/>
      <c r="C25" s="138"/>
      <c r="D25" s="84" t="s">
        <v>53</v>
      </c>
      <c r="E25" s="115">
        <f xml:space="preserve"> (1-defaultFit_Inclusive!$U25)*defaultFit_Inclusive!E25</f>
        <v>198.39095371799999</v>
      </c>
      <c r="F25" s="115">
        <f xml:space="preserve"> E25*SQRT(POWER(defaultFit_Inclusive!$V25/(1-defaultFit_Inclusive!$U25),2)+POWER(defaultFit_Inclusive!F25/defaultFit_Inclusive!E25,2))</f>
        <v>15.980296236500489</v>
      </c>
      <c r="G25" s="76">
        <f>SQRT(POWER(Z25,2)+POWER(fitSyst_Prompt!AE25,2))</f>
        <v>5.4311232376361353E-2</v>
      </c>
      <c r="H25" s="115">
        <f xml:space="preserve"> (1-defaultFit_Inclusive!$U25)*defaultFit_Inclusive!H25</f>
        <v>193.84354402000002</v>
      </c>
      <c r="I25" s="115">
        <f xml:space="preserve"> H25*SQRT(POWER(defaultFit_Inclusive!$V25/(1-defaultFit_Inclusive!$U25),2)+POWER(defaultFit_Inclusive!I25/defaultFit_Inclusive!H25,2))</f>
        <v>15.493136548866827</v>
      </c>
      <c r="J25" s="76">
        <f>SQRT(POWER(AA25,2)+POWER(fitSyst_Prompt!AF25,2))</f>
        <v>5.1642526216832657E-2</v>
      </c>
      <c r="K25" s="34"/>
      <c r="L25" s="134"/>
      <c r="M25" s="134"/>
      <c r="N25" s="134"/>
      <c r="O25" s="134"/>
      <c r="P25" s="33"/>
      <c r="Q25" s="135"/>
      <c r="R25" s="135"/>
      <c r="X25" s="3">
        <f t="shared" si="6"/>
        <v>0.54708377127920571</v>
      </c>
      <c r="Y25" s="3">
        <f t="shared" si="7"/>
        <v>0.60036286364429936</v>
      </c>
      <c r="Z25" s="3">
        <f t="shared" si="2"/>
        <v>4.4067335568387732E-2</v>
      </c>
      <c r="AA25" s="3">
        <f t="shared" si="3"/>
        <v>4.7984594340424111E-2</v>
      </c>
    </row>
    <row r="26" spans="1:27" x14ac:dyDescent="0.35">
      <c r="A26" s="136"/>
      <c r="B26" s="136"/>
      <c r="C26" s="138"/>
      <c r="D26" s="80"/>
      <c r="E26" s="116">
        <f xml:space="preserve"> SUM(E22:E25)</f>
        <v>923.43886202599992</v>
      </c>
      <c r="F26" s="116"/>
      <c r="G26" s="73"/>
      <c r="H26" s="116">
        <f xml:space="preserve"> SUM(H22:H25)</f>
        <v>822.20030812599998</v>
      </c>
      <c r="I26" s="116"/>
      <c r="J26" s="73"/>
      <c r="K26" s="80"/>
      <c r="L26" s="96"/>
      <c r="M26" s="96"/>
      <c r="N26" s="96"/>
      <c r="O26" s="120"/>
      <c r="P26" s="72"/>
      <c r="Q26" s="91"/>
      <c r="R26" s="91"/>
      <c r="X26" s="3"/>
      <c r="Y26" s="3"/>
      <c r="Z26" s="3"/>
      <c r="AA26" s="3"/>
    </row>
    <row r="27" spans="1:27" x14ac:dyDescent="0.35">
      <c r="A27" s="136"/>
      <c r="B27" s="136"/>
      <c r="C27" s="130" t="s">
        <v>57</v>
      </c>
      <c r="D27" s="26" t="s">
        <v>51</v>
      </c>
      <c r="E27" s="115">
        <f xml:space="preserve"> (1-defaultFit_Inclusive!$U27)*defaultFit_Inclusive!E27</f>
        <v>688.55879677000007</v>
      </c>
      <c r="F27" s="115">
        <f xml:space="preserve"> E27*SQRT(POWER(defaultFit_Inclusive!$V27/(1-defaultFit_Inclusive!$U27),2)+POWER(defaultFit_Inclusive!F27/defaultFit_Inclusive!E27,2))</f>
        <v>28.860220589612325</v>
      </c>
      <c r="G27" s="76"/>
      <c r="H27" s="115">
        <f xml:space="preserve"> (1-defaultFit_Inclusive!$U27)*defaultFit_Inclusive!H27</f>
        <v>668.12473933000001</v>
      </c>
      <c r="I27" s="115">
        <f xml:space="preserve"> H27*SQRT(POWER(defaultFit_Inclusive!$V27/(1-defaultFit_Inclusive!$U27),2)+POWER(defaultFit_Inclusive!I27/defaultFit_Inclusive!H27,2))</f>
        <v>27.988563284003586</v>
      </c>
      <c r="J27" s="76"/>
      <c r="K27" s="34"/>
      <c r="L27" s="99"/>
      <c r="M27" s="99"/>
      <c r="N27" s="99"/>
      <c r="O27" s="32"/>
      <c r="P27" s="33"/>
      <c r="Q27" s="78"/>
      <c r="R27" s="78"/>
      <c r="X27" s="3"/>
      <c r="Y27" s="3"/>
      <c r="Z27" s="3"/>
      <c r="AA27" s="3"/>
    </row>
    <row r="28" spans="1:27" x14ac:dyDescent="0.35">
      <c r="A28" s="136"/>
      <c r="B28" s="136"/>
      <c r="C28" s="130"/>
      <c r="D28" s="85" t="s">
        <v>49</v>
      </c>
      <c r="E28" s="115">
        <f xml:space="preserve"> (1-defaultFit_Inclusive!$U28)*defaultFit_Inclusive!E28</f>
        <v>223.65660023699999</v>
      </c>
      <c r="F28" s="115">
        <f xml:space="preserve"> E28*SQRT(POWER(defaultFit_Inclusive!$V28/(1-defaultFit_Inclusive!$U28),2)+POWER(defaultFit_Inclusive!F28/defaultFit_Inclusive!E28,2))</f>
        <v>16.512953994052182</v>
      </c>
      <c r="G28" s="76">
        <f>SQRT(POWER(Z28,2)+POWER(fitSyst_Prompt!AE28,2))</f>
        <v>6.4178046465476354E-2</v>
      </c>
      <c r="H28" s="115">
        <f xml:space="preserve"> (1-defaultFit_Inclusive!$U28)*defaultFit_Inclusive!H28</f>
        <v>202.261446291</v>
      </c>
      <c r="I28" s="115">
        <f xml:space="preserve"> H28*SQRT(POWER(defaultFit_Inclusive!$V28/(1-defaultFit_Inclusive!$U28),2)+POWER(defaultFit_Inclusive!I28/defaultFit_Inclusive!H28,2))</f>
        <v>15.413605295415602</v>
      </c>
      <c r="J28" s="76">
        <f>SQRT(POWER(AA28,2)+POWER(fitSyst_Prompt!AF28,2))</f>
        <v>6.1843629458637153E-2</v>
      </c>
      <c r="K28" s="34"/>
      <c r="L28" s="134">
        <v>8.8871599999999995E-2</v>
      </c>
      <c r="M28" s="134">
        <v>3.3212600000000002E-2</v>
      </c>
      <c r="N28" s="134">
        <v>8.6473300000000003E-2</v>
      </c>
      <c r="O28" s="134">
        <v>3.0739300000000001E-2</v>
      </c>
      <c r="P28" s="33"/>
      <c r="Q28" s="135">
        <f xml:space="preserve"> (L28/ep_CorrectionFactors!H23+N28/ep_CorrectionFactors!M23)/2</f>
        <v>0.10455048904553871</v>
      </c>
      <c r="R28" s="135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2.6981276687586986E-2</v>
      </c>
      <c r="X28" s="3">
        <f xml:space="preserve"> E28/($E$32*PI()/8)</f>
        <v>0.8234328531533579</v>
      </c>
      <c r="Y28" s="3">
        <f xml:space="preserve"> H28/($H$32*PI()/8)</f>
        <v>0.76647111044495309</v>
      </c>
      <c r="Z28" s="3">
        <f t="shared" si="2"/>
        <v>6.079547309090811E-2</v>
      </c>
      <c r="AA28" s="3">
        <f t="shared" si="3"/>
        <v>5.8409960886664024E-2</v>
      </c>
    </row>
    <row r="29" spans="1:27" x14ac:dyDescent="0.35">
      <c r="A29" s="136"/>
      <c r="B29" s="136"/>
      <c r="C29" s="130"/>
      <c r="D29" s="85" t="s">
        <v>50</v>
      </c>
      <c r="E29" s="115">
        <f xml:space="preserve"> (1-defaultFit_Inclusive!$U29)*defaultFit_Inclusive!E29</f>
        <v>156.64362002200002</v>
      </c>
      <c r="F29" s="115">
        <f xml:space="preserve"> E29*SQRT(POWER(defaultFit_Inclusive!$V29/(1-defaultFit_Inclusive!$U29),2)+POWER(defaultFit_Inclusive!F29/defaultFit_Inclusive!E29,2))</f>
        <v>13.801987516100418</v>
      </c>
      <c r="G29" s="76">
        <f>SQRT(POWER(Z29,2)+POWER(fitSyst_Prompt!AE29,2))</f>
        <v>6.4288920982810208E-2</v>
      </c>
      <c r="H29" s="115">
        <f xml:space="preserve"> (1-defaultFit_Inclusive!$U29)*defaultFit_Inclusive!H29</f>
        <v>176.099002754</v>
      </c>
      <c r="I29" s="115">
        <f xml:space="preserve"> H29*SQRT(POWER(defaultFit_Inclusive!$V29/(1-defaultFit_Inclusive!$U29),2)+POWER(defaultFit_Inclusive!I29/defaultFit_Inclusive!H29,2))</f>
        <v>14.400247274020407</v>
      </c>
      <c r="J29" s="76">
        <f>SQRT(POWER(AA29,2)+POWER(fitSyst_Prompt!AF29,2))</f>
        <v>5.6201694287509533E-2</v>
      </c>
      <c r="K29" s="34"/>
      <c r="L29" s="134"/>
      <c r="M29" s="134"/>
      <c r="N29" s="134"/>
      <c r="O29" s="134"/>
      <c r="P29" s="33"/>
      <c r="Q29" s="135"/>
      <c r="R29" s="135"/>
      <c r="X29" s="3">
        <f t="shared" ref="X29:X31" si="8" xml:space="preserve"> E29/($E$32*PI()/8)</f>
        <v>0.57671225810597648</v>
      </c>
      <c r="Y29" s="3">
        <f t="shared" ref="Y29:Y31" si="9" xml:space="preserve"> H29/($H$32*PI()/8)</f>
        <v>0.66732835478153696</v>
      </c>
      <c r="Z29" s="3">
        <f t="shared" si="2"/>
        <v>5.081455207459358E-2</v>
      </c>
      <c r="AA29" s="3">
        <f t="shared" si="3"/>
        <v>5.4569833852174218E-2</v>
      </c>
    </row>
    <row r="30" spans="1:27" x14ac:dyDescent="0.35">
      <c r="A30" s="136"/>
      <c r="B30" s="136"/>
      <c r="C30" s="130"/>
      <c r="D30" s="84" t="s">
        <v>52</v>
      </c>
      <c r="E30" s="115">
        <f xml:space="preserve"> (1-defaultFit_Inclusive!$U30)*defaultFit_Inclusive!E30</f>
        <v>152.045234792</v>
      </c>
      <c r="F30" s="115">
        <f xml:space="preserve"> E30*SQRT(POWER(defaultFit_Inclusive!$V30/(1-defaultFit_Inclusive!$U30),2)+POWER(defaultFit_Inclusive!F30/defaultFit_Inclusive!E30,2))</f>
        <v>13.141472044191836</v>
      </c>
      <c r="G30" s="76">
        <f>SQRT(POWER(Z30,2)+POWER(fitSyst_Prompt!AE30,2))</f>
        <v>4.9702283730699105E-2</v>
      </c>
      <c r="H30" s="115">
        <f xml:space="preserve"> (1-defaultFit_Inclusive!$U30)*defaultFit_Inclusive!H30</f>
        <v>140.974068136</v>
      </c>
      <c r="I30" s="115">
        <f xml:space="preserve"> H30*SQRT(POWER(defaultFit_Inclusive!$V30/(1-defaultFit_Inclusive!$U30),2)+POWER(defaultFit_Inclusive!I30/defaultFit_Inclusive!H30,2))</f>
        <v>12.381998599492036</v>
      </c>
      <c r="J30" s="76">
        <f>SQRT(POWER(AA30,2)+POWER(fitSyst_Prompt!AF30,2))</f>
        <v>4.8846499052522294E-2</v>
      </c>
      <c r="K30" s="34"/>
      <c r="L30" s="134"/>
      <c r="M30" s="134"/>
      <c r="N30" s="134"/>
      <c r="O30" s="134"/>
      <c r="P30" s="33"/>
      <c r="Q30" s="135"/>
      <c r="R30" s="135"/>
      <c r="X30" s="3">
        <f t="shared" si="8"/>
        <v>0.5597824582886457</v>
      </c>
      <c r="Y30" s="3">
        <f t="shared" si="9"/>
        <v>0.53422217891532198</v>
      </c>
      <c r="Z30" s="3">
        <f t="shared" si="2"/>
        <v>4.8382743046783618E-2</v>
      </c>
      <c r="AA30" s="3">
        <f t="shared" si="3"/>
        <v>4.6921666932146368E-2</v>
      </c>
    </row>
    <row r="31" spans="1:27" x14ac:dyDescent="0.35">
      <c r="A31" s="136"/>
      <c r="B31" s="136"/>
      <c r="C31" s="130"/>
      <c r="D31" s="84" t="s">
        <v>53</v>
      </c>
      <c r="E31" s="115">
        <f xml:space="preserve"> (1-defaultFit_Inclusive!$U31)*defaultFit_Inclusive!E31</f>
        <v>159.316109756</v>
      </c>
      <c r="F31" s="115">
        <f xml:space="preserve"> E31*SQRT(POWER(defaultFit_Inclusive!$V31/(1-defaultFit_Inclusive!$U31),2)+POWER(defaultFit_Inclusive!F31/defaultFit_Inclusive!E31,2))</f>
        <v>13.929443094357078</v>
      </c>
      <c r="G31" s="76">
        <f>SQRT(POWER(Z31,2)+POWER(fitSyst_Prompt!AE31,2))</f>
        <v>6.1456447162874552E-2</v>
      </c>
      <c r="H31" s="115">
        <f xml:space="preserve"> (1-defaultFit_Inclusive!$U31)*defaultFit_Inclusive!H31</f>
        <v>152.647161668</v>
      </c>
      <c r="I31" s="115">
        <f xml:space="preserve"> H31*SQRT(POWER(defaultFit_Inclusive!$V31/(1-defaultFit_Inclusive!$U31),2)+POWER(defaultFit_Inclusive!I31/defaultFit_Inclusive!H31,2))</f>
        <v>13.48857417007806</v>
      </c>
      <c r="J31" s="76">
        <f>SQRT(POWER(AA31,2)+POWER(fitSyst_Prompt!AF31,2))</f>
        <v>5.1930388387091325E-2</v>
      </c>
      <c r="K31" s="34"/>
      <c r="L31" s="134"/>
      <c r="M31" s="134"/>
      <c r="N31" s="134"/>
      <c r="O31" s="134"/>
      <c r="P31" s="33"/>
      <c r="Q31" s="135"/>
      <c r="R31" s="135"/>
      <c r="X31" s="3">
        <f t="shared" si="8"/>
        <v>0.58655151992234478</v>
      </c>
      <c r="Y31" s="3">
        <f t="shared" si="9"/>
        <v>0.57845744532851362</v>
      </c>
      <c r="Z31" s="3">
        <f t="shared" si="2"/>
        <v>5.1283803195924134E-2</v>
      </c>
      <c r="AA31" s="3">
        <f t="shared" si="3"/>
        <v>5.1115042495960224E-2</v>
      </c>
    </row>
    <row r="32" spans="1:27" x14ac:dyDescent="0.35">
      <c r="A32" s="136"/>
      <c r="B32" s="136"/>
      <c r="C32" s="130"/>
      <c r="D32" s="80"/>
      <c r="E32" s="116">
        <f xml:space="preserve"> SUM(E28:E31)</f>
        <v>691.6615648070001</v>
      </c>
      <c r="F32" s="116"/>
      <c r="G32" s="73"/>
      <c r="H32" s="116">
        <f xml:space="preserve"> SUM(H28:H31)</f>
        <v>671.98167884899999</v>
      </c>
      <c r="I32" s="116"/>
      <c r="J32" s="73"/>
      <c r="K32" s="80"/>
      <c r="L32" s="96"/>
      <c r="M32" s="96"/>
      <c r="N32" s="96"/>
      <c r="O32" s="120"/>
      <c r="P32" s="72"/>
      <c r="Q32" s="72"/>
      <c r="R32" s="72"/>
      <c r="X32" s="3"/>
      <c r="Y32" s="3"/>
      <c r="Z32" s="3"/>
      <c r="AA32" s="3"/>
    </row>
    <row r="33" spans="1:27" x14ac:dyDescent="0.35">
      <c r="A33" s="132" t="s">
        <v>55</v>
      </c>
      <c r="B33" s="132" t="s">
        <v>37</v>
      </c>
      <c r="C33" s="133" t="s">
        <v>17</v>
      </c>
      <c r="D33" s="84" t="s">
        <v>51</v>
      </c>
      <c r="E33" s="118">
        <f xml:space="preserve"> (1-defaultFit_Inclusive!$U33)*defaultFit_Inclusive!E33</f>
        <v>905.72018550000007</v>
      </c>
      <c r="F33" s="118">
        <f xml:space="preserve"> E33*SQRT(POWER(defaultFit_Inclusive!$V33/(1-defaultFit_Inclusive!$U33),2)+POWER(defaultFit_Inclusive!F33/defaultFit_Inclusive!E33,2))</f>
        <v>34.812619582400593</v>
      </c>
      <c r="G33" s="108"/>
      <c r="H33" s="118">
        <f xml:space="preserve"> (1-defaultFit_Inclusive!$U33)*defaultFit_Inclusive!H33</f>
        <v>905.31421499999999</v>
      </c>
      <c r="I33" s="118">
        <f xml:space="preserve"> H33*SQRT(POWER(defaultFit_Inclusive!$V33/(1-defaultFit_Inclusive!$U33),2)+POWER(defaultFit_Inclusive!I33/defaultFit_Inclusive!H33,2))</f>
        <v>35.578620852451955</v>
      </c>
      <c r="J33" s="108"/>
      <c r="K33" s="35"/>
      <c r="L33" s="35"/>
      <c r="M33" s="35"/>
      <c r="N33" s="35"/>
      <c r="O33" s="5"/>
      <c r="P33" s="35"/>
      <c r="Q33" s="35"/>
      <c r="R33" s="35"/>
      <c r="X33" s="3"/>
      <c r="Y33" s="3"/>
      <c r="Z33" s="3"/>
      <c r="AA33" s="3"/>
    </row>
    <row r="34" spans="1:27" x14ac:dyDescent="0.35">
      <c r="A34" s="132"/>
      <c r="B34" s="132"/>
      <c r="C34" s="133"/>
      <c r="D34" s="85" t="s">
        <v>49</v>
      </c>
      <c r="E34" s="118">
        <f xml:space="preserve"> (1-defaultFit_Inclusive!$U34)*defaultFit_Inclusive!E34</f>
        <v>262.19143276200003</v>
      </c>
      <c r="F34" s="118">
        <f xml:space="preserve"> E34*SQRT(POWER(defaultFit_Inclusive!$V34/(1-defaultFit_Inclusive!$U34),2)+POWER(defaultFit_Inclusive!F34/defaultFit_Inclusive!E34,2))</f>
        <v>18.841461420695968</v>
      </c>
      <c r="G34" s="108">
        <f>SQRT(POWER(Z34,2)+POWER(fitSyst_Prompt!AE34,2))</f>
        <v>6.7599559626851047E-2</v>
      </c>
      <c r="H34" s="118">
        <f xml:space="preserve"> (1-defaultFit_Inclusive!$U34)*defaultFit_Inclusive!H34</f>
        <v>271.33251320700003</v>
      </c>
      <c r="I34" s="118">
        <f xml:space="preserve"> H34*SQRT(POWER(defaultFit_Inclusive!$V34/(1-defaultFit_Inclusive!$U34),2)+POWER(defaultFit_Inclusive!I34/defaultFit_Inclusive!H34,2))</f>
        <v>18.961900943898346</v>
      </c>
      <c r="J34" s="108">
        <f>SQRT(POWER(AA34,2)+POWER(fitSyst_Prompt!AF34,2))</f>
        <v>6.9679769398501915E-2</v>
      </c>
      <c r="K34" s="100"/>
      <c r="L34" s="140">
        <v>6.2596200000000005E-2</v>
      </c>
      <c r="M34" s="140">
        <v>3.5289899999999999E-2</v>
      </c>
      <c r="N34" s="140">
        <v>8.5896299999999995E-2</v>
      </c>
      <c r="O34" s="140">
        <v>3.0205699999999999E-2</v>
      </c>
      <c r="P34" s="35"/>
      <c r="Q34" s="139">
        <f xml:space="preserve"> (L34/ep_CorrectionFactors!H18+N34/ep_CorrectionFactors!M18)/2</f>
        <v>9.4669868273113245E-2</v>
      </c>
      <c r="R34" s="139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2.9611556944441713E-2</v>
      </c>
      <c r="X34" s="3">
        <f xml:space="preserve"> E34/($E$38*PI()/8)</f>
        <v>0.73885015313111213</v>
      </c>
      <c r="Y34" s="3">
        <f xml:space="preserve"> H34/($H$38*PI()/8)</f>
        <v>0.76228744207019883</v>
      </c>
      <c r="Z34" s="3">
        <f t="shared" si="2"/>
        <v>5.3094857102107262E-2</v>
      </c>
      <c r="AA34" s="3">
        <f t="shared" si="3"/>
        <v>5.3271975394579632E-2</v>
      </c>
    </row>
    <row r="35" spans="1:27" x14ac:dyDescent="0.35">
      <c r="A35" s="132"/>
      <c r="B35" s="132"/>
      <c r="C35" s="133"/>
      <c r="D35" s="85" t="s">
        <v>50</v>
      </c>
      <c r="E35" s="118">
        <f xml:space="preserve"> (1-defaultFit_Inclusive!$U35)*defaultFit_Inclusive!E35</f>
        <v>223.74817430000002</v>
      </c>
      <c r="F35" s="118">
        <f xml:space="preserve"> E35*SQRT(POWER(defaultFit_Inclusive!$V35/(1-defaultFit_Inclusive!$U35),2)+POWER(defaultFit_Inclusive!F35/defaultFit_Inclusive!E35,2))</f>
        <v>17.163407636813155</v>
      </c>
      <c r="G35" s="108">
        <f>SQRT(POWER(Z35,2)+POWER(fitSyst_Prompt!AE35,2))</f>
        <v>5.1981796481375186E-2</v>
      </c>
      <c r="H35" s="118">
        <f xml:space="preserve"> (1-defaultFit_Inclusive!$U35)*defaultFit_Inclusive!H35</f>
        <v>241.156995303</v>
      </c>
      <c r="I35" s="118">
        <f xml:space="preserve"> H35*SQRT(POWER(defaultFit_Inclusive!$V35/(1-defaultFit_Inclusive!$U35),2)+POWER(defaultFit_Inclusive!I35/defaultFit_Inclusive!H35,2))</f>
        <v>17.790202993968691</v>
      </c>
      <c r="J35" s="108">
        <f>SQRT(POWER(AA35,2)+POWER(fitSyst_Prompt!AF35,2))</f>
        <v>5.2241250673168059E-2</v>
      </c>
      <c r="K35" s="100"/>
      <c r="L35" s="140"/>
      <c r="M35" s="140"/>
      <c r="N35" s="140"/>
      <c r="O35" s="140"/>
      <c r="P35" s="35"/>
      <c r="Q35" s="139"/>
      <c r="R35" s="139"/>
      <c r="X35" s="3">
        <f t="shared" ref="X35:X37" si="10" xml:space="preserve"> E35/($E$38*PI()/8)</f>
        <v>0.6305178285303662</v>
      </c>
      <c r="Y35" s="3">
        <f t="shared" ref="Y35:Y37" si="11" xml:space="preserve"> H35/($H$38*PI()/8)</f>
        <v>0.67751168820160479</v>
      </c>
      <c r="Z35" s="3">
        <f t="shared" si="2"/>
        <v>4.8366135487814495E-2</v>
      </c>
      <c r="AA35" s="3">
        <f t="shared" si="3"/>
        <v>4.9980181784687508E-2</v>
      </c>
    </row>
    <row r="36" spans="1:27" x14ac:dyDescent="0.35">
      <c r="A36" s="132"/>
      <c r="B36" s="132"/>
      <c r="C36" s="133"/>
      <c r="D36" s="84" t="s">
        <v>52</v>
      </c>
      <c r="E36" s="118">
        <f xml:space="preserve"> (1-defaultFit_Inclusive!$U36)*defaultFit_Inclusive!E36</f>
        <v>225.12853448999999</v>
      </c>
      <c r="F36" s="118">
        <f xml:space="preserve"> E36*SQRT(POWER(defaultFit_Inclusive!$V36/(1-defaultFit_Inclusive!$U36),2)+POWER(defaultFit_Inclusive!F36/defaultFit_Inclusive!E36,2))</f>
        <v>16.86154767939551</v>
      </c>
      <c r="G36" s="108">
        <f>SQRT(POWER(Z36,2)+POWER(fitSyst_Prompt!AE36,2))</f>
        <v>5.5499667692091255E-2</v>
      </c>
      <c r="H36" s="118">
        <f xml:space="preserve"> (1-defaultFit_Inclusive!$U36)*defaultFit_Inclusive!H36</f>
        <v>197.68821254999997</v>
      </c>
      <c r="I36" s="118">
        <f xml:space="preserve"> H36*SQRT(POWER(defaultFit_Inclusive!$V36/(1-defaultFit_Inclusive!$U36),2)+POWER(defaultFit_Inclusive!I36/defaultFit_Inclusive!H36,2))</f>
        <v>15.963254030896197</v>
      </c>
      <c r="J36" s="108">
        <f>SQRT(POWER(AA36,2)+POWER(fitSyst_Prompt!AF36,2))</f>
        <v>6.9735063061800315E-2</v>
      </c>
      <c r="K36" s="100"/>
      <c r="L36" s="140"/>
      <c r="M36" s="140"/>
      <c r="N36" s="140"/>
      <c r="O36" s="140"/>
      <c r="P36" s="35"/>
      <c r="Q36" s="139"/>
      <c r="R36" s="139"/>
      <c r="X36" s="3">
        <f t="shared" si="10"/>
        <v>0.63440765561973322</v>
      </c>
      <c r="Y36" s="3">
        <f t="shared" si="11"/>
        <v>0.5553895480163249</v>
      </c>
      <c r="Z36" s="3">
        <f t="shared" si="2"/>
        <v>4.7515500234737294E-2</v>
      </c>
      <c r="AA36" s="3">
        <f t="shared" si="3"/>
        <v>4.4847511779928913E-2</v>
      </c>
    </row>
    <row r="37" spans="1:27" x14ac:dyDescent="0.35">
      <c r="A37" s="132"/>
      <c r="B37" s="132"/>
      <c r="C37" s="133"/>
      <c r="D37" s="84" t="s">
        <v>53</v>
      </c>
      <c r="E37" s="118">
        <f xml:space="preserve"> (1-defaultFit_Inclusive!$U37)*defaultFit_Inclusive!E37</f>
        <v>192.58600013999998</v>
      </c>
      <c r="F37" s="118">
        <f xml:space="preserve"> E37*SQRT(POWER(defaultFit_Inclusive!$V37/(1-defaultFit_Inclusive!$U37),2)+POWER(defaultFit_Inclusive!F37/defaultFit_Inclusive!E37,2))</f>
        <v>15.862280091550106</v>
      </c>
      <c r="G37" s="108">
        <f>SQRT(POWER(Z37,2)+POWER(fitSyst_Prompt!AE37,2))</f>
        <v>6.9697215059472878E-2</v>
      </c>
      <c r="H37" s="118">
        <f xml:space="preserve"> (1-defaultFit_Inclusive!$U37)*defaultFit_Inclusive!H37</f>
        <v>196.22914470000001</v>
      </c>
      <c r="I37" s="118">
        <f xml:space="preserve"> H37*SQRT(POWER(defaultFit_Inclusive!$V37/(1-defaultFit_Inclusive!$U37),2)+POWER(defaultFit_Inclusive!I37/defaultFit_Inclusive!H37,2))</f>
        <v>15.968819751889846</v>
      </c>
      <c r="J37" s="108">
        <f>SQRT(POWER(AA37,2)+POWER(fitSyst_Prompt!AF37,2))</f>
        <v>4.5162913533802286E-2</v>
      </c>
      <c r="K37" s="100"/>
      <c r="L37" s="140"/>
      <c r="M37" s="140"/>
      <c r="N37" s="140"/>
      <c r="O37" s="140"/>
      <c r="P37" s="35"/>
      <c r="Q37" s="139"/>
      <c r="R37" s="139"/>
      <c r="X37" s="3">
        <f t="shared" si="10"/>
        <v>0.54270345218911398</v>
      </c>
      <c r="Y37" s="3">
        <f t="shared" si="11"/>
        <v>0.5512904111821969</v>
      </c>
      <c r="Z37" s="3">
        <f t="shared" si="2"/>
        <v>4.4699584388361337E-2</v>
      </c>
      <c r="AA37" s="3">
        <f t="shared" si="3"/>
        <v>4.486314823709131E-2</v>
      </c>
    </row>
    <row r="38" spans="1:27" x14ac:dyDescent="0.35">
      <c r="A38" s="132"/>
      <c r="B38" s="132"/>
      <c r="C38" s="133"/>
      <c r="D38" s="80"/>
      <c r="E38" s="116">
        <f xml:space="preserve"> SUM(E34:E37)</f>
        <v>903.65414169200005</v>
      </c>
      <c r="F38" s="116"/>
      <c r="G38" s="73"/>
      <c r="H38" s="116">
        <f xml:space="preserve"> SUM(H34:H37)</f>
        <v>906.40686576000007</v>
      </c>
      <c r="I38" s="116"/>
      <c r="J38" s="73"/>
      <c r="K38" s="94"/>
      <c r="L38" s="95"/>
      <c r="M38" s="95"/>
      <c r="N38" s="95"/>
      <c r="O38" s="120"/>
      <c r="P38" s="72"/>
      <c r="Q38" s="91"/>
      <c r="R38" s="72"/>
      <c r="X38" s="3"/>
      <c r="Y38" s="3"/>
      <c r="Z38" s="3"/>
      <c r="AA38" s="3"/>
    </row>
    <row r="39" spans="1:27" x14ac:dyDescent="0.35">
      <c r="A39" s="132"/>
      <c r="B39" s="132" t="s">
        <v>76</v>
      </c>
      <c r="C39" s="133"/>
      <c r="D39" s="84" t="s">
        <v>51</v>
      </c>
      <c r="E39" s="118">
        <f xml:space="preserve"> (1-defaultFit_Inclusive!$U39)*defaultFit_Inclusive!E39</f>
        <v>856.79431639999984</v>
      </c>
      <c r="F39" s="118">
        <f xml:space="preserve"> E39*SQRT(POWER(defaultFit_Inclusive!$V39/(1-defaultFit_Inclusive!$U39),2)+POWER(defaultFit_Inclusive!F39/defaultFit_Inclusive!E39,2))</f>
        <v>32.592727269659754</v>
      </c>
      <c r="G39" s="108"/>
      <c r="H39" s="118">
        <f xml:space="preserve"> (1-defaultFit_Inclusive!$U39)*defaultFit_Inclusive!H39</f>
        <v>772.04799107999997</v>
      </c>
      <c r="I39" s="118">
        <f xml:space="preserve"> H39*SQRT(POWER(defaultFit_Inclusive!$V39/(1-defaultFit_Inclusive!$U39),2)+POWER(defaultFit_Inclusive!I39/defaultFit_Inclusive!H39,2))</f>
        <v>29.666078587144906</v>
      </c>
      <c r="J39" s="108"/>
      <c r="K39" s="35"/>
      <c r="L39" s="35"/>
      <c r="M39" s="35"/>
      <c r="N39" s="35"/>
      <c r="O39" s="5"/>
      <c r="P39" s="35"/>
      <c r="Q39" s="35"/>
      <c r="R39" s="35"/>
      <c r="X39" s="3"/>
      <c r="Y39" s="3"/>
      <c r="Z39" s="3"/>
      <c r="AA39" s="3"/>
    </row>
    <row r="40" spans="1:27" x14ac:dyDescent="0.35">
      <c r="A40" s="132"/>
      <c r="B40" s="132"/>
      <c r="C40" s="133"/>
      <c r="D40" s="85" t="s">
        <v>49</v>
      </c>
      <c r="E40" s="118">
        <f xml:space="preserve"> (1-defaultFit_Inclusive!$U40)*defaultFit_Inclusive!E40</f>
        <v>252.06812091199998</v>
      </c>
      <c r="F40" s="118">
        <f xml:space="preserve"> E40*SQRT(POWER(defaultFit_Inclusive!$V40/(1-defaultFit_Inclusive!$U40),2)+POWER(defaultFit_Inclusive!F40/defaultFit_Inclusive!E40,2))</f>
        <v>17.596669484934502</v>
      </c>
      <c r="G40" s="108">
        <f>SQRT(POWER(Z40,2)+POWER(fitSyst_Prompt!AE40,2))</f>
        <v>5.4160139105287844E-2</v>
      </c>
      <c r="H40" s="118">
        <f xml:space="preserve"> (1-defaultFit_Inclusive!$U40)*defaultFit_Inclusive!H40</f>
        <v>232.62224529599999</v>
      </c>
      <c r="I40" s="118">
        <f xml:space="preserve"> H40*SQRT(POWER(defaultFit_Inclusive!$V40/(1-defaultFit_Inclusive!$U40),2)+POWER(defaultFit_Inclusive!I40/defaultFit_Inclusive!H40,2))</f>
        <v>16.319792231573782</v>
      </c>
      <c r="J40" s="108">
        <f>SQRT(POWER(AA40,2)+POWER(fitSyst_Prompt!AF40,2))</f>
        <v>5.4912316613121265E-2</v>
      </c>
      <c r="K40" s="100"/>
      <c r="L40" s="140">
        <v>9.7358500000000001E-2</v>
      </c>
      <c r="M40" s="140">
        <v>2.8458500000000001E-2</v>
      </c>
      <c r="N40" s="140">
        <v>8.5667599999999997E-2</v>
      </c>
      <c r="O40" s="140">
        <v>2.8187799999999999E-2</v>
      </c>
      <c r="P40" s="35"/>
      <c r="Q40" s="139">
        <f xml:space="preserve"> (L40/ep_CorrectionFactors!H18+N40/ep_CorrectionFactors!M18)/2</f>
        <v>0.11667714978435967</v>
      </c>
      <c r="R40" s="139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2.5535507558755867E-2</v>
      </c>
      <c r="X40" s="3">
        <f xml:space="preserve"> E40/($E$44*PI()/8)</f>
        <v>0.75349436064349173</v>
      </c>
      <c r="Y40" s="3">
        <f xml:space="preserve"> H40/($H$44*PI()/8)</f>
        <v>0.77019063766405782</v>
      </c>
      <c r="Z40" s="3">
        <f t="shared" si="2"/>
        <v>5.2600825423832306E-2</v>
      </c>
      <c r="AA40" s="3">
        <f t="shared" si="3"/>
        <v>5.4033315555814053E-2</v>
      </c>
    </row>
    <row r="41" spans="1:27" x14ac:dyDescent="0.35">
      <c r="A41" s="132"/>
      <c r="B41" s="132"/>
      <c r="C41" s="133"/>
      <c r="D41" s="85" t="s">
        <v>50</v>
      </c>
      <c r="E41" s="118">
        <f xml:space="preserve"> (1-defaultFit_Inclusive!$U41)*defaultFit_Inclusive!E41</f>
        <v>224.75196541600002</v>
      </c>
      <c r="F41" s="118">
        <f xml:space="preserve"> E41*SQRT(POWER(defaultFit_Inclusive!$V41/(1-defaultFit_Inclusive!$U41),2)+POWER(defaultFit_Inclusive!F41/defaultFit_Inclusive!E41,2))</f>
        <v>16.72237466507173</v>
      </c>
      <c r="G41" s="108">
        <f>SQRT(POWER(Z41,2)+POWER(fitSyst_Prompt!AE41,2))</f>
        <v>5.1537412092929898E-2</v>
      </c>
      <c r="H41" s="118">
        <f xml:space="preserve"> (1-defaultFit_Inclusive!$U41)*defaultFit_Inclusive!H41</f>
        <v>198.50941344</v>
      </c>
      <c r="I41" s="118">
        <f xml:space="preserve"> H41*SQRT(POWER(defaultFit_Inclusive!$V41/(1-defaultFit_Inclusive!$U41),2)+POWER(defaultFit_Inclusive!I41/defaultFit_Inclusive!H41,2))</f>
        <v>14.960472643286895</v>
      </c>
      <c r="J41" s="108">
        <f>SQRT(POWER(AA41,2)+POWER(fitSyst_Prompt!AF41,2))</f>
        <v>5.040559259415054E-2</v>
      </c>
      <c r="K41" s="100"/>
      <c r="L41" s="140"/>
      <c r="M41" s="140"/>
      <c r="N41" s="140"/>
      <c r="O41" s="140"/>
      <c r="P41" s="35"/>
      <c r="Q41" s="139"/>
      <c r="R41" s="139"/>
      <c r="X41" s="3">
        <f t="shared" ref="X41:X43" si="12" xml:space="preserve"> E41/($E$44*PI()/8)</f>
        <v>0.67183957206400968</v>
      </c>
      <c r="Y41" s="3">
        <f t="shared" ref="Y41:Y43" si="13" xml:space="preserve"> H41/($H$44*PI()/8)</f>
        <v>0.65724622133677202</v>
      </c>
      <c r="Z41" s="3">
        <f t="shared" si="2"/>
        <v>4.9987340569329811E-2</v>
      </c>
      <c r="AA41" s="3">
        <f t="shared" si="3"/>
        <v>4.9532734714288124E-2</v>
      </c>
    </row>
    <row r="42" spans="1:27" x14ac:dyDescent="0.35">
      <c r="A42" s="132"/>
      <c r="B42" s="132"/>
      <c r="C42" s="133"/>
      <c r="D42" s="84" t="s">
        <v>52</v>
      </c>
      <c r="E42" s="118">
        <f xml:space="preserve"> (1-defaultFit_Inclusive!$U42)*defaultFit_Inclusive!E42</f>
        <v>204.00300107999999</v>
      </c>
      <c r="F42" s="118">
        <f xml:space="preserve"> E42*SQRT(POWER(defaultFit_Inclusive!$V42/(1-defaultFit_Inclusive!$U42),2)+POWER(defaultFit_Inclusive!F42/defaultFit_Inclusive!E42,2))</f>
        <v>15.719988999658716</v>
      </c>
      <c r="G42" s="108">
        <f>SQRT(POWER(Z42,2)+POWER(fitSyst_Prompt!AE42,2))</f>
        <v>5.6602318733173666E-2</v>
      </c>
      <c r="H42" s="118">
        <f xml:space="preserve"> (1-defaultFit_Inclusive!$U42)*defaultFit_Inclusive!H42</f>
        <v>159.647931672</v>
      </c>
      <c r="I42" s="118">
        <f xml:space="preserve"> H42*SQRT(POWER(defaultFit_Inclusive!$V42/(1-defaultFit_Inclusive!$U42),2)+POWER(defaultFit_Inclusive!I42/defaultFit_Inclusive!H42,2))</f>
        <v>13.262409329725001</v>
      </c>
      <c r="J42" s="108">
        <f>SQRT(POWER(AA42,2)+POWER(fitSyst_Prompt!AF42,2))</f>
        <v>4.4321272660821122E-2</v>
      </c>
      <c r="K42" s="100"/>
      <c r="L42" s="140"/>
      <c r="M42" s="140"/>
      <c r="N42" s="140"/>
      <c r="O42" s="140"/>
      <c r="P42" s="35"/>
      <c r="Q42" s="139"/>
      <c r="R42" s="139"/>
      <c r="X42" s="3">
        <f t="shared" si="12"/>
        <v>0.6098157526305833</v>
      </c>
      <c r="Y42" s="3">
        <f t="shared" si="13"/>
        <v>0.5285794664209611</v>
      </c>
      <c r="Z42" s="3">
        <f t="shared" si="2"/>
        <v>4.6990960291864003E-2</v>
      </c>
      <c r="AA42" s="3">
        <f t="shared" si="3"/>
        <v>4.3910604876266711E-2</v>
      </c>
    </row>
    <row r="43" spans="1:27" x14ac:dyDescent="0.35">
      <c r="A43" s="132"/>
      <c r="B43" s="132"/>
      <c r="C43" s="133"/>
      <c r="D43" s="84" t="s">
        <v>53</v>
      </c>
      <c r="E43" s="118">
        <f xml:space="preserve"> (1-defaultFit_Inclusive!$U43)*defaultFit_Inclusive!E43</f>
        <v>171.05614693199999</v>
      </c>
      <c r="F43" s="118">
        <f xml:space="preserve"> E43*SQRT(POWER(defaultFit_Inclusive!$V43/(1-defaultFit_Inclusive!$U43),2)+POWER(defaultFit_Inclusive!F43/defaultFit_Inclusive!E43,2))</f>
        <v>14.275550688980724</v>
      </c>
      <c r="G43" s="108">
        <f>SQRT(POWER(Z43,2)+POWER(fitSyst_Prompt!AE43,2))</f>
        <v>5.5904855782481111E-2</v>
      </c>
      <c r="H43" s="118">
        <f xml:space="preserve"> (1-defaultFit_Inclusive!$U43)*defaultFit_Inclusive!H43</f>
        <v>178.33866996</v>
      </c>
      <c r="I43" s="118">
        <f xml:space="preserve"> H43*SQRT(POWER(defaultFit_Inclusive!$V43/(1-defaultFit_Inclusive!$U43),2)+POWER(defaultFit_Inclusive!I43/defaultFit_Inclusive!H43,2))</f>
        <v>14.364570887565522</v>
      </c>
      <c r="J43" s="108">
        <f>SQRT(POWER(AA43,2)+POWER(fitSyst_Prompt!AF43,2))</f>
        <v>4.8558045789824013E-2</v>
      </c>
      <c r="K43" s="100"/>
      <c r="L43" s="140"/>
      <c r="M43" s="140"/>
      <c r="N43" s="140"/>
      <c r="O43" s="140"/>
      <c r="P43" s="35"/>
      <c r="Q43" s="139"/>
      <c r="R43" s="139"/>
      <c r="X43" s="3">
        <f t="shared" si="12"/>
        <v>0.51132940413224059</v>
      </c>
      <c r="Y43" s="3">
        <f t="shared" si="13"/>
        <v>0.59046276404853448</v>
      </c>
      <c r="Z43" s="3">
        <f t="shared" si="2"/>
        <v>4.2673174617676189E-2</v>
      </c>
      <c r="AA43" s="3">
        <f t="shared" si="3"/>
        <v>4.7559759375492922E-2</v>
      </c>
    </row>
    <row r="44" spans="1:27" x14ac:dyDescent="0.35">
      <c r="A44" s="132"/>
      <c r="B44" s="132"/>
      <c r="C44" s="133"/>
      <c r="D44" s="80"/>
      <c r="E44" s="116">
        <f xml:space="preserve"> SUM(E40:E43)</f>
        <v>851.87923434000004</v>
      </c>
      <c r="F44" s="116"/>
      <c r="G44" s="73"/>
      <c r="H44" s="116">
        <f xml:space="preserve"> SUM(H40:H43)</f>
        <v>769.11826036799994</v>
      </c>
      <c r="I44" s="116"/>
      <c r="J44" s="73"/>
      <c r="K44" s="94"/>
      <c r="L44" s="95"/>
      <c r="M44" s="95"/>
      <c r="N44" s="95"/>
      <c r="O44" s="120"/>
      <c r="P44" s="72"/>
      <c r="Q44" s="91"/>
      <c r="R44" s="72"/>
      <c r="X44" s="3"/>
      <c r="Y44" s="3"/>
      <c r="Z44" s="3"/>
      <c r="AA44" s="3"/>
    </row>
    <row r="45" spans="1:27" x14ac:dyDescent="0.35">
      <c r="A45" s="132"/>
      <c r="B45" s="132" t="s">
        <v>77</v>
      </c>
      <c r="C45" s="133"/>
      <c r="D45" s="84" t="s">
        <v>51</v>
      </c>
      <c r="E45" s="118">
        <f xml:space="preserve"> (1-defaultFit_Inclusive!$U45)*defaultFit_Inclusive!E45</f>
        <v>854.04790378999996</v>
      </c>
      <c r="F45" s="118">
        <f xml:space="preserve"> E45*SQRT(POWER(defaultFit_Inclusive!$V45/(1-defaultFit_Inclusive!$U45),2)+POWER(defaultFit_Inclusive!F45/defaultFit_Inclusive!E45,2))</f>
        <v>29.709450712006593</v>
      </c>
      <c r="G45" s="108"/>
      <c r="H45" s="118">
        <f xml:space="preserve"> (1-defaultFit_Inclusive!$U45)*defaultFit_Inclusive!H45</f>
        <v>777.91248360999987</v>
      </c>
      <c r="I45" s="118">
        <f xml:space="preserve"> H45*SQRT(POWER(defaultFit_Inclusive!$V45/(1-defaultFit_Inclusive!$U45),2)+POWER(defaultFit_Inclusive!I45/defaultFit_Inclusive!H45,2))</f>
        <v>27.464344786786722</v>
      </c>
      <c r="J45" s="108"/>
      <c r="K45" s="35"/>
      <c r="L45" s="35"/>
      <c r="M45" s="35"/>
      <c r="N45" s="35"/>
      <c r="O45" s="5"/>
      <c r="P45" s="35"/>
      <c r="Q45" s="35"/>
      <c r="R45" s="35"/>
      <c r="X45" s="3"/>
      <c r="Y45" s="3"/>
      <c r="Z45" s="3"/>
      <c r="AA45" s="3"/>
    </row>
    <row r="46" spans="1:27" x14ac:dyDescent="0.35">
      <c r="A46" s="132"/>
      <c r="B46" s="132"/>
      <c r="C46" s="133"/>
      <c r="D46" s="85" t="s">
        <v>49</v>
      </c>
      <c r="E46" s="118">
        <f xml:space="preserve"> (1-defaultFit_Inclusive!$U46)*defaultFit_Inclusive!E46</f>
        <v>205.92880095700002</v>
      </c>
      <c r="F46" s="118">
        <f xml:space="preserve"> E46*SQRT(POWER(defaultFit_Inclusive!$V46/(1-defaultFit_Inclusive!$U46),2)+POWER(defaultFit_Inclusive!F46/defaultFit_Inclusive!E46,2))</f>
        <v>14.373136964992707</v>
      </c>
      <c r="G46" s="108">
        <f>SQRT(POWER(Z46,2)+POWER(fitSyst_Prompt!AE46,2))</f>
        <v>6.0908349000934933E-2</v>
      </c>
      <c r="H46" s="118">
        <f xml:space="preserve"> (1-defaultFit_Inclusive!$U46)*defaultFit_Inclusive!H46</f>
        <v>225.70867893599998</v>
      </c>
      <c r="I46" s="118">
        <f xml:space="preserve"> H46*SQRT(POWER(defaultFit_Inclusive!$V46/(1-defaultFit_Inclusive!$U46),2)+POWER(defaultFit_Inclusive!I46/defaultFit_Inclusive!H46,2))</f>
        <v>14.705634092837796</v>
      </c>
      <c r="J46" s="108">
        <f>SQRT(POWER(AA46,2)+POWER(fitSyst_Prompt!AF46,2))</f>
        <v>5.303212147976661E-2</v>
      </c>
      <c r="K46" s="100"/>
      <c r="L46" s="140">
        <v>8.2333000000000007E-3</v>
      </c>
      <c r="M46" s="140">
        <v>2.47029E-2</v>
      </c>
      <c r="N46" s="140">
        <v>5.6048000000000001E-2</v>
      </c>
      <c r="O46" s="140">
        <v>2.7010800000000001E-2</v>
      </c>
      <c r="P46" s="35"/>
      <c r="Q46" s="139">
        <f xml:space="preserve"> (L46/ep_CorrectionFactors!H18+N46/ep_CorrectionFactors!M18)/2</f>
        <v>4.0990528606601101E-2</v>
      </c>
      <c r="R46" s="139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2.3335642022325236E-2</v>
      </c>
      <c r="X46" s="3">
        <f xml:space="preserve"> E46/($E$50*PI()/8)</f>
        <v>0.61266695351736733</v>
      </c>
      <c r="Y46" s="3">
        <f xml:space="preserve"> H46/($H$50*PI()/8)</f>
        <v>0.73995393161746537</v>
      </c>
      <c r="Z46" s="3">
        <f t="shared" si="2"/>
        <v>4.2762090566771715E-2</v>
      </c>
      <c r="AA46" s="3">
        <f t="shared" si="3"/>
        <v>4.821033827861191E-2</v>
      </c>
    </row>
    <row r="47" spans="1:27" x14ac:dyDescent="0.35">
      <c r="A47" s="132"/>
      <c r="B47" s="132"/>
      <c r="C47" s="133"/>
      <c r="D47" s="85" t="s">
        <v>50</v>
      </c>
      <c r="E47" s="118">
        <f xml:space="preserve"> (1-defaultFit_Inclusive!$U47)*defaultFit_Inclusive!E47</f>
        <v>236.72484611199999</v>
      </c>
      <c r="F47" s="118">
        <f xml:space="preserve"> E47*SQRT(POWER(defaultFit_Inclusive!$V47/(1-defaultFit_Inclusive!$U47),2)+POWER(defaultFit_Inclusive!F47/defaultFit_Inclusive!E47,2))</f>
        <v>15.739189150055605</v>
      </c>
      <c r="G47" s="108">
        <f>SQRT(POWER(Z47,2)+POWER(fitSyst_Prompt!AE47,2))</f>
        <v>5.7723638804198264E-2</v>
      </c>
      <c r="H47" s="118">
        <f xml:space="preserve"> (1-defaultFit_Inclusive!$U47)*defaultFit_Inclusive!H47</f>
        <v>184.85796103099997</v>
      </c>
      <c r="I47" s="118">
        <f xml:space="preserve"> H47*SQRT(POWER(defaultFit_Inclusive!$V47/(1-defaultFit_Inclusive!$U47),2)+POWER(defaultFit_Inclusive!I47/defaultFit_Inclusive!H47,2))</f>
        <v>13.35061914079693</v>
      </c>
      <c r="J47" s="108">
        <f>SQRT(POWER(AA47,2)+POWER(fitSyst_Prompt!AF47,2))</f>
        <v>4.7667036932720681E-2</v>
      </c>
      <c r="K47" s="100"/>
      <c r="L47" s="140"/>
      <c r="M47" s="140"/>
      <c r="N47" s="140"/>
      <c r="O47" s="140"/>
      <c r="P47" s="35"/>
      <c r="Q47" s="139"/>
      <c r="R47" s="139"/>
      <c r="X47" s="3">
        <f t="shared" ref="X47:X49" si="14" xml:space="preserve"> E47/($E$50*PI()/8)</f>
        <v>0.7042894904224255</v>
      </c>
      <c r="Y47" s="3">
        <f t="shared" ref="Y47:Y49" si="15" xml:space="preserve"> H47/($H$50*PI()/8)</f>
        <v>0.60603063958591774</v>
      </c>
      <c r="Z47" s="3">
        <f t="shared" si="2"/>
        <v>4.6826286670856206E-2</v>
      </c>
      <c r="AA47" s="3">
        <f t="shared" si="3"/>
        <v>4.3768113700055088E-2</v>
      </c>
    </row>
    <row r="48" spans="1:27" x14ac:dyDescent="0.35">
      <c r="A48" s="132"/>
      <c r="B48" s="132"/>
      <c r="C48" s="133"/>
      <c r="D48" s="84" t="s">
        <v>52</v>
      </c>
      <c r="E48" s="118">
        <f xml:space="preserve"> (1-defaultFit_Inclusive!$U48)*defaultFit_Inclusive!E48</f>
        <v>196.29382343200001</v>
      </c>
      <c r="F48" s="118">
        <f xml:space="preserve"> E48*SQRT(POWER(defaultFit_Inclusive!$V48/(1-defaultFit_Inclusive!$U48),2)+POWER(defaultFit_Inclusive!F48/defaultFit_Inclusive!E48,2))</f>
        <v>14.153651132159727</v>
      </c>
      <c r="G48" s="108">
        <f>SQRT(POWER(Z48,2)+POWER(fitSyst_Prompt!AE48,2))</f>
        <v>4.4534793375074884E-2</v>
      </c>
      <c r="H48" s="118">
        <f xml:space="preserve"> (1-defaultFit_Inclusive!$U48)*defaultFit_Inclusive!H48</f>
        <v>190.11740612</v>
      </c>
      <c r="I48" s="118">
        <f xml:space="preserve"> H48*SQRT(POWER(defaultFit_Inclusive!$V48/(1-defaultFit_Inclusive!$U48),2)+POWER(defaultFit_Inclusive!I48/defaultFit_Inclusive!H48,2))</f>
        <v>13.53276150512624</v>
      </c>
      <c r="J48" s="108">
        <f>SQRT(POWER(AA48,2)+POWER(fitSyst_Prompt!AF48,2))</f>
        <v>4.5682824594214778E-2</v>
      </c>
      <c r="K48" s="100"/>
      <c r="L48" s="140"/>
      <c r="M48" s="140"/>
      <c r="N48" s="140"/>
      <c r="O48" s="140"/>
      <c r="P48" s="35"/>
      <c r="Q48" s="139"/>
      <c r="R48" s="139"/>
      <c r="X48" s="3">
        <f t="shared" si="14"/>
        <v>0.58400154926105508</v>
      </c>
      <c r="Y48" s="3">
        <f t="shared" si="15"/>
        <v>0.62327298529489805</v>
      </c>
      <c r="Z48" s="3">
        <f t="shared" si="2"/>
        <v>4.2109089549346848E-2</v>
      </c>
      <c r="AA48" s="3">
        <f t="shared" si="3"/>
        <v>4.4365241640526493E-2</v>
      </c>
    </row>
    <row r="49" spans="1:27" x14ac:dyDescent="0.35">
      <c r="A49" s="132"/>
      <c r="B49" s="132"/>
      <c r="C49" s="133"/>
      <c r="D49" s="84" t="s">
        <v>53</v>
      </c>
      <c r="E49" s="118">
        <f xml:space="preserve"> (1-defaultFit_Inclusive!$U49)*defaultFit_Inclusive!E49</f>
        <v>216.97169169</v>
      </c>
      <c r="F49" s="118">
        <f xml:space="preserve"> E49*SQRT(POWER(defaultFit_Inclusive!$V49/(1-defaultFit_Inclusive!$U49),2)+POWER(defaultFit_Inclusive!F49/defaultFit_Inclusive!E49,2))</f>
        <v>15.02472709893218</v>
      </c>
      <c r="G49" s="108">
        <f>SQRT(POWER(Z49,2)+POWER(fitSyst_Prompt!AE49,2))</f>
        <v>5.1197170729610476E-2</v>
      </c>
      <c r="H49" s="118">
        <f xml:space="preserve"> (1-defaultFit_Inclusive!$U49)*defaultFit_Inclusive!H49</f>
        <v>176.07029856</v>
      </c>
      <c r="I49" s="118">
        <f xml:space="preserve"> H49*SQRT(POWER(defaultFit_Inclusive!$V49/(1-defaultFit_Inclusive!$U49),2)+POWER(defaultFit_Inclusive!I49/defaultFit_Inclusive!H49,2))</f>
        <v>13.056147429411247</v>
      </c>
      <c r="J49" s="108">
        <f>SQRT(POWER(AA49,2)+POWER(fitSyst_Prompt!AF49,2))</f>
        <v>4.3479150817323182E-2</v>
      </c>
      <c r="K49" s="100"/>
      <c r="L49" s="140"/>
      <c r="M49" s="140"/>
      <c r="N49" s="140"/>
      <c r="O49" s="140"/>
      <c r="P49" s="35"/>
      <c r="Q49" s="139"/>
      <c r="R49" s="139"/>
      <c r="X49" s="3">
        <f t="shared" si="14"/>
        <v>0.64552109626947796</v>
      </c>
      <c r="Y49" s="3">
        <f t="shared" si="15"/>
        <v>0.57722153297204459</v>
      </c>
      <c r="Z49" s="3">
        <f t="shared" si="2"/>
        <v>4.4700662250030478E-2</v>
      </c>
      <c r="AA49" s="3">
        <f t="shared" si="3"/>
        <v>4.280272990702981E-2</v>
      </c>
    </row>
    <row r="50" spans="1:27" x14ac:dyDescent="0.35">
      <c r="A50" s="132"/>
      <c r="B50" s="132"/>
      <c r="C50" s="133"/>
      <c r="D50" s="80"/>
      <c r="E50" s="116">
        <f xml:space="preserve"> SUM(E46:E49)</f>
        <v>855.91916219099994</v>
      </c>
      <c r="F50" s="116"/>
      <c r="G50" s="73"/>
      <c r="H50" s="116">
        <f xml:space="preserve"> SUM(H46:H49)</f>
        <v>776.75434464699993</v>
      </c>
      <c r="I50" s="116"/>
      <c r="J50" s="73"/>
      <c r="K50" s="94"/>
      <c r="L50" s="95"/>
      <c r="M50" s="95"/>
      <c r="N50" s="95"/>
      <c r="O50" s="80"/>
      <c r="P50" s="72"/>
      <c r="Q50" s="91"/>
      <c r="R50" s="72"/>
      <c r="X50" s="3"/>
      <c r="Y50" s="3"/>
      <c r="Z50" s="3"/>
      <c r="AA50" s="3"/>
    </row>
    <row r="51" spans="1:27" x14ac:dyDescent="0.35">
      <c r="A51" s="132"/>
      <c r="B51" s="132" t="s">
        <v>78</v>
      </c>
      <c r="C51" s="133"/>
      <c r="D51" s="84" t="s">
        <v>51</v>
      </c>
      <c r="E51" s="117"/>
      <c r="F51" s="117"/>
      <c r="G51" s="87"/>
      <c r="H51" s="117"/>
      <c r="I51" s="117"/>
      <c r="J51" s="87"/>
      <c r="X51" s="3"/>
      <c r="Y51" s="3"/>
      <c r="Z51" s="3"/>
      <c r="AA51" s="3"/>
    </row>
    <row r="52" spans="1:27" x14ac:dyDescent="0.35">
      <c r="A52" s="132"/>
      <c r="B52" s="132"/>
      <c r="C52" s="133"/>
      <c r="D52" s="85" t="s">
        <v>49</v>
      </c>
      <c r="E52" s="117"/>
      <c r="F52" s="117"/>
      <c r="G52" s="87"/>
      <c r="H52" s="117"/>
      <c r="I52" s="117"/>
      <c r="J52" s="87"/>
      <c r="K52" s="86"/>
      <c r="L52" s="136"/>
      <c r="M52" s="136"/>
      <c r="N52" s="136"/>
      <c r="O52" s="130"/>
      <c r="Q52" s="125"/>
      <c r="R52" s="125"/>
      <c r="X52" s="3"/>
      <c r="Y52" s="3"/>
      <c r="Z52" s="3"/>
      <c r="AA52" s="3"/>
    </row>
    <row r="53" spans="1:27" x14ac:dyDescent="0.35">
      <c r="A53" s="132"/>
      <c r="B53" s="132"/>
      <c r="C53" s="133"/>
      <c r="D53" s="85" t="s">
        <v>50</v>
      </c>
      <c r="E53" s="117"/>
      <c r="F53" s="117"/>
      <c r="G53" s="87"/>
      <c r="H53" s="117"/>
      <c r="I53" s="117"/>
      <c r="J53" s="87"/>
      <c r="K53" s="86"/>
      <c r="L53" s="136"/>
      <c r="M53" s="136"/>
      <c r="N53" s="136"/>
      <c r="O53" s="130"/>
      <c r="Q53" s="125"/>
      <c r="R53" s="125"/>
      <c r="X53" s="3"/>
      <c r="Y53" s="3"/>
      <c r="Z53" s="3"/>
      <c r="AA53" s="3"/>
    </row>
    <row r="54" spans="1:27" x14ac:dyDescent="0.35">
      <c r="A54" s="132"/>
      <c r="B54" s="132"/>
      <c r="C54" s="133"/>
      <c r="D54" s="84" t="s">
        <v>52</v>
      </c>
      <c r="E54" s="117"/>
      <c r="F54" s="117"/>
      <c r="G54" s="87"/>
      <c r="H54" s="117"/>
      <c r="I54" s="117"/>
      <c r="J54" s="87"/>
      <c r="K54" s="86"/>
      <c r="L54" s="136"/>
      <c r="M54" s="136"/>
      <c r="N54" s="136"/>
      <c r="O54" s="130"/>
      <c r="Q54" s="125"/>
      <c r="R54" s="125"/>
      <c r="X54" s="3"/>
      <c r="Y54" s="3"/>
      <c r="Z54" s="3"/>
      <c r="AA54" s="3"/>
    </row>
    <row r="55" spans="1:27" x14ac:dyDescent="0.35">
      <c r="A55" s="132"/>
      <c r="B55" s="132"/>
      <c r="C55" s="133"/>
      <c r="D55" s="84" t="s">
        <v>53</v>
      </c>
      <c r="E55" s="117"/>
      <c r="F55" s="117"/>
      <c r="G55" s="87"/>
      <c r="H55" s="117"/>
      <c r="I55" s="117"/>
      <c r="J55" s="87"/>
      <c r="K55" s="86"/>
      <c r="L55" s="136"/>
      <c r="M55" s="136"/>
      <c r="N55" s="136"/>
      <c r="O55" s="130"/>
      <c r="Q55" s="125"/>
      <c r="R55" s="125"/>
      <c r="X55" s="3"/>
      <c r="Y55" s="3"/>
      <c r="Z55" s="3"/>
      <c r="AA55" s="3"/>
    </row>
    <row r="56" spans="1:27" x14ac:dyDescent="0.35">
      <c r="A56" s="132"/>
      <c r="B56" s="132"/>
      <c r="C56" s="133"/>
      <c r="D56" s="80"/>
      <c r="E56" s="116"/>
      <c r="F56" s="116"/>
      <c r="G56" s="73"/>
      <c r="H56" s="116"/>
      <c r="I56" s="116"/>
      <c r="J56" s="73"/>
      <c r="K56" s="94"/>
      <c r="L56" s="95"/>
      <c r="M56" s="95"/>
      <c r="N56" s="95"/>
      <c r="O56" s="80"/>
      <c r="P56" s="72"/>
      <c r="Q56" s="91"/>
      <c r="R56" s="72"/>
      <c r="X56" s="3"/>
      <c r="Y56" s="3"/>
      <c r="Z56" s="3"/>
      <c r="AA56" s="3"/>
    </row>
    <row r="57" spans="1:27" x14ac:dyDescent="0.35">
      <c r="A57" s="132"/>
      <c r="B57" s="132" t="s">
        <v>79</v>
      </c>
      <c r="C57" s="133"/>
      <c r="D57" s="84" t="s">
        <v>51</v>
      </c>
      <c r="E57" s="117"/>
      <c r="F57" s="117"/>
      <c r="G57" s="87"/>
      <c r="H57" s="117"/>
      <c r="I57" s="117"/>
      <c r="J57" s="87"/>
      <c r="X57" s="3"/>
      <c r="Y57" s="3"/>
      <c r="Z57" s="3"/>
      <c r="AA57" s="3"/>
    </row>
    <row r="58" spans="1:27" x14ac:dyDescent="0.35">
      <c r="A58" s="132"/>
      <c r="B58" s="132"/>
      <c r="C58" s="133"/>
      <c r="D58" s="85" t="s">
        <v>49</v>
      </c>
      <c r="E58" s="117"/>
      <c r="F58" s="117"/>
      <c r="G58" s="87"/>
      <c r="H58" s="117"/>
      <c r="I58" s="117"/>
      <c r="J58" s="87"/>
      <c r="K58" s="86"/>
      <c r="L58" s="136"/>
      <c r="M58" s="136"/>
      <c r="N58" s="136"/>
      <c r="O58" s="130"/>
      <c r="Q58" s="125"/>
      <c r="R58" s="125"/>
      <c r="X58" s="3"/>
      <c r="Y58" s="3"/>
      <c r="Z58" s="3"/>
      <c r="AA58" s="3"/>
    </row>
    <row r="59" spans="1:27" x14ac:dyDescent="0.35">
      <c r="A59" s="132"/>
      <c r="B59" s="132"/>
      <c r="C59" s="133"/>
      <c r="D59" s="85" t="s">
        <v>50</v>
      </c>
      <c r="E59" s="117"/>
      <c r="F59" s="117"/>
      <c r="G59" s="87"/>
      <c r="H59" s="117"/>
      <c r="I59" s="117"/>
      <c r="J59" s="87"/>
      <c r="K59" s="86"/>
      <c r="L59" s="136"/>
      <c r="M59" s="136"/>
      <c r="N59" s="136"/>
      <c r="O59" s="130"/>
      <c r="Q59" s="125"/>
      <c r="R59" s="125"/>
      <c r="X59" s="3"/>
      <c r="Y59" s="3"/>
      <c r="Z59" s="3"/>
      <c r="AA59" s="3"/>
    </row>
    <row r="60" spans="1:27" x14ac:dyDescent="0.35">
      <c r="A60" s="132"/>
      <c r="B60" s="132"/>
      <c r="C60" s="133"/>
      <c r="D60" s="84" t="s">
        <v>52</v>
      </c>
      <c r="E60" s="117"/>
      <c r="F60" s="117"/>
      <c r="G60" s="87"/>
      <c r="H60" s="117"/>
      <c r="I60" s="117"/>
      <c r="J60" s="87"/>
      <c r="K60" s="86"/>
      <c r="L60" s="136"/>
      <c r="M60" s="136"/>
      <c r="N60" s="136"/>
      <c r="O60" s="130"/>
      <c r="Q60" s="125"/>
      <c r="R60" s="125"/>
      <c r="X60" s="3"/>
      <c r="Y60" s="3"/>
      <c r="Z60" s="3"/>
      <c r="AA60" s="3"/>
    </row>
    <row r="61" spans="1:27" x14ac:dyDescent="0.35">
      <c r="A61" s="132"/>
      <c r="B61" s="132"/>
      <c r="C61" s="133"/>
      <c r="D61" s="84" t="s">
        <v>53</v>
      </c>
      <c r="E61" s="117"/>
      <c r="F61" s="117"/>
      <c r="G61" s="87"/>
      <c r="H61" s="117"/>
      <c r="I61" s="117"/>
      <c r="J61" s="87"/>
      <c r="K61" s="86"/>
      <c r="L61" s="136"/>
      <c r="M61" s="136"/>
      <c r="N61" s="136"/>
      <c r="O61" s="130"/>
      <c r="Q61" s="125"/>
      <c r="R61" s="125"/>
      <c r="X61" s="3"/>
      <c r="Y61" s="3"/>
      <c r="Z61" s="3"/>
      <c r="AA61" s="3"/>
    </row>
    <row r="62" spans="1:27" x14ac:dyDescent="0.35">
      <c r="A62" s="132"/>
      <c r="B62" s="132"/>
      <c r="C62" s="133"/>
      <c r="D62" s="80"/>
      <c r="E62" s="116">
        <f xml:space="preserve"> (1-defaultFit_Inclusive!$U62)*defaultFit_Inclusive!E62</f>
        <v>0</v>
      </c>
      <c r="F62" s="116"/>
      <c r="G62" s="73"/>
      <c r="H62" s="116">
        <f xml:space="preserve"> (1-defaultFit_Inclusive!$U62)*defaultFit_Inclusive!H62</f>
        <v>0</v>
      </c>
      <c r="I62" s="116"/>
      <c r="J62" s="73"/>
      <c r="K62" s="94"/>
      <c r="L62" s="95"/>
      <c r="M62" s="95"/>
      <c r="N62" s="95"/>
      <c r="O62" s="80"/>
      <c r="P62" s="72"/>
      <c r="Q62" s="91"/>
      <c r="R62" s="72"/>
      <c r="X62" s="3"/>
      <c r="Y62" s="3"/>
      <c r="Z62" s="3"/>
      <c r="AA62" s="3"/>
    </row>
    <row r="63" spans="1:27" x14ac:dyDescent="0.35">
      <c r="A63" s="132" t="s">
        <v>80</v>
      </c>
      <c r="B63" s="132" t="s">
        <v>79</v>
      </c>
      <c r="C63" s="132" t="s">
        <v>17</v>
      </c>
      <c r="D63" s="84" t="s">
        <v>51</v>
      </c>
      <c r="E63" s="119">
        <f xml:space="preserve"> (1-defaultFit_Inclusive!$U63)*defaultFit_Inclusive!E63</f>
        <v>1274.9752528800002</v>
      </c>
      <c r="F63" s="119">
        <f xml:space="preserve"> E63*SQRT(POWER(defaultFit_Inclusive!$V63/(1-defaultFit_Inclusive!$U63),2)+POWER(defaultFit_Inclusive!F63/defaultFit_Inclusive!E63,2))</f>
        <v>38.513523097634099</v>
      </c>
      <c r="G63" s="107"/>
      <c r="H63" s="119">
        <f xml:space="preserve"> (1-defaultFit_Inclusive!$U63)*defaultFit_Inclusive!H63</f>
        <v>1125.0303708000001</v>
      </c>
      <c r="I63" s="119">
        <f xml:space="preserve"> H63*SQRT(POWER(defaultFit_Inclusive!$V63/(1-defaultFit_Inclusive!$U63),2)+POWER(defaultFit_Inclusive!I63/defaultFit_Inclusive!H63,2))</f>
        <v>35.121178579966447</v>
      </c>
      <c r="J63" s="107"/>
      <c r="K63" s="75"/>
      <c r="L63" s="75"/>
      <c r="M63" s="75"/>
      <c r="N63" s="75"/>
      <c r="O63" s="79"/>
      <c r="P63" s="79"/>
      <c r="Q63" s="75"/>
      <c r="R63" s="75"/>
      <c r="X63" s="3"/>
      <c r="Y63" s="3"/>
      <c r="Z63" s="3"/>
      <c r="AA63" s="3"/>
    </row>
    <row r="64" spans="1:27" x14ac:dyDescent="0.35">
      <c r="A64" s="132"/>
      <c r="B64" s="132"/>
      <c r="C64" s="132"/>
      <c r="D64" s="85" t="s">
        <v>49</v>
      </c>
      <c r="E64" s="119">
        <f xml:space="preserve"> (1-defaultFit_Inclusive!$U64)*defaultFit_Inclusive!E64</f>
        <v>339.45234000100004</v>
      </c>
      <c r="F64" s="119">
        <f xml:space="preserve"> E64*SQRT(POWER(defaultFit_Inclusive!$V64/(1-defaultFit_Inclusive!$U64),2)+POWER(defaultFit_Inclusive!F64/defaultFit_Inclusive!E64,2))</f>
        <v>19.58383188508353</v>
      </c>
      <c r="G64" s="107">
        <f>SQRT(POWER(Z64,2)+POWER(fitSyst_Prompt!AE64,2))</f>
        <v>0.80769669775852515</v>
      </c>
      <c r="H64" s="119">
        <f xml:space="preserve"> (1-defaultFit_Inclusive!$U64)*defaultFit_Inclusive!H64</f>
        <v>327.30074503400004</v>
      </c>
      <c r="I64" s="119">
        <f xml:space="preserve"> H64*SQRT(POWER(defaultFit_Inclusive!$V64/(1-defaultFit_Inclusive!$U64),2)+POWER(defaultFit_Inclusive!I64/defaultFit_Inclusive!H64,2))</f>
        <v>18.842381158996051</v>
      </c>
      <c r="J64" s="107" t="e">
        <f>SQRT(POWER(AA64,2)+POWER(fitSyst_Prompt!AF64,2))</f>
        <v>#REF!</v>
      </c>
      <c r="K64" s="101"/>
      <c r="L64" s="142">
        <v>4.5592199999999999E-2</v>
      </c>
      <c r="M64" s="142">
        <v>6.0700299999999999E-2</v>
      </c>
      <c r="N64" s="142">
        <v>7.8017900000000001E-2</v>
      </c>
      <c r="O64" s="142">
        <v>2.27493E-2</v>
      </c>
      <c r="P64" s="141"/>
      <c r="Q64" s="141">
        <f xml:space="preserve"> (L64/ep_CorrectionFactors!H18+N64/ep_CorrectionFactors!M18)/2</f>
        <v>7.8809335711376383E-2</v>
      </c>
      <c r="R64" s="141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4.1313917655420349E-2</v>
      </c>
      <c r="X64" s="3">
        <f xml:space="preserve"> E64/($E$68*PI()/8)</f>
        <v>0.68081597726831145</v>
      </c>
      <c r="Y64" s="3">
        <f xml:space="preserve"> H64/($H$68*PI()/8)</f>
        <v>0.74282319627247939</v>
      </c>
      <c r="Z64" s="3">
        <f t="shared" si="2"/>
        <v>3.9277931162478304E-2</v>
      </c>
      <c r="AA64" s="3">
        <f t="shared" si="3"/>
        <v>4.2763598953787368E-2</v>
      </c>
    </row>
    <row r="65" spans="1:27" x14ac:dyDescent="0.35">
      <c r="A65" s="132"/>
      <c r="B65" s="132"/>
      <c r="C65" s="132"/>
      <c r="D65" s="85" t="s">
        <v>50</v>
      </c>
      <c r="E65" s="119">
        <f xml:space="preserve"> (1-defaultFit_Inclusive!$U65)*defaultFit_Inclusive!E65</f>
        <v>345.16587235700001</v>
      </c>
      <c r="F65" s="119">
        <f xml:space="preserve"> E65*SQRT(POWER(defaultFit_Inclusive!$V65/(1-defaultFit_Inclusive!$U65),2)+POWER(defaultFit_Inclusive!F65/defaultFit_Inclusive!E65,2))</f>
        <v>20.097662707843224</v>
      </c>
      <c r="G65" s="107">
        <f>SQRT(POWER(Z65,2)+POWER(fitSyst_Prompt!AE65,2))</f>
        <v>0.13168231670269032</v>
      </c>
      <c r="H65" s="119">
        <f xml:space="preserve"> (1-defaultFit_Inclusive!$U65)*defaultFit_Inclusive!H65</f>
        <v>297.71156905100003</v>
      </c>
      <c r="I65" s="119">
        <f xml:space="preserve"> H65*SQRT(POWER(defaultFit_Inclusive!$V65/(1-defaultFit_Inclusive!$U65),2)+POWER(defaultFit_Inclusive!I65/defaultFit_Inclusive!H65,2))</f>
        <v>17.867477381928644</v>
      </c>
      <c r="J65" s="107" t="e">
        <f>SQRT(POWER(AA65,2)+POWER(fitSyst_Prompt!AF65,2))</f>
        <v>#REF!</v>
      </c>
      <c r="K65" s="101"/>
      <c r="L65" s="142"/>
      <c r="M65" s="142"/>
      <c r="N65" s="142"/>
      <c r="O65" s="142"/>
      <c r="P65" s="141"/>
      <c r="Q65" s="141"/>
      <c r="R65" s="141"/>
      <c r="X65" s="3">
        <f t="shared" ref="X65:X67" si="16" xml:space="preserve"> E65/($E$68*PI()/8)</f>
        <v>0.69227521220713306</v>
      </c>
      <c r="Y65" s="3">
        <f t="shared" ref="Y65:Y67" si="17" xml:space="preserve"> H65/($H$68*PI()/8)</f>
        <v>0.67566928167788309</v>
      </c>
      <c r="Z65" s="3">
        <f t="shared" si="2"/>
        <v>4.0308485948893066E-2</v>
      </c>
      <c r="AA65" s="3">
        <f t="shared" si="3"/>
        <v>4.0551012668155494E-2</v>
      </c>
    </row>
    <row r="66" spans="1:27" x14ac:dyDescent="0.35">
      <c r="A66" s="132"/>
      <c r="B66" s="132"/>
      <c r="C66" s="132"/>
      <c r="D66" s="84" t="s">
        <v>52</v>
      </c>
      <c r="E66" s="119">
        <f xml:space="preserve"> (1-defaultFit_Inclusive!$U66)*defaultFit_Inclusive!E66</f>
        <v>288.35057714499999</v>
      </c>
      <c r="F66" s="119">
        <f xml:space="preserve"> E66*SQRT(POWER(defaultFit_Inclusive!$V66/(1-defaultFit_Inclusive!$U66),2)+POWER(defaultFit_Inclusive!F66/defaultFit_Inclusive!E66,2))</f>
        <v>17.987729905706292</v>
      </c>
      <c r="G66" s="107">
        <f>SQRT(POWER(Z66,2)+POWER(fitSyst_Prompt!AE66,2))</f>
        <v>0.10554959716972305</v>
      </c>
      <c r="H66" s="119">
        <f xml:space="preserve"> (1-defaultFit_Inclusive!$U66)*defaultFit_Inclusive!H66</f>
        <v>246.79419730999999</v>
      </c>
      <c r="I66" s="119">
        <f xml:space="preserve"> H66*SQRT(POWER(defaultFit_Inclusive!$V66/(1-defaultFit_Inclusive!$U66),2)+POWER(defaultFit_Inclusive!I66/defaultFit_Inclusive!H66,2))</f>
        <v>16.105048893087194</v>
      </c>
      <c r="J66" s="107" t="e">
        <f>SQRT(POWER(AA66,2)+POWER(fitSyst_Prompt!AF66,2))</f>
        <v>#REF!</v>
      </c>
      <c r="K66" s="101"/>
      <c r="L66" s="142"/>
      <c r="M66" s="142"/>
      <c r="N66" s="142"/>
      <c r="O66" s="142"/>
      <c r="P66" s="141"/>
      <c r="Q66" s="141"/>
      <c r="R66" s="141"/>
      <c r="X66" s="3">
        <f t="shared" si="16"/>
        <v>0.5783247214447732</v>
      </c>
      <c r="Y66" s="3">
        <f t="shared" si="17"/>
        <v>0.56011010438815634</v>
      </c>
      <c r="Z66" s="3">
        <f t="shared" si="2"/>
        <v>3.6076740300437414E-2</v>
      </c>
      <c r="AA66" s="3">
        <f t="shared" si="3"/>
        <v>3.6551104989525289E-2</v>
      </c>
    </row>
    <row r="67" spans="1:27" x14ac:dyDescent="0.35">
      <c r="A67" s="132"/>
      <c r="B67" s="132"/>
      <c r="C67" s="132"/>
      <c r="D67" s="84" t="s">
        <v>53</v>
      </c>
      <c r="E67" s="119">
        <f xml:space="preserve"> (1-defaultFit_Inclusive!$U67)*defaultFit_Inclusive!E67</f>
        <v>296.69631023900001</v>
      </c>
      <c r="F67" s="119">
        <f xml:space="preserve"> E67*SQRT(POWER(defaultFit_Inclusive!$V67/(1-defaultFit_Inclusive!$U67),2)+POWER(defaultFit_Inclusive!F67/defaultFit_Inclusive!E67,2))</f>
        <v>18.711727244522351</v>
      </c>
      <c r="G67" s="107">
        <f>SQRT(POWER(Z67,2)+POWER(fitSyst_Prompt!AE67,2))</f>
        <v>0.11497790737850695</v>
      </c>
      <c r="H67" s="119">
        <f xml:space="preserve"> (1-defaultFit_Inclusive!$U67)*defaultFit_Inclusive!H67</f>
        <v>250.21620865400001</v>
      </c>
      <c r="I67" s="119">
        <f xml:space="preserve"> H67*SQRT(POWER(defaultFit_Inclusive!$V67/(1-defaultFit_Inclusive!$U67),2)+POWER(defaultFit_Inclusive!I67/defaultFit_Inclusive!H67,2))</f>
        <v>16.514285598616816</v>
      </c>
      <c r="J67" s="107" t="e">
        <f>SQRT(POWER(AA67,2)+POWER(fitSyst_Prompt!AF67,2))</f>
        <v>#REF!</v>
      </c>
      <c r="K67" s="101"/>
      <c r="L67" s="142"/>
      <c r="M67" s="142"/>
      <c r="N67" s="142"/>
      <c r="O67" s="142"/>
      <c r="P67" s="141"/>
      <c r="Q67" s="141"/>
      <c r="R67" s="141"/>
      <c r="X67" s="3">
        <f t="shared" si="16"/>
        <v>0.5950631785501076</v>
      </c>
      <c r="Y67" s="3">
        <f t="shared" si="17"/>
        <v>0.56787650713180648</v>
      </c>
      <c r="Z67" s="3">
        <f t="shared" si="2"/>
        <v>3.7528811468261029E-2</v>
      </c>
      <c r="AA67" s="3">
        <f t="shared" si="3"/>
        <v>3.7479885391787912E-2</v>
      </c>
    </row>
    <row r="68" spans="1:27" x14ac:dyDescent="0.35">
      <c r="A68" s="132"/>
      <c r="B68" s="132"/>
      <c r="C68" s="132"/>
      <c r="D68" s="80"/>
      <c r="E68" s="116">
        <f xml:space="preserve"> SUM(E64:E67)</f>
        <v>1269.6650997420002</v>
      </c>
      <c r="F68" s="116"/>
      <c r="G68" s="73"/>
      <c r="H68" s="116">
        <f xml:space="preserve"> SUM(H64:H67)</f>
        <v>1122.0227200490001</v>
      </c>
      <c r="I68" s="116"/>
      <c r="J68" s="73"/>
      <c r="K68" s="94"/>
      <c r="L68" s="95"/>
      <c r="M68" s="95"/>
      <c r="N68" s="95"/>
      <c r="O68" s="120"/>
      <c r="P68" s="91"/>
      <c r="Q68" s="91"/>
      <c r="R68" s="72"/>
      <c r="X68" s="3"/>
      <c r="Y68" s="3"/>
      <c r="Z68" s="3"/>
      <c r="AA68" s="3"/>
    </row>
    <row r="69" spans="1:27" x14ac:dyDescent="0.35">
      <c r="A69" s="132" t="s">
        <v>82</v>
      </c>
      <c r="B69" s="132" t="s">
        <v>79</v>
      </c>
      <c r="C69" s="132" t="s">
        <v>17</v>
      </c>
      <c r="D69" s="84" t="s">
        <v>51</v>
      </c>
      <c r="E69" s="119">
        <f xml:space="preserve"> (1-defaultFit_Inclusive!$U69)*defaultFit_Inclusive!E69</f>
        <v>688.87883029</v>
      </c>
      <c r="F69" s="119">
        <f xml:space="preserve"> E69*SQRT(POWER(defaultFit_Inclusive!$V69/(1-defaultFit_Inclusive!$U69),2)+POWER(defaultFit_Inclusive!F69/defaultFit_Inclusive!E69,2))</f>
        <v>31.75963284462561</v>
      </c>
      <c r="G69" s="107"/>
      <c r="H69" s="119">
        <f xml:space="preserve"> (1-defaultFit_Inclusive!$U69)*defaultFit_Inclusive!H69</f>
        <v>653.00149984999996</v>
      </c>
      <c r="I69" s="119">
        <f xml:space="preserve"> H69*SQRT(POWER(defaultFit_Inclusive!$V69/(1-defaultFit_Inclusive!$U69),2)+POWER(defaultFit_Inclusive!I69/defaultFit_Inclusive!H69,2))</f>
        <v>29.174000120950442</v>
      </c>
      <c r="J69" s="107"/>
      <c r="K69" s="75"/>
      <c r="L69" s="75"/>
      <c r="M69" s="75"/>
      <c r="N69" s="75"/>
      <c r="O69" s="79"/>
      <c r="P69" s="79"/>
      <c r="Q69" s="75"/>
      <c r="R69" s="75"/>
      <c r="X69" s="3"/>
      <c r="Y69" s="3"/>
      <c r="Z69" s="3"/>
      <c r="AA69" s="3"/>
    </row>
    <row r="70" spans="1:27" x14ac:dyDescent="0.35">
      <c r="A70" s="132"/>
      <c r="B70" s="132"/>
      <c r="C70" s="132"/>
      <c r="D70" s="85" t="s">
        <v>49</v>
      </c>
      <c r="E70" s="119">
        <f xml:space="preserve"> (1-defaultFit_Inclusive!$U70)*defaultFit_Inclusive!E70</f>
        <v>185.63409331999998</v>
      </c>
      <c r="F70" s="119">
        <f xml:space="preserve"> E70*SQRT(POWER(defaultFit_Inclusive!$V70/(1-defaultFit_Inclusive!$U70),2)+POWER(defaultFit_Inclusive!F70/defaultFit_Inclusive!E70,2))</f>
        <v>16.517723770027775</v>
      </c>
      <c r="G70" s="107">
        <f>SQRT(POWER(Z70,2)+POWER(fitSyst_Prompt!AE70,2))</f>
        <v>8.8691589475806354E-2</v>
      </c>
      <c r="H70" s="119">
        <f xml:space="preserve"> (1-defaultFit_Inclusive!$U70)*defaultFit_Inclusive!H70</f>
        <v>217.38557926799999</v>
      </c>
      <c r="I70" s="119">
        <f xml:space="preserve"> H70*SQRT(POWER(defaultFit_Inclusive!$V70/(1-defaultFit_Inclusive!$U70),2)+POWER(defaultFit_Inclusive!I70/defaultFit_Inclusive!H70,2))</f>
        <v>16.299841800909274</v>
      </c>
      <c r="J70" s="107">
        <f>SQRT(POWER(AA70,2)+POWER(fitSyst_Prompt!AF70,2))</f>
        <v>6.7302750590020166E-2</v>
      </c>
      <c r="K70" s="101"/>
      <c r="L70" s="142">
        <v>5.3245899999999999E-2</v>
      </c>
      <c r="M70" s="142">
        <v>3.7400099999999999E-2</v>
      </c>
      <c r="N70" s="142">
        <v>9.0194899999999995E-2</v>
      </c>
      <c r="O70" s="142">
        <v>3.2103300000000001E-2</v>
      </c>
      <c r="P70" s="141"/>
      <c r="Q70" s="141">
        <f xml:space="preserve"> (L70/ep_CorrectionFactors!H18+N70/ep_CorrectionFactors!M18)/2</f>
        <v>9.1452518323727153E-2</v>
      </c>
      <c r="R70" s="141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3.1420161854065889E-2</v>
      </c>
      <c r="X70" s="3">
        <f xml:space="preserve"> E70/($E$74*PI()/8)</f>
        <v>0.69504083079358814</v>
      </c>
      <c r="Y70" s="3">
        <f xml:space="preserve"> H70/($H$74*PI()/8)</f>
        <v>0.84847991688276869</v>
      </c>
      <c r="Z70" s="3">
        <f t="shared" ref="Z70:Z85" si="18" xml:space="preserve"> X70*F70/E70</f>
        <v>6.184474116049786E-2</v>
      </c>
      <c r="AA70" s="3">
        <f t="shared" ref="AA70:AA85" si="19" xml:space="preserve"> Y70*I70/H70</f>
        <v>6.3620082173839132E-2</v>
      </c>
    </row>
    <row r="71" spans="1:27" x14ac:dyDescent="0.35">
      <c r="A71" s="132"/>
      <c r="B71" s="132"/>
      <c r="C71" s="132"/>
      <c r="D71" s="85" t="s">
        <v>50</v>
      </c>
      <c r="E71" s="119">
        <f xml:space="preserve"> (1-defaultFit_Inclusive!$U71)*defaultFit_Inclusive!E71</f>
        <v>176.74081851999998</v>
      </c>
      <c r="F71" s="119">
        <f xml:space="preserve"> E71*SQRT(POWER(defaultFit_Inclusive!$V71/(1-defaultFit_Inclusive!$U71),2)+POWER(defaultFit_Inclusive!F71/defaultFit_Inclusive!E71,2))</f>
        <v>15.863719100911343</v>
      </c>
      <c r="G71" s="107">
        <f>SQRT(POWER(Z71,2)+POWER(fitSyst_Prompt!AE71,2))</f>
        <v>7.2614546028908489E-2</v>
      </c>
      <c r="H71" s="119">
        <f xml:space="preserve"> (1-defaultFit_Inclusive!$U71)*defaultFit_Inclusive!H71</f>
        <v>143.854742773</v>
      </c>
      <c r="I71" s="119">
        <f xml:space="preserve"> H71*SQRT(POWER(defaultFit_Inclusive!$V71/(1-defaultFit_Inclusive!$U71),2)+POWER(defaultFit_Inclusive!I71/defaultFit_Inclusive!H71,2))</f>
        <v>13.095332903804602</v>
      </c>
      <c r="J71" s="107">
        <f>SQRT(POWER(AA71,2)+POWER(fitSyst_Prompt!AF71,2))</f>
        <v>5.3100594344272938E-2</v>
      </c>
      <c r="K71" s="101"/>
      <c r="L71" s="142"/>
      <c r="M71" s="142"/>
      <c r="N71" s="142"/>
      <c r="O71" s="142"/>
      <c r="P71" s="141"/>
      <c r="Q71" s="141"/>
      <c r="R71" s="141"/>
      <c r="X71" s="3">
        <f t="shared" ref="X71:X73" si="20" xml:space="preserve"> E71/($E$74*PI()/8)</f>
        <v>0.66174312671930247</v>
      </c>
      <c r="Y71" s="3">
        <f t="shared" ref="Y71:Y73" si="21" xml:space="preserve"> H71/($H$74*PI()/8)</f>
        <v>0.5614809436864725</v>
      </c>
      <c r="Z71" s="3">
        <f t="shared" si="18"/>
        <v>5.9396053312075578E-2</v>
      </c>
      <c r="AA71" s="3">
        <f t="shared" si="19"/>
        <v>5.1112530146602581E-2</v>
      </c>
    </row>
    <row r="72" spans="1:27" x14ac:dyDescent="0.35">
      <c r="A72" s="132"/>
      <c r="B72" s="132"/>
      <c r="C72" s="132"/>
      <c r="D72" s="84" t="s">
        <v>52</v>
      </c>
      <c r="E72" s="119">
        <f xml:space="preserve"> (1-defaultFit_Inclusive!$U72)*defaultFit_Inclusive!E72</f>
        <v>167.28255904400001</v>
      </c>
      <c r="F72" s="119">
        <f xml:space="preserve"> E72*SQRT(POWER(defaultFit_Inclusive!$V72/(1-defaultFit_Inclusive!$U72),2)+POWER(defaultFit_Inclusive!F72/defaultFit_Inclusive!E72,2))</f>
        <v>15.41577648261309</v>
      </c>
      <c r="G72" s="107">
        <f>SQRT(POWER(Z72,2)+POWER(fitSyst_Prompt!AE72,2))</f>
        <v>6.355111856870968E-2</v>
      </c>
      <c r="H72" s="119">
        <f xml:space="preserve"> (1-defaultFit_Inclusive!$U72)*defaultFit_Inclusive!H72</f>
        <v>151.015991324</v>
      </c>
      <c r="I72" s="119">
        <f xml:space="preserve"> H72*SQRT(POWER(defaultFit_Inclusive!$V72/(1-defaultFit_Inclusive!$U72),2)+POWER(defaultFit_Inclusive!I72/defaultFit_Inclusive!H72,2))</f>
        <v>13.662937710650898</v>
      </c>
      <c r="J72" s="107">
        <f>SQRT(POWER(AA72,2)+POWER(fitSyst_Prompt!AF72,2))</f>
        <v>5.9503677046471776E-2</v>
      </c>
      <c r="K72" s="101"/>
      <c r="L72" s="142"/>
      <c r="M72" s="142"/>
      <c r="N72" s="142"/>
      <c r="O72" s="142"/>
      <c r="P72" s="141"/>
      <c r="Q72" s="141"/>
      <c r="R72" s="141"/>
      <c r="X72" s="3">
        <f t="shared" si="20"/>
        <v>0.62633003849564228</v>
      </c>
      <c r="Y72" s="3">
        <f t="shared" si="21"/>
        <v>0.58943208743662179</v>
      </c>
      <c r="Z72" s="3">
        <f t="shared" si="18"/>
        <v>5.7718891514898708E-2</v>
      </c>
      <c r="AA72" s="3">
        <f t="shared" si="19"/>
        <v>5.3327954375555105E-2</v>
      </c>
    </row>
    <row r="73" spans="1:27" x14ac:dyDescent="0.35">
      <c r="A73" s="132"/>
      <c r="B73" s="132"/>
      <c r="C73" s="132"/>
      <c r="D73" s="84" t="s">
        <v>53</v>
      </c>
      <c r="E73" s="119">
        <f xml:space="preserve"> (1-defaultFit_Inclusive!$U73)*defaultFit_Inclusive!E73</f>
        <v>150.46564705199998</v>
      </c>
      <c r="F73" s="119">
        <f xml:space="preserve"> E73*SQRT(POWER(defaultFit_Inclusive!$V73/(1-defaultFit_Inclusive!$U73),2)+POWER(defaultFit_Inclusive!F73/defaultFit_Inclusive!E73,2))</f>
        <v>14.213136894353219</v>
      </c>
      <c r="G73" s="107">
        <f>SQRT(POWER(Z73,2)+POWER(fitSyst_Prompt!AE73,2))</f>
        <v>6.4657227834893055E-2</v>
      </c>
      <c r="H73" s="119">
        <f xml:space="preserve"> (1-defaultFit_Inclusive!$U73)*defaultFit_Inclusive!H73</f>
        <v>140.16670920000001</v>
      </c>
      <c r="I73" s="119">
        <f xml:space="preserve"> H73*SQRT(POWER(defaultFit_Inclusive!$V73/(1-defaultFit_Inclusive!$U73),2)+POWER(defaultFit_Inclusive!I73/defaultFit_Inclusive!H73,2))</f>
        <v>13.152600098682811</v>
      </c>
      <c r="J73" s="107">
        <f>SQRT(POWER(AA73,2)+POWER(fitSyst_Prompt!AF73,2))</f>
        <v>5.6126704932288121E-2</v>
      </c>
      <c r="K73" s="101"/>
      <c r="L73" s="142"/>
      <c r="M73" s="142"/>
      <c r="N73" s="142"/>
      <c r="O73" s="142"/>
      <c r="P73" s="141"/>
      <c r="Q73" s="141"/>
      <c r="R73" s="141"/>
      <c r="X73" s="3">
        <f t="shared" si="20"/>
        <v>0.56336509346179242</v>
      </c>
      <c r="Y73" s="3">
        <f t="shared" si="21"/>
        <v>0.54708614146446277</v>
      </c>
      <c r="Z73" s="3">
        <f t="shared" si="18"/>
        <v>5.3216035365901949E-2</v>
      </c>
      <c r="AA73" s="3">
        <f t="shared" si="19"/>
        <v>5.1336050330940429E-2</v>
      </c>
    </row>
    <row r="74" spans="1:27" x14ac:dyDescent="0.35">
      <c r="A74" s="132"/>
      <c r="B74" s="132"/>
      <c r="C74" s="132"/>
      <c r="D74" s="80"/>
      <c r="E74" s="116">
        <f xml:space="preserve"> SUM(E70:E73)</f>
        <v>680.12311793599997</v>
      </c>
      <c r="F74" s="116"/>
      <c r="G74" s="73"/>
      <c r="H74" s="116">
        <f xml:space="preserve"> SUM(H70:H73)</f>
        <v>652.423022565</v>
      </c>
      <c r="I74" s="116"/>
      <c r="J74" s="73"/>
      <c r="K74" s="94"/>
      <c r="L74" s="95"/>
      <c r="M74" s="95"/>
      <c r="N74" s="95"/>
      <c r="O74" s="120"/>
      <c r="P74" s="91"/>
      <c r="Q74" s="91"/>
      <c r="R74" s="72"/>
      <c r="X74" s="3"/>
      <c r="Y74" s="3"/>
      <c r="Z74" s="3"/>
      <c r="AA74" s="3"/>
    </row>
    <row r="75" spans="1:27" x14ac:dyDescent="0.35">
      <c r="A75" s="132" t="s">
        <v>81</v>
      </c>
      <c r="B75" s="132" t="s">
        <v>83</v>
      </c>
      <c r="C75" s="132" t="s">
        <v>17</v>
      </c>
      <c r="D75" s="84" t="s">
        <v>51</v>
      </c>
      <c r="E75" s="119">
        <f xml:space="preserve"> (1-defaultFit_Inclusive!$U75)*defaultFit_Inclusive!E75</f>
        <v>1489.14662911</v>
      </c>
      <c r="F75" s="119">
        <f xml:space="preserve"> E75*SQRT(POWER(defaultFit_Inclusive!$V75/(1-defaultFit_Inclusive!$U75),2)+POWER(defaultFit_Inclusive!F75/defaultFit_Inclusive!E75,2))</f>
        <v>61.595874326621058</v>
      </c>
      <c r="G75" s="107"/>
      <c r="H75" s="119">
        <f xml:space="preserve"> (1-defaultFit_Inclusive!$U75)*defaultFit_Inclusive!H75</f>
        <v>1504.0102316399998</v>
      </c>
      <c r="I75" s="119">
        <f xml:space="preserve"> H75*SQRT(POWER(defaultFit_Inclusive!$V75/(1-defaultFit_Inclusive!$U75),2)+POWER(defaultFit_Inclusive!I75/defaultFit_Inclusive!H75,2))</f>
        <v>67.985635073068096</v>
      </c>
      <c r="J75" s="107"/>
      <c r="K75" s="75"/>
      <c r="L75" s="75"/>
      <c r="M75" s="75"/>
      <c r="N75" s="75"/>
      <c r="O75" s="79"/>
      <c r="P75" s="79"/>
      <c r="Q75" s="75"/>
      <c r="R75" s="75"/>
      <c r="X75" s="3"/>
      <c r="Y75" s="3"/>
      <c r="Z75" s="3"/>
      <c r="AA75" s="3"/>
    </row>
    <row r="76" spans="1:27" x14ac:dyDescent="0.35">
      <c r="A76" s="132"/>
      <c r="B76" s="132"/>
      <c r="C76" s="132"/>
      <c r="D76" s="85" t="s">
        <v>49</v>
      </c>
      <c r="E76" s="119">
        <f xml:space="preserve"> (1-defaultFit_Inclusive!$U76)*defaultFit_Inclusive!E76</f>
        <v>424.3088039475</v>
      </c>
      <c r="F76" s="119">
        <f xml:space="preserve"> E76*SQRT(POWER(defaultFit_Inclusive!$V76/(1-defaultFit_Inclusive!$U76),2)+POWER(defaultFit_Inclusive!F76/defaultFit_Inclusive!E76,2))</f>
        <v>30.14982330758416</v>
      </c>
      <c r="G76" s="107">
        <f>SQRT(POWER(Z76,2)+POWER(fitSyst_Prompt!AE76,2))</f>
        <v>5.340872618480963E-2</v>
      </c>
      <c r="H76" s="119">
        <f xml:space="preserve"> (1-defaultFit_Inclusive!$U76)*defaultFit_Inclusive!H76</f>
        <v>449.24819281250001</v>
      </c>
      <c r="I76" s="119">
        <f xml:space="preserve"> H76*SQRT(POWER(defaultFit_Inclusive!$V76/(1-defaultFit_Inclusive!$U76),2)+POWER(defaultFit_Inclusive!I76/defaultFit_Inclusive!H76,2))</f>
        <v>32.578971118377339</v>
      </c>
      <c r="J76" s="107">
        <f>SQRT(POWER(AA76,2)+POWER(fitSyst_Prompt!AF76,2))</f>
        <v>5.5917515144028776E-2</v>
      </c>
      <c r="K76" s="101"/>
      <c r="L76" s="142">
        <v>2.2679499999999998E-2</v>
      </c>
      <c r="M76" s="142">
        <v>2.7723399999999999E-2</v>
      </c>
      <c r="N76" s="142">
        <v>1.1070200000000001E-2</v>
      </c>
      <c r="O76" s="142">
        <v>3.1824400000000003E-2</v>
      </c>
      <c r="P76" s="141"/>
      <c r="Q76" s="141">
        <f xml:space="preserve"> (L76/ep_CorrectionFactors!H18+N76/ep_CorrectionFactors!M18)/2</f>
        <v>2.1512900572624075E-2</v>
      </c>
      <c r="R76" s="141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2.6908063901599406E-2</v>
      </c>
      <c r="X76" s="3">
        <f xml:space="preserve"> E76/($E$80*PI()/8)</f>
        <v>0.72197515852607541</v>
      </c>
      <c r="Y76" s="3">
        <f xml:space="preserve"> H76/($H$80*PI()/8)</f>
        <v>0.75711055952325357</v>
      </c>
      <c r="Z76" s="3">
        <f t="shared" si="18"/>
        <v>5.130089986235481E-2</v>
      </c>
      <c r="AA76" s="3">
        <f t="shared" si="19"/>
        <v>5.490480194857731E-2</v>
      </c>
    </row>
    <row r="77" spans="1:27" x14ac:dyDescent="0.35">
      <c r="A77" s="132"/>
      <c r="B77" s="132"/>
      <c r="C77" s="132"/>
      <c r="D77" s="85" t="s">
        <v>50</v>
      </c>
      <c r="E77" s="119">
        <f xml:space="preserve"> (1-defaultFit_Inclusive!$U77)*defaultFit_Inclusive!E77</f>
        <v>345.459964001</v>
      </c>
      <c r="F77" s="119">
        <f xml:space="preserve"> E77*SQRT(POWER(defaultFit_Inclusive!$V77/(1-defaultFit_Inclusive!$U77),2)+POWER(defaultFit_Inclusive!F77/defaultFit_Inclusive!E77,2))</f>
        <v>27.346155056569</v>
      </c>
      <c r="G77" s="107">
        <f>SQRT(POWER(Z77,2)+POWER(fitSyst_Prompt!AE77,2))</f>
        <v>4.7118287470547443E-2</v>
      </c>
      <c r="H77" s="119">
        <f xml:space="preserve"> (1-defaultFit_Inclusive!$U77)*defaultFit_Inclusive!H77</f>
        <v>350.773477996</v>
      </c>
      <c r="I77" s="119">
        <f xml:space="preserve"> H77*SQRT(POWER(defaultFit_Inclusive!$V77/(1-defaultFit_Inclusive!$U77),2)+POWER(defaultFit_Inclusive!I77/defaultFit_Inclusive!H77,2))</f>
        <v>28.849354919153477</v>
      </c>
      <c r="J77" s="107">
        <f>SQRT(POWER(AA77,2)+POWER(fitSyst_Prompt!AF77,2))</f>
        <v>5.1207138130210869E-2</v>
      </c>
      <c r="K77" s="101"/>
      <c r="L77" s="142"/>
      <c r="M77" s="142"/>
      <c r="N77" s="142"/>
      <c r="O77" s="142"/>
      <c r="P77" s="141"/>
      <c r="Q77" s="141"/>
      <c r="R77" s="141"/>
      <c r="X77" s="3">
        <f t="shared" ref="X77:X79" si="22" xml:space="preserve"> E77/($E$80*PI()/8)</f>
        <v>0.58781130618466826</v>
      </c>
      <c r="Y77" s="3">
        <f t="shared" ref="Y77:Y79" si="23" xml:space="preserve"> H77/($H$80*PI()/8)</f>
        <v>0.5911527490602736</v>
      </c>
      <c r="Z77" s="3">
        <f t="shared" si="18"/>
        <v>4.653036761991837E-2</v>
      </c>
      <c r="AA77" s="3">
        <f t="shared" si="19"/>
        <v>4.8619341366702706E-2</v>
      </c>
    </row>
    <row r="78" spans="1:27" x14ac:dyDescent="0.35">
      <c r="A78" s="132"/>
      <c r="B78" s="132"/>
      <c r="C78" s="132"/>
      <c r="D78" s="84" t="s">
        <v>52</v>
      </c>
      <c r="E78" s="119">
        <f xml:space="preserve"> (1-defaultFit_Inclusive!$U78)*defaultFit_Inclusive!E78</f>
        <v>342.93566645499999</v>
      </c>
      <c r="F78" s="119">
        <f xml:space="preserve"> E78*SQRT(POWER(defaultFit_Inclusive!$V78/(1-defaultFit_Inclusive!$U78),2)+POWER(defaultFit_Inclusive!F78/defaultFit_Inclusive!E78,2))</f>
        <v>27.048738101281064</v>
      </c>
      <c r="G78" s="107">
        <f>SQRT(POWER(Z78,2)+POWER(fitSyst_Prompt!AE78,2))</f>
        <v>4.9821897610961632E-2</v>
      </c>
      <c r="H78" s="119">
        <f xml:space="preserve"> (1-defaultFit_Inclusive!$U78)*defaultFit_Inclusive!H78</f>
        <v>354.57381659999999</v>
      </c>
      <c r="I78" s="119">
        <f xml:space="preserve"> H78*SQRT(POWER(defaultFit_Inclusive!$V78/(1-defaultFit_Inclusive!$U78),2)+POWER(defaultFit_Inclusive!I78/defaultFit_Inclusive!H78,2))</f>
        <v>28.856996704261274</v>
      </c>
      <c r="J78" s="107">
        <f>SQRT(POWER(AA78,2)+POWER(fitSyst_Prompt!AF78,2))</f>
        <v>5.3151021181447058E-2</v>
      </c>
      <c r="K78" s="101"/>
      <c r="L78" s="142"/>
      <c r="M78" s="142"/>
      <c r="N78" s="142"/>
      <c r="O78" s="142"/>
      <c r="P78" s="141"/>
      <c r="Q78" s="141"/>
      <c r="R78" s="141"/>
      <c r="X78" s="3">
        <f t="shared" si="22"/>
        <v>0.58351613223591881</v>
      </c>
      <c r="Y78" s="3">
        <f t="shared" si="23"/>
        <v>0.59755739694285981</v>
      </c>
      <c r="Z78" s="3">
        <f t="shared" si="18"/>
        <v>4.6024303047501623E-2</v>
      </c>
      <c r="AA78" s="3">
        <f t="shared" si="19"/>
        <v>4.8632219940932475E-2</v>
      </c>
    </row>
    <row r="79" spans="1:27" x14ac:dyDescent="0.35">
      <c r="A79" s="132"/>
      <c r="B79" s="132"/>
      <c r="C79" s="132"/>
      <c r="D79" s="84" t="s">
        <v>53</v>
      </c>
      <c r="E79" s="119">
        <f xml:space="preserve"> (1-defaultFit_Inclusive!$U79)*defaultFit_Inclusive!E79</f>
        <v>383.87544645600002</v>
      </c>
      <c r="F79" s="119">
        <f xml:space="preserve"> E79*SQRT(POWER(defaultFit_Inclusive!$V79/(1-defaultFit_Inclusive!$U79),2)+POWER(defaultFit_Inclusive!F79/defaultFit_Inclusive!E79,2))</f>
        <v>27.478876137670799</v>
      </c>
      <c r="G79" s="107">
        <f>SQRT(POWER(Z79,2)+POWER(fitSyst_Prompt!AE79,2))</f>
        <v>5.137698725261209E-2</v>
      </c>
      <c r="H79" s="119">
        <f xml:space="preserve"> (1-defaultFit_Inclusive!$U79)*defaultFit_Inclusive!H79</f>
        <v>356.41385540100003</v>
      </c>
      <c r="I79" s="119">
        <f xml:space="preserve"> H79*SQRT(POWER(defaultFit_Inclusive!$V79/(1-defaultFit_Inclusive!$U79),2)+POWER(defaultFit_Inclusive!I79/defaultFit_Inclusive!H79,2))</f>
        <v>28.273644797341124</v>
      </c>
      <c r="J79" s="107">
        <f>SQRT(POWER(AA79,2)+POWER(fitSyst_Prompt!AF79,2))</f>
        <v>4.9327332043269244E-2</v>
      </c>
      <c r="K79" s="101"/>
      <c r="L79" s="142"/>
      <c r="M79" s="142"/>
      <c r="N79" s="142"/>
      <c r="O79" s="142"/>
      <c r="P79" s="141"/>
      <c r="Q79" s="141"/>
      <c r="R79" s="141"/>
      <c r="X79" s="3">
        <f t="shared" si="22"/>
        <v>0.65317649252366294</v>
      </c>
      <c r="Y79" s="3">
        <f t="shared" si="23"/>
        <v>0.60065838394393845</v>
      </c>
      <c r="Z79" s="3">
        <f t="shared" si="18"/>
        <v>4.6756196833634328E-2</v>
      </c>
      <c r="AA79" s="3">
        <f t="shared" si="19"/>
        <v>4.7649106606892623E-2</v>
      </c>
    </row>
    <row r="80" spans="1:27" x14ac:dyDescent="0.35">
      <c r="A80" s="132"/>
      <c r="B80" s="132"/>
      <c r="C80" s="132"/>
      <c r="D80" s="80"/>
      <c r="E80" s="116">
        <f xml:space="preserve"> SUM(E76:E79)</f>
        <v>1496.5798808595</v>
      </c>
      <c r="F80" s="116"/>
      <c r="G80" s="73"/>
      <c r="H80" s="116">
        <f xml:space="preserve"> SUM(H76:H79)</f>
        <v>1511.0093428095001</v>
      </c>
      <c r="I80" s="116"/>
      <c r="J80" s="73"/>
      <c r="K80" s="94"/>
      <c r="L80" s="95"/>
      <c r="M80" s="95"/>
      <c r="N80" s="95"/>
      <c r="O80" s="120"/>
      <c r="P80" s="91"/>
      <c r="Q80" s="91"/>
      <c r="R80" s="72"/>
      <c r="X80" s="3"/>
      <c r="Y80" s="3"/>
      <c r="Z80" s="3"/>
      <c r="AA80" s="3"/>
    </row>
    <row r="81" spans="1:27" x14ac:dyDescent="0.35">
      <c r="A81" s="132"/>
      <c r="B81" s="132" t="s">
        <v>79</v>
      </c>
      <c r="C81" s="132" t="s">
        <v>17</v>
      </c>
      <c r="D81" s="84" t="s">
        <v>51</v>
      </c>
      <c r="E81" s="119">
        <f xml:space="preserve"> (1-defaultFit_Inclusive!$U81)*defaultFit_Inclusive!E81</f>
        <v>759.236595502</v>
      </c>
      <c r="F81" s="119">
        <f xml:space="preserve"> E81*SQRT(POWER(defaultFit_Inclusive!$V81/(1-defaultFit_Inclusive!$U81),2)+POWER(defaultFit_Inclusive!F81/defaultFit_Inclusive!E81,2))</f>
        <v>31.900529596212802</v>
      </c>
      <c r="G81" s="107"/>
      <c r="H81" s="119">
        <f xml:space="preserve"> (1-defaultFit_Inclusive!$U81)*defaultFit_Inclusive!H81</f>
        <v>701.52777382900001</v>
      </c>
      <c r="I81" s="119">
        <f xml:space="preserve"> H81*SQRT(POWER(defaultFit_Inclusive!$V81/(1-defaultFit_Inclusive!$U81),2)+POWER(defaultFit_Inclusive!I81/defaultFit_Inclusive!H81,2))</f>
        <v>29.97230613793954</v>
      </c>
      <c r="J81" s="107"/>
      <c r="K81" s="75"/>
      <c r="L81" s="75"/>
      <c r="M81" s="75"/>
      <c r="N81" s="75"/>
      <c r="O81" s="79"/>
      <c r="P81" s="79"/>
      <c r="Q81" s="75"/>
      <c r="R81" s="75"/>
      <c r="X81" s="3"/>
      <c r="Y81" s="3"/>
      <c r="Z81" s="3"/>
      <c r="AA81" s="3"/>
    </row>
    <row r="82" spans="1:27" x14ac:dyDescent="0.35">
      <c r="A82" s="132"/>
      <c r="B82" s="132"/>
      <c r="C82" s="132"/>
      <c r="D82" s="85" t="s">
        <v>49</v>
      </c>
      <c r="E82" s="119">
        <f xml:space="preserve"> (1-defaultFit_Inclusive!$U82)*defaultFit_Inclusive!E82</f>
        <v>219.94304312500003</v>
      </c>
      <c r="F82" s="119">
        <f xml:space="preserve"> E82*SQRT(POWER(defaultFit_Inclusive!$V82/(1-defaultFit_Inclusive!$U82),2)+POWER(defaultFit_Inclusive!F82/defaultFit_Inclusive!E82,2))</f>
        <v>17.253794232810804</v>
      </c>
      <c r="G82" s="107">
        <f>SQRT(POWER(Z82,2)+POWER(fitSyst_Prompt!AE82,2))</f>
        <v>6.2213850458542462E-2</v>
      </c>
      <c r="H82" s="119">
        <f xml:space="preserve"> (1-defaultFit_Inclusive!$U82)*defaultFit_Inclusive!H82</f>
        <v>191.20889109500004</v>
      </c>
      <c r="I82" s="119">
        <f xml:space="preserve"> H82*SQRT(POWER(defaultFit_Inclusive!$V82/(1-defaultFit_Inclusive!$U82),2)+POWER(defaultFit_Inclusive!I82/defaultFit_Inclusive!H82,2))</f>
        <v>15.698060213662901</v>
      </c>
      <c r="J82" s="107">
        <f>SQRT(POWER(AA82,2)+POWER(fitSyst_Prompt!AF82,2))</f>
        <v>6.7901398529720172E-2</v>
      </c>
      <c r="K82" s="101"/>
      <c r="L82" s="142">
        <v>7.7240199999999995E-2</v>
      </c>
      <c r="M82" s="142">
        <v>3.0953600000000001E-2</v>
      </c>
      <c r="N82" s="142">
        <v>5.3439800000000003E-2</v>
      </c>
      <c r="O82" s="142">
        <v>3.2596699999999999E-2</v>
      </c>
      <c r="P82" s="141"/>
      <c r="Q82" s="141">
        <f xml:space="preserve"> (L82/ep_CorrectionFactors!H18+N82/ep_CorrectionFactors!M18)/2</f>
        <v>8.330353856698311E-2</v>
      </c>
      <c r="R82" s="141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2.8657564366487743E-2</v>
      </c>
      <c r="X82" s="3">
        <f xml:space="preserve"> E82/($E$86*PI()/8)</f>
        <v>0.73857842248280825</v>
      </c>
      <c r="Y82" s="3">
        <f xml:space="preserve"> H82/($H$86*PI()/8)</f>
        <v>0.69555843858210975</v>
      </c>
      <c r="Z82" s="3">
        <f t="shared" si="18"/>
        <v>5.7939000685145577E-2</v>
      </c>
      <c r="AA82" s="3">
        <f t="shared" si="19"/>
        <v>5.7104657573472155E-2</v>
      </c>
    </row>
    <row r="83" spans="1:27" x14ac:dyDescent="0.35">
      <c r="A83" s="132"/>
      <c r="B83" s="132"/>
      <c r="C83" s="132"/>
      <c r="D83" s="85" t="s">
        <v>50</v>
      </c>
      <c r="E83" s="119">
        <f xml:space="preserve"> (1-defaultFit_Inclusive!$U83)*defaultFit_Inclusive!E83</f>
        <v>191.44434104999999</v>
      </c>
      <c r="F83" s="119">
        <f xml:space="preserve"> E83*SQRT(POWER(defaultFit_Inclusive!$V83/(1-defaultFit_Inclusive!$U83),2)+POWER(defaultFit_Inclusive!F83/defaultFit_Inclusive!E83,2))</f>
        <v>15.837975165419634</v>
      </c>
      <c r="G83" s="107">
        <f>SQRT(POWER(Z83,2)+POWER(fitSyst_Prompt!AE83,2))</f>
        <v>5.7908300214353156E-2</v>
      </c>
      <c r="H83" s="119">
        <f xml:space="preserve"> (1-defaultFit_Inclusive!$U83)*defaultFit_Inclusive!H83</f>
        <v>190.15601107499998</v>
      </c>
      <c r="I83" s="119">
        <f xml:space="preserve"> H83*SQRT(POWER(defaultFit_Inclusive!$V83/(1-defaultFit_Inclusive!$U83),2)+POWER(defaultFit_Inclusive!I83/defaultFit_Inclusive!H83,2))</f>
        <v>15.723146063322865</v>
      </c>
      <c r="J83" s="107">
        <f>SQRT(POWER(AA83,2)+POWER(fitSyst_Prompt!AF83,2))</f>
        <v>5.8789425960430318E-2</v>
      </c>
      <c r="K83" s="101"/>
      <c r="L83" s="142"/>
      <c r="M83" s="142"/>
      <c r="N83" s="142"/>
      <c r="O83" s="142"/>
      <c r="P83" s="141"/>
      <c r="Q83" s="141"/>
      <c r="R83" s="141"/>
      <c r="X83" s="3">
        <f t="shared" ref="X83:X85" si="24" xml:space="preserve"> E83/($E$86*PI()/8)</f>
        <v>0.6428785261719322</v>
      </c>
      <c r="Y83" s="3">
        <f t="shared" ref="Y83:Y85" si="25" xml:space="preserve"> H83/($H$86*PI()/8)</f>
        <v>0.69172838874221143</v>
      </c>
      <c r="Z83" s="3">
        <f t="shared" si="18"/>
        <v>5.3184617921056276E-2</v>
      </c>
      <c r="AA83" s="3">
        <f t="shared" si="19"/>
        <v>5.7195912087423188E-2</v>
      </c>
    </row>
    <row r="84" spans="1:27" x14ac:dyDescent="0.35">
      <c r="A84" s="132"/>
      <c r="B84" s="132"/>
      <c r="C84" s="132"/>
      <c r="D84" s="84" t="s">
        <v>52</v>
      </c>
      <c r="E84" s="119">
        <f xml:space="preserve"> (1-defaultFit_Inclusive!$U84)*defaultFit_Inclusive!E84</f>
        <v>191.67264994799999</v>
      </c>
      <c r="F84" s="119">
        <f xml:space="preserve"> E84*SQRT(POWER(defaultFit_Inclusive!$V84/(1-defaultFit_Inclusive!$U84),2)+POWER(defaultFit_Inclusive!F84/defaultFit_Inclusive!E84,2))</f>
        <v>15.721028114310233</v>
      </c>
      <c r="G84" s="107">
        <f>SQRT(POWER(Z84,2)+POWER(fitSyst_Prompt!AE84,2))</f>
        <v>6.1772179250428924E-2</v>
      </c>
      <c r="H84" s="119">
        <f xml:space="preserve"> (1-defaultFit_Inclusive!$U84)*defaultFit_Inclusive!H84</f>
        <v>155.098052736</v>
      </c>
      <c r="I84" s="119">
        <f xml:space="preserve"> H84*SQRT(POWER(defaultFit_Inclusive!$V84/(1-defaultFit_Inclusive!$U84),2)+POWER(defaultFit_Inclusive!I84/defaultFit_Inclusive!H84,2))</f>
        <v>13.924457472085308</v>
      </c>
      <c r="J84" s="107">
        <f>SQRT(POWER(AA84,2)+POWER(fitSyst_Prompt!AF84,2))</f>
        <v>5.6875774623611645E-2</v>
      </c>
      <c r="K84" s="101"/>
      <c r="L84" s="142"/>
      <c r="M84" s="142"/>
      <c r="N84" s="142"/>
      <c r="O84" s="142"/>
      <c r="P84" s="141"/>
      <c r="Q84" s="141"/>
      <c r="R84" s="141"/>
      <c r="X84" s="3">
        <f t="shared" si="24"/>
        <v>0.64364519750341764</v>
      </c>
      <c r="Y84" s="3">
        <f t="shared" si="25"/>
        <v>0.56419844689428689</v>
      </c>
      <c r="Z84" s="3">
        <f t="shared" si="18"/>
        <v>5.2791904574477223E-2</v>
      </c>
      <c r="AA84" s="3">
        <f t="shared" si="19"/>
        <v>5.0652842772748605E-2</v>
      </c>
    </row>
    <row r="85" spans="1:27" x14ac:dyDescent="0.35">
      <c r="A85" s="132"/>
      <c r="B85" s="132"/>
      <c r="C85" s="132"/>
      <c r="D85" s="84" t="s">
        <v>53</v>
      </c>
      <c r="E85" s="119">
        <f xml:space="preserve"> (1-defaultFit_Inclusive!$U85)*defaultFit_Inclusive!E85</f>
        <v>155.26209274000001</v>
      </c>
      <c r="F85" s="119">
        <f xml:space="preserve"> E85*SQRT(POWER(defaultFit_Inclusive!$V85/(1-defaultFit_Inclusive!$U85),2)+POWER(defaultFit_Inclusive!F85/defaultFit_Inclusive!E85,2))</f>
        <v>14.144132919480647</v>
      </c>
      <c r="G85" s="107">
        <f>SQRT(POWER(Z85,2)+POWER(fitSyst_Prompt!AE85,2))</f>
        <v>5.8098959128809594E-2</v>
      </c>
      <c r="H85" s="119">
        <f xml:space="preserve"> (1-defaultFit_Inclusive!$U85)*defaultFit_Inclusive!H85</f>
        <v>163.56369402199999</v>
      </c>
      <c r="I85" s="119">
        <f xml:space="preserve"> H85*SQRT(POWER(defaultFit_Inclusive!$V85/(1-defaultFit_Inclusive!$U85),2)+POWER(defaultFit_Inclusive!I85/defaultFit_Inclusive!H85,2))</f>
        <v>14.310317153506928</v>
      </c>
      <c r="J85" s="107">
        <f>SQRT(POWER(AA85,2)+POWER(fitSyst_Prompt!AF85,2))</f>
        <v>5.2458239919852552E-2</v>
      </c>
      <c r="K85" s="101"/>
      <c r="L85" s="142"/>
      <c r="M85" s="142"/>
      <c r="N85" s="142"/>
      <c r="O85" s="142"/>
      <c r="P85" s="141"/>
      <c r="Q85" s="141"/>
      <c r="R85" s="141"/>
      <c r="X85" s="3">
        <f t="shared" si="24"/>
        <v>0.52137694331216722</v>
      </c>
      <c r="Y85" s="3">
        <f t="shared" si="25"/>
        <v>0.59499381525171768</v>
      </c>
      <c r="Z85" s="3">
        <f t="shared" si="18"/>
        <v>4.7496621082577704E-2</v>
      </c>
      <c r="AA85" s="3">
        <f t="shared" si="19"/>
        <v>5.2056480208144143E-2</v>
      </c>
    </row>
    <row r="86" spans="1:27" x14ac:dyDescent="0.35">
      <c r="A86" s="132"/>
      <c r="B86" s="132"/>
      <c r="C86" s="132"/>
      <c r="D86" s="80"/>
      <c r="E86" s="94">
        <f xml:space="preserve"> SUM(E82:E85)</f>
        <v>758.32212686299999</v>
      </c>
      <c r="F86" s="94"/>
      <c r="G86" s="73"/>
      <c r="H86" s="94">
        <f xml:space="preserve"> SUM(H82:H85)</f>
        <v>700.02664892799999</v>
      </c>
      <c r="I86" s="94"/>
      <c r="J86" s="73"/>
      <c r="K86" s="94"/>
      <c r="L86" s="95"/>
      <c r="M86" s="95"/>
      <c r="N86" s="95"/>
      <c r="O86" s="80"/>
      <c r="P86" s="72"/>
      <c r="Q86" s="91"/>
      <c r="R86" s="72"/>
    </row>
  </sheetData>
  <mergeCells count="113">
    <mergeCell ref="R76:R79"/>
    <mergeCell ref="L82:L85"/>
    <mergeCell ref="M82:M85"/>
    <mergeCell ref="N82:N85"/>
    <mergeCell ref="O82:O85"/>
    <mergeCell ref="Q82:Q85"/>
    <mergeCell ref="R82:R85"/>
    <mergeCell ref="L76:L79"/>
    <mergeCell ref="M76:M79"/>
    <mergeCell ref="N76:N79"/>
    <mergeCell ref="O76:O79"/>
    <mergeCell ref="Q76:Q79"/>
    <mergeCell ref="P76:P79"/>
    <mergeCell ref="P82:P85"/>
    <mergeCell ref="R64:R67"/>
    <mergeCell ref="L70:L73"/>
    <mergeCell ref="M70:M73"/>
    <mergeCell ref="N70:N73"/>
    <mergeCell ref="O70:O73"/>
    <mergeCell ref="Q70:Q73"/>
    <mergeCell ref="R70:R73"/>
    <mergeCell ref="L64:L67"/>
    <mergeCell ref="M64:M67"/>
    <mergeCell ref="N64:N67"/>
    <mergeCell ref="O64:O67"/>
    <mergeCell ref="Q64:Q67"/>
    <mergeCell ref="P64:P67"/>
    <mergeCell ref="P70:P73"/>
    <mergeCell ref="Q34:Q37"/>
    <mergeCell ref="R52:R55"/>
    <mergeCell ref="L58:L61"/>
    <mergeCell ref="M58:M61"/>
    <mergeCell ref="N58:N61"/>
    <mergeCell ref="O58:O61"/>
    <mergeCell ref="Q58:Q61"/>
    <mergeCell ref="R58:R61"/>
    <mergeCell ref="L52:L55"/>
    <mergeCell ref="M52:M55"/>
    <mergeCell ref="N52:N55"/>
    <mergeCell ref="O52:O55"/>
    <mergeCell ref="Q52:Q55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R34:R37"/>
    <mergeCell ref="L40:L43"/>
    <mergeCell ref="M40:M43"/>
    <mergeCell ref="N40:N43"/>
    <mergeCell ref="O40:O43"/>
    <mergeCell ref="Q40:Q43"/>
    <mergeCell ref="R40:R43"/>
    <mergeCell ref="L46:L49"/>
    <mergeCell ref="M46:M49"/>
    <mergeCell ref="N46:N49"/>
    <mergeCell ref="O46:O49"/>
    <mergeCell ref="Q46:Q49"/>
    <mergeCell ref="R46:R49"/>
    <mergeCell ref="L34:L37"/>
    <mergeCell ref="M34:M37"/>
    <mergeCell ref="N34:N37"/>
    <mergeCell ref="O34:O37"/>
    <mergeCell ref="A3:A32"/>
    <mergeCell ref="B3:B32"/>
    <mergeCell ref="C3:C8"/>
    <mergeCell ref="C9:C14"/>
    <mergeCell ref="C15:C20"/>
    <mergeCell ref="C21:C26"/>
    <mergeCell ref="C27:C32"/>
    <mergeCell ref="L4:L7"/>
    <mergeCell ref="M4:M7"/>
    <mergeCell ref="L10:L13"/>
    <mergeCell ref="M10:M13"/>
    <mergeCell ref="L16:L19"/>
    <mergeCell ref="M16:M19"/>
    <mergeCell ref="N16:N19"/>
    <mergeCell ref="O16:O19"/>
    <mergeCell ref="L22:L25"/>
    <mergeCell ref="M22:M25"/>
    <mergeCell ref="N22:N25"/>
    <mergeCell ref="L28:L31"/>
    <mergeCell ref="Q4:Q7"/>
    <mergeCell ref="R4:R7"/>
    <mergeCell ref="Q10:Q13"/>
    <mergeCell ref="R10:R13"/>
    <mergeCell ref="Q16:Q19"/>
    <mergeCell ref="R16:R19"/>
    <mergeCell ref="O4:O7"/>
    <mergeCell ref="N4:N7"/>
    <mergeCell ref="N10:N13"/>
    <mergeCell ref="N28:N31"/>
    <mergeCell ref="O10:O13"/>
    <mergeCell ref="Q22:Q25"/>
    <mergeCell ref="R22:R25"/>
    <mergeCell ref="Q28:Q31"/>
    <mergeCell ref="R28:R31"/>
    <mergeCell ref="O22:O25"/>
    <mergeCell ref="M28:M31"/>
    <mergeCell ref="O28:O3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showRuler="0" zoomScale="50" zoomScaleNormal="50" workbookViewId="0">
      <pane xSplit="4" topLeftCell="E1" activePane="topRight" state="frozen"/>
      <selection activeCell="F3" sqref="F3"/>
      <selection pane="topRight" activeCell="F2" sqref="F2"/>
    </sheetView>
  </sheetViews>
  <sheetFormatPr defaultColWidth="10.77734375" defaultRowHeight="20.25" x14ac:dyDescent="0.35"/>
  <cols>
    <col min="1" max="6" width="10.77734375" style="46"/>
    <col min="7" max="7" width="17.33203125" style="46" customWidth="1"/>
    <col min="8" max="9" width="10.77734375" style="46"/>
    <col min="10" max="10" width="16.33203125" style="46" customWidth="1"/>
    <col min="11" max="16384" width="10.77734375" style="46"/>
  </cols>
  <sheetData>
    <row r="1" spans="1:27" x14ac:dyDescent="0.35">
      <c r="A1" s="84"/>
      <c r="B1" s="84"/>
      <c r="C1" s="84"/>
      <c r="D1" s="84"/>
      <c r="E1" s="84"/>
      <c r="F1" s="84"/>
      <c r="G1" s="84"/>
      <c r="H1" s="84"/>
      <c r="I1" s="84"/>
      <c r="J1" s="103"/>
      <c r="K1" s="103" t="s">
        <v>74</v>
      </c>
      <c r="L1" s="103"/>
      <c r="M1" s="103"/>
      <c r="N1" s="84"/>
      <c r="O1" s="84"/>
      <c r="X1" s="3" t="s">
        <v>101</v>
      </c>
      <c r="Z1" s="46" t="s">
        <v>102</v>
      </c>
    </row>
    <row r="2" spans="1:27" x14ac:dyDescent="0.35">
      <c r="A2" s="85" t="s">
        <v>18</v>
      </c>
      <c r="B2" s="85" t="s">
        <v>19</v>
      </c>
      <c r="C2" s="85" t="s">
        <v>20</v>
      </c>
      <c r="D2" s="85" t="s">
        <v>48</v>
      </c>
      <c r="E2" s="85" t="s">
        <v>63</v>
      </c>
      <c r="F2" s="85" t="s">
        <v>69</v>
      </c>
      <c r="G2" s="85" t="s">
        <v>72</v>
      </c>
      <c r="H2" s="85" t="s">
        <v>68</v>
      </c>
      <c r="I2" s="85" t="s">
        <v>70</v>
      </c>
      <c r="J2" s="85" t="s">
        <v>73</v>
      </c>
      <c r="K2" s="85"/>
      <c r="L2" s="85" t="s">
        <v>15</v>
      </c>
      <c r="M2" s="85" t="s">
        <v>16</v>
      </c>
      <c r="N2" s="85" t="s">
        <v>11</v>
      </c>
      <c r="O2" s="84" t="s">
        <v>12</v>
      </c>
      <c r="Q2" s="3" t="s">
        <v>65</v>
      </c>
      <c r="R2" s="3" t="s">
        <v>66</v>
      </c>
      <c r="X2" s="3" t="s">
        <v>99</v>
      </c>
      <c r="Y2" s="3" t="s">
        <v>100</v>
      </c>
      <c r="Z2" s="3" t="s">
        <v>103</v>
      </c>
      <c r="AA2" s="3" t="s">
        <v>104</v>
      </c>
    </row>
    <row r="3" spans="1:27" x14ac:dyDescent="0.35">
      <c r="A3" s="136" t="s">
        <v>55</v>
      </c>
      <c r="B3" s="136" t="s">
        <v>25</v>
      </c>
      <c r="C3" s="136" t="s">
        <v>35</v>
      </c>
      <c r="D3" s="26" t="s">
        <v>51</v>
      </c>
      <c r="E3" s="115">
        <f xml:space="preserve"> defaultFit_Inclusive!$U3*defaultFit_Inclusive!E3</f>
        <v>391.92847920000003</v>
      </c>
      <c r="F3" s="115">
        <f xml:space="preserve"> E3*SQRT(POWER(defaultFit_Inclusive!$V3/defaultFit_Inclusive!$U3,2)+POWER(defaultFit_Inclusive!F3/defaultFit_Inclusive!E3,2))</f>
        <v>21.753315774831215</v>
      </c>
      <c r="G3" s="87"/>
      <c r="H3" s="115">
        <f xml:space="preserve"> defaultFit_Inclusive!$U3*defaultFit_Inclusive!H3</f>
        <v>357.85079100000007</v>
      </c>
      <c r="I3" s="115">
        <f xml:space="preserve"> H3*SQRT(POWER(defaultFit_Inclusive!$V3/defaultFit_Inclusive!$U3,2)+POWER(defaultFit_Inclusive!I3/defaultFit_Inclusive!H3,2))</f>
        <v>20.213802773148885</v>
      </c>
      <c r="J3" s="87"/>
      <c r="K3" s="97"/>
      <c r="L3" s="98"/>
      <c r="M3" s="98"/>
      <c r="N3" s="98"/>
      <c r="O3" s="32"/>
      <c r="P3" s="33"/>
      <c r="Q3" s="78"/>
      <c r="R3" s="78"/>
      <c r="X3" s="3"/>
      <c r="Y3" s="3"/>
      <c r="Z3" s="3"/>
      <c r="AA3" s="3"/>
    </row>
    <row r="4" spans="1:27" x14ac:dyDescent="0.35">
      <c r="A4" s="136"/>
      <c r="B4" s="136"/>
      <c r="C4" s="136"/>
      <c r="D4" s="85" t="s">
        <v>49</v>
      </c>
      <c r="E4" s="115">
        <f xml:space="preserve"> defaultFit_Inclusive!$U4*defaultFit_Inclusive!E4</f>
        <v>112.90268502000001</v>
      </c>
      <c r="F4" s="115">
        <f xml:space="preserve"> E4*SQRT(POWER(defaultFit_Inclusive!$V4/defaultFit_Inclusive!$U4,2)+POWER(defaultFit_Inclusive!F4/defaultFit_Inclusive!E4,2))</f>
        <v>11.45265984289291</v>
      </c>
      <c r="G4" s="87">
        <f>SQRT(POWER(Z4,2)+POWER(fitSyst_NonPrompt!AE4,2))</f>
        <v>8.3862027837644015E-2</v>
      </c>
      <c r="H4" s="115">
        <f xml:space="preserve"> defaultFit_Inclusive!$U4*defaultFit_Inclusive!H4</f>
        <v>104.455194363</v>
      </c>
      <c r="I4" s="115">
        <f xml:space="preserve"> H4*SQRT(POWER(defaultFit_Inclusive!$V4/defaultFit_Inclusive!$U4,2)+POWER(defaultFit_Inclusive!I4/defaultFit_Inclusive!H4,2))</f>
        <v>10.686465860715131</v>
      </c>
      <c r="J4" s="87">
        <f>SQRT(POWER(AA4,2)+POWER(fitSyst_NonPrompt!AF4,2))</f>
        <v>7.7280207027998246E-2</v>
      </c>
      <c r="K4" s="97"/>
      <c r="L4" s="134">
        <v>6.4174900000000007E-2</v>
      </c>
      <c r="M4" s="134">
        <v>4.1170699999999998E-2</v>
      </c>
      <c r="N4" s="134">
        <v>6.12925E-2</v>
      </c>
      <c r="O4" s="134">
        <v>3.9999600000000003E-2</v>
      </c>
      <c r="P4" s="33"/>
      <c r="Q4" s="135">
        <f xml:space="preserve"> (L4/ep_CorrectionFactors!H21+N4/ep_CorrectionFactors!M21)/2</f>
        <v>9.9621661139146084E-2</v>
      </c>
      <c r="R4" s="135">
        <f xml:space="preserve"> 0.5*SQRT(POWER(L4/ep_CorrectionFactors!H21,2)*(POWER(M4/L4,2)+POWER(ep_CorrectionFactors!I21/ep_CorrectionFactors!H21,2))+POWER(N4/ep_CorrectionFactors!M21,2)*(POWER(O4/N4,2)+POWER(ep_CorrectionFactors!N21/ep_CorrectionFactors!M21,2)))</f>
        <v>4.5578524809753308E-2</v>
      </c>
      <c r="X4" s="3">
        <f xml:space="preserve"> E4/($E$8*PI()/8)</f>
        <v>0.74976385208140417</v>
      </c>
      <c r="Y4" s="3">
        <f xml:space="preserve"> H4/($H$8*PI()/8)</f>
        <v>0.75044426668482966</v>
      </c>
      <c r="Z4" s="3">
        <f xml:space="preserve"> X4*F4/E4</f>
        <v>7.60547931952575E-2</v>
      </c>
      <c r="AA4" s="3">
        <f xml:space="preserve"> Y4*I4/H4</f>
        <v>7.6775473782829187E-2</v>
      </c>
    </row>
    <row r="5" spans="1:27" x14ac:dyDescent="0.35">
      <c r="A5" s="136"/>
      <c r="B5" s="136"/>
      <c r="C5" s="136"/>
      <c r="D5" s="85" t="s">
        <v>50</v>
      </c>
      <c r="E5" s="115">
        <f xml:space="preserve"> defaultFit_Inclusive!$U5*defaultFit_Inclusive!E5</f>
        <v>95.365220280000017</v>
      </c>
      <c r="F5" s="115">
        <f xml:space="preserve"> E5*SQRT(POWER(defaultFit_Inclusive!$V5/defaultFit_Inclusive!$U5,2)+POWER(defaultFit_Inclusive!F5/defaultFit_Inclusive!E5,2))</f>
        <v>10.781686509227907</v>
      </c>
      <c r="G5" s="87">
        <f>SQRT(POWER(Z5,2)+POWER(fitSyst_NonPrompt!AE5,2))</f>
        <v>7.2973286119986533E-2</v>
      </c>
      <c r="H5" s="115">
        <f xml:space="preserve"> defaultFit_Inclusive!$U5*defaultFit_Inclusive!H5</f>
        <v>85.105556910000018</v>
      </c>
      <c r="I5" s="115">
        <f xml:space="preserve"> H5*SQRT(POWER(defaultFit_Inclusive!$V5/defaultFit_Inclusive!$U5,2)+POWER(defaultFit_Inclusive!I5/defaultFit_Inclusive!H5,2))</f>
        <v>9.7419391864709262</v>
      </c>
      <c r="J5" s="87">
        <f>SQRT(POWER(AA5,2)+POWER(fitSyst_NonPrompt!AF5,2))</f>
        <v>7.2371372884184937E-2</v>
      </c>
      <c r="K5" s="97"/>
      <c r="L5" s="134"/>
      <c r="M5" s="134"/>
      <c r="N5" s="134"/>
      <c r="O5" s="134"/>
      <c r="P5" s="33"/>
      <c r="Q5" s="135"/>
      <c r="R5" s="135"/>
      <c r="X5" s="3">
        <f t="shared" ref="X5:X7" si="0" xml:space="preserve"> E5/($E$8*PI()/8)</f>
        <v>0.6333011026182277</v>
      </c>
      <c r="Y5" s="3">
        <f t="shared" ref="Y5:Y7" si="1" xml:space="preserve"> H5/($H$8*PI()/8)</f>
        <v>0.61142940411541546</v>
      </c>
      <c r="Z5" s="3">
        <f t="shared" ref="Z5:Z67" si="2" xml:space="preserve"> X5*F5/E5</f>
        <v>7.1598995255611877E-2</v>
      </c>
      <c r="AA5" s="3">
        <f t="shared" ref="AA5:AA67" si="3" xml:space="preserve"> Y5*I5/H5</f>
        <v>6.9989649183679059E-2</v>
      </c>
    </row>
    <row r="6" spans="1:27" x14ac:dyDescent="0.35">
      <c r="A6" s="136"/>
      <c r="B6" s="136"/>
      <c r="C6" s="136"/>
      <c r="D6" s="84" t="s">
        <v>52</v>
      </c>
      <c r="E6" s="115">
        <f xml:space="preserve"> defaultFit_Inclusive!$U6*defaultFit_Inclusive!E6</f>
        <v>87.580506077999999</v>
      </c>
      <c r="F6" s="115">
        <f xml:space="preserve"> E6*SQRT(POWER(defaultFit_Inclusive!$V6/defaultFit_Inclusive!$U6,2)+POWER(defaultFit_Inclusive!F6/defaultFit_Inclusive!E6,2))</f>
        <v>10.182699006936112</v>
      </c>
      <c r="G6" s="87">
        <f>SQRT(POWER(Z6,2)+POWER(fitSyst_NonPrompt!AE6,2))</f>
        <v>7.2800046338088134E-2</v>
      </c>
      <c r="H6" s="115">
        <f xml:space="preserve"> defaultFit_Inclusive!$U6*defaultFit_Inclusive!H6</f>
        <v>84.695574576000013</v>
      </c>
      <c r="I6" s="115">
        <f xml:space="preserve"> H6*SQRT(POWER(defaultFit_Inclusive!$V6/defaultFit_Inclusive!$U6,2)+POWER(defaultFit_Inclusive!I6/defaultFit_Inclusive!H6,2))</f>
        <v>9.8157226798696549</v>
      </c>
      <c r="J6" s="87">
        <f>SQRT(POWER(AA6,2)+POWER(fitSyst_NonPrompt!AF6,2))</f>
        <v>7.2441454888974396E-2</v>
      </c>
      <c r="K6" s="97"/>
      <c r="L6" s="134"/>
      <c r="M6" s="134"/>
      <c r="N6" s="134"/>
      <c r="O6" s="134"/>
      <c r="P6" s="33"/>
      <c r="Q6" s="135"/>
      <c r="R6" s="135"/>
      <c r="X6" s="3">
        <f t="shared" si="0"/>
        <v>0.58160439313421131</v>
      </c>
      <c r="Y6" s="3">
        <f t="shared" si="1"/>
        <v>0.60848394128928585</v>
      </c>
      <c r="Z6" s="3">
        <f t="shared" si="2"/>
        <v>6.7621240634564914E-2</v>
      </c>
      <c r="AA6" s="3">
        <f t="shared" si="3"/>
        <v>7.0519736748349438E-2</v>
      </c>
    </row>
    <row r="7" spans="1:27" x14ac:dyDescent="0.35">
      <c r="A7" s="136"/>
      <c r="B7" s="136"/>
      <c r="C7" s="136"/>
      <c r="D7" s="84" t="s">
        <v>53</v>
      </c>
      <c r="E7" s="115">
        <f xml:space="preserve"> defaultFit_Inclusive!$U7*defaultFit_Inclusive!E7</f>
        <v>87.611428344000004</v>
      </c>
      <c r="F7" s="115">
        <f xml:space="preserve"> E7*SQRT(POWER(defaultFit_Inclusive!$V7/defaultFit_Inclusive!$U7,2)+POWER(defaultFit_Inclusive!F7/defaultFit_Inclusive!E7,2))</f>
        <v>10.046384562622434</v>
      </c>
      <c r="G7" s="87">
        <f>SQRT(POWER(Z7,2)+POWER(fitSyst_NonPrompt!AE7,2))</f>
        <v>6.7609649143891212E-2</v>
      </c>
      <c r="H7" s="115">
        <f xml:space="preserve"> defaultFit_Inclusive!$U7*defaultFit_Inclusive!H7</f>
        <v>80.19100627200001</v>
      </c>
      <c r="I7" s="115">
        <f xml:space="preserve"> H7*SQRT(POWER(defaultFit_Inclusive!$V7/defaultFit_Inclusive!$U7,2)+POWER(defaultFit_Inclusive!I7/defaultFit_Inclusive!H7,2))</f>
        <v>9.3475309279624401</v>
      </c>
      <c r="J7" s="87">
        <f>SQRT(POWER(AA7,2)+POWER(fitSyst_NonPrompt!AF7,2))</f>
        <v>6.7961719949142144E-2</v>
      </c>
      <c r="K7" s="97"/>
      <c r="L7" s="134"/>
      <c r="M7" s="134"/>
      <c r="N7" s="134"/>
      <c r="O7" s="134"/>
      <c r="P7" s="33"/>
      <c r="Q7" s="135"/>
      <c r="R7" s="135"/>
      <c r="X7" s="3">
        <f t="shared" si="0"/>
        <v>0.58180974163648247</v>
      </c>
      <c r="Y7" s="3">
        <f t="shared" si="1"/>
        <v>0.57612147738079467</v>
      </c>
      <c r="Z7" s="3">
        <f t="shared" si="2"/>
        <v>6.6716004033284315E-2</v>
      </c>
      <c r="AA7" s="3">
        <f t="shared" si="3"/>
        <v>6.7156076204031384E-2</v>
      </c>
    </row>
    <row r="8" spans="1:27" x14ac:dyDescent="0.35">
      <c r="A8" s="136"/>
      <c r="B8" s="136"/>
      <c r="C8" s="136"/>
      <c r="D8" s="80"/>
      <c r="E8" s="94">
        <f xml:space="preserve"> SUM(E4:E7)</f>
        <v>383.45983972200003</v>
      </c>
      <c r="F8" s="94"/>
      <c r="G8" s="73"/>
      <c r="H8" s="116">
        <f xml:space="preserve"> SUM(H4:H7)</f>
        <v>354.44733212100004</v>
      </c>
      <c r="I8" s="116"/>
      <c r="J8" s="73"/>
      <c r="K8" s="94"/>
      <c r="L8" s="95"/>
      <c r="M8" s="95"/>
      <c r="N8" s="95"/>
      <c r="O8" s="120"/>
      <c r="P8" s="72"/>
      <c r="Q8" s="91"/>
      <c r="R8" s="72"/>
      <c r="X8" s="3"/>
      <c r="Y8" s="3"/>
      <c r="Z8" s="3"/>
      <c r="AA8" s="3"/>
    </row>
    <row r="9" spans="1:27" x14ac:dyDescent="0.35">
      <c r="A9" s="136"/>
      <c r="B9" s="136"/>
      <c r="C9" s="137" t="s">
        <v>2</v>
      </c>
      <c r="D9" s="26" t="s">
        <v>51</v>
      </c>
      <c r="E9" s="86"/>
      <c r="F9" s="86"/>
      <c r="G9" s="87"/>
      <c r="H9" s="86"/>
      <c r="I9" s="86"/>
      <c r="J9" s="87"/>
      <c r="K9" s="86"/>
      <c r="L9" s="89"/>
      <c r="M9" s="89"/>
      <c r="N9" s="89"/>
      <c r="O9" s="85"/>
      <c r="X9" s="3"/>
      <c r="Y9" s="3"/>
      <c r="Z9" s="3"/>
      <c r="AA9" s="3"/>
    </row>
    <row r="10" spans="1:27" x14ac:dyDescent="0.35">
      <c r="A10" s="136"/>
      <c r="B10" s="136"/>
      <c r="C10" s="137"/>
      <c r="D10" s="85" t="s">
        <v>49</v>
      </c>
      <c r="E10" s="86"/>
      <c r="F10" s="86"/>
      <c r="G10" s="87"/>
      <c r="H10" s="86"/>
      <c r="I10" s="86"/>
      <c r="J10" s="87"/>
      <c r="K10" s="86"/>
      <c r="L10" s="130"/>
      <c r="M10" s="130"/>
      <c r="N10" s="130"/>
      <c r="O10" s="136"/>
      <c r="Q10" s="126"/>
      <c r="R10" s="125"/>
      <c r="X10" s="3"/>
      <c r="Y10" s="3"/>
      <c r="Z10" s="3"/>
      <c r="AA10" s="3"/>
    </row>
    <row r="11" spans="1:27" x14ac:dyDescent="0.35">
      <c r="A11" s="136"/>
      <c r="B11" s="136"/>
      <c r="C11" s="137"/>
      <c r="D11" s="85" t="s">
        <v>50</v>
      </c>
      <c r="E11" s="86"/>
      <c r="F11" s="86"/>
      <c r="G11" s="87"/>
      <c r="H11" s="86"/>
      <c r="I11" s="86"/>
      <c r="J11" s="87"/>
      <c r="K11" s="86"/>
      <c r="L11" s="130"/>
      <c r="M11" s="130"/>
      <c r="N11" s="130"/>
      <c r="O11" s="136"/>
      <c r="Q11" s="126"/>
      <c r="R11" s="125"/>
      <c r="X11" s="3"/>
      <c r="Y11" s="3"/>
      <c r="Z11" s="3"/>
      <c r="AA11" s="3"/>
    </row>
    <row r="12" spans="1:27" x14ac:dyDescent="0.35">
      <c r="A12" s="136"/>
      <c r="B12" s="136"/>
      <c r="C12" s="137"/>
      <c r="D12" s="84" t="s">
        <v>52</v>
      </c>
      <c r="E12" s="86"/>
      <c r="F12" s="86"/>
      <c r="G12" s="87"/>
      <c r="H12" s="86"/>
      <c r="I12" s="86"/>
      <c r="J12" s="87"/>
      <c r="K12" s="86"/>
      <c r="L12" s="130"/>
      <c r="M12" s="130"/>
      <c r="N12" s="130"/>
      <c r="O12" s="136"/>
      <c r="Q12" s="126"/>
      <c r="R12" s="125"/>
      <c r="X12" s="3"/>
      <c r="Y12" s="3"/>
      <c r="Z12" s="3"/>
      <c r="AA12" s="3"/>
    </row>
    <row r="13" spans="1:27" x14ac:dyDescent="0.35">
      <c r="A13" s="136"/>
      <c r="B13" s="136"/>
      <c r="C13" s="137"/>
      <c r="D13" s="84" t="s">
        <v>53</v>
      </c>
      <c r="E13" s="86"/>
      <c r="F13" s="86"/>
      <c r="G13" s="87"/>
      <c r="H13" s="86"/>
      <c r="I13" s="86"/>
      <c r="J13" s="87"/>
      <c r="K13" s="86"/>
      <c r="L13" s="130"/>
      <c r="M13" s="130"/>
      <c r="N13" s="130"/>
      <c r="O13" s="136"/>
      <c r="Q13" s="126"/>
      <c r="R13" s="125"/>
      <c r="X13" s="3"/>
      <c r="Y13" s="3"/>
      <c r="Z13" s="3"/>
      <c r="AA13" s="3"/>
    </row>
    <row r="14" spans="1:27" x14ac:dyDescent="0.35">
      <c r="A14" s="136"/>
      <c r="B14" s="136"/>
      <c r="C14" s="137"/>
      <c r="D14" s="80"/>
      <c r="E14" s="94">
        <f xml:space="preserve"> SUM(E10:E13)</f>
        <v>0</v>
      </c>
      <c r="F14" s="94"/>
      <c r="G14" s="73"/>
      <c r="H14" s="94">
        <f xml:space="preserve"> SUM(H10:H13)</f>
        <v>0</v>
      </c>
      <c r="I14" s="94"/>
      <c r="J14" s="73"/>
      <c r="K14" s="94"/>
      <c r="L14" s="96"/>
      <c r="M14" s="96"/>
      <c r="N14" s="96"/>
      <c r="O14" s="120"/>
      <c r="P14" s="72"/>
      <c r="Q14" s="72"/>
      <c r="R14" s="72"/>
      <c r="X14" s="3"/>
      <c r="Y14" s="3"/>
      <c r="Z14" s="3"/>
      <c r="AA14" s="3"/>
    </row>
    <row r="15" spans="1:27" x14ac:dyDescent="0.35">
      <c r="A15" s="136"/>
      <c r="B15" s="136"/>
      <c r="C15" s="130" t="s">
        <v>54</v>
      </c>
      <c r="D15" s="26" t="s">
        <v>51</v>
      </c>
      <c r="E15" s="115">
        <f xml:space="preserve"> defaultFit_Inclusive!$U15*defaultFit_Inclusive!E15</f>
        <v>284.18560527</v>
      </c>
      <c r="F15" s="115">
        <f xml:space="preserve"> E15*SQRT(POWER(defaultFit_Inclusive!$V15/defaultFit_Inclusive!$U15,2)+POWER(defaultFit_Inclusive!F15/defaultFit_Inclusive!E15,2))</f>
        <v>17.169476909015067</v>
      </c>
      <c r="G15" s="87"/>
      <c r="H15" s="115">
        <f xml:space="preserve"> defaultFit_Inclusive!$U15*defaultFit_Inclusive!H15</f>
        <v>278.70230779999997</v>
      </c>
      <c r="I15" s="115">
        <f xml:space="preserve"> H15*SQRT(POWER(defaultFit_Inclusive!$V15/defaultFit_Inclusive!$U15,2)+POWER(defaultFit_Inclusive!I15/defaultFit_Inclusive!H15,2))</f>
        <v>16.858257719297235</v>
      </c>
      <c r="J15" s="87"/>
      <c r="K15" s="97"/>
      <c r="L15" s="99"/>
      <c r="M15" s="99"/>
      <c r="N15" s="99"/>
      <c r="O15" s="32"/>
      <c r="P15" s="33"/>
      <c r="Q15" s="33"/>
      <c r="R15" s="33"/>
      <c r="X15" s="3"/>
      <c r="Y15" s="3"/>
      <c r="Z15" s="3"/>
      <c r="AA15" s="3"/>
    </row>
    <row r="16" spans="1:27" x14ac:dyDescent="0.35">
      <c r="A16" s="136"/>
      <c r="B16" s="136"/>
      <c r="C16" s="130"/>
      <c r="D16" s="85" t="s">
        <v>49</v>
      </c>
      <c r="E16" s="115">
        <f xml:space="preserve"> defaultFit_Inclusive!$U16*defaultFit_Inclusive!E16</f>
        <v>69.170679207999996</v>
      </c>
      <c r="F16" s="115">
        <f xml:space="preserve"> E16*SQRT(POWER(defaultFit_Inclusive!$V16/defaultFit_Inclusive!$U16,2)+POWER(defaultFit_Inclusive!F16/defaultFit_Inclusive!E16,2))</f>
        <v>8.2195330711684278</v>
      </c>
      <c r="G16" s="87">
        <f>SQRT(POWER(Z16,2)+POWER(fitSyst_NonPrompt!AE16,2))</f>
        <v>8.6263921620768624E-2</v>
      </c>
      <c r="H16" s="115">
        <f xml:space="preserve"> defaultFit_Inclusive!$U16*defaultFit_Inclusive!H16</f>
        <v>79.925418653000008</v>
      </c>
      <c r="I16" s="115">
        <f xml:space="preserve"> H16*SQRT(POWER(defaultFit_Inclusive!$V16/defaultFit_Inclusive!$U16,2)+POWER(defaultFit_Inclusive!I16/defaultFit_Inclusive!H16,2))</f>
        <v>9.2590480470708751</v>
      </c>
      <c r="J16" s="87">
        <f>SQRT(POWER(AA16,2)+POWER(fitSyst_NonPrompt!AF16,2))</f>
        <v>8.7892596362022776E-2</v>
      </c>
      <c r="K16" s="97"/>
      <c r="L16" s="143">
        <v>-5.9708000000000001E-3</v>
      </c>
      <c r="M16" s="143">
        <v>4.4319200000000003E-2</v>
      </c>
      <c r="N16" s="143">
        <v>3.6474300000000001E-2</v>
      </c>
      <c r="O16" s="134">
        <v>4.5453199999999999E-2</v>
      </c>
      <c r="P16" s="33"/>
      <c r="Q16" s="135">
        <f xml:space="preserve"> (L16/ep_CorrectionFactors!H20+N16/ep_CorrectionFactors!M20)/2</f>
        <v>2.0582418061419274E-2</v>
      </c>
      <c r="R16" s="135">
        <f xml:space="preserve"> 0.5*SQRT(POWER(L16/ep_CorrectionFactors!H20,2)*(POWER(M16/L16,2)+POWER(ep_CorrectionFactors!I20/ep_CorrectionFactors!H20,2))+POWER(N16/ep_CorrectionFactors!M20,2)*(POWER(O16/N16,2)+POWER(ep_CorrectionFactors!N20/ep_CorrectionFactors!M20,2)))</f>
        <v>4.2818473503389506E-2</v>
      </c>
      <c r="X16" s="3">
        <f xml:space="preserve"> E16/($E$20*PI()/8)</f>
        <v>0.62387187923934717</v>
      </c>
      <c r="Y16" s="3">
        <f xml:space="preserve"> H16/($H$20*PI()/8)</f>
        <v>0.73671718193553482</v>
      </c>
      <c r="Z16" s="3">
        <f t="shared" si="2"/>
        <v>7.4134526396073527E-2</v>
      </c>
      <c r="AA16" s="3">
        <f t="shared" si="3"/>
        <v>8.5345812378647246E-2</v>
      </c>
    </row>
    <row r="17" spans="1:27" x14ac:dyDescent="0.35">
      <c r="A17" s="136"/>
      <c r="B17" s="136"/>
      <c r="C17" s="130"/>
      <c r="D17" s="85" t="s">
        <v>50</v>
      </c>
      <c r="E17" s="115">
        <f xml:space="preserve"> defaultFit_Inclusive!$U17*defaultFit_Inclusive!E17</f>
        <v>74.583304349000002</v>
      </c>
      <c r="F17" s="115">
        <f xml:space="preserve"> E17*SQRT(POWER(defaultFit_Inclusive!$V17/defaultFit_Inclusive!$U17,2)+POWER(defaultFit_Inclusive!F17/defaultFit_Inclusive!E17,2))</f>
        <v>9.0022624168529788</v>
      </c>
      <c r="G17" s="87">
        <f>SQRT(POWER(Z17,2)+POWER(fitSyst_NonPrompt!AE17,2))</f>
        <v>8.6600430916300153E-2</v>
      </c>
      <c r="H17" s="115">
        <f xml:space="preserve"> defaultFit_Inclusive!$U17*defaultFit_Inclusive!H17</f>
        <v>66.71906152599999</v>
      </c>
      <c r="I17" s="115">
        <f xml:space="preserve"> H17*SQRT(POWER(defaultFit_Inclusive!$V17/defaultFit_Inclusive!$U17,2)+POWER(defaultFit_Inclusive!I17/defaultFit_Inclusive!H17,2))</f>
        <v>8.1308504148518939</v>
      </c>
      <c r="J17" s="87">
        <f>SQRT(POWER(AA17,2)+POWER(fitSyst_NonPrompt!AF17,2))</f>
        <v>7.7858088633252096E-2</v>
      </c>
      <c r="K17" s="97"/>
      <c r="L17" s="143"/>
      <c r="M17" s="143"/>
      <c r="N17" s="143"/>
      <c r="O17" s="134"/>
      <c r="P17" s="33"/>
      <c r="Q17" s="135"/>
      <c r="R17" s="135"/>
      <c r="X17" s="3">
        <f t="shared" ref="X17:X19" si="4" xml:space="preserve"> E17/($E$20*PI()/8)</f>
        <v>0.67269002960302415</v>
      </c>
      <c r="Y17" s="3">
        <f t="shared" ref="Y17:Y19" si="5" xml:space="preserve"> H17/($H$20*PI()/8)</f>
        <v>0.61498681917724696</v>
      </c>
      <c r="Z17" s="3">
        <f t="shared" si="2"/>
        <v>8.1194205922417217E-2</v>
      </c>
      <c r="AA17" s="3">
        <f t="shared" si="3"/>
        <v>7.4946585270644947E-2</v>
      </c>
    </row>
    <row r="18" spans="1:27" x14ac:dyDescent="0.35">
      <c r="A18" s="136"/>
      <c r="B18" s="136"/>
      <c r="C18" s="130"/>
      <c r="D18" s="84" t="s">
        <v>52</v>
      </c>
      <c r="E18" s="115">
        <f xml:space="preserve"> defaultFit_Inclusive!$U18*defaultFit_Inclusive!E18</f>
        <v>60.282829723999996</v>
      </c>
      <c r="F18" s="115">
        <f xml:space="preserve"> E18*SQRT(POWER(defaultFit_Inclusive!$V18/defaultFit_Inclusive!$U18,2)+POWER(defaultFit_Inclusive!F18/defaultFit_Inclusive!E18,2))</f>
        <v>7.8939342232177276</v>
      </c>
      <c r="G18" s="87">
        <f>SQRT(POWER(Z18,2)+POWER(fitSyst_NonPrompt!AE18,2))</f>
        <v>7.2019474035208794E-2</v>
      </c>
      <c r="H18" s="115">
        <f xml:space="preserve"> defaultFit_Inclusive!$U18*defaultFit_Inclusive!H18</f>
        <v>56.722325972</v>
      </c>
      <c r="I18" s="115">
        <f xml:space="preserve"> H18*SQRT(POWER(defaultFit_Inclusive!$V18/defaultFit_Inclusive!$U18,2)+POWER(defaultFit_Inclusive!I18/defaultFit_Inclusive!H18,2))</f>
        <v>7.4586791055296366</v>
      </c>
      <c r="J18" s="87">
        <f>SQRT(POWER(AA18,2)+POWER(fitSyst_NonPrompt!AF18,2))</f>
        <v>7.1913505991549317E-2</v>
      </c>
      <c r="K18" s="97"/>
      <c r="L18" s="143"/>
      <c r="M18" s="143"/>
      <c r="N18" s="143"/>
      <c r="O18" s="134"/>
      <c r="P18" s="33"/>
      <c r="Q18" s="135"/>
      <c r="R18" s="135"/>
      <c r="X18" s="3">
        <f t="shared" si="4"/>
        <v>0.54370959915957828</v>
      </c>
      <c r="Y18" s="3">
        <f t="shared" si="5"/>
        <v>0.52284132941919981</v>
      </c>
      <c r="Z18" s="3">
        <f t="shared" si="2"/>
        <v>7.1197849071591282E-2</v>
      </c>
      <c r="AA18" s="3">
        <f t="shared" si="3"/>
        <v>6.8750807242484127E-2</v>
      </c>
    </row>
    <row r="19" spans="1:27" x14ac:dyDescent="0.35">
      <c r="A19" s="136"/>
      <c r="B19" s="136"/>
      <c r="C19" s="130"/>
      <c r="D19" s="84" t="s">
        <v>53</v>
      </c>
      <c r="E19" s="115">
        <f xml:space="preserve"> defaultFit_Inclusive!$U19*defaultFit_Inclusive!E19</f>
        <v>78.299502986999997</v>
      </c>
      <c r="F19" s="115">
        <f xml:space="preserve"> E19*SQRT(POWER(defaultFit_Inclusive!$V19/defaultFit_Inclusive!$U19,2)+POWER(defaultFit_Inclusive!F19/defaultFit_Inclusive!E19,2))</f>
        <v>8.9878088850100148</v>
      </c>
      <c r="G19" s="87">
        <f>SQRT(POWER(Z19,2)+POWER(fitSyst_NonPrompt!AE19,2))</f>
        <v>8.3984933755680141E-2</v>
      </c>
      <c r="H19" s="115">
        <f xml:space="preserve"> defaultFit_Inclusive!$U19*defaultFit_Inclusive!H19</f>
        <v>72.897155526000006</v>
      </c>
      <c r="I19" s="115">
        <f xml:space="preserve"> H19*SQRT(POWER(defaultFit_Inclusive!$V19/defaultFit_Inclusive!$U19,2)+POWER(defaultFit_Inclusive!I19/defaultFit_Inclusive!H19,2))</f>
        <v>8.44282321419551</v>
      </c>
      <c r="J19" s="87">
        <f>SQRT(POWER(AA19,2)+POWER(fitSyst_NonPrompt!AF19,2))</f>
        <v>7.9353348704151061E-2</v>
      </c>
      <c r="K19" s="97"/>
      <c r="L19" s="143"/>
      <c r="M19" s="143"/>
      <c r="N19" s="143"/>
      <c r="O19" s="134"/>
      <c r="P19" s="33"/>
      <c r="Q19" s="135"/>
      <c r="R19" s="135"/>
      <c r="X19" s="3">
        <f t="shared" si="4"/>
        <v>0.70620758146837603</v>
      </c>
      <c r="Y19" s="3">
        <f t="shared" si="5"/>
        <v>0.67193375893834395</v>
      </c>
      <c r="Z19" s="3">
        <f t="shared" si="2"/>
        <v>8.1063845021298972E-2</v>
      </c>
      <c r="AA19" s="3">
        <f t="shared" si="3"/>
        <v>7.7822212642342709E-2</v>
      </c>
    </row>
    <row r="20" spans="1:27" x14ac:dyDescent="0.35">
      <c r="A20" s="136"/>
      <c r="B20" s="136"/>
      <c r="C20" s="130"/>
      <c r="D20" s="80"/>
      <c r="E20" s="116">
        <f xml:space="preserve"> SUM(E16:E19)</f>
        <v>282.33631626799996</v>
      </c>
      <c r="F20" s="116"/>
      <c r="G20" s="73"/>
      <c r="H20" s="116">
        <f xml:space="preserve"> SUM(H16:H19)</f>
        <v>276.263961677</v>
      </c>
      <c r="I20" s="116"/>
      <c r="J20" s="73"/>
      <c r="K20" s="94"/>
      <c r="L20" s="96"/>
      <c r="M20" s="96"/>
      <c r="N20" s="96"/>
      <c r="O20" s="120"/>
      <c r="P20" s="72"/>
      <c r="Q20" s="91"/>
      <c r="R20" s="72"/>
      <c r="X20" s="3"/>
      <c r="Y20" s="3"/>
      <c r="Z20" s="3"/>
      <c r="AA20" s="3"/>
    </row>
    <row r="21" spans="1:27" x14ac:dyDescent="0.35">
      <c r="A21" s="136"/>
      <c r="B21" s="136"/>
      <c r="C21" s="138" t="s">
        <v>56</v>
      </c>
      <c r="D21" s="26" t="s">
        <v>51</v>
      </c>
      <c r="E21" s="115">
        <f xml:space="preserve"> defaultFit_Inclusive!$U21*defaultFit_Inclusive!E21</f>
        <v>305.55417858000004</v>
      </c>
      <c r="F21" s="115">
        <f xml:space="preserve"> E21*SQRT(POWER(defaultFit_Inclusive!$V21/defaultFit_Inclusive!$U21,2)+POWER(defaultFit_Inclusive!F21/defaultFit_Inclusive!E21,2))</f>
        <v>18.99266334837219</v>
      </c>
      <c r="G21" s="87"/>
      <c r="H21" s="115">
        <f xml:space="preserve"> defaultFit_Inclusive!$U21*defaultFit_Inclusive!H21</f>
        <v>271.94705349000003</v>
      </c>
      <c r="I21" s="115">
        <f xml:space="preserve"> H21*SQRT(POWER(defaultFit_Inclusive!$V21/defaultFit_Inclusive!$U21,2)+POWER(defaultFit_Inclusive!I21/defaultFit_Inclusive!H21,2))</f>
        <v>17.176653126272655</v>
      </c>
      <c r="J21" s="87"/>
      <c r="K21" s="34"/>
      <c r="L21" s="99"/>
      <c r="M21" s="99"/>
      <c r="N21" s="99"/>
      <c r="O21" s="32"/>
      <c r="P21" s="33"/>
      <c r="Q21" s="78"/>
      <c r="R21" s="33"/>
      <c r="X21" s="3"/>
      <c r="Y21" s="3"/>
      <c r="Z21" s="3"/>
      <c r="AA21" s="3"/>
    </row>
    <row r="22" spans="1:27" x14ac:dyDescent="0.35">
      <c r="A22" s="136"/>
      <c r="B22" s="136"/>
      <c r="C22" s="138"/>
      <c r="D22" s="85" t="s">
        <v>49</v>
      </c>
      <c r="E22" s="115">
        <f xml:space="preserve"> defaultFit_Inclusive!$U22*defaultFit_Inclusive!E22</f>
        <v>88.304323276000005</v>
      </c>
      <c r="F22" s="115">
        <f xml:space="preserve"> E22*SQRT(POWER(defaultFit_Inclusive!$V22/defaultFit_Inclusive!$U22,2)+POWER(defaultFit_Inclusive!F22/defaultFit_Inclusive!E22,2))</f>
        <v>9.8433865932774864</v>
      </c>
      <c r="G22" s="87">
        <f>SQRT(POWER(Z22,2)+POWER(fitSyst_NonPrompt!AE22,2))</f>
        <v>9.117686258042404E-2</v>
      </c>
      <c r="H22" s="115">
        <f xml:space="preserve"> defaultFit_Inclusive!$U22*defaultFit_Inclusive!H22</f>
        <v>87.636416803000003</v>
      </c>
      <c r="I22" s="115">
        <f xml:space="preserve"> H22*SQRT(POWER(defaultFit_Inclusive!$V22/defaultFit_Inclusive!$U22,2)+POWER(defaultFit_Inclusive!I22/defaultFit_Inclusive!H22,2))</f>
        <v>9.6589099278518074</v>
      </c>
      <c r="J22" s="87">
        <f>SQRT(POWER(AA22,2)+POWER(fitSyst_NonPrompt!AF22,2))</f>
        <v>9.9262129464362983E-2</v>
      </c>
      <c r="K22" s="34"/>
      <c r="L22" s="143">
        <v>6.5142000000000005E-2</v>
      </c>
      <c r="M22" s="143">
        <v>4.69206E-2</v>
      </c>
      <c r="N22" s="143">
        <v>6.3557799999999998E-2</v>
      </c>
      <c r="O22" s="134">
        <v>4.9637500000000001E-2</v>
      </c>
      <c r="P22" s="33"/>
      <c r="Q22" s="135">
        <f xml:space="preserve"> (L22/ep_CorrectionFactors!H22+N22/ep_CorrectionFactors!M22)/2</f>
        <v>7.8856073430601525E-2</v>
      </c>
      <c r="R22" s="135">
        <f xml:space="preserve"> 0.5*SQRT(POWER(L22/ep_CorrectionFactors!H22,2)*(POWER(M22/L22,2)+POWER(ep_CorrectionFactors!I22/ep_CorrectionFactors!H22,2))+POWER(N22/ep_CorrectionFactors!M22,2)*(POWER(O22/N22,2)+POWER(ep_CorrectionFactors!N22/ep_CorrectionFactors!M22,2)))</f>
        <v>4.1849107260738871E-2</v>
      </c>
      <c r="X22" s="3">
        <f xml:space="preserve"> E22/($E$26*PI()/8)</f>
        <v>0.74676460036750514</v>
      </c>
      <c r="Y22" s="3">
        <f xml:space="preserve"> H22/($H$26*PI()/8)</f>
        <v>0.82530660706418224</v>
      </c>
      <c r="Z22" s="3">
        <f t="shared" si="2"/>
        <v>8.3242726775864945E-2</v>
      </c>
      <c r="AA22" s="3">
        <f t="shared" si="3"/>
        <v>9.0961753929458183E-2</v>
      </c>
    </row>
    <row r="23" spans="1:27" x14ac:dyDescent="0.35">
      <c r="A23" s="136"/>
      <c r="B23" s="136"/>
      <c r="C23" s="138"/>
      <c r="D23" s="85" t="s">
        <v>50</v>
      </c>
      <c r="E23" s="115">
        <f xml:space="preserve"> defaultFit_Inclusive!$U23*defaultFit_Inclusive!E23</f>
        <v>73.166265521999989</v>
      </c>
      <c r="F23" s="115">
        <f xml:space="preserve"> E23*SQRT(POWER(defaultFit_Inclusive!$V23/defaultFit_Inclusive!$U23,2)+POWER(defaultFit_Inclusive!F23/defaultFit_Inclusive!E23,2))</f>
        <v>9.1470968893504843</v>
      </c>
      <c r="G23" s="87">
        <f>SQRT(POWER(Z23,2)+POWER(fitSyst_NonPrompt!AE23,2))</f>
        <v>8.2433289998126533E-2</v>
      </c>
      <c r="H23" s="115">
        <f xml:space="preserve"> defaultFit_Inclusive!$U23*defaultFit_Inclusive!H23</f>
        <v>59.011259570999997</v>
      </c>
      <c r="I23" s="115">
        <f xml:space="preserve"> H23*SQRT(POWER(defaultFit_Inclusive!$V23/defaultFit_Inclusive!$U23,2)+POWER(defaultFit_Inclusive!I23/defaultFit_Inclusive!H23,2))</f>
        <v>7.5760363775610626</v>
      </c>
      <c r="J23" s="87">
        <f>SQRT(POWER(AA23,2)+POWER(fitSyst_NonPrompt!AF23,2))</f>
        <v>7.3044016625943162E-2</v>
      </c>
      <c r="K23" s="34"/>
      <c r="L23" s="143"/>
      <c r="M23" s="143"/>
      <c r="N23" s="143"/>
      <c r="O23" s="134"/>
      <c r="P23" s="33"/>
      <c r="Q23" s="135"/>
      <c r="R23" s="135"/>
      <c r="X23" s="3">
        <f t="shared" ref="X23:X25" si="6" xml:space="preserve"> E23/($E$26*PI()/8)</f>
        <v>0.61874634226169312</v>
      </c>
      <c r="Y23" s="3">
        <f t="shared" ref="Y23:Y25" si="7" xml:space="preserve"> H23/($H$26*PI()/8)</f>
        <v>0.5557322422778308</v>
      </c>
      <c r="Z23" s="3">
        <f t="shared" si="2"/>
        <v>7.7354402363164571E-2</v>
      </c>
      <c r="AA23" s="3">
        <f t="shared" si="3"/>
        <v>7.134651444975211E-2</v>
      </c>
    </row>
    <row r="24" spans="1:27" x14ac:dyDescent="0.35">
      <c r="A24" s="136"/>
      <c r="B24" s="136"/>
      <c r="C24" s="138"/>
      <c r="D24" s="84" t="s">
        <v>52</v>
      </c>
      <c r="E24" s="115">
        <f xml:space="preserve"> defaultFit_Inclusive!$U24*defaultFit_Inclusive!E24</f>
        <v>73.178502894000005</v>
      </c>
      <c r="F24" s="115">
        <f xml:space="preserve"> E24*SQRT(POWER(defaultFit_Inclusive!$V24/defaultFit_Inclusive!$U24,2)+POWER(defaultFit_Inclusive!F24/defaultFit_Inclusive!E24,2))</f>
        <v>9.3649532887556717</v>
      </c>
      <c r="G24" s="87">
        <f>SQRT(POWER(Z24,2)+POWER(fitSyst_NonPrompt!AE24,2))</f>
        <v>8.4797469088734034E-2</v>
      </c>
      <c r="H24" s="115">
        <f xml:space="preserve"> defaultFit_Inclusive!$U24*defaultFit_Inclusive!H24</f>
        <v>58.807559519999998</v>
      </c>
      <c r="I24" s="115">
        <f xml:space="preserve"> H24*SQRT(POWER(defaultFit_Inclusive!$V24/defaultFit_Inclusive!$U24,2)+POWER(defaultFit_Inclusive!I24/defaultFit_Inclusive!H24,2))</f>
        <v>7.7471620927867111</v>
      </c>
      <c r="J24" s="87">
        <f>SQRT(POWER(AA24,2)+POWER(fitSyst_NonPrompt!AF24,2))</f>
        <v>7.6763400384985664E-2</v>
      </c>
      <c r="K24" s="34"/>
      <c r="L24" s="143"/>
      <c r="M24" s="143"/>
      <c r="N24" s="143"/>
      <c r="O24" s="134"/>
      <c r="P24" s="33"/>
      <c r="Q24" s="135"/>
      <c r="R24" s="135"/>
      <c r="X24" s="3">
        <f t="shared" si="6"/>
        <v>0.61884983024361873</v>
      </c>
      <c r="Y24" s="3">
        <f t="shared" si="7"/>
        <v>0.55381391877622621</v>
      </c>
      <c r="Z24" s="3">
        <f t="shared" si="2"/>
        <v>7.9196752103288054E-2</v>
      </c>
      <c r="AA24" s="3">
        <f t="shared" si="3"/>
        <v>7.2958072618906702E-2</v>
      </c>
    </row>
    <row r="25" spans="1:27" x14ac:dyDescent="0.35">
      <c r="A25" s="136"/>
      <c r="B25" s="136"/>
      <c r="C25" s="138"/>
      <c r="D25" s="84" t="s">
        <v>53</v>
      </c>
      <c r="E25" s="115">
        <f xml:space="preserve"> defaultFit_Inclusive!$U25*defaultFit_Inclusive!E25</f>
        <v>66.470046281999998</v>
      </c>
      <c r="F25" s="115">
        <f xml:space="preserve"> E25*SQRT(POWER(defaultFit_Inclusive!$V25/defaultFit_Inclusive!$U25,2)+POWER(defaultFit_Inclusive!F25/defaultFit_Inclusive!E25,2))</f>
        <v>9.1414714364077092</v>
      </c>
      <c r="G25" s="87">
        <f>SQRT(POWER(Z25,2)+POWER(fitSyst_NonPrompt!AE25,2))</f>
        <v>8.484625445111188E-2</v>
      </c>
      <c r="H25" s="115">
        <f xml:space="preserve"> defaultFit_Inclusive!$U25*defaultFit_Inclusive!H25</f>
        <v>64.94645598000001</v>
      </c>
      <c r="I25" s="115">
        <f xml:space="preserve"> H25*SQRT(POWER(defaultFit_Inclusive!$V25/defaultFit_Inclusive!$U25,2)+POWER(defaultFit_Inclusive!I25/defaultFit_Inclusive!H25,2))</f>
        <v>8.9082775023373184</v>
      </c>
      <c r="J25" s="87">
        <f>SQRT(POWER(AA25,2)+POWER(fitSyst_NonPrompt!AF25,2))</f>
        <v>8.7574911732040545E-2</v>
      </c>
      <c r="K25" s="34"/>
      <c r="L25" s="143"/>
      <c r="M25" s="143"/>
      <c r="N25" s="143"/>
      <c r="O25" s="134"/>
      <c r="P25" s="33"/>
      <c r="Q25" s="135"/>
      <c r="R25" s="135"/>
      <c r="X25" s="3">
        <f t="shared" si="6"/>
        <v>0.56211831659750844</v>
      </c>
      <c r="Y25" s="3">
        <f t="shared" si="7"/>
        <v>0.61162632135208661</v>
      </c>
      <c r="Z25" s="3">
        <f t="shared" si="2"/>
        <v>7.7306829504182731E-2</v>
      </c>
      <c r="AA25" s="3">
        <f t="shared" si="3"/>
        <v>8.3892753132149084E-2</v>
      </c>
    </row>
    <row r="26" spans="1:27" x14ac:dyDescent="0.35">
      <c r="A26" s="136"/>
      <c r="B26" s="136"/>
      <c r="C26" s="138"/>
      <c r="D26" s="80"/>
      <c r="E26" s="116">
        <f xml:space="preserve"> SUM(E22:E25)</f>
        <v>301.11913797400001</v>
      </c>
      <c r="F26" s="116"/>
      <c r="G26" s="73"/>
      <c r="H26" s="116">
        <f xml:space="preserve"> SUM(H22:H25)</f>
        <v>270.40169187399999</v>
      </c>
      <c r="I26" s="120"/>
      <c r="J26" s="73"/>
      <c r="K26" s="80"/>
      <c r="L26" s="96"/>
      <c r="M26" s="96"/>
      <c r="N26" s="96"/>
      <c r="O26" s="120"/>
      <c r="P26" s="72"/>
      <c r="Q26" s="91"/>
      <c r="R26" s="72"/>
      <c r="X26" s="3"/>
      <c r="Y26" s="3"/>
      <c r="Z26" s="3"/>
      <c r="AA26" s="3"/>
    </row>
    <row r="27" spans="1:27" x14ac:dyDescent="0.35">
      <c r="A27" s="136"/>
      <c r="B27" s="136"/>
      <c r="C27" s="130" t="s">
        <v>57</v>
      </c>
      <c r="D27" s="26" t="s">
        <v>51</v>
      </c>
      <c r="E27" s="115">
        <f xml:space="preserve"> defaultFit_Inclusive!$U27*defaultFit_Inclusive!E27</f>
        <v>212.35420323</v>
      </c>
      <c r="F27" s="115">
        <f xml:space="preserve"> E27*SQRT(POWER(defaultFit_Inclusive!$V27/defaultFit_Inclusive!$U27,2)+POWER(defaultFit_Inclusive!F27/defaultFit_Inclusive!E27,2))</f>
        <v>15.059250416275837</v>
      </c>
      <c r="G27" s="87"/>
      <c r="H27" s="115">
        <f xml:space="preserve"> defaultFit_Inclusive!$U27*defaultFit_Inclusive!H27</f>
        <v>206.05226067000001</v>
      </c>
      <c r="I27" s="115">
        <f xml:space="preserve"> H27*SQRT(POWER(defaultFit_Inclusive!$V27/defaultFit_Inclusive!$U27,2)+POWER(defaultFit_Inclusive!I27/defaultFit_Inclusive!H27,2))</f>
        <v>14.609576196424447</v>
      </c>
      <c r="J27" s="87"/>
      <c r="K27" s="34"/>
      <c r="L27" s="99"/>
      <c r="M27" s="99"/>
      <c r="N27" s="99"/>
      <c r="O27" s="32"/>
      <c r="P27" s="33"/>
      <c r="Q27" s="78"/>
      <c r="R27" s="33"/>
      <c r="X27" s="3"/>
      <c r="Y27" s="3"/>
      <c r="Z27" s="3"/>
      <c r="AA27" s="3"/>
    </row>
    <row r="28" spans="1:27" x14ac:dyDescent="0.35">
      <c r="A28" s="136"/>
      <c r="B28" s="136"/>
      <c r="C28" s="130"/>
      <c r="D28" s="85" t="s">
        <v>49</v>
      </c>
      <c r="E28" s="115">
        <f xml:space="preserve"> defaultFit_Inclusive!$U28*defaultFit_Inclusive!E28</f>
        <v>47.656399762999996</v>
      </c>
      <c r="F28" s="115">
        <f xml:space="preserve"> E28*SQRT(POWER(defaultFit_Inclusive!$V28/defaultFit_Inclusive!$U28,2)+POWER(defaultFit_Inclusive!F28/defaultFit_Inclusive!E28,2))</f>
        <v>7.2874529281543623</v>
      </c>
      <c r="G28" s="87">
        <f>SQRT(POWER(Z28,2)+POWER(fitSyst_NonPrompt!AE28,2))</f>
        <v>9.1874357601358286E-2</v>
      </c>
      <c r="H28" s="115">
        <f xml:space="preserve"> defaultFit_Inclusive!$U28*defaultFit_Inclusive!H28</f>
        <v>43.097553709000003</v>
      </c>
      <c r="I28" s="115">
        <f xml:space="preserve"> H28*SQRT(POWER(defaultFit_Inclusive!$V28/defaultFit_Inclusive!$U28,2)+POWER(defaultFit_Inclusive!I28/defaultFit_Inclusive!H28,2))</f>
        <v>6.6403468255283373</v>
      </c>
      <c r="J28" s="87">
        <f>SQRT(POWER(AA28,2)+POWER(fitSyst_NonPrompt!AF28,2))</f>
        <v>8.6305599409840533E-2</v>
      </c>
      <c r="K28" s="34"/>
      <c r="L28" s="143">
        <v>-1.4996000000000001E-2</v>
      </c>
      <c r="M28" s="143">
        <v>5.2195100000000001E-2</v>
      </c>
      <c r="N28" s="143">
        <v>-9.2726300000000005E-3</v>
      </c>
      <c r="O28" s="134">
        <v>4.96891E-2</v>
      </c>
      <c r="P28" s="33"/>
      <c r="Q28" s="135">
        <f xml:space="preserve"> (L28/ep_CorrectionFactors!H23+N28/ep_CorrectionFactors!M23)/2</f>
        <v>-1.4465822052293133E-2</v>
      </c>
      <c r="R28" s="135">
        <f xml:space="preserve"> 0.5*SQRT(POWER(L28/ep_CorrectionFactors!H23,2)*(POWER(M28/L28,2)+POWER(ep_CorrectionFactors!I23/ep_CorrectionFactors!H23,2))+POWER(N28/ep_CorrectionFactors!M23,2)*(POWER(O28/N28,2)+POWER(ep_CorrectionFactors!N23/ep_CorrectionFactors!M23,2)))</f>
        <v>4.2966996248270044E-2</v>
      </c>
      <c r="X28" s="3">
        <f xml:space="preserve"> E28/($E$32*PI()/8)</f>
        <v>0.59203422671743644</v>
      </c>
      <c r="Y28" s="3">
        <f xml:space="preserve"> H28/($H$32*PI()/8)</f>
        <v>0.54933023785476021</v>
      </c>
      <c r="Z28" s="3">
        <f t="shared" si="2"/>
        <v>9.0531840015520101E-2</v>
      </c>
      <c r="AA28" s="3">
        <f t="shared" si="3"/>
        <v>8.4639219333319846E-2</v>
      </c>
    </row>
    <row r="29" spans="1:27" x14ac:dyDescent="0.35">
      <c r="A29" s="136"/>
      <c r="B29" s="136"/>
      <c r="C29" s="130"/>
      <c r="D29" s="85" t="s">
        <v>50</v>
      </c>
      <c r="E29" s="115">
        <f xml:space="preserve"> defaultFit_Inclusive!$U29*defaultFit_Inclusive!E29</f>
        <v>47.975379977999999</v>
      </c>
      <c r="F29" s="115">
        <f xml:space="preserve"> E29*SQRT(POWER(defaultFit_Inclusive!$V29/defaultFit_Inclusive!$U29,2)+POWER(defaultFit_Inclusive!F29/defaultFit_Inclusive!E29,2))</f>
        <v>7.1273447077364516</v>
      </c>
      <c r="G29" s="87">
        <f>SQRT(POWER(Z29,2)+POWER(fitSyst_NonPrompt!AE29,2))</f>
        <v>9.7484817505568561E-2</v>
      </c>
      <c r="H29" s="115">
        <f xml:space="preserve"> defaultFit_Inclusive!$U29*defaultFit_Inclusive!H29</f>
        <v>53.933997245999997</v>
      </c>
      <c r="I29" s="115">
        <f xml:space="preserve"> H29*SQRT(POWER(defaultFit_Inclusive!$V29/defaultFit_Inclusive!$U29,2)+POWER(defaultFit_Inclusive!I29/defaultFit_Inclusive!H29,2))</f>
        <v>7.8147077925651365</v>
      </c>
      <c r="J29" s="87">
        <f>SQRT(POWER(AA29,2)+POWER(fitSyst_NonPrompt!AF29,2))</f>
        <v>0.100781901116077</v>
      </c>
      <c r="K29" s="34"/>
      <c r="L29" s="143"/>
      <c r="M29" s="143"/>
      <c r="N29" s="143"/>
      <c r="O29" s="134"/>
      <c r="P29" s="33"/>
      <c r="Q29" s="135"/>
      <c r="R29" s="135"/>
      <c r="X29" s="3">
        <f t="shared" ref="X29:X31" si="8" xml:space="preserve"> E29/($E$32*PI()/8)</f>
        <v>0.59599690971205721</v>
      </c>
      <c r="Y29" s="3">
        <f t="shared" ref="Y29:Y31" si="9" xml:space="preserve"> H29/($H$32*PI()/8)</f>
        <v>0.68745376444454842</v>
      </c>
      <c r="Z29" s="3">
        <f t="shared" si="2"/>
        <v>8.8542819717351964E-2</v>
      </c>
      <c r="AA29" s="3">
        <f t="shared" si="3"/>
        <v>9.9607864507603908E-2</v>
      </c>
    </row>
    <row r="30" spans="1:27" x14ac:dyDescent="0.35">
      <c r="A30" s="136"/>
      <c r="B30" s="136"/>
      <c r="C30" s="130"/>
      <c r="D30" s="84" t="s">
        <v>52</v>
      </c>
      <c r="E30" s="115">
        <f xml:space="preserve"> defaultFit_Inclusive!$U30*defaultFit_Inclusive!E30</f>
        <v>65.27276520800001</v>
      </c>
      <c r="F30" s="115">
        <f xml:space="preserve"> E30*SQRT(POWER(defaultFit_Inclusive!$V30/defaultFit_Inclusive!$U30,2)+POWER(defaultFit_Inclusive!F30/defaultFit_Inclusive!E30,2))</f>
        <v>8.0581337914424296</v>
      </c>
      <c r="G30" s="87">
        <f>SQRT(POWER(Z30,2)+POWER(fitSyst_NonPrompt!AE30,2))</f>
        <v>0.1032150371756218</v>
      </c>
      <c r="H30" s="115">
        <f xml:space="preserve"> defaultFit_Inclusive!$U30*defaultFit_Inclusive!H30</f>
        <v>60.519931864</v>
      </c>
      <c r="I30" s="115">
        <f xml:space="preserve"> H30*SQRT(POWER(defaultFit_Inclusive!$V30/defaultFit_Inclusive!$U30,2)+POWER(defaultFit_Inclusive!I30/defaultFit_Inclusive!H30,2))</f>
        <v>7.5309610862103602</v>
      </c>
      <c r="J30" s="87">
        <f>SQRT(POWER(AA30,2)+POWER(fitSyst_NonPrompt!AF30,2))</f>
        <v>9.9141035384577261E-2</v>
      </c>
      <c r="K30" s="34"/>
      <c r="L30" s="143"/>
      <c r="M30" s="143"/>
      <c r="N30" s="143"/>
      <c r="O30" s="134"/>
      <c r="P30" s="33"/>
      <c r="Q30" s="135"/>
      <c r="R30" s="135"/>
      <c r="X30" s="3">
        <f t="shared" si="8"/>
        <v>0.81088188087656821</v>
      </c>
      <c r="Y30" s="3">
        <f t="shared" si="9"/>
        <v>0.77139943464731742</v>
      </c>
      <c r="Z30" s="3">
        <f t="shared" si="2"/>
        <v>0.10010598852887298</v>
      </c>
      <c r="AA30" s="3">
        <f t="shared" si="3"/>
        <v>9.5991170930403866E-2</v>
      </c>
    </row>
    <row r="31" spans="1:27" x14ac:dyDescent="0.35">
      <c r="A31" s="136"/>
      <c r="B31" s="136"/>
      <c r="C31" s="130"/>
      <c r="D31" s="84" t="s">
        <v>53</v>
      </c>
      <c r="E31" s="115">
        <f xml:space="preserve"> defaultFit_Inclusive!$U31*defaultFit_Inclusive!E31</f>
        <v>44.076890244000005</v>
      </c>
      <c r="F31" s="115">
        <f xml:space="preserve"> E31*SQRT(POWER(defaultFit_Inclusive!$V31/defaultFit_Inclusive!$U31,2)+POWER(defaultFit_Inclusive!F31/defaultFit_Inclusive!E31,2))</f>
        <v>7.2454143942663691</v>
      </c>
      <c r="G31" s="87">
        <f>SQRT(POWER(Z31,2)+POWER(fitSyst_NonPrompt!AE31,2))</f>
        <v>9.6388640698872693E-2</v>
      </c>
      <c r="H31" s="115">
        <f xml:space="preserve"> defaultFit_Inclusive!$U31*defaultFit_Inclusive!H31</f>
        <v>42.231838332000002</v>
      </c>
      <c r="I31" s="115">
        <f xml:space="preserve"> H31*SQRT(POWER(defaultFit_Inclusive!$V31/defaultFit_Inclusive!$U31,2)+POWER(defaultFit_Inclusive!I31/defaultFit_Inclusive!H31,2))</f>
        <v>6.9631297835489931</v>
      </c>
      <c r="J31" s="87">
        <f>SQRT(POWER(AA31,2)+POWER(fitSyst_NonPrompt!AF31,2))</f>
        <v>9.0010725101763417E-2</v>
      </c>
      <c r="K31" s="34"/>
      <c r="L31" s="143"/>
      <c r="M31" s="143"/>
      <c r="N31" s="143"/>
      <c r="O31" s="134"/>
      <c r="P31" s="33"/>
      <c r="Q31" s="135"/>
      <c r="R31" s="135"/>
      <c r="X31" s="3">
        <f t="shared" si="8"/>
        <v>0.54756607216426378</v>
      </c>
      <c r="Y31" s="3">
        <f t="shared" si="9"/>
        <v>0.53829565252369949</v>
      </c>
      <c r="Z31" s="3">
        <f t="shared" si="2"/>
        <v>9.0009596391862318E-2</v>
      </c>
      <c r="AA31" s="3">
        <f t="shared" si="3"/>
        <v>8.8753476961541594E-2</v>
      </c>
    </row>
    <row r="32" spans="1:27" x14ac:dyDescent="0.35">
      <c r="A32" s="136"/>
      <c r="B32" s="136"/>
      <c r="C32" s="130"/>
      <c r="D32" s="80"/>
      <c r="E32" s="116">
        <f xml:space="preserve"> SUM(E28:E31)</f>
        <v>204.98143519300001</v>
      </c>
      <c r="F32" s="116"/>
      <c r="G32" s="73"/>
      <c r="H32" s="116">
        <f xml:space="preserve"> SUM(H28:H31)</f>
        <v>199.783321151</v>
      </c>
      <c r="I32" s="120"/>
      <c r="J32" s="73"/>
      <c r="K32" s="80"/>
      <c r="L32" s="96"/>
      <c r="M32" s="96"/>
      <c r="N32" s="96"/>
      <c r="O32" s="120"/>
      <c r="P32" s="72"/>
      <c r="Q32" s="72"/>
      <c r="R32" s="72"/>
      <c r="X32" s="3"/>
      <c r="Y32" s="3"/>
      <c r="Z32" s="3"/>
      <c r="AA32" s="3"/>
    </row>
    <row r="33" spans="1:27" x14ac:dyDescent="0.35">
      <c r="A33" s="144" t="s">
        <v>55</v>
      </c>
      <c r="B33" s="144" t="s">
        <v>37</v>
      </c>
      <c r="C33" s="145" t="s">
        <v>17</v>
      </c>
      <c r="D33" s="84" t="s">
        <v>51</v>
      </c>
      <c r="E33" s="118">
        <f xml:space="preserve"> defaultFit_Inclusive!$U33*defaultFit_Inclusive!E33</f>
        <v>209.77981450000001</v>
      </c>
      <c r="F33" s="118">
        <f xml:space="preserve"> E33*SQRT(POWER(defaultFit_Inclusive!$V33/defaultFit_Inclusive!$U33,2)+POWER(defaultFit_Inclusive!F33/defaultFit_Inclusive!E33,2))</f>
        <v>15.914941326748862</v>
      </c>
      <c r="G33" s="87"/>
      <c r="H33" s="118">
        <f xml:space="preserve"> defaultFit_Inclusive!$U33*defaultFit_Inclusive!H33</f>
        <v>209.68578500000001</v>
      </c>
      <c r="I33" s="118">
        <f xml:space="preserve"> H33*SQRT(POWER(defaultFit_Inclusive!$V33/defaultFit_Inclusive!$U33,2)+POWER(defaultFit_Inclusive!I33/defaultFit_Inclusive!H33,2))</f>
        <v>16.000287872641454</v>
      </c>
      <c r="J33" s="87"/>
      <c r="K33" s="100"/>
      <c r="L33" s="104"/>
      <c r="M33" s="104"/>
      <c r="N33" s="104"/>
      <c r="O33" s="22"/>
      <c r="P33" s="35"/>
      <c r="Q33" s="5"/>
      <c r="R33" s="5"/>
      <c r="X33" s="3"/>
      <c r="Y33" s="3"/>
      <c r="Z33" s="3"/>
      <c r="AA33" s="3"/>
    </row>
    <row r="34" spans="1:27" x14ac:dyDescent="0.35">
      <c r="A34" s="144"/>
      <c r="B34" s="144"/>
      <c r="C34" s="145"/>
      <c r="D34" s="85" t="s">
        <v>49</v>
      </c>
      <c r="E34" s="118">
        <f xml:space="preserve"> defaultFit_Inclusive!$U34*defaultFit_Inclusive!E34</f>
        <v>51.454567238000003</v>
      </c>
      <c r="F34" s="118">
        <f xml:space="preserve"> E34*SQRT(POWER(defaultFit_Inclusive!$V34/defaultFit_Inclusive!$U34,2)+POWER(defaultFit_Inclusive!F34/defaultFit_Inclusive!E34,2))</f>
        <v>7.814341064720189</v>
      </c>
      <c r="G34" s="87">
        <f>SQRT(POWER(Z34,2)+POWER(fitSyst_NonPrompt!AE34,2))</f>
        <v>0.10213106505284897</v>
      </c>
      <c r="H34" s="118">
        <f xml:space="preserve"> defaultFit_Inclusive!$U34*defaultFit_Inclusive!H34</f>
        <v>53.248486793000005</v>
      </c>
      <c r="I34" s="118">
        <f xml:space="preserve"> H34*SQRT(POWER(defaultFit_Inclusive!$V34/defaultFit_Inclusive!$U34,2)+POWER(defaultFit_Inclusive!I34/defaultFit_Inclusive!H34,2))</f>
        <v>8.0375010834485643</v>
      </c>
      <c r="J34" s="87">
        <f>SQRT(POWER(AA34,2)+POWER(fitSyst_NonPrompt!AF34,2))</f>
        <v>0.10557085177046657</v>
      </c>
      <c r="K34" s="100"/>
      <c r="L34" s="140">
        <v>-4.7708100000000003E-2</v>
      </c>
      <c r="M34" s="140">
        <v>5.89615E-2</v>
      </c>
      <c r="N34" s="140">
        <v>-2.36139E-2</v>
      </c>
      <c r="O34" s="140">
        <v>5.7617700000000001E-2</v>
      </c>
      <c r="P34" s="35"/>
      <c r="Q34" s="139">
        <f xml:space="preserve"> (L34/ep_CorrectionFactors!H18+N34/ep_CorrectionFactors!M18)/2</f>
        <v>-4.5462522403145265E-2</v>
      </c>
      <c r="R34" s="139">
        <f xml:space="preserve"> 0.5*SQRT(POWER(L34/ep_CorrectionFactors!H18,2)*(POWER(M34/L34,2)+POWER(ep_CorrectionFactors!I18/ep_CorrectionFactors!H18,2))+POWER(N34/ep_CorrectionFactors!M18,2)*(POWER(O34/N34,2)+POWER(ep_CorrectionFactors!N18/ep_CorrectionFactors!M18,2)))</f>
        <v>5.2555016656567186E-2</v>
      </c>
      <c r="X34" s="3">
        <f xml:space="preserve"> E34/($E$38*PI()/8)</f>
        <v>0.62049206057770556</v>
      </c>
      <c r="Y34" s="3">
        <f xml:space="preserve"> H34/($H$38*PI()/8)</f>
        <v>0.64410984243080638</v>
      </c>
      <c r="Z34" s="3">
        <f t="shared" si="2"/>
        <v>9.423335671793083E-2</v>
      </c>
      <c r="AA34" s="3">
        <f t="shared" si="3"/>
        <v>9.7224050263115799E-2</v>
      </c>
    </row>
    <row r="35" spans="1:27" x14ac:dyDescent="0.35">
      <c r="A35" s="144"/>
      <c r="B35" s="144"/>
      <c r="C35" s="145"/>
      <c r="D35" s="85" t="s">
        <v>50</v>
      </c>
      <c r="E35" s="118">
        <f xml:space="preserve"> defaultFit_Inclusive!$U35*defaultFit_Inclusive!E35</f>
        <v>45.551825700000002</v>
      </c>
      <c r="F35" s="118">
        <f xml:space="preserve"> E35*SQRT(POWER(defaultFit_Inclusive!$V35/defaultFit_Inclusive!$U35,2)+POWER(defaultFit_Inclusive!F35/defaultFit_Inclusive!E35,2))</f>
        <v>7.258010727709828</v>
      </c>
      <c r="G35" s="87">
        <f>SQRT(POWER(Z35,2)+POWER(fitSyst_NonPrompt!AE35,2))</f>
        <v>9.0705457046028073E-2</v>
      </c>
      <c r="H35" s="118">
        <f xml:space="preserve"> defaultFit_Inclusive!$U35*defaultFit_Inclusive!H35</f>
        <v>49.096004696999998</v>
      </c>
      <c r="I35" s="118">
        <f xml:space="preserve"> H35*SQRT(POWER(defaultFit_Inclusive!$V35/defaultFit_Inclusive!$U35,2)+POWER(defaultFit_Inclusive!I35/defaultFit_Inclusive!H35,2))</f>
        <v>7.7543020585788414</v>
      </c>
      <c r="J35" s="87">
        <f>SQRT(POWER(AA35,2)+POWER(fitSyst_NonPrompt!AF35,2))</f>
        <v>9.6344732633710323E-2</v>
      </c>
      <c r="K35" s="100"/>
      <c r="L35" s="140"/>
      <c r="M35" s="140"/>
      <c r="N35" s="140"/>
      <c r="O35" s="140"/>
      <c r="P35" s="35"/>
      <c r="Q35" s="139"/>
      <c r="R35" s="139"/>
      <c r="X35" s="3">
        <f t="shared" ref="X35:X37" si="10" xml:space="preserve"> E35/($E$38*PI()/8)</f>
        <v>0.54931073583679224</v>
      </c>
      <c r="Y35" s="3">
        <f t="shared" ref="Y35:Y37" si="11" xml:space="preserve"> H35/($H$38*PI()/8)</f>
        <v>0.59388015986820408</v>
      </c>
      <c r="Z35" s="3">
        <f t="shared" si="2"/>
        <v>8.7524553676662342E-2</v>
      </c>
      <c r="AA35" s="3">
        <f t="shared" si="3"/>
        <v>9.3798388985744524E-2</v>
      </c>
    </row>
    <row r="36" spans="1:27" x14ac:dyDescent="0.35">
      <c r="A36" s="144"/>
      <c r="B36" s="144"/>
      <c r="C36" s="145"/>
      <c r="D36" s="84" t="s">
        <v>52</v>
      </c>
      <c r="E36" s="118">
        <f xml:space="preserve"> defaultFit_Inclusive!$U36*defaultFit_Inclusive!E36</f>
        <v>57.87046551000001</v>
      </c>
      <c r="F36" s="118">
        <f xml:space="preserve"> E36*SQRT(POWER(defaultFit_Inclusive!$V36/defaultFit_Inclusive!$U36,2)+POWER(defaultFit_Inclusive!F36/defaultFit_Inclusive!E36,2))</f>
        <v>8.3274847153392582</v>
      </c>
      <c r="G36" s="87">
        <f>SQRT(POWER(Z36,2)+POWER(fitSyst_NonPrompt!AE36,2))</f>
        <v>0.10555240530722591</v>
      </c>
      <c r="H36" s="118">
        <f xml:space="preserve"> defaultFit_Inclusive!$U36*defaultFit_Inclusive!H36</f>
        <v>50.81678745</v>
      </c>
      <c r="I36" s="118">
        <f xml:space="preserve"> H36*SQRT(POWER(defaultFit_Inclusive!$V36/defaultFit_Inclusive!$U36,2)+POWER(defaultFit_Inclusive!I36/defaultFit_Inclusive!H36,2))</f>
        <v>7.4715743577883638</v>
      </c>
      <c r="J36" s="87">
        <f>SQRT(POWER(AA36,2)+POWER(fitSyst_NonPrompt!AF36,2))</f>
        <v>0.10573334236168948</v>
      </c>
      <c r="K36" s="100"/>
      <c r="L36" s="140"/>
      <c r="M36" s="140"/>
      <c r="N36" s="140"/>
      <c r="O36" s="140"/>
      <c r="P36" s="35"/>
      <c r="Q36" s="139"/>
      <c r="R36" s="139"/>
      <c r="X36" s="3">
        <f t="shared" si="10"/>
        <v>0.69786155667775596</v>
      </c>
      <c r="Y36" s="3">
        <f t="shared" si="11"/>
        <v>0.61469526982994271</v>
      </c>
      <c r="Z36" s="3">
        <f t="shared" si="2"/>
        <v>0.1004213703042126</v>
      </c>
      <c r="AA36" s="3">
        <f t="shared" si="3"/>
        <v>9.037842898735228E-2</v>
      </c>
    </row>
    <row r="37" spans="1:27" x14ac:dyDescent="0.35">
      <c r="A37" s="144"/>
      <c r="B37" s="144"/>
      <c r="C37" s="145"/>
      <c r="D37" s="84" t="s">
        <v>53</v>
      </c>
      <c r="E37" s="118">
        <f xml:space="preserve"> defaultFit_Inclusive!$U37*defaultFit_Inclusive!E37</f>
        <v>56.290999859999999</v>
      </c>
      <c r="F37" s="118">
        <f xml:space="preserve"> E37*SQRT(POWER(defaultFit_Inclusive!$V37/defaultFit_Inclusive!$U37,2)+POWER(defaultFit_Inclusive!F37/defaultFit_Inclusive!E37,2))</f>
        <v>8.3637563512830102</v>
      </c>
      <c r="G37" s="87">
        <f>SQRT(POWER(Z37,2)+POWER(fitSyst_NonPrompt!AE37,2))</f>
        <v>0.11808029238358056</v>
      </c>
      <c r="H37" s="118">
        <f xml:space="preserve"> defaultFit_Inclusive!$U37*defaultFit_Inclusive!H37</f>
        <v>57.355855300000002</v>
      </c>
      <c r="I37" s="118">
        <f xml:space="preserve"> H37*SQRT(POWER(defaultFit_Inclusive!$V37/defaultFit_Inclusive!$U37,2)+POWER(defaultFit_Inclusive!I37/defaultFit_Inclusive!H37,2))</f>
        <v>8.490746907722361</v>
      </c>
      <c r="J37" s="87">
        <f>SQRT(POWER(AA37,2)+POWER(fitSyst_NonPrompt!AF37,2))</f>
        <v>0.10336505668979691</v>
      </c>
      <c r="K37" s="100"/>
      <c r="L37" s="140"/>
      <c r="M37" s="140"/>
      <c r="N37" s="140"/>
      <c r="O37" s="140"/>
      <c r="P37" s="35"/>
      <c r="Q37" s="139"/>
      <c r="R37" s="139"/>
      <c r="X37" s="3">
        <f t="shared" si="10"/>
        <v>0.67881473637807166</v>
      </c>
      <c r="Y37" s="3">
        <f t="shared" si="11"/>
        <v>0.69379381734137247</v>
      </c>
      <c r="Z37" s="3">
        <f t="shared" si="2"/>
        <v>0.10085877097310098</v>
      </c>
      <c r="AA37" s="3">
        <f t="shared" si="3"/>
        <v>0.10270664918823293</v>
      </c>
    </row>
    <row r="38" spans="1:27" x14ac:dyDescent="0.35">
      <c r="A38" s="144"/>
      <c r="B38" s="144"/>
      <c r="C38" s="145"/>
      <c r="D38" s="80"/>
      <c r="E38" s="116">
        <f xml:space="preserve"> SUM(E34:E37)</f>
        <v>211.16785830800001</v>
      </c>
      <c r="F38" s="116"/>
      <c r="G38" s="73"/>
      <c r="H38" s="116">
        <f xml:space="preserve"> SUM(H34:H37)</f>
        <v>210.51713423999999</v>
      </c>
      <c r="I38" s="91"/>
      <c r="J38" s="73"/>
      <c r="K38" s="72"/>
      <c r="L38" s="72"/>
      <c r="M38" s="72"/>
      <c r="N38" s="72"/>
      <c r="O38" s="91"/>
      <c r="P38" s="72"/>
      <c r="Q38" s="72"/>
      <c r="R38" s="72"/>
      <c r="X38" s="3"/>
      <c r="Y38" s="3"/>
      <c r="Z38" s="3"/>
      <c r="AA38" s="3"/>
    </row>
    <row r="39" spans="1:27" x14ac:dyDescent="0.35">
      <c r="A39" s="144"/>
      <c r="B39" s="144" t="s">
        <v>76</v>
      </c>
      <c r="C39" s="145"/>
      <c r="D39" s="84" t="s">
        <v>51</v>
      </c>
      <c r="E39" s="118">
        <f xml:space="preserve"> defaultFit_Inclusive!$U39*defaultFit_Inclusive!E39</f>
        <v>250.57568359999999</v>
      </c>
      <c r="F39" s="118">
        <f xml:space="preserve"> E39*SQRT(POWER(defaultFit_Inclusive!$V39/defaultFit_Inclusive!$U39,2)+POWER(defaultFit_Inclusive!F39/defaultFit_Inclusive!E39,2))</f>
        <v>17.048068758883986</v>
      </c>
      <c r="G39" s="87"/>
      <c r="H39" s="118">
        <f xml:space="preserve"> defaultFit_Inclusive!$U39*defaultFit_Inclusive!H39</f>
        <v>225.79100892000002</v>
      </c>
      <c r="I39" s="118">
        <f xml:space="preserve"> H39*SQRT(POWER(defaultFit_Inclusive!$V39/defaultFit_Inclusive!$U39,2)+POWER(defaultFit_Inclusive!I39/defaultFit_Inclusive!H39,2))</f>
        <v>15.410583136965039</v>
      </c>
      <c r="J39" s="87"/>
      <c r="K39" s="100"/>
      <c r="L39" s="104"/>
      <c r="M39" s="104"/>
      <c r="N39" s="104"/>
      <c r="O39" s="22"/>
      <c r="P39" s="35"/>
      <c r="Q39" s="5"/>
      <c r="R39" s="5"/>
      <c r="X39" s="3"/>
      <c r="Y39" s="3"/>
      <c r="Z39" s="3"/>
      <c r="AA39" s="3"/>
    </row>
    <row r="40" spans="1:27" x14ac:dyDescent="0.35">
      <c r="A40" s="144"/>
      <c r="B40" s="144"/>
      <c r="C40" s="145"/>
      <c r="D40" s="85" t="s">
        <v>49</v>
      </c>
      <c r="E40" s="118">
        <f xml:space="preserve"> defaultFit_Inclusive!$U40*defaultFit_Inclusive!E40</f>
        <v>63.595879087999997</v>
      </c>
      <c r="F40" s="118">
        <f xml:space="preserve"> E40*SQRT(POWER(defaultFit_Inclusive!$V40/defaultFit_Inclusive!$U40,2)+POWER(defaultFit_Inclusive!F40/defaultFit_Inclusive!E40,2))</f>
        <v>8.5715732773071753</v>
      </c>
      <c r="G40" s="87">
        <f>SQRT(POWER(Z40,2)+POWER(fitSyst_NonPrompt!AE40,2))</f>
        <v>8.9597888360474998E-2</v>
      </c>
      <c r="H40" s="118">
        <f xml:space="preserve"> defaultFit_Inclusive!$U40*defaultFit_Inclusive!H40</f>
        <v>58.689754704000002</v>
      </c>
      <c r="I40" s="118">
        <f xml:space="preserve"> H40*SQRT(POWER(defaultFit_Inclusive!$V40/defaultFit_Inclusive!$U40,2)+POWER(defaultFit_Inclusive!I40/defaultFit_Inclusive!H40,2))</f>
        <v>7.920871088550804</v>
      </c>
      <c r="J40" s="87">
        <f>SQRT(POWER(AA40,2)+POWER(fitSyst_NonPrompt!AF40,2))</f>
        <v>9.1452542313382248E-2</v>
      </c>
      <c r="K40" s="100"/>
      <c r="L40" s="140">
        <v>3.9402300000000001E-2</v>
      </c>
      <c r="M40" s="140">
        <v>4.8129699999999997E-2</v>
      </c>
      <c r="N40" s="140">
        <v>2.7180900000000001E-2</v>
      </c>
      <c r="O40" s="140">
        <v>4.9933699999999998E-2</v>
      </c>
      <c r="P40" s="35"/>
      <c r="Q40" s="139">
        <f xml:space="preserve"> (L40/ep_CorrectionFactors!H18+N40/ep_CorrectionFactors!M18)/2</f>
        <v>4.2444240363718112E-2</v>
      </c>
      <c r="R40" s="139">
        <f xml:space="preserve"> 0.5*SQRT(POWER(L40/ep_CorrectionFactors!H18,2)*(POWER(M40/L40,2)+POWER(ep_CorrectionFactors!I18/ep_CorrectionFactors!H18,2))+POWER(N40/ep_CorrectionFactors!M18,2)*(POWER(O40/N40,2)+POWER(ep_CorrectionFactors!N18/ep_CorrectionFactors!M18,2)))</f>
        <v>4.4213411764855548E-2</v>
      </c>
      <c r="X40" s="3">
        <f xml:space="preserve"> E40/($E$44*PI()/8)</f>
        <v>0.64072721756850093</v>
      </c>
      <c r="Y40" s="3">
        <f xml:space="preserve"> H40/($H$44*PI()/8)</f>
        <v>0.65633644995053941</v>
      </c>
      <c r="Z40" s="3">
        <f t="shared" si="2"/>
        <v>8.6358430371785588E-2</v>
      </c>
      <c r="AA40" s="3">
        <f t="shared" si="3"/>
        <v>8.858030565973686E-2</v>
      </c>
    </row>
    <row r="41" spans="1:27" x14ac:dyDescent="0.35">
      <c r="A41" s="144"/>
      <c r="B41" s="144"/>
      <c r="C41" s="145"/>
      <c r="D41" s="85" t="s">
        <v>50</v>
      </c>
      <c r="E41" s="118">
        <f xml:space="preserve"> defaultFit_Inclusive!$U41*defaultFit_Inclusive!E41</f>
        <v>68.442034583999998</v>
      </c>
      <c r="F41" s="118">
        <f xml:space="preserve"> E41*SQRT(POWER(defaultFit_Inclusive!$V41/defaultFit_Inclusive!$U41,2)+POWER(defaultFit_Inclusive!F41/defaultFit_Inclusive!E41,2))</f>
        <v>9.0256452144394341</v>
      </c>
      <c r="G41" s="87">
        <f>SQRT(POWER(Z41,2)+POWER(fitSyst_NonPrompt!AE41,2))</f>
        <v>9.2152702547554685E-2</v>
      </c>
      <c r="H41" s="118">
        <f xml:space="preserve"> defaultFit_Inclusive!$U41*defaultFit_Inclusive!H41</f>
        <v>60.450586559999998</v>
      </c>
      <c r="I41" s="118">
        <f xml:space="preserve"> H41*SQRT(POWER(defaultFit_Inclusive!$V41/defaultFit_Inclusive!$U41,2)+POWER(defaultFit_Inclusive!I41/defaultFit_Inclusive!H41,2))</f>
        <v>8.0046885227772844</v>
      </c>
      <c r="J41" s="87">
        <f>SQRT(POWER(AA41,2)+POWER(fitSyst_NonPrompt!AF41,2))</f>
        <v>9.0375561835588966E-2</v>
      </c>
      <c r="K41" s="100"/>
      <c r="L41" s="140"/>
      <c r="M41" s="140"/>
      <c r="N41" s="140"/>
      <c r="O41" s="140"/>
      <c r="P41" s="35"/>
      <c r="Q41" s="139"/>
      <c r="R41" s="139"/>
      <c r="X41" s="3">
        <f t="shared" ref="X41:X43" si="12" xml:space="preserve"> E41/($E$44*PI()/8)</f>
        <v>0.68955213785240466</v>
      </c>
      <c r="Y41" s="3">
        <f t="shared" ref="Y41:Y43" si="13" xml:space="preserve"> H41/($H$44*PI()/8)</f>
        <v>0.67602810031022464</v>
      </c>
      <c r="Z41" s="3">
        <f t="shared" si="2"/>
        <v>9.0933196111749839E-2</v>
      </c>
      <c r="AA41" s="3">
        <f t="shared" si="3"/>
        <v>8.9517648770159192E-2</v>
      </c>
    </row>
    <row r="42" spans="1:27" x14ac:dyDescent="0.35">
      <c r="A42" s="144"/>
      <c r="B42" s="144"/>
      <c r="C42" s="145"/>
      <c r="D42" s="84" t="s">
        <v>52</v>
      </c>
      <c r="E42" s="118">
        <f xml:space="preserve"> defaultFit_Inclusive!$U42*defaultFit_Inclusive!E42</f>
        <v>66.49199892</v>
      </c>
      <c r="F42" s="118">
        <f xml:space="preserve"> E42*SQRT(POWER(defaultFit_Inclusive!$V42/defaultFit_Inclusive!$U42,2)+POWER(defaultFit_Inclusive!F42/defaultFit_Inclusive!E42,2))</f>
        <v>8.6517868895348187</v>
      </c>
      <c r="G42" s="87">
        <f>SQRT(POWER(Z42,2)+POWER(fitSyst_NonPrompt!AE42,2))</f>
        <v>9.4357436807987999E-2</v>
      </c>
      <c r="H42" s="118">
        <f xml:space="preserve"> defaultFit_Inclusive!$U42*defaultFit_Inclusive!H42</f>
        <v>52.035068328000001</v>
      </c>
      <c r="I42" s="118">
        <f xml:space="preserve"> H42*SQRT(POWER(defaultFit_Inclusive!$V42/defaultFit_Inclusive!$U42,2)+POWER(defaultFit_Inclusive!I42/defaultFit_Inclusive!H42,2))</f>
        <v>6.9606195229183641</v>
      </c>
      <c r="J42" s="87">
        <f>SQRT(POWER(AA42,2)+POWER(fitSyst_NonPrompt!AF42,2))</f>
        <v>7.8800521191867506E-2</v>
      </c>
      <c r="K42" s="100"/>
      <c r="L42" s="140"/>
      <c r="M42" s="140"/>
      <c r="N42" s="140"/>
      <c r="O42" s="140"/>
      <c r="P42" s="35"/>
      <c r="Q42" s="139"/>
      <c r="R42" s="139"/>
      <c r="X42" s="3">
        <f t="shared" si="12"/>
        <v>0.66990556730299577</v>
      </c>
      <c r="Y42" s="3">
        <f t="shared" si="13"/>
        <v>0.58191608043994103</v>
      </c>
      <c r="Z42" s="3">
        <f t="shared" si="2"/>
        <v>8.7166580920386691E-2</v>
      </c>
      <c r="AA42" s="3">
        <f t="shared" si="3"/>
        <v>7.7841666406169005E-2</v>
      </c>
    </row>
    <row r="43" spans="1:27" x14ac:dyDescent="0.35">
      <c r="A43" s="144"/>
      <c r="B43" s="144"/>
      <c r="C43" s="145"/>
      <c r="D43" s="84" t="s">
        <v>53</v>
      </c>
      <c r="E43" s="118">
        <f xml:space="preserve"> defaultFit_Inclusive!$U43*defaultFit_Inclusive!E43</f>
        <v>54.222853067999999</v>
      </c>
      <c r="F43" s="118">
        <f xml:space="preserve"> E43*SQRT(POWER(defaultFit_Inclusive!$V43/defaultFit_Inclusive!$U43,2)+POWER(defaultFit_Inclusive!F43/defaultFit_Inclusive!E43,2))</f>
        <v>7.8012267093475129</v>
      </c>
      <c r="G43" s="87">
        <f>SQRT(POWER(Z43,2)+POWER(fitSyst_NonPrompt!AE43,2))</f>
        <v>8.7779778717801599E-2</v>
      </c>
      <c r="H43" s="118">
        <f xml:space="preserve"> defaultFit_Inclusive!$U43*defaultFit_Inclusive!H43</f>
        <v>56.53133004</v>
      </c>
      <c r="I43" s="118">
        <f xml:space="preserve"> H43*SQRT(POWER(defaultFit_Inclusive!$V43/defaultFit_Inclusive!$U43,2)+POWER(defaultFit_Inclusive!I43/defaultFit_Inclusive!H43,2))</f>
        <v>8.0390880035320187</v>
      </c>
      <c r="J43" s="87">
        <f>SQRT(POWER(AA43,2)+POWER(fitSyst_NonPrompt!AF43,2))</f>
        <v>9.0647882050326853E-2</v>
      </c>
      <c r="K43" s="100"/>
      <c r="L43" s="140"/>
      <c r="M43" s="140"/>
      <c r="N43" s="140"/>
      <c r="O43" s="140"/>
      <c r="P43" s="35"/>
      <c r="Q43" s="139"/>
      <c r="R43" s="139"/>
      <c r="X43" s="3">
        <f t="shared" si="12"/>
        <v>0.54629416674642406</v>
      </c>
      <c r="Y43" s="3">
        <f t="shared" si="13"/>
        <v>0.63219845876962055</v>
      </c>
      <c r="Z43" s="3">
        <f t="shared" si="2"/>
        <v>7.859720401356117E-2</v>
      </c>
      <c r="AA43" s="3">
        <f t="shared" si="3"/>
        <v>8.9902343393481007E-2</v>
      </c>
    </row>
    <row r="44" spans="1:27" x14ac:dyDescent="0.35">
      <c r="A44" s="144"/>
      <c r="B44" s="144"/>
      <c r="C44" s="145"/>
      <c r="D44" s="80"/>
      <c r="E44" s="116">
        <f xml:space="preserve"> SUM(E40:E43)</f>
        <v>252.75276566000002</v>
      </c>
      <c r="F44" s="116"/>
      <c r="G44" s="73"/>
      <c r="H44" s="116">
        <f xml:space="preserve"> SUM(H40:H43)</f>
        <v>227.70673963199999</v>
      </c>
      <c r="I44" s="91"/>
      <c r="J44" s="73"/>
      <c r="K44" s="72"/>
      <c r="L44" s="72"/>
      <c r="M44" s="72"/>
      <c r="N44" s="72"/>
      <c r="O44" s="91"/>
      <c r="P44" s="72"/>
      <c r="Q44" s="72"/>
      <c r="R44" s="72"/>
      <c r="X44" s="3"/>
      <c r="Y44" s="3"/>
      <c r="Z44" s="3"/>
      <c r="AA44" s="3"/>
    </row>
    <row r="45" spans="1:27" x14ac:dyDescent="0.35">
      <c r="A45" s="144"/>
      <c r="B45" s="144" t="s">
        <v>77</v>
      </c>
      <c r="C45" s="145"/>
      <c r="D45" s="84" t="s">
        <v>51</v>
      </c>
      <c r="E45" s="118">
        <f xml:space="preserve"> defaultFit_Inclusive!$U45*defaultFit_Inclusive!E45</f>
        <v>348.24209621</v>
      </c>
      <c r="F45" s="118">
        <f xml:space="preserve"> E45*SQRT(POWER(defaultFit_Inclusive!$V45/defaultFit_Inclusive!$U45,2)+POWER(defaultFit_Inclusive!F45/defaultFit_Inclusive!E45,2))</f>
        <v>16.637406211013477</v>
      </c>
      <c r="G45" s="87"/>
      <c r="H45" s="118">
        <f xml:space="preserve"> defaultFit_Inclusive!$U45*defaultFit_Inclusive!H45</f>
        <v>317.19751638999998</v>
      </c>
      <c r="I45" s="118">
        <f xml:space="preserve"> H45*SQRT(POWER(defaultFit_Inclusive!$V45/defaultFit_Inclusive!$U45,2)+POWER(defaultFit_Inclusive!I45/defaultFit_Inclusive!H45,2))</f>
        <v>15.274420347603465</v>
      </c>
      <c r="J45" s="87"/>
      <c r="K45" s="100"/>
      <c r="L45" s="104"/>
      <c r="M45" s="104"/>
      <c r="N45" s="104"/>
      <c r="O45" s="22"/>
      <c r="P45" s="35"/>
      <c r="Q45" s="5"/>
      <c r="R45" s="5"/>
      <c r="X45" s="3"/>
      <c r="Y45" s="3"/>
      <c r="Z45" s="3"/>
      <c r="AA45" s="3"/>
    </row>
    <row r="46" spans="1:27" x14ac:dyDescent="0.35">
      <c r="A46" s="144"/>
      <c r="B46" s="144"/>
      <c r="C46" s="145"/>
      <c r="D46" s="85" t="s">
        <v>49</v>
      </c>
      <c r="E46" s="118">
        <f xml:space="preserve"> defaultFit_Inclusive!$U46*defaultFit_Inclusive!E46</f>
        <v>90.400199043000001</v>
      </c>
      <c r="F46" s="118">
        <f xml:space="preserve"> E46*SQRT(POWER(defaultFit_Inclusive!$V46/defaultFit_Inclusive!$U46,2)+POWER(defaultFit_Inclusive!F46/defaultFit_Inclusive!E46,2))</f>
        <v>8.3131110081173123</v>
      </c>
      <c r="G46" s="87">
        <f>SQRT(POWER(Z46,2)+POWER(fitSyst_NonPrompt!AE46,2))</f>
        <v>7.6627518961231669E-2</v>
      </c>
      <c r="H46" s="118">
        <f xml:space="preserve"> defaultFit_Inclusive!$U46*defaultFit_Inclusive!H46</f>
        <v>99.083321063999989</v>
      </c>
      <c r="I46" s="118">
        <f xml:space="preserve"> H46*SQRT(POWER(defaultFit_Inclusive!$V46/defaultFit_Inclusive!$U46,2)+POWER(defaultFit_Inclusive!I46/defaultFit_Inclusive!H46,2))</f>
        <v>8.7675137180231744</v>
      </c>
      <c r="J46" s="87">
        <f>SQRT(POWER(AA46,2)+POWER(fitSyst_NonPrompt!AF46,2))</f>
        <v>7.5110568783195664E-2</v>
      </c>
      <c r="K46" s="100"/>
      <c r="L46" s="140">
        <v>1.4078800000000001E-2</v>
      </c>
      <c r="M46" s="140">
        <v>3.4796300000000002E-2</v>
      </c>
      <c r="N46" s="140">
        <v>5.54411E-2</v>
      </c>
      <c r="O46" s="140">
        <v>3.61929E-2</v>
      </c>
      <c r="P46" s="35"/>
      <c r="Q46" s="139">
        <f xml:space="preserve"> (L46/ep_CorrectionFactors!H18+N46/ep_CorrectionFactors!M18)/2</f>
        <v>4.4328677196738414E-2</v>
      </c>
      <c r="R46" s="139">
        <f xml:space="preserve"> 0.5*SQRT(POWER(L46/ep_CorrectionFactors!H18,2)*(POWER(M46/L46,2)+POWER(ep_CorrectionFactors!I18/ep_CorrectionFactors!H18,2))+POWER(N46/ep_CorrectionFactors!M18,2)*(POWER(O46/N46,2)+POWER(ep_CorrectionFactors!N18/ep_CorrectionFactors!M18,2)))</f>
        <v>3.2007403824647361E-2</v>
      </c>
      <c r="X46" s="3">
        <f xml:space="preserve"> E46/($E$50*PI()/8)</f>
        <v>0.66007456188095859</v>
      </c>
      <c r="Y46" s="3">
        <f xml:space="preserve"> H46/($H$50*PI()/8)</f>
        <v>0.79069976909281037</v>
      </c>
      <c r="Z46" s="3">
        <f t="shared" si="2"/>
        <v>6.0699790096045231E-2</v>
      </c>
      <c r="AA46" s="3">
        <f t="shared" si="3"/>
        <v>6.9966074995418681E-2</v>
      </c>
    </row>
    <row r="47" spans="1:27" x14ac:dyDescent="0.35">
      <c r="A47" s="144"/>
      <c r="B47" s="144"/>
      <c r="C47" s="145"/>
      <c r="D47" s="85" t="s">
        <v>50</v>
      </c>
      <c r="E47" s="118">
        <f xml:space="preserve"> defaultFit_Inclusive!$U47*defaultFit_Inclusive!E47</f>
        <v>87.147153888000005</v>
      </c>
      <c r="F47" s="118">
        <f xml:space="preserve"> E47*SQRT(POWER(defaultFit_Inclusive!$V47/defaultFit_Inclusive!$U47,2)+POWER(defaultFit_Inclusive!F47/defaultFit_Inclusive!E47,2))</f>
        <v>8.5034304403203969</v>
      </c>
      <c r="G47" s="87">
        <f>SQRT(POWER(Z47,2)+POWER(fitSyst_NonPrompt!AE47,2))</f>
        <v>7.1591268166135688E-2</v>
      </c>
      <c r="H47" s="118">
        <f xml:space="preserve"> defaultFit_Inclusive!$U47*defaultFit_Inclusive!H47</f>
        <v>68.053038968999999</v>
      </c>
      <c r="I47" s="118">
        <f xml:space="preserve"> H47*SQRT(POWER(defaultFit_Inclusive!$V47/defaultFit_Inclusive!$U47,2)+POWER(defaultFit_Inclusive!I47/defaultFit_Inclusive!H47,2))</f>
        <v>6.9120903208858646</v>
      </c>
      <c r="J47" s="87">
        <f>SQRT(POWER(AA47,2)+POWER(fitSyst_NonPrompt!AF47,2))</f>
        <v>5.9677959899758E-2</v>
      </c>
      <c r="K47" s="100"/>
      <c r="L47" s="140"/>
      <c r="M47" s="140"/>
      <c r="N47" s="140"/>
      <c r="O47" s="140"/>
      <c r="P47" s="35"/>
      <c r="Q47" s="139"/>
      <c r="R47" s="139"/>
      <c r="X47" s="3">
        <f t="shared" ref="X47:X49" si="14" xml:space="preserve"> E47/($E$50*PI()/8)</f>
        <v>0.63632182263705239</v>
      </c>
      <c r="Y47" s="3">
        <f t="shared" ref="Y47:Y49" si="15" xml:space="preserve"> H47/($H$50*PI()/8)</f>
        <v>0.54307346202188389</v>
      </c>
      <c r="Z47" s="3">
        <f t="shared" si="2"/>
        <v>6.2089444291044606E-2</v>
      </c>
      <c r="AA47" s="3">
        <f t="shared" si="3"/>
        <v>5.5159517888413265E-2</v>
      </c>
    </row>
    <row r="48" spans="1:27" x14ac:dyDescent="0.35">
      <c r="A48" s="144"/>
      <c r="B48" s="144"/>
      <c r="C48" s="145"/>
      <c r="D48" s="84" t="s">
        <v>52</v>
      </c>
      <c r="E48" s="118">
        <f xml:space="preserve"> defaultFit_Inclusive!$U48*defaultFit_Inclusive!E48</f>
        <v>82.999176567999996</v>
      </c>
      <c r="F48" s="118">
        <f xml:space="preserve"> E48*SQRT(POWER(defaultFit_Inclusive!$V48/defaultFit_Inclusive!$U48,2)+POWER(defaultFit_Inclusive!F48/defaultFit_Inclusive!E48,2))</f>
        <v>8.1462749190073609</v>
      </c>
      <c r="G48" s="87">
        <f>SQRT(POWER(Z48,2)+POWER(fitSyst_NonPrompt!AE48,2))</f>
        <v>6.1114844411534711E-2</v>
      </c>
      <c r="H48" s="118">
        <f xml:space="preserve"> defaultFit_Inclusive!$U48*defaultFit_Inclusive!H48</f>
        <v>80.387593879999997</v>
      </c>
      <c r="I48" s="118">
        <f xml:space="preserve"> H48*SQRT(POWER(defaultFit_Inclusive!$V48/defaultFit_Inclusive!$U48,2)+POWER(defaultFit_Inclusive!I48/defaultFit_Inclusive!H48,2))</f>
        <v>7.8355840058824899</v>
      </c>
      <c r="J48" s="87">
        <f>SQRT(POWER(AA48,2)+POWER(fitSyst_NonPrompt!AF48,2))</f>
        <v>6.3701289794002067E-2</v>
      </c>
      <c r="K48" s="100"/>
      <c r="L48" s="140"/>
      <c r="M48" s="140"/>
      <c r="N48" s="140"/>
      <c r="O48" s="140"/>
      <c r="P48" s="35"/>
      <c r="Q48" s="139"/>
      <c r="R48" s="139"/>
      <c r="X48" s="3">
        <f t="shared" si="14"/>
        <v>0.60603456286134316</v>
      </c>
      <c r="Y48" s="3">
        <f t="shared" si="15"/>
        <v>0.64150506095557991</v>
      </c>
      <c r="Z48" s="3">
        <f t="shared" si="2"/>
        <v>5.9481604078857345E-2</v>
      </c>
      <c r="AA48" s="3">
        <f t="shared" si="3"/>
        <v>6.2529136060717402E-2</v>
      </c>
    </row>
    <row r="49" spans="1:27" x14ac:dyDescent="0.35">
      <c r="A49" s="144"/>
      <c r="B49" s="144"/>
      <c r="C49" s="145"/>
      <c r="D49" s="84" t="s">
        <v>53</v>
      </c>
      <c r="E49" s="118">
        <f xml:space="preserve"> defaultFit_Inclusive!$U49*defaultFit_Inclusive!E49</f>
        <v>88.205308310000007</v>
      </c>
      <c r="F49" s="118">
        <f xml:space="preserve"> E49*SQRT(POWER(defaultFit_Inclusive!$V49/defaultFit_Inclusive!$U49,2)+POWER(defaultFit_Inclusive!F49/defaultFit_Inclusive!E49,2))</f>
        <v>8.5170746995671944</v>
      </c>
      <c r="G49" s="87">
        <f>SQRT(POWER(Z49,2)+POWER(fitSyst_NonPrompt!AE49,2))</f>
        <v>6.7715666333439048E-2</v>
      </c>
      <c r="H49" s="118">
        <f xml:space="preserve"> defaultFit_Inclusive!$U49*defaultFit_Inclusive!H49</f>
        <v>71.577701439999998</v>
      </c>
      <c r="I49" s="118">
        <f xml:space="preserve"> H49*SQRT(POWER(defaultFit_Inclusive!$V49/defaultFit_Inclusive!$U49,2)+POWER(defaultFit_Inclusive!I49/defaultFit_Inclusive!H49,2))</f>
        <v>7.1675115888223404</v>
      </c>
      <c r="J49" s="87">
        <f>SQRT(POWER(AA49,2)+POWER(fitSyst_NonPrompt!AF49,2))</f>
        <v>5.7870811206759847E-2</v>
      </c>
      <c r="K49" s="100"/>
      <c r="L49" s="140"/>
      <c r="M49" s="140"/>
      <c r="N49" s="140"/>
      <c r="O49" s="140"/>
      <c r="P49" s="35"/>
      <c r="Q49" s="139"/>
      <c r="R49" s="139"/>
      <c r="X49" s="3">
        <f t="shared" si="14"/>
        <v>0.64404814209097105</v>
      </c>
      <c r="Y49" s="3">
        <f t="shared" si="15"/>
        <v>0.57120079740005147</v>
      </c>
      <c r="Z49" s="3">
        <f t="shared" si="2"/>
        <v>6.2189070492533791E-2</v>
      </c>
      <c r="AA49" s="3">
        <f t="shared" si="3"/>
        <v>5.7197817931346963E-2</v>
      </c>
    </row>
    <row r="50" spans="1:27" x14ac:dyDescent="0.35">
      <c r="A50" s="144"/>
      <c r="B50" s="144"/>
      <c r="C50" s="145"/>
      <c r="D50" s="80"/>
      <c r="E50" s="116">
        <f xml:space="preserve"> SUM(E46:E49)</f>
        <v>348.75183780900005</v>
      </c>
      <c r="F50" s="116"/>
      <c r="G50" s="73"/>
      <c r="H50" s="116">
        <f xml:space="preserve"> SUM(H46:H49)</f>
        <v>319.10165535299996</v>
      </c>
      <c r="I50" s="91"/>
      <c r="J50" s="73"/>
      <c r="K50" s="72"/>
      <c r="L50" s="72"/>
      <c r="M50" s="72"/>
      <c r="N50" s="72"/>
      <c r="O50" s="91"/>
      <c r="P50" s="72"/>
      <c r="Q50" s="72"/>
      <c r="R50" s="72"/>
      <c r="X50" s="3"/>
      <c r="Y50" s="3"/>
      <c r="Z50" s="3"/>
      <c r="AA50" s="3"/>
    </row>
    <row r="51" spans="1:27" x14ac:dyDescent="0.35">
      <c r="A51" s="144"/>
      <c r="B51" s="144" t="s">
        <v>78</v>
      </c>
      <c r="C51" s="145"/>
      <c r="D51" s="84" t="s">
        <v>51</v>
      </c>
      <c r="E51" s="86"/>
      <c r="F51" s="86"/>
      <c r="G51" s="87"/>
      <c r="H51" s="117"/>
      <c r="I51" s="117"/>
      <c r="J51" s="87"/>
      <c r="K51" s="86"/>
      <c r="L51" s="88"/>
      <c r="M51" s="88"/>
      <c r="N51" s="88"/>
      <c r="O51" s="85"/>
      <c r="Q51" s="3"/>
      <c r="R51" s="3"/>
      <c r="X51" s="3"/>
      <c r="Y51" s="3"/>
      <c r="Z51" s="3"/>
      <c r="AA51" s="3"/>
    </row>
    <row r="52" spans="1:27" x14ac:dyDescent="0.35">
      <c r="A52" s="144"/>
      <c r="B52" s="144"/>
      <c r="C52" s="145"/>
      <c r="D52" s="85" t="s">
        <v>49</v>
      </c>
      <c r="E52" s="86"/>
      <c r="F52" s="86"/>
      <c r="G52" s="87"/>
      <c r="H52" s="117"/>
      <c r="I52" s="117"/>
      <c r="J52" s="87"/>
      <c r="K52" s="86"/>
      <c r="L52" s="136"/>
      <c r="M52" s="136"/>
      <c r="N52" s="136"/>
      <c r="O52" s="136"/>
      <c r="Q52" s="125"/>
      <c r="R52" s="125"/>
      <c r="X52" s="3"/>
      <c r="Y52" s="3"/>
      <c r="Z52" s="3"/>
      <c r="AA52" s="3"/>
    </row>
    <row r="53" spans="1:27" x14ac:dyDescent="0.35">
      <c r="A53" s="144"/>
      <c r="B53" s="144"/>
      <c r="C53" s="145"/>
      <c r="D53" s="85" t="s">
        <v>50</v>
      </c>
      <c r="E53" s="86"/>
      <c r="F53" s="86"/>
      <c r="G53" s="87"/>
      <c r="H53" s="117"/>
      <c r="I53" s="117"/>
      <c r="J53" s="87"/>
      <c r="K53" s="86"/>
      <c r="L53" s="136"/>
      <c r="M53" s="136"/>
      <c r="N53" s="136"/>
      <c r="O53" s="136"/>
      <c r="Q53" s="125"/>
      <c r="R53" s="125"/>
      <c r="X53" s="3"/>
      <c r="Y53" s="3"/>
      <c r="Z53" s="3"/>
      <c r="AA53" s="3"/>
    </row>
    <row r="54" spans="1:27" x14ac:dyDescent="0.35">
      <c r="A54" s="144"/>
      <c r="B54" s="144"/>
      <c r="C54" s="145"/>
      <c r="D54" s="84" t="s">
        <v>52</v>
      </c>
      <c r="E54" s="86"/>
      <c r="F54" s="86"/>
      <c r="G54" s="87"/>
      <c r="H54" s="117"/>
      <c r="I54" s="117"/>
      <c r="J54" s="87"/>
      <c r="K54" s="86"/>
      <c r="L54" s="136"/>
      <c r="M54" s="136"/>
      <c r="N54" s="136"/>
      <c r="O54" s="136"/>
      <c r="Q54" s="125"/>
      <c r="R54" s="125"/>
      <c r="X54" s="3"/>
      <c r="Y54" s="3"/>
      <c r="Z54" s="3"/>
      <c r="AA54" s="3"/>
    </row>
    <row r="55" spans="1:27" x14ac:dyDescent="0.35">
      <c r="A55" s="144"/>
      <c r="B55" s="144"/>
      <c r="C55" s="145"/>
      <c r="D55" s="84" t="s">
        <v>53</v>
      </c>
      <c r="E55" s="86"/>
      <c r="F55" s="86"/>
      <c r="G55" s="87"/>
      <c r="H55" s="117"/>
      <c r="I55" s="117"/>
      <c r="J55" s="87"/>
      <c r="K55" s="86"/>
      <c r="L55" s="136"/>
      <c r="M55" s="136"/>
      <c r="N55" s="136"/>
      <c r="O55" s="136"/>
      <c r="Q55" s="125"/>
      <c r="R55" s="125"/>
      <c r="X55" s="3"/>
      <c r="Y55" s="3"/>
      <c r="Z55" s="3"/>
      <c r="AA55" s="3"/>
    </row>
    <row r="56" spans="1:27" x14ac:dyDescent="0.35">
      <c r="A56" s="144"/>
      <c r="B56" s="144"/>
      <c r="C56" s="145"/>
      <c r="D56" s="80"/>
      <c r="E56" s="94"/>
      <c r="F56" s="94"/>
      <c r="G56" s="73"/>
      <c r="H56" s="116"/>
      <c r="I56" s="91"/>
      <c r="J56" s="73"/>
      <c r="K56" s="72"/>
      <c r="L56" s="72"/>
      <c r="M56" s="72"/>
      <c r="N56" s="72"/>
      <c r="O56" s="91"/>
      <c r="P56" s="72"/>
      <c r="Q56" s="72"/>
      <c r="R56" s="72"/>
      <c r="X56" s="3"/>
      <c r="Y56" s="3"/>
      <c r="Z56" s="3"/>
      <c r="AA56" s="3"/>
    </row>
    <row r="57" spans="1:27" x14ac:dyDescent="0.35">
      <c r="A57" s="144"/>
      <c r="B57" s="144" t="s">
        <v>79</v>
      </c>
      <c r="C57" s="145"/>
      <c r="D57" s="84" t="s">
        <v>51</v>
      </c>
      <c r="E57" s="86"/>
      <c r="F57" s="86"/>
      <c r="G57" s="87"/>
      <c r="H57" s="117"/>
      <c r="I57" s="117"/>
      <c r="J57" s="87"/>
      <c r="K57" s="86"/>
      <c r="L57" s="88"/>
      <c r="M57" s="88"/>
      <c r="N57" s="88"/>
      <c r="O57" s="85"/>
      <c r="Q57" s="3"/>
      <c r="R57" s="3"/>
      <c r="X57" s="3"/>
      <c r="Y57" s="3"/>
      <c r="Z57" s="3"/>
      <c r="AA57" s="3"/>
    </row>
    <row r="58" spans="1:27" x14ac:dyDescent="0.35">
      <c r="A58" s="144"/>
      <c r="B58" s="144"/>
      <c r="C58" s="145"/>
      <c r="D58" s="85" t="s">
        <v>49</v>
      </c>
      <c r="E58" s="86"/>
      <c r="F58" s="86"/>
      <c r="G58" s="87"/>
      <c r="H58" s="117"/>
      <c r="I58" s="117"/>
      <c r="J58" s="87"/>
      <c r="K58" s="86"/>
      <c r="L58" s="136"/>
      <c r="M58" s="136"/>
      <c r="N58" s="136"/>
      <c r="O58" s="136"/>
      <c r="Q58" s="125"/>
      <c r="R58" s="125"/>
      <c r="X58" s="3"/>
      <c r="Y58" s="3"/>
      <c r="Z58" s="3"/>
      <c r="AA58" s="3"/>
    </row>
    <row r="59" spans="1:27" x14ac:dyDescent="0.35">
      <c r="A59" s="144"/>
      <c r="B59" s="144"/>
      <c r="C59" s="145"/>
      <c r="D59" s="85" t="s">
        <v>50</v>
      </c>
      <c r="E59" s="86"/>
      <c r="F59" s="86"/>
      <c r="G59" s="87"/>
      <c r="H59" s="117"/>
      <c r="I59" s="117"/>
      <c r="J59" s="87"/>
      <c r="K59" s="86"/>
      <c r="L59" s="136"/>
      <c r="M59" s="136"/>
      <c r="N59" s="136"/>
      <c r="O59" s="136"/>
      <c r="Q59" s="125"/>
      <c r="R59" s="125"/>
      <c r="X59" s="3"/>
      <c r="Y59" s="3"/>
      <c r="Z59" s="3"/>
      <c r="AA59" s="3"/>
    </row>
    <row r="60" spans="1:27" x14ac:dyDescent="0.35">
      <c r="A60" s="144"/>
      <c r="B60" s="144"/>
      <c r="C60" s="145"/>
      <c r="D60" s="84" t="s">
        <v>52</v>
      </c>
      <c r="E60" s="86"/>
      <c r="F60" s="86"/>
      <c r="G60" s="87"/>
      <c r="H60" s="117"/>
      <c r="I60" s="117"/>
      <c r="J60" s="87"/>
      <c r="K60" s="86"/>
      <c r="L60" s="136"/>
      <c r="M60" s="136"/>
      <c r="N60" s="136"/>
      <c r="O60" s="136"/>
      <c r="Q60" s="125"/>
      <c r="R60" s="125"/>
      <c r="X60" s="3"/>
      <c r="Y60" s="3"/>
      <c r="Z60" s="3"/>
      <c r="AA60" s="3"/>
    </row>
    <row r="61" spans="1:27" x14ac:dyDescent="0.35">
      <c r="A61" s="144"/>
      <c r="B61" s="144"/>
      <c r="C61" s="145"/>
      <c r="D61" s="84" t="s">
        <v>53</v>
      </c>
      <c r="E61" s="86"/>
      <c r="F61" s="86"/>
      <c r="G61" s="87"/>
      <c r="H61" s="117"/>
      <c r="I61" s="117"/>
      <c r="J61" s="87"/>
      <c r="K61" s="86"/>
      <c r="L61" s="136"/>
      <c r="M61" s="136"/>
      <c r="N61" s="136"/>
      <c r="O61" s="136"/>
      <c r="Q61" s="125"/>
      <c r="R61" s="125"/>
      <c r="X61" s="3"/>
      <c r="Y61" s="3"/>
      <c r="Z61" s="3"/>
      <c r="AA61" s="3"/>
    </row>
    <row r="62" spans="1:27" x14ac:dyDescent="0.35">
      <c r="A62" s="144"/>
      <c r="B62" s="144"/>
      <c r="C62" s="145"/>
      <c r="D62" s="80"/>
      <c r="E62" s="94">
        <f xml:space="preserve"> SUM(E58:E61)</f>
        <v>0</v>
      </c>
      <c r="F62" s="94"/>
      <c r="G62" s="73"/>
      <c r="H62" s="116">
        <f xml:space="preserve"> SUM(H58:H61)</f>
        <v>0</v>
      </c>
      <c r="I62" s="91"/>
      <c r="J62" s="73"/>
      <c r="K62" s="72"/>
      <c r="L62" s="72"/>
      <c r="M62" s="72"/>
      <c r="N62" s="72"/>
      <c r="O62" s="91"/>
      <c r="P62" s="72"/>
      <c r="Q62" s="72"/>
      <c r="R62" s="72"/>
      <c r="X62" s="3"/>
      <c r="Y62" s="3"/>
      <c r="Z62" s="3"/>
      <c r="AA62" s="3"/>
    </row>
    <row r="63" spans="1:27" x14ac:dyDescent="0.35">
      <c r="A63" s="144" t="s">
        <v>80</v>
      </c>
      <c r="B63" s="144" t="s">
        <v>79</v>
      </c>
      <c r="C63" s="144" t="s">
        <v>17</v>
      </c>
      <c r="D63" s="84" t="s">
        <v>51</v>
      </c>
      <c r="E63" s="119">
        <f xml:space="preserve"> defaultFit_Inclusive!$U63*defaultFit_Inclusive!E63</f>
        <v>448.91474711999996</v>
      </c>
      <c r="F63" s="119">
        <f xml:space="preserve"> E63*SQRT(POWER(defaultFit_Inclusive!$V63/defaultFit_Inclusive!$U63,2)+POWER(defaultFit_Inclusive!F63/defaultFit_Inclusive!E63,2))</f>
        <v>21.716316748810183</v>
      </c>
      <c r="G63" s="87"/>
      <c r="H63" s="119">
        <f xml:space="preserve"> defaultFit_Inclusive!$U63*defaultFit_Inclusive!H63</f>
        <v>396.11962919999996</v>
      </c>
      <c r="I63" s="119">
        <f xml:space="preserve"> H63*SQRT(POWER(defaultFit_Inclusive!$V63/defaultFit_Inclusive!$U63,2)+POWER(defaultFit_Inclusive!I63/defaultFit_Inclusive!H63,2))</f>
        <v>19.414865355310127</v>
      </c>
      <c r="J63" s="87"/>
      <c r="K63" s="101"/>
      <c r="L63" s="102"/>
      <c r="M63" s="102"/>
      <c r="N63" s="102"/>
      <c r="O63" s="121"/>
      <c r="P63" s="75"/>
      <c r="Q63" s="79"/>
      <c r="R63" s="79"/>
      <c r="X63" s="3"/>
      <c r="Y63" s="3"/>
      <c r="Z63" s="3"/>
      <c r="AA63" s="3"/>
    </row>
    <row r="64" spans="1:27" x14ac:dyDescent="0.35">
      <c r="A64" s="144"/>
      <c r="B64" s="144"/>
      <c r="C64" s="144"/>
      <c r="D64" s="85" t="s">
        <v>49</v>
      </c>
      <c r="E64" s="119">
        <f xml:space="preserve"> defaultFit_Inclusive!$U64*defaultFit_Inclusive!E64</f>
        <v>121.108659999</v>
      </c>
      <c r="F64" s="119">
        <f xml:space="preserve"> E64*SQRT(POWER(defaultFit_Inclusive!$V64/defaultFit_Inclusive!$U64,2)+POWER(defaultFit_Inclusive!F64/defaultFit_Inclusive!E64,2))</f>
        <v>11.069910375354414</v>
      </c>
      <c r="G64" s="87">
        <f>SQRT(POWER(Z64,2)+POWER(fitSyst_NonPrompt!AE64,2))</f>
        <v>0.78842314039061367</v>
      </c>
      <c r="H64" s="119">
        <f xml:space="preserve"> defaultFit_Inclusive!$U64*defaultFit_Inclusive!H64</f>
        <v>116.773254966</v>
      </c>
      <c r="I64" s="119">
        <f xml:space="preserve"> H64*SQRT(POWER(defaultFit_Inclusive!$V64/defaultFit_Inclusive!$U64,2)+POWER(defaultFit_Inclusive!I64/defaultFit_Inclusive!H64,2))</f>
        <v>10.664542858388483</v>
      </c>
      <c r="J64" s="87" t="e">
        <f>SQRT(POWER(AA64,2)+POWER(fitSyst_NonPrompt!AF64,2))</f>
        <v>#REF!</v>
      </c>
      <c r="K64" s="101"/>
      <c r="L64" s="142">
        <v>2.00374E-2</v>
      </c>
      <c r="M64" s="142">
        <v>6.02677E-2</v>
      </c>
      <c r="N64" s="142">
        <v>5.2434399999999999E-2</v>
      </c>
      <c r="O64" s="142">
        <v>3.5935799999999997E-2</v>
      </c>
      <c r="P64" s="75"/>
      <c r="Q64" s="141">
        <f xml:space="preserve"> (L64/ep_CorrectionFactors!H18+N64/ep_CorrectionFactors!M18)/2</f>
        <v>4.6208470045135883E-2</v>
      </c>
      <c r="R64" s="141">
        <f xml:space="preserve"> 0.5*SQRT(POWER(L64/ep_CorrectionFactors!H18,2)*(POWER(M64/L64,2)+POWER(ep_CorrectionFactors!I18/ep_CorrectionFactors!H18,2))+POWER(N64/ep_CorrectionFactors!M18,2)*(POWER(O64/N64,2)+POWER(ep_CorrectionFactors!N18/ep_CorrectionFactors!M18,2)))</f>
        <v>4.4724864996832446E-2</v>
      </c>
      <c r="X64" s="3">
        <f xml:space="preserve"> E64/($E$68*PI()/8)</f>
        <v>0.68145371630199847</v>
      </c>
      <c r="Y64" s="3">
        <f xml:space="preserve"> H64/($H$68*PI()/8)</f>
        <v>0.74362419676394986</v>
      </c>
      <c r="Z64" s="3">
        <f t="shared" si="2"/>
        <v>6.2288126748967457E-2</v>
      </c>
      <c r="AA64" s="3">
        <f t="shared" si="3"/>
        <v>6.7912914812838718E-2</v>
      </c>
    </row>
    <row r="65" spans="1:27" x14ac:dyDescent="0.35">
      <c r="A65" s="144"/>
      <c r="B65" s="144"/>
      <c r="C65" s="144"/>
      <c r="D65" s="85" t="s">
        <v>50</v>
      </c>
      <c r="E65" s="119">
        <f xml:space="preserve"> defaultFit_Inclusive!$U65*defaultFit_Inclusive!E65</f>
        <v>106.83312764300001</v>
      </c>
      <c r="F65" s="119">
        <f xml:space="preserve"> E65*SQRT(POWER(defaultFit_Inclusive!$V65/defaultFit_Inclusive!$U65,2)+POWER(defaultFit_Inclusive!F65/defaultFit_Inclusive!E65,2))</f>
        <v>10.519708391911491</v>
      </c>
      <c r="G65" s="87">
        <f>SQRT(POWER(Z65,2)+POWER(fitSyst_NonPrompt!AE65,2))</f>
        <v>0.10883812691211217</v>
      </c>
      <c r="H65" s="119">
        <f xml:space="preserve"> defaultFit_Inclusive!$U65*defaultFit_Inclusive!H65</f>
        <v>92.145430949000016</v>
      </c>
      <c r="I65" s="119">
        <f xml:space="preserve"> H65*SQRT(POWER(defaultFit_Inclusive!$V65/defaultFit_Inclusive!$U65,2)+POWER(defaultFit_Inclusive!I65/defaultFit_Inclusive!H65,2))</f>
        <v>9.1719260924890555</v>
      </c>
      <c r="J65" s="87" t="e">
        <f>SQRT(POWER(AA65,2)+POWER(fitSyst_NonPrompt!AF65,2))</f>
        <v>#REF!</v>
      </c>
      <c r="K65" s="101"/>
      <c r="L65" s="142"/>
      <c r="M65" s="142"/>
      <c r="N65" s="142"/>
      <c r="O65" s="142"/>
      <c r="P65" s="75"/>
      <c r="Q65" s="141"/>
      <c r="R65" s="141"/>
      <c r="X65" s="3">
        <f t="shared" ref="X65:X67" si="16" xml:space="preserve"> E65/($E$68*PI()/8)</f>
        <v>0.60112820880925644</v>
      </c>
      <c r="Y65" s="3">
        <f t="shared" ref="Y65:Y67" si="17" xml:space="preserve"> H65/($H$68*PI()/8)</f>
        <v>0.58679165957024204</v>
      </c>
      <c r="Z65" s="3">
        <f t="shared" si="2"/>
        <v>5.9192252462710739E-2</v>
      </c>
      <c r="AA65" s="3">
        <f t="shared" si="3"/>
        <v>5.8407776466377959E-2</v>
      </c>
    </row>
    <row r="66" spans="1:27" x14ac:dyDescent="0.35">
      <c r="A66" s="144"/>
      <c r="B66" s="144"/>
      <c r="C66" s="144"/>
      <c r="D66" s="84" t="s">
        <v>52</v>
      </c>
      <c r="E66" s="119">
        <f xml:space="preserve"> defaultFit_Inclusive!$U66*defaultFit_Inclusive!E66</f>
        <v>121.94642285500001</v>
      </c>
      <c r="F66" s="119">
        <f xml:space="preserve"> E66*SQRT(POWER(defaultFit_Inclusive!$V66/defaultFit_Inclusive!$U66,2)+POWER(defaultFit_Inclusive!F66/defaultFit_Inclusive!E66,2))</f>
        <v>11.239340453860601</v>
      </c>
      <c r="G66" s="87">
        <f>SQRT(POWER(Z66,2)+POWER(fitSyst_NonPrompt!AE66,2))</f>
        <v>0.10432553313426923</v>
      </c>
      <c r="H66" s="119">
        <f xml:space="preserve"> defaultFit_Inclusive!$U66*defaultFit_Inclusive!H66</f>
        <v>104.37180269</v>
      </c>
      <c r="I66" s="119">
        <f xml:space="preserve"> H66*SQRT(POWER(defaultFit_Inclusive!$V66/defaultFit_Inclusive!$U66,2)+POWER(defaultFit_Inclusive!I66/defaultFit_Inclusive!H66,2))</f>
        <v>9.8251742574921224</v>
      </c>
      <c r="J66" s="87" t="e">
        <f>SQRT(POWER(AA66,2)+POWER(fitSyst_NonPrompt!AF66,2))</f>
        <v>#REF!</v>
      </c>
      <c r="K66" s="101"/>
      <c r="L66" s="142"/>
      <c r="M66" s="142"/>
      <c r="N66" s="142"/>
      <c r="O66" s="142"/>
      <c r="P66" s="75"/>
      <c r="Q66" s="141"/>
      <c r="R66" s="141"/>
      <c r="X66" s="3">
        <f t="shared" si="16"/>
        <v>0.68616763693827421</v>
      </c>
      <c r="Y66" s="3">
        <f t="shared" si="17"/>
        <v>0.66465046266591465</v>
      </c>
      <c r="Z66" s="3">
        <f t="shared" si="2"/>
        <v>6.3241475226709129E-2</v>
      </c>
      <c r="AA66" s="3">
        <f t="shared" si="3"/>
        <v>6.2567728521575591E-2</v>
      </c>
    </row>
    <row r="67" spans="1:27" x14ac:dyDescent="0.35">
      <c r="A67" s="144"/>
      <c r="B67" s="144"/>
      <c r="C67" s="144"/>
      <c r="D67" s="84" t="s">
        <v>53</v>
      </c>
      <c r="E67" s="119">
        <f xml:space="preserve"> defaultFit_Inclusive!$U67*defaultFit_Inclusive!E67</f>
        <v>102.674689761</v>
      </c>
      <c r="F67" s="119">
        <f xml:space="preserve"> E67*SQRT(POWER(defaultFit_Inclusive!$V67/defaultFit_Inclusive!$U67,2)+POWER(defaultFit_Inclusive!F67/defaultFit_Inclusive!E67,2))</f>
        <v>10.733629816948932</v>
      </c>
      <c r="G67" s="87">
        <f>SQRT(POWER(Z67,2)+POWER(fitSyst_NonPrompt!AE67,2))</f>
        <v>0.10520120705546408</v>
      </c>
      <c r="H67" s="119">
        <f xml:space="preserve"> defaultFit_Inclusive!$U67*defaultFit_Inclusive!H67</f>
        <v>86.589791345999998</v>
      </c>
      <c r="I67" s="119">
        <f xml:space="preserve"> H67*SQRT(POWER(defaultFit_Inclusive!$V67/defaultFit_Inclusive!$U67,2)+POWER(defaultFit_Inclusive!I67/defaultFit_Inclusive!H67,2))</f>
        <v>9.2075602488176163</v>
      </c>
      <c r="J67" s="87" t="e">
        <f>SQRT(POWER(AA67,2)+POWER(fitSyst_NonPrompt!AF67,2))</f>
        <v>#REF!</v>
      </c>
      <c r="K67" s="101"/>
      <c r="L67" s="142"/>
      <c r="M67" s="142"/>
      <c r="N67" s="142"/>
      <c r="O67" s="142"/>
      <c r="P67" s="75"/>
      <c r="Q67" s="141"/>
      <c r="R67" s="141"/>
      <c r="X67" s="3">
        <f t="shared" si="16"/>
        <v>0.57772952742079653</v>
      </c>
      <c r="Y67" s="3">
        <f t="shared" si="17"/>
        <v>0.55141277047021853</v>
      </c>
      <c r="Z67" s="3">
        <f t="shared" si="2"/>
        <v>6.0395944668450503E-2</v>
      </c>
      <c r="AA67" s="3">
        <f t="shared" si="3"/>
        <v>5.8634698469065147E-2</v>
      </c>
    </row>
    <row r="68" spans="1:27" x14ac:dyDescent="0.35">
      <c r="A68" s="144"/>
      <c r="B68" s="144"/>
      <c r="C68" s="144"/>
      <c r="D68" s="80"/>
      <c r="E68" s="116">
        <f xml:space="preserve"> SUM(E64:E67)</f>
        <v>452.56290025800001</v>
      </c>
      <c r="F68" s="116"/>
      <c r="G68" s="73"/>
      <c r="H68" s="116">
        <f xml:space="preserve"> SUM(H64:H67)</f>
        <v>399.88027995100003</v>
      </c>
      <c r="I68" s="91"/>
      <c r="J68" s="73"/>
      <c r="K68" s="72"/>
      <c r="L68" s="72"/>
      <c r="M68" s="72"/>
      <c r="N68" s="72"/>
      <c r="O68" s="91"/>
      <c r="P68" s="72"/>
      <c r="Q68" s="72"/>
      <c r="R68" s="72"/>
      <c r="X68" s="3"/>
      <c r="Y68" s="3"/>
      <c r="Z68" s="3"/>
      <c r="AA68" s="3"/>
    </row>
    <row r="69" spans="1:27" x14ac:dyDescent="0.35">
      <c r="A69" s="144" t="s">
        <v>82</v>
      </c>
      <c r="B69" s="144" t="s">
        <v>79</v>
      </c>
      <c r="C69" s="144" t="s">
        <v>17</v>
      </c>
      <c r="D69" s="84" t="s">
        <v>51</v>
      </c>
      <c r="E69" s="119">
        <f xml:space="preserve"> defaultFit_Inclusive!$U69*defaultFit_Inclusive!E69</f>
        <v>180.15616970999997</v>
      </c>
      <c r="F69" s="119">
        <f xml:space="preserve"> E69*SQRT(POWER(defaultFit_Inclusive!$V69/defaultFit_Inclusive!$U69,2)+POWER(defaultFit_Inclusive!F69/defaultFit_Inclusive!E69,2))</f>
        <v>15.207768147646549</v>
      </c>
      <c r="G69" s="87"/>
      <c r="H69" s="119">
        <f xml:space="preserve"> defaultFit_Inclusive!$U69*defaultFit_Inclusive!H69</f>
        <v>170.77350014999999</v>
      </c>
      <c r="I69" s="119">
        <f xml:space="preserve"> H69*SQRT(POWER(defaultFit_Inclusive!$V69/defaultFit_Inclusive!$U69,2)+POWER(defaultFit_Inclusive!I69/defaultFit_Inclusive!H69,2))</f>
        <v>14.284137334944019</v>
      </c>
      <c r="J69" s="87"/>
      <c r="K69" s="101"/>
      <c r="L69" s="102"/>
      <c r="M69" s="102"/>
      <c r="N69" s="102"/>
      <c r="O69" s="121"/>
      <c r="P69" s="75"/>
      <c r="Q69" s="79"/>
      <c r="R69" s="79"/>
      <c r="X69" s="3"/>
      <c r="Y69" s="3"/>
      <c r="Z69" s="3"/>
      <c r="AA69" s="3"/>
    </row>
    <row r="70" spans="1:27" x14ac:dyDescent="0.35">
      <c r="A70" s="144"/>
      <c r="B70" s="144"/>
      <c r="C70" s="144"/>
      <c r="D70" s="85" t="s">
        <v>49</v>
      </c>
      <c r="E70" s="119">
        <f xml:space="preserve"> defaultFit_Inclusive!$U70*defaultFit_Inclusive!E70</f>
        <v>39.495906680000004</v>
      </c>
      <c r="F70" s="119">
        <f xml:space="preserve"> E70*SQRT(POWER(defaultFit_Inclusive!$V70/defaultFit_Inclusive!$U70,2)+POWER(defaultFit_Inclusive!F70/defaultFit_Inclusive!E70,2))</f>
        <v>6.7251018450607214</v>
      </c>
      <c r="G70" s="87">
        <f>SQRT(POWER(Z70,2)+POWER(fitSyst_NonPrompt!AE70,2))</f>
        <v>0.11236583501837177</v>
      </c>
      <c r="H70" s="119">
        <f xml:space="preserve"> defaultFit_Inclusive!$U70*defaultFit_Inclusive!H70</f>
        <v>46.251420732</v>
      </c>
      <c r="I70" s="119">
        <f xml:space="preserve"> H70*SQRT(POWER(defaultFit_Inclusive!$V70/defaultFit_Inclusive!$U70,2)+POWER(defaultFit_Inclusive!I70/defaultFit_Inclusive!H70,2))</f>
        <v>7.5572290368854258</v>
      </c>
      <c r="J70" s="87">
        <f>SQRT(POWER(AA70,2)+POWER(fitSyst_NonPrompt!AF70,2))</f>
        <v>0.11778991222919077</v>
      </c>
      <c r="K70" s="101"/>
      <c r="L70" s="142">
        <v>-9.2799100000000006E-3</v>
      </c>
      <c r="M70" s="142">
        <v>6.04472E-2</v>
      </c>
      <c r="N70" s="142">
        <v>3.7476599999999999E-2</v>
      </c>
      <c r="O70" s="142">
        <v>6.1230800000000002E-2</v>
      </c>
      <c r="P70" s="75"/>
      <c r="Q70" s="141">
        <f xml:space="preserve"> (L70/ep_CorrectionFactors!H18+N70/ep_CorrectionFactors!M18)/2</f>
        <v>1.7986211158765249E-2</v>
      </c>
      <c r="R70" s="141">
        <f xml:space="preserve"> 0.5*SQRT(POWER(L70/ep_CorrectionFactors!H18,2)*(POWER(M70/L70,2)+POWER(ep_CorrectionFactors!I18/ep_CorrectionFactors!H18,2))+POWER(N70/ep_CorrectionFactors!M18,2)*(POWER(O70/N70,2)+POWER(ep_CorrectionFactors!N18/ep_CorrectionFactors!M18,2)))</f>
        <v>5.4851802002706618E-2</v>
      </c>
      <c r="X70" s="3">
        <f xml:space="preserve"> E70/($E$74*PI()/8)</f>
        <v>0.5638876603234253</v>
      </c>
      <c r="Y70" s="3">
        <f xml:space="preserve"> H70/($H$74*PI()/8)</f>
        <v>0.70022349185126953</v>
      </c>
      <c r="Z70" s="3">
        <f t="shared" ref="Z70:Z85" si="18" xml:space="preserve"> X70*F70/E70</f>
        <v>9.6015062410716639E-2</v>
      </c>
      <c r="AA70" s="3">
        <f t="shared" ref="AA70:AA85" si="19" xml:space="preserve"> Y70*I70/H70</f>
        <v>0.11441268659811166</v>
      </c>
    </row>
    <row r="71" spans="1:27" x14ac:dyDescent="0.35">
      <c r="A71" s="144"/>
      <c r="B71" s="144"/>
      <c r="C71" s="144"/>
      <c r="D71" s="85" t="s">
        <v>50</v>
      </c>
      <c r="E71" s="119">
        <f xml:space="preserve"> defaultFit_Inclusive!$U71*defaultFit_Inclusive!E71</f>
        <v>52.899181479999996</v>
      </c>
      <c r="F71" s="119">
        <f xml:space="preserve"> E71*SQRT(POWER(defaultFit_Inclusive!$V71/defaultFit_Inclusive!$U71,2)+POWER(defaultFit_Inclusive!F71/defaultFit_Inclusive!E71,2))</f>
        <v>8.4453792351581694</v>
      </c>
      <c r="G71" s="87">
        <f>SQRT(POWER(Z71,2)+POWER(fitSyst_NonPrompt!AE71,2))</f>
        <v>0.12920188459899484</v>
      </c>
      <c r="H71" s="119">
        <f xml:space="preserve"> defaultFit_Inclusive!$U71*defaultFit_Inclusive!H71</f>
        <v>43.056257227000003</v>
      </c>
      <c r="I71" s="119">
        <f xml:space="preserve"> H71*SQRT(POWER(defaultFit_Inclusive!$V71/defaultFit_Inclusive!$U71,2)+POWER(defaultFit_Inclusive!I71/defaultFit_Inclusive!H71,2))</f>
        <v>6.9049565012840599</v>
      </c>
      <c r="J71" s="87">
        <f>SQRT(POWER(AA71,2)+POWER(fitSyst_NonPrompt!AF71,2))</f>
        <v>0.10622397481821994</v>
      </c>
      <c r="K71" s="101"/>
      <c r="L71" s="142"/>
      <c r="M71" s="142"/>
      <c r="N71" s="142"/>
      <c r="O71" s="142"/>
      <c r="P71" s="75"/>
      <c r="Q71" s="141"/>
      <c r="R71" s="141"/>
      <c r="X71" s="3">
        <f t="shared" ref="X71:X73" si="20" xml:space="preserve"> E71/($E$74*PI()/8)</f>
        <v>0.75524777591411574</v>
      </c>
      <c r="Y71" s="3">
        <f t="shared" ref="Y71:Y73" si="21" xml:space="preserve"> H71/($H$74*PI()/8)</f>
        <v>0.65185030652857745</v>
      </c>
      <c r="Z71" s="3">
        <f t="shared" si="18"/>
        <v>0.12057566309444649</v>
      </c>
      <c r="AA71" s="3">
        <f t="shared" si="19"/>
        <v>0.10453760502680183</v>
      </c>
    </row>
    <row r="72" spans="1:27" x14ac:dyDescent="0.35">
      <c r="A72" s="144"/>
      <c r="B72" s="144"/>
      <c r="C72" s="144"/>
      <c r="D72" s="84" t="s">
        <v>52</v>
      </c>
      <c r="E72" s="119">
        <f xml:space="preserve"> defaultFit_Inclusive!$U72*defaultFit_Inclusive!E72</f>
        <v>41.273440956000002</v>
      </c>
      <c r="F72" s="119">
        <f xml:space="preserve"> E72*SQRT(POWER(defaultFit_Inclusive!$V72/defaultFit_Inclusive!$U72,2)+POWER(defaultFit_Inclusive!F72/defaultFit_Inclusive!E72,2))</f>
        <v>7.3918380808664681</v>
      </c>
      <c r="G72" s="87">
        <f>SQRT(POWER(Z72,2)+POWER(fitSyst_NonPrompt!AE72,2))</f>
        <v>0.1086352165552668</v>
      </c>
      <c r="H72" s="119">
        <f xml:space="preserve"> defaultFit_Inclusive!$U72*defaultFit_Inclusive!H72</f>
        <v>37.260008675999998</v>
      </c>
      <c r="I72" s="119">
        <f xml:space="preserve"> H72*SQRT(POWER(defaultFit_Inclusive!$V72/defaultFit_Inclusive!$U72,2)+POWER(defaultFit_Inclusive!I72/defaultFit_Inclusive!H72,2))</f>
        <v>6.6410499284302764</v>
      </c>
      <c r="J72" s="87">
        <f>SQRT(POWER(AA72,2)+POWER(fitSyst_NonPrompt!AF72,2))</f>
        <v>0.10447567747196948</v>
      </c>
      <c r="K72" s="101"/>
      <c r="L72" s="142"/>
      <c r="M72" s="142"/>
      <c r="N72" s="142"/>
      <c r="O72" s="142"/>
      <c r="P72" s="75"/>
      <c r="Q72" s="141"/>
      <c r="R72" s="141"/>
      <c r="X72" s="3">
        <f t="shared" si="20"/>
        <v>0.58926572423671419</v>
      </c>
      <c r="Y72" s="3">
        <f t="shared" si="21"/>
        <v>0.5640979880963134</v>
      </c>
      <c r="Z72" s="3">
        <f t="shared" si="18"/>
        <v>0.1055341333136194</v>
      </c>
      <c r="AA72" s="3">
        <f t="shared" si="19"/>
        <v>0.10054219085267412</v>
      </c>
    </row>
    <row r="73" spans="1:27" x14ac:dyDescent="0.35">
      <c r="A73" s="144"/>
      <c r="B73" s="144"/>
      <c r="C73" s="144"/>
      <c r="D73" s="84" t="s">
        <v>53</v>
      </c>
      <c r="E73" s="119">
        <f xml:space="preserve"> defaultFit_Inclusive!$U73*defaultFit_Inclusive!E73</f>
        <v>44.692352947999993</v>
      </c>
      <c r="F73" s="119">
        <f xml:space="preserve"> E73*SQRT(POWER(defaultFit_Inclusive!$V73/defaultFit_Inclusive!$U73,2)+POWER(defaultFit_Inclusive!F73/defaultFit_Inclusive!E73,2))</f>
        <v>7.453996886139949</v>
      </c>
      <c r="G73" s="87">
        <f>SQRT(POWER(Z73,2)+POWER(fitSyst_NonPrompt!AE73,2))</f>
        <v>0.11364944766874849</v>
      </c>
      <c r="H73" s="119">
        <f xml:space="preserve"> defaultFit_Inclusive!$U73*defaultFit_Inclusive!H73</f>
        <v>41.633290799999997</v>
      </c>
      <c r="I73" s="119">
        <f xml:space="preserve"> H73*SQRT(POWER(defaultFit_Inclusive!$V73/defaultFit_Inclusive!$U73,2)+POWER(defaultFit_Inclusive!I73/defaultFit_Inclusive!H73,2))</f>
        <v>6.92907413116097</v>
      </c>
      <c r="J73" s="87">
        <f>SQRT(POWER(AA73,2)+POWER(fitSyst_NonPrompt!AF73,2))</f>
        <v>0.10824720673513273</v>
      </c>
      <c r="K73" s="101"/>
      <c r="L73" s="142"/>
      <c r="M73" s="142"/>
      <c r="N73" s="142"/>
      <c r="O73" s="142"/>
      <c r="P73" s="75"/>
      <c r="Q73" s="141"/>
      <c r="R73" s="141"/>
      <c r="X73" s="3">
        <f t="shared" si="20"/>
        <v>0.63807792899607019</v>
      </c>
      <c r="Y73" s="3">
        <f t="shared" si="21"/>
        <v>0.63030730299416515</v>
      </c>
      <c r="Z73" s="3">
        <f t="shared" si="18"/>
        <v>0.10642158181703384</v>
      </c>
      <c r="AA73" s="3">
        <f t="shared" si="19"/>
        <v>0.10490273394047221</v>
      </c>
    </row>
    <row r="74" spans="1:27" x14ac:dyDescent="0.35">
      <c r="A74" s="144"/>
      <c r="B74" s="144"/>
      <c r="C74" s="144"/>
      <c r="D74" s="80"/>
      <c r="E74" s="116">
        <f xml:space="preserve"> SUM(E70:E73)</f>
        <v>178.36088206400001</v>
      </c>
      <c r="F74" s="116"/>
      <c r="G74" s="73"/>
      <c r="H74" s="116">
        <f xml:space="preserve"> SUM(H70:H73)</f>
        <v>168.200977435</v>
      </c>
      <c r="I74" s="91"/>
      <c r="J74" s="73"/>
      <c r="K74" s="72"/>
      <c r="L74" s="72"/>
      <c r="M74" s="72"/>
      <c r="N74" s="72"/>
      <c r="O74" s="91"/>
      <c r="P74" s="72"/>
      <c r="Q74" s="72"/>
      <c r="R74" s="72"/>
      <c r="X74" s="3"/>
      <c r="Y74" s="3"/>
      <c r="Z74" s="3"/>
      <c r="AA74" s="3"/>
    </row>
    <row r="75" spans="1:27" x14ac:dyDescent="0.35">
      <c r="A75" s="144" t="s">
        <v>81</v>
      </c>
      <c r="B75" s="144" t="s">
        <v>83</v>
      </c>
      <c r="C75" s="144" t="s">
        <v>17</v>
      </c>
      <c r="D75" s="84" t="s">
        <v>51</v>
      </c>
      <c r="E75" s="119">
        <f xml:space="preserve"> defaultFit_Inclusive!$U75*defaultFit_Inclusive!E75</f>
        <v>205.02337089</v>
      </c>
      <c r="F75" s="119">
        <f xml:space="preserve"> E75*SQRT(POWER(defaultFit_Inclusive!$V75/defaultFit_Inclusive!$U75,2)+POWER(defaultFit_Inclusive!F75/defaultFit_Inclusive!E75,2))</f>
        <v>21.077077064051501</v>
      </c>
      <c r="G75" s="87"/>
      <c r="H75" s="119">
        <f xml:space="preserve"> defaultFit_Inclusive!$U75*defaultFit_Inclusive!H75</f>
        <v>207.06976835999998</v>
      </c>
      <c r="I75" s="119">
        <f xml:space="preserve"> H75*SQRT(POWER(defaultFit_Inclusive!$V75/defaultFit_Inclusive!$U75,2)+POWER(defaultFit_Inclusive!I75/defaultFit_Inclusive!H75,2))</f>
        <v>21.619615671756161</v>
      </c>
      <c r="J75" s="87"/>
      <c r="K75" s="101"/>
      <c r="L75" s="102"/>
      <c r="M75" s="102"/>
      <c r="N75" s="102"/>
      <c r="O75" s="121"/>
      <c r="P75" s="75"/>
      <c r="Q75" s="79"/>
      <c r="R75" s="79"/>
      <c r="X75" s="3"/>
      <c r="Y75" s="3"/>
      <c r="Z75" s="3"/>
      <c r="AA75" s="3"/>
    </row>
    <row r="76" spans="1:27" x14ac:dyDescent="0.35">
      <c r="A76" s="144"/>
      <c r="B76" s="144"/>
      <c r="C76" s="144"/>
      <c r="D76" s="85" t="s">
        <v>49</v>
      </c>
      <c r="E76" s="119">
        <f xml:space="preserve"> defaultFit_Inclusive!$U76*defaultFit_Inclusive!E76</f>
        <v>39.788196052499998</v>
      </c>
      <c r="F76" s="119">
        <f xml:space="preserve"> E76*SQRT(POWER(defaultFit_Inclusive!$V76/defaultFit_Inclusive!$U76,2)+POWER(defaultFit_Inclusive!F76/defaultFit_Inclusive!E76,2))</f>
        <v>9.6014333831642702</v>
      </c>
      <c r="G76" s="87">
        <f>SQRT(POWER(Z76,2)+POWER(fitSyst_NonPrompt!AE76,2))</f>
        <v>0.12627752599507358</v>
      </c>
      <c r="H76" s="119">
        <f xml:space="preserve"> defaultFit_Inclusive!$U76*defaultFit_Inclusive!H76</f>
        <v>42.126807187499999</v>
      </c>
      <c r="I76" s="119">
        <f xml:space="preserve"> H76*SQRT(POWER(defaultFit_Inclusive!$V76/defaultFit_Inclusive!$U76,2)+POWER(defaultFit_Inclusive!I76/defaultFit_Inclusive!H76,2))</f>
        <v>10.184084474213918</v>
      </c>
      <c r="J76" s="87">
        <f>SQRT(POWER(AA76,2)+POWER(fitSyst_NonPrompt!AF76,2))</f>
        <v>0.1322979926022077</v>
      </c>
      <c r="K76" s="101"/>
      <c r="L76" s="142">
        <v>1.5799000000000001E-2</v>
      </c>
      <c r="M76" s="142">
        <v>7.09534E-2</v>
      </c>
      <c r="N76" s="142">
        <v>1.34092E-2</v>
      </c>
      <c r="O76" s="142">
        <v>7.00186E-2</v>
      </c>
      <c r="P76" s="75"/>
      <c r="Q76" s="141">
        <f xml:space="preserve"> (L76/ep_CorrectionFactors!H18+N76/ep_CorrectionFactors!M18)/2</f>
        <v>1.8619789983692795E-2</v>
      </c>
      <c r="R76" s="141">
        <f xml:space="preserve"> 0.5*SQRT(POWER(L76/ep_CorrectionFactors!H18,2)*(POWER(M76/L76,2)+POWER(ep_CorrectionFactors!I18/ep_CorrectionFactors!H18,2))+POWER(N76/ep_CorrectionFactors!M18,2)*(POWER(O76/N76,2)+POWER(ep_CorrectionFactors!N18/ep_CorrectionFactors!M18,2)))</f>
        <v>6.3548914140032636E-2</v>
      </c>
      <c r="X76" s="3">
        <f xml:space="preserve"> E76/($E$80*PI()/8)</f>
        <v>0.50936715332421545</v>
      </c>
      <c r="Y76" s="3">
        <f xml:space="preserve"> H76/($H$80*PI()/8)</f>
        <v>0.53443874365323429</v>
      </c>
      <c r="Z76" s="3">
        <f t="shared" si="18"/>
        <v>0.12291722861125248</v>
      </c>
      <c r="AA76" s="3">
        <f t="shared" si="19"/>
        <v>0.12919966346920997</v>
      </c>
    </row>
    <row r="77" spans="1:27" x14ac:dyDescent="0.35">
      <c r="A77" s="144"/>
      <c r="B77" s="144"/>
      <c r="C77" s="144"/>
      <c r="D77" s="85" t="s">
        <v>50</v>
      </c>
      <c r="E77" s="119">
        <f xml:space="preserve"> defaultFit_Inclusive!$U77*defaultFit_Inclusive!E77</f>
        <v>69.663035998999987</v>
      </c>
      <c r="F77" s="119">
        <f xml:space="preserve"> E77*SQRT(POWER(defaultFit_Inclusive!$V77/defaultFit_Inclusive!$U77,2)+POWER(defaultFit_Inclusive!F77/defaultFit_Inclusive!E77,2))</f>
        <v>11.61926385783708</v>
      </c>
      <c r="G77" s="87">
        <f>SQRT(POWER(Z77,2)+POWER(fitSyst_NonPrompt!AE77,2))</f>
        <v>0.15147201960862372</v>
      </c>
      <c r="H77" s="119">
        <f xml:space="preserve"> defaultFit_Inclusive!$U77*defaultFit_Inclusive!H77</f>
        <v>70.734522003999999</v>
      </c>
      <c r="I77" s="119">
        <f xml:space="preserve"> H77*SQRT(POWER(defaultFit_Inclusive!$V77/defaultFit_Inclusive!$U77,2)+POWER(defaultFit_Inclusive!I77/defaultFit_Inclusive!H77,2))</f>
        <v>11.903138039137993</v>
      </c>
      <c r="J77" s="87">
        <f>SQRT(POWER(AA77,2)+POWER(fitSyst_NonPrompt!AF77,2))</f>
        <v>0.15502889922994115</v>
      </c>
      <c r="K77" s="101"/>
      <c r="L77" s="142"/>
      <c r="M77" s="142"/>
      <c r="N77" s="142"/>
      <c r="O77" s="142"/>
      <c r="P77" s="75"/>
      <c r="Q77" s="141"/>
      <c r="R77" s="141"/>
      <c r="X77" s="3">
        <f t="shared" ref="X77:X79" si="22" xml:space="preserve"> E77/($E$80*PI()/8)</f>
        <v>0.89182385378598761</v>
      </c>
      <c r="Y77" s="3">
        <f t="shared" ref="Y77:Y79" si="23" xml:space="preserve"> H77/($H$80*PI()/8)</f>
        <v>0.89736848331451335</v>
      </c>
      <c r="Z77" s="3">
        <f t="shared" si="18"/>
        <v>0.14874942676918729</v>
      </c>
      <c r="AA77" s="3">
        <f t="shared" si="19"/>
        <v>0.15100831427489561</v>
      </c>
    </row>
    <row r="78" spans="1:27" x14ac:dyDescent="0.35">
      <c r="A78" s="144"/>
      <c r="B78" s="144"/>
      <c r="C78" s="144"/>
      <c r="D78" s="84" t="s">
        <v>52</v>
      </c>
      <c r="E78" s="119">
        <f xml:space="preserve"> defaultFit_Inclusive!$U78*defaultFit_Inclusive!E78</f>
        <v>45.521333544999997</v>
      </c>
      <c r="F78" s="119">
        <f xml:space="preserve"> E78*SQRT(POWER(defaultFit_Inclusive!$V78/defaultFit_Inclusive!$U78,2)+POWER(defaultFit_Inclusive!F78/defaultFit_Inclusive!E78,2))</f>
        <v>9.8266792571685748</v>
      </c>
      <c r="G78" s="87">
        <f>SQRT(POWER(Z78,2)+POWER(fitSyst_NonPrompt!AE78,2))</f>
        <v>0.13093324693287584</v>
      </c>
      <c r="H78" s="119">
        <f xml:space="preserve"> defaultFit_Inclusive!$U78*defaultFit_Inclusive!H78</f>
        <v>47.0661834</v>
      </c>
      <c r="I78" s="119">
        <f xml:space="preserve"> H78*SQRT(POWER(defaultFit_Inclusive!$V78/defaultFit_Inclusive!$U78,2)+POWER(defaultFit_Inclusive!I78/defaultFit_Inclusive!H78,2))</f>
        <v>10.203938994483027</v>
      </c>
      <c r="J78" s="87">
        <f>SQRT(POWER(AA78,2)+POWER(fitSyst_NonPrompt!AF78,2))</f>
        <v>0.13503239445903459</v>
      </c>
      <c r="K78" s="101"/>
      <c r="L78" s="142"/>
      <c r="M78" s="142"/>
      <c r="N78" s="142"/>
      <c r="O78" s="142"/>
      <c r="P78" s="75"/>
      <c r="Q78" s="141"/>
      <c r="R78" s="141"/>
      <c r="X78" s="3">
        <f t="shared" si="22"/>
        <v>0.58276258749564147</v>
      </c>
      <c r="Y78" s="3">
        <f t="shared" si="23"/>
        <v>0.59710178872308373</v>
      </c>
      <c r="Z78" s="3">
        <f t="shared" si="18"/>
        <v>0.1258008187465833</v>
      </c>
      <c r="AA78" s="3">
        <f t="shared" si="19"/>
        <v>0.12945154642870491</v>
      </c>
    </row>
    <row r="79" spans="1:27" x14ac:dyDescent="0.35">
      <c r="A79" s="144"/>
      <c r="B79" s="144"/>
      <c r="C79" s="144"/>
      <c r="D79" s="84" t="s">
        <v>53</v>
      </c>
      <c r="E79" s="119">
        <f xml:space="preserve"> defaultFit_Inclusive!$U79*defaultFit_Inclusive!E79</f>
        <v>43.940553543999997</v>
      </c>
      <c r="F79" s="119">
        <f xml:space="preserve"> E79*SQRT(POWER(defaultFit_Inclusive!$V79/defaultFit_Inclusive!$U79,2)+POWER(defaultFit_Inclusive!F79/defaultFit_Inclusive!E79,2))</f>
        <v>9.4624769092032039</v>
      </c>
      <c r="G79" s="87">
        <f>SQRT(POWER(Z79,2)+POWER(fitSyst_NonPrompt!AE79,2))</f>
        <v>0.12672760874140693</v>
      </c>
      <c r="H79" s="119">
        <f xml:space="preserve"> defaultFit_Inclusive!$U79*defaultFit_Inclusive!H79</f>
        <v>40.797144598999999</v>
      </c>
      <c r="I79" s="119">
        <f xml:space="preserve"> H79*SQRT(POWER(defaultFit_Inclusive!$V79/defaultFit_Inclusive!$U79,2)+POWER(defaultFit_Inclusive!I79/defaultFit_Inclusive!H79,2))</f>
        <v>8.895582311190644</v>
      </c>
      <c r="J79" s="87">
        <f>SQRT(POWER(AA79,2)+POWER(fitSyst_NonPrompt!AF79,2))</f>
        <v>0.11732419160702132</v>
      </c>
      <c r="K79" s="101"/>
      <c r="L79" s="142"/>
      <c r="M79" s="142"/>
      <c r="N79" s="142"/>
      <c r="O79" s="142"/>
      <c r="P79" s="75"/>
      <c r="Q79" s="141"/>
      <c r="R79" s="141"/>
      <c r="X79" s="3">
        <f t="shared" si="22"/>
        <v>0.56252549486448089</v>
      </c>
      <c r="Y79" s="3">
        <f t="shared" si="23"/>
        <v>0.51757007377949393</v>
      </c>
      <c r="Z79" s="3">
        <f t="shared" si="18"/>
        <v>0.1211383124853712</v>
      </c>
      <c r="AA79" s="3">
        <f t="shared" si="19"/>
        <v>0.11285317240627071</v>
      </c>
    </row>
    <row r="80" spans="1:27" x14ac:dyDescent="0.35">
      <c r="A80" s="144"/>
      <c r="B80" s="144"/>
      <c r="C80" s="144"/>
      <c r="D80" s="80"/>
      <c r="E80" s="116">
        <f xml:space="preserve"> SUM(E76:E79)</f>
        <v>198.91311914049999</v>
      </c>
      <c r="F80" s="116"/>
      <c r="G80" s="73"/>
      <c r="H80" s="116">
        <f xml:space="preserve"> SUM(H76:H79)</f>
        <v>200.72465719050001</v>
      </c>
      <c r="I80" s="91"/>
      <c r="J80" s="73"/>
      <c r="K80" s="72"/>
      <c r="L80" s="72"/>
      <c r="M80" s="72"/>
      <c r="N80" s="72"/>
      <c r="O80" s="91"/>
      <c r="P80" s="72"/>
      <c r="Q80" s="72"/>
      <c r="R80" s="72"/>
      <c r="X80" s="3"/>
      <c r="Y80" s="3"/>
      <c r="Z80" s="3"/>
      <c r="AA80" s="3"/>
    </row>
    <row r="81" spans="1:27" x14ac:dyDescent="0.35">
      <c r="A81" s="144"/>
      <c r="B81" s="144" t="s">
        <v>79</v>
      </c>
      <c r="C81" s="144" t="s">
        <v>17</v>
      </c>
      <c r="D81" s="84" t="s">
        <v>51</v>
      </c>
      <c r="E81" s="119">
        <f xml:space="preserve"> defaultFit_Inclusive!$U81*defaultFit_Inclusive!E81</f>
        <v>192.637404498</v>
      </c>
      <c r="F81" s="119">
        <f xml:space="preserve"> E81*SQRT(POWER(defaultFit_Inclusive!$V81/defaultFit_Inclusive!$U81,2)+POWER(defaultFit_Inclusive!F81/defaultFit_Inclusive!E81,2))</f>
        <v>15.409417822599641</v>
      </c>
      <c r="G81" s="87"/>
      <c r="H81" s="119">
        <f xml:space="preserve"> defaultFit_Inclusive!$U81*defaultFit_Inclusive!H81</f>
        <v>177.99522617100001</v>
      </c>
      <c r="I81" s="119">
        <f xml:space="preserve"> H81*SQRT(POWER(defaultFit_Inclusive!$V81/defaultFit_Inclusive!$U81,2)+POWER(defaultFit_Inclusive!I81/defaultFit_Inclusive!H81,2))</f>
        <v>14.304734969205244</v>
      </c>
      <c r="J81" s="87"/>
      <c r="K81" s="101"/>
      <c r="L81" s="102"/>
      <c r="M81" s="102"/>
      <c r="N81" s="102"/>
      <c r="O81" s="121"/>
      <c r="P81" s="75"/>
      <c r="Q81" s="79"/>
      <c r="R81" s="79"/>
      <c r="X81" s="3"/>
      <c r="Y81" s="3"/>
      <c r="Z81" s="3"/>
      <c r="AA81" s="3"/>
    </row>
    <row r="82" spans="1:27" x14ac:dyDescent="0.35">
      <c r="A82" s="144"/>
      <c r="B82" s="144"/>
      <c r="C82" s="144"/>
      <c r="D82" s="85" t="s">
        <v>49</v>
      </c>
      <c r="E82" s="119">
        <f xml:space="preserve"> defaultFit_Inclusive!$U82*defaultFit_Inclusive!E82</f>
        <v>54.681956874999997</v>
      </c>
      <c r="F82" s="119">
        <f xml:space="preserve"> E82*SQRT(POWER(defaultFit_Inclusive!$V82/defaultFit_Inclusive!$U82,2)+POWER(defaultFit_Inclusive!F82/defaultFit_Inclusive!E82,2))</f>
        <v>8.2116876705550919</v>
      </c>
      <c r="G82" s="87">
        <f>SQRT(POWER(Z82,2)+POWER(fitSyst_NonPrompt!AE82,2))</f>
        <v>0.1121939766409883</v>
      </c>
      <c r="H82" s="119">
        <f xml:space="preserve"> defaultFit_Inclusive!$U82*defaultFit_Inclusive!H82</f>
        <v>47.538108905000001</v>
      </c>
      <c r="I82" s="119">
        <f xml:space="preserve"> H82*SQRT(POWER(defaultFit_Inclusive!$V82/defaultFit_Inclusive!$U82,2)+POWER(defaultFit_Inclusive!I82/defaultFit_Inclusive!H82,2))</f>
        <v>7.2310978224750624</v>
      </c>
      <c r="J82" s="87">
        <f>SQRT(POWER(AA82,2)+POWER(fitSyst_NonPrompt!AF82,2))</f>
        <v>0.11046957285504012</v>
      </c>
      <c r="K82" s="101"/>
      <c r="L82" s="142">
        <v>8.6310999999999994E-5</v>
      </c>
      <c r="M82" s="142">
        <v>5.9377600000000003E-2</v>
      </c>
      <c r="N82" s="142">
        <v>-1.76534E-2</v>
      </c>
      <c r="O82" s="142">
        <v>6.1314E-2</v>
      </c>
      <c r="P82" s="75"/>
      <c r="Q82" s="141">
        <f xml:space="preserve"> (L82/ep_CorrectionFactors!H18+N82/ep_CorrectionFactors!M18)/2</f>
        <v>-1.1203150802822892E-2</v>
      </c>
      <c r="R82" s="141">
        <f xml:space="preserve"> 0.5*SQRT(POWER(L82/ep_CorrectionFactors!H18,2)*(POWER(M82/L82,2)+POWER(ep_CorrectionFactors!I18/ep_CorrectionFactors!H18,2))+POWER(N82/ep_CorrectionFactors!M18,2)*(POWER(O82/N82,2)+POWER(ep_CorrectionFactors!N18/ep_CorrectionFactors!M18,2)))</f>
        <v>5.441338429799121E-2</v>
      </c>
      <c r="X82" s="3">
        <f xml:space="preserve"> E82/($E$86*PI()/8)</f>
        <v>0.72501211454026315</v>
      </c>
      <c r="Y82" s="3">
        <f xml:space="preserve"> H82/($H$86*PI()/8)</f>
        <v>0.6806707000164276</v>
      </c>
      <c r="Z82" s="3">
        <f t="shared" si="18"/>
        <v>0.10887637133365402</v>
      </c>
      <c r="AA82" s="3">
        <f t="shared" si="19"/>
        <v>0.10353790948115894</v>
      </c>
    </row>
    <row r="83" spans="1:27" x14ac:dyDescent="0.35">
      <c r="A83" s="144"/>
      <c r="B83" s="144"/>
      <c r="C83" s="144"/>
      <c r="D83" s="85" t="s">
        <v>50</v>
      </c>
      <c r="E83" s="119">
        <f xml:space="preserve"> defaultFit_Inclusive!$U83*defaultFit_Inclusive!E83</f>
        <v>39.329658949999995</v>
      </c>
      <c r="F83" s="119">
        <f xml:space="preserve"> E83*SQRT(POWER(defaultFit_Inclusive!$V83/defaultFit_Inclusive!$U83,2)+POWER(defaultFit_Inclusive!F83/defaultFit_Inclusive!E83,2))</f>
        <v>7.0821069406125972</v>
      </c>
      <c r="G83" s="87">
        <f>SQRT(POWER(Z83,2)+POWER(fitSyst_NonPrompt!AE83,2))</f>
        <v>9.8127912631551295E-2</v>
      </c>
      <c r="H83" s="119">
        <f xml:space="preserve"> defaultFit_Inclusive!$U83*defaultFit_Inclusive!H83</f>
        <v>39.064988925000002</v>
      </c>
      <c r="I83" s="119">
        <f xml:space="preserve"> H83*SQRT(POWER(defaultFit_Inclusive!$V83/defaultFit_Inclusive!$U83,2)+POWER(defaultFit_Inclusive!I83/defaultFit_Inclusive!H83,2))</f>
        <v>7.0336694922208212</v>
      </c>
      <c r="J83" s="87">
        <f>SQRT(POWER(AA83,2)+POWER(fitSyst_NonPrompt!AF83,2))</f>
        <v>0.10393314338638257</v>
      </c>
      <c r="K83" s="101"/>
      <c r="L83" s="142"/>
      <c r="M83" s="142"/>
      <c r="N83" s="142"/>
      <c r="O83" s="142"/>
      <c r="P83" s="75"/>
      <c r="Q83" s="141"/>
      <c r="R83" s="141"/>
      <c r="X83" s="3">
        <f t="shared" ref="X83:X85" si="24" xml:space="preserve"> E83/($E$86*PI()/8)</f>
        <v>0.52146047488149416</v>
      </c>
      <c r="Y83" s="3">
        <f t="shared" ref="Y83:Y85" si="25" xml:space="preserve"> H83/($H$86*PI()/8)</f>
        <v>0.55934899326458054</v>
      </c>
      <c r="Z83" s="3">
        <f t="shared" si="18"/>
        <v>9.389958995343313E-2</v>
      </c>
      <c r="AA83" s="3">
        <f t="shared" si="19"/>
        <v>0.10071104735196107</v>
      </c>
    </row>
    <row r="84" spans="1:27" x14ac:dyDescent="0.35">
      <c r="A84" s="144"/>
      <c r="B84" s="144"/>
      <c r="C84" s="144"/>
      <c r="D84" s="84" t="s">
        <v>52</v>
      </c>
      <c r="E84" s="119">
        <f xml:space="preserve"> defaultFit_Inclusive!$U84*defaultFit_Inclusive!E84</f>
        <v>49.321350052</v>
      </c>
      <c r="F84" s="119">
        <f xml:space="preserve"> E84*SQRT(POWER(defaultFit_Inclusive!$V84/defaultFit_Inclusive!$U84,2)+POWER(defaultFit_Inclusive!F84/defaultFit_Inclusive!E84,2))</f>
        <v>7.6977509440347083</v>
      </c>
      <c r="G84" s="87">
        <f>SQRT(POWER(Z84,2)+POWER(fitSyst_NonPrompt!AE84,2))</f>
        <v>0.10757756098381861</v>
      </c>
      <c r="H84" s="119">
        <f xml:space="preserve"> defaultFit_Inclusive!$U84*defaultFit_Inclusive!H84</f>
        <v>39.909947264000003</v>
      </c>
      <c r="I84" s="119">
        <f xml:space="preserve"> H84*SQRT(POWER(defaultFit_Inclusive!$V84/defaultFit_Inclusive!$U84,2)+POWER(defaultFit_Inclusive!I84/defaultFit_Inclusive!H84,2))</f>
        <v>6.3970253408859783</v>
      </c>
      <c r="J84" s="87">
        <f>SQRT(POWER(AA84,2)+POWER(fitSyst_NonPrompt!AF84,2))</f>
        <v>9.5423136385600335E-2</v>
      </c>
      <c r="K84" s="101"/>
      <c r="L84" s="142"/>
      <c r="M84" s="142"/>
      <c r="N84" s="142"/>
      <c r="O84" s="142"/>
      <c r="P84" s="75"/>
      <c r="Q84" s="141"/>
      <c r="R84" s="141"/>
      <c r="X84" s="3">
        <f t="shared" si="24"/>
        <v>0.65393739245512406</v>
      </c>
      <c r="Y84" s="3">
        <f t="shared" si="25"/>
        <v>0.57144746325717544</v>
      </c>
      <c r="Z84" s="3">
        <f t="shared" si="18"/>
        <v>0.10206223420088441</v>
      </c>
      <c r="AA84" s="3">
        <f t="shared" si="19"/>
        <v>9.159530778780535E-2</v>
      </c>
    </row>
    <row r="85" spans="1:27" x14ac:dyDescent="0.35">
      <c r="A85" s="144"/>
      <c r="B85" s="144"/>
      <c r="C85" s="144"/>
      <c r="D85" s="84" t="s">
        <v>53</v>
      </c>
      <c r="E85" s="119">
        <f xml:space="preserve"> defaultFit_Inclusive!$U85*defaultFit_Inclusive!E85</f>
        <v>48.727907260000002</v>
      </c>
      <c r="F85" s="119">
        <f xml:space="preserve"> E85*SQRT(POWER(defaultFit_Inclusive!$V85/defaultFit_Inclusive!$U85,2)+POWER(defaultFit_Inclusive!F85/defaultFit_Inclusive!E85,2))</f>
        <v>7.632093352265529</v>
      </c>
      <c r="G85" s="87">
        <f>SQRT(POWER(Z85,2)+POWER(fitSyst_NonPrompt!AE85,2))</f>
        <v>0.109606268516607</v>
      </c>
      <c r="H85" s="119">
        <f xml:space="preserve"> defaultFit_Inclusive!$U85*defaultFit_Inclusive!H85</f>
        <v>51.333305977999999</v>
      </c>
      <c r="I85" s="119">
        <f xml:space="preserve"> H85*SQRT(POWER(defaultFit_Inclusive!$V85/defaultFit_Inclusive!$U85,2)+POWER(defaultFit_Inclusive!I85/defaultFit_Inclusive!H85,2))</f>
        <v>7.9338860247141554</v>
      </c>
      <c r="J85" s="87">
        <f>SQRT(POWER(AA85,2)+POWER(fitSyst_NonPrompt!AF85,2))</f>
        <v>0.11480269870278847</v>
      </c>
      <c r="K85" s="101"/>
      <c r="L85" s="142"/>
      <c r="M85" s="142"/>
      <c r="N85" s="142"/>
      <c r="O85" s="142"/>
      <c r="P85" s="75"/>
      <c r="Q85" s="141"/>
      <c r="R85" s="141"/>
      <c r="X85" s="3">
        <f t="shared" si="24"/>
        <v>0.64606910759344416</v>
      </c>
      <c r="Y85" s="3">
        <f t="shared" si="25"/>
        <v>0.73501193293214206</v>
      </c>
      <c r="Z85" s="3">
        <f t="shared" si="18"/>
        <v>0.10119169934506331</v>
      </c>
      <c r="AA85" s="3">
        <f t="shared" si="19"/>
        <v>0.11360072747287456</v>
      </c>
    </row>
    <row r="86" spans="1:27" x14ac:dyDescent="0.35">
      <c r="A86" s="144"/>
      <c r="B86" s="144"/>
      <c r="C86" s="144"/>
      <c r="D86" s="80"/>
      <c r="E86" s="116">
        <f xml:space="preserve"> SUM(E82:E85)</f>
        <v>192.06087313699999</v>
      </c>
      <c r="F86" s="91"/>
      <c r="G86" s="72"/>
      <c r="H86" s="116">
        <f xml:space="preserve"> SUM(H82:H85)</f>
        <v>177.846351072</v>
      </c>
      <c r="I86" s="91"/>
      <c r="J86" s="72"/>
      <c r="K86" s="72"/>
      <c r="L86" s="72"/>
      <c r="M86" s="72"/>
      <c r="N86" s="72"/>
      <c r="O86" s="72"/>
      <c r="P86" s="72"/>
      <c r="Q86" s="72"/>
      <c r="R86" s="72"/>
    </row>
  </sheetData>
  <mergeCells count="109">
    <mergeCell ref="R82:R85"/>
    <mergeCell ref="L82:L85"/>
    <mergeCell ref="M82:M85"/>
    <mergeCell ref="N82:N85"/>
    <mergeCell ref="O82:O85"/>
    <mergeCell ref="Q82:Q85"/>
    <mergeCell ref="R70:R73"/>
    <mergeCell ref="L76:L79"/>
    <mergeCell ref="M76:M79"/>
    <mergeCell ref="N76:N79"/>
    <mergeCell ref="O76:O79"/>
    <mergeCell ref="Q76:Q79"/>
    <mergeCell ref="R76:R79"/>
    <mergeCell ref="L70:L73"/>
    <mergeCell ref="M70:M73"/>
    <mergeCell ref="N70:N73"/>
    <mergeCell ref="O70:O73"/>
    <mergeCell ref="Q70:Q73"/>
    <mergeCell ref="R58:R61"/>
    <mergeCell ref="L64:L67"/>
    <mergeCell ref="M64:M67"/>
    <mergeCell ref="N64:N67"/>
    <mergeCell ref="O64:O67"/>
    <mergeCell ref="Q64:Q67"/>
    <mergeCell ref="R64:R67"/>
    <mergeCell ref="L58:L61"/>
    <mergeCell ref="M58:M61"/>
    <mergeCell ref="N58:N61"/>
    <mergeCell ref="O58:O61"/>
    <mergeCell ref="Q58:Q61"/>
    <mergeCell ref="R46:R49"/>
    <mergeCell ref="L52:L55"/>
    <mergeCell ref="M52:M55"/>
    <mergeCell ref="N52:N55"/>
    <mergeCell ref="O52:O55"/>
    <mergeCell ref="Q52:Q55"/>
    <mergeCell ref="R52:R55"/>
    <mergeCell ref="L46:L49"/>
    <mergeCell ref="M46:M49"/>
    <mergeCell ref="N46:N49"/>
    <mergeCell ref="O46:O49"/>
    <mergeCell ref="Q46:Q49"/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N34:N37"/>
    <mergeCell ref="O34:O37"/>
    <mergeCell ref="Q34:Q37"/>
    <mergeCell ref="R34:R37"/>
    <mergeCell ref="L40:L43"/>
    <mergeCell ref="M40:M43"/>
    <mergeCell ref="N40:N43"/>
    <mergeCell ref="O40:O43"/>
    <mergeCell ref="Q40:Q43"/>
    <mergeCell ref="R40:R43"/>
    <mergeCell ref="A33:A62"/>
    <mergeCell ref="B33:B38"/>
    <mergeCell ref="C33:C62"/>
    <mergeCell ref="B39:B44"/>
    <mergeCell ref="B45:B50"/>
    <mergeCell ref="B51:B56"/>
    <mergeCell ref="B57:B62"/>
    <mergeCell ref="L34:L37"/>
    <mergeCell ref="M34:M37"/>
    <mergeCell ref="A3:A32"/>
    <mergeCell ref="B3:B32"/>
    <mergeCell ref="C3:C8"/>
    <mergeCell ref="C9:C14"/>
    <mergeCell ref="C15:C20"/>
    <mergeCell ref="C21:C26"/>
    <mergeCell ref="C27:C32"/>
    <mergeCell ref="O16:O19"/>
    <mergeCell ref="L22:L25"/>
    <mergeCell ref="M22:M25"/>
    <mergeCell ref="N22:N25"/>
    <mergeCell ref="L4:L7"/>
    <mergeCell ref="M4:M7"/>
    <mergeCell ref="N4:N7"/>
    <mergeCell ref="O4:O7"/>
    <mergeCell ref="L10:L13"/>
    <mergeCell ref="M10:M13"/>
    <mergeCell ref="N10:N13"/>
    <mergeCell ref="O10:O13"/>
    <mergeCell ref="L28:L31"/>
    <mergeCell ref="N28:N31"/>
    <mergeCell ref="L16:L19"/>
    <mergeCell ref="M16:M19"/>
    <mergeCell ref="N16:N19"/>
    <mergeCell ref="M28:M31"/>
    <mergeCell ref="O28:O31"/>
    <mergeCell ref="O22:O25"/>
    <mergeCell ref="Q4:Q7"/>
    <mergeCell ref="R4:R7"/>
    <mergeCell ref="Q10:Q13"/>
    <mergeCell ref="R10:R13"/>
    <mergeCell ref="Q16:Q19"/>
    <mergeCell ref="R16:R19"/>
    <mergeCell ref="Q22:Q25"/>
    <mergeCell ref="R22:R25"/>
    <mergeCell ref="Q28:Q31"/>
    <mergeCell ref="R28:R3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Ruler="0" topLeftCell="A76" zoomScale="50" zoomScaleNormal="50" workbookViewId="0">
      <pane xSplit="4" topLeftCell="E1" activePane="topRight" state="frozen"/>
      <selection activeCell="F3" sqref="F3"/>
      <selection pane="topRight" activeCell="L83" sqref="L83:L85"/>
    </sheetView>
  </sheetViews>
  <sheetFormatPr defaultColWidth="11.5546875" defaultRowHeight="17.25" x14ac:dyDescent="0.3"/>
  <cols>
    <col min="7" max="7" width="10.77734375" style="40"/>
    <col min="10" max="10" width="10.77734375" style="40"/>
    <col min="13" max="13" width="10.77734375" style="40"/>
  </cols>
  <sheetData>
    <row r="1" spans="1:14" ht="20.25" x14ac:dyDescent="0.35">
      <c r="A1" s="6"/>
      <c r="B1" s="6"/>
      <c r="C1" s="6"/>
      <c r="D1" s="6"/>
      <c r="E1" s="6" t="s">
        <v>59</v>
      </c>
      <c r="F1" s="6"/>
      <c r="G1" s="39"/>
      <c r="H1" s="6" t="s">
        <v>96</v>
      </c>
      <c r="I1" s="6"/>
      <c r="J1" s="39"/>
      <c r="K1" s="27" t="s">
        <v>60</v>
      </c>
      <c r="L1" s="27"/>
      <c r="M1" s="39"/>
    </row>
    <row r="2" spans="1:14" ht="20.25" x14ac:dyDescent="0.35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/>
    </row>
    <row r="3" spans="1:14" ht="20.25" x14ac:dyDescent="0.35">
      <c r="A3" s="146" t="s">
        <v>55</v>
      </c>
      <c r="B3" s="146" t="s">
        <v>25</v>
      </c>
      <c r="C3" s="125" t="s">
        <v>35</v>
      </c>
      <c r="D3" s="22" t="s">
        <v>51</v>
      </c>
      <c r="E3" s="123">
        <v>1451.38</v>
      </c>
      <c r="F3" s="67">
        <v>1325.85</v>
      </c>
      <c r="H3" s="123">
        <v>1325.85</v>
      </c>
      <c r="I3" s="67">
        <v>1319.38</v>
      </c>
      <c r="K3" s="67">
        <v>1455.92</v>
      </c>
      <c r="L3" s="123">
        <v>5000</v>
      </c>
      <c r="N3" s="41"/>
    </row>
    <row r="4" spans="1:14" ht="20.25" x14ac:dyDescent="0.35">
      <c r="A4" s="146"/>
      <c r="B4" s="146"/>
      <c r="C4" s="125"/>
      <c r="D4" s="4" t="s">
        <v>49</v>
      </c>
      <c r="E4" s="123">
        <v>382.31400000000002</v>
      </c>
      <c r="F4" s="67">
        <v>353.93400000000003</v>
      </c>
      <c r="H4" s="123">
        <v>353.93400000000003</v>
      </c>
      <c r="I4" s="67">
        <v>352.59800000000001</v>
      </c>
      <c r="K4" s="67">
        <v>387.81900000000002</v>
      </c>
      <c r="L4" s="123">
        <v>377.03500000000003</v>
      </c>
      <c r="N4" s="41"/>
    </row>
    <row r="5" spans="1:14" ht="20.25" x14ac:dyDescent="0.35">
      <c r="A5" s="146"/>
      <c r="B5" s="146"/>
      <c r="C5" s="125"/>
      <c r="D5" s="4" t="s">
        <v>50</v>
      </c>
      <c r="E5" s="123">
        <v>361.233</v>
      </c>
      <c r="F5" s="67">
        <v>322.35899999999998</v>
      </c>
      <c r="H5" s="123">
        <v>322.35899999999998</v>
      </c>
      <c r="I5" s="67">
        <v>320.625</v>
      </c>
      <c r="K5" s="67">
        <v>363.13600000000002</v>
      </c>
      <c r="L5" s="123">
        <v>334.83199999999999</v>
      </c>
      <c r="N5" s="41"/>
    </row>
    <row r="6" spans="1:14" ht="20.25" x14ac:dyDescent="0.35">
      <c r="A6" s="146"/>
      <c r="B6" s="146"/>
      <c r="C6" s="125"/>
      <c r="D6" s="28" t="s">
        <v>52</v>
      </c>
      <c r="E6" s="123">
        <v>341.76600000000002</v>
      </c>
      <c r="F6" s="67">
        <v>331.24700000000001</v>
      </c>
      <c r="H6" s="123">
        <v>331.24700000000001</v>
      </c>
      <c r="I6" s="67">
        <v>329.06700000000001</v>
      </c>
      <c r="K6" s="67">
        <v>345.57900000000001</v>
      </c>
      <c r="L6" s="123">
        <v>329.63400000000001</v>
      </c>
      <c r="N6" s="41"/>
    </row>
    <row r="7" spans="1:14" ht="20.25" x14ac:dyDescent="0.35">
      <c r="A7" s="146"/>
      <c r="B7" s="146"/>
      <c r="C7" s="125"/>
      <c r="D7" s="28" t="s">
        <v>53</v>
      </c>
      <c r="E7" s="123">
        <v>347.709</v>
      </c>
      <c r="F7" s="67">
        <v>318.49599999999998</v>
      </c>
      <c r="H7" s="123">
        <v>318.49599999999998</v>
      </c>
      <c r="I7" s="67">
        <v>316.82799999999997</v>
      </c>
      <c r="K7" s="67">
        <v>342.49200000000002</v>
      </c>
      <c r="L7" s="123">
        <v>341.59300000000002</v>
      </c>
      <c r="N7" s="41"/>
    </row>
    <row r="8" spans="1:14" ht="20.25" x14ac:dyDescent="0.35">
      <c r="A8" s="146"/>
      <c r="B8" s="146"/>
      <c r="C8" s="125"/>
      <c r="D8" s="72"/>
      <c r="E8" s="82">
        <f xml:space="preserve"> SUM(E4:E7)</f>
        <v>1433.0220000000002</v>
      </c>
      <c r="F8" s="82">
        <f xml:space="preserve"> SUM(F4:F7)</f>
        <v>1326.0360000000001</v>
      </c>
      <c r="G8" s="82"/>
      <c r="H8" s="82">
        <f xml:space="preserve"> SUM(H4:H7)</f>
        <v>1326.0360000000001</v>
      </c>
      <c r="I8" s="82">
        <f xml:space="preserve"> SUM(I4:I7)</f>
        <v>1319.1179999999999</v>
      </c>
      <c r="J8" s="82"/>
      <c r="K8" s="82">
        <f xml:space="preserve"> SUM(K4:K7)</f>
        <v>1439.0260000000001</v>
      </c>
      <c r="L8" s="82">
        <f xml:space="preserve"> SUM(L4:L7)</f>
        <v>1383.0940000000001</v>
      </c>
      <c r="M8" s="82"/>
      <c r="N8" s="81"/>
    </row>
    <row r="9" spans="1:14" ht="20.25" x14ac:dyDescent="0.35">
      <c r="A9" s="146"/>
      <c r="B9" s="146"/>
      <c r="C9" s="147" t="s">
        <v>2</v>
      </c>
      <c r="D9" s="8"/>
      <c r="E9" s="37"/>
      <c r="F9" s="37"/>
      <c r="H9" s="37"/>
      <c r="I9" s="37"/>
      <c r="K9" s="42"/>
      <c r="L9" s="42"/>
      <c r="N9" s="42"/>
    </row>
    <row r="10" spans="1:14" ht="20.25" x14ac:dyDescent="0.35">
      <c r="A10" s="146"/>
      <c r="B10" s="146"/>
      <c r="C10" s="147"/>
      <c r="D10" s="8"/>
      <c r="E10" s="37"/>
      <c r="F10" s="37"/>
      <c r="H10" s="37"/>
      <c r="I10" s="37"/>
      <c r="K10" s="42"/>
      <c r="L10" s="42"/>
      <c r="N10" s="42"/>
    </row>
    <row r="11" spans="1:14" ht="20.25" x14ac:dyDescent="0.35">
      <c r="A11" s="146"/>
      <c r="B11" s="146"/>
      <c r="C11" s="147"/>
      <c r="D11" s="8"/>
      <c r="E11" s="37"/>
      <c r="F11" s="37"/>
      <c r="H11" s="37"/>
      <c r="I11" s="37"/>
      <c r="K11" s="42"/>
      <c r="L11" s="42"/>
      <c r="N11" s="42"/>
    </row>
    <row r="12" spans="1:14" ht="20.25" x14ac:dyDescent="0.35">
      <c r="A12" s="146"/>
      <c r="B12" s="146"/>
      <c r="C12" s="147"/>
      <c r="D12" s="29"/>
      <c r="E12" s="37"/>
      <c r="F12" s="37"/>
      <c r="H12" s="37"/>
      <c r="I12" s="37"/>
      <c r="K12" s="42"/>
      <c r="L12" s="42"/>
      <c r="N12" s="42"/>
    </row>
    <row r="13" spans="1:14" ht="20.25" x14ac:dyDescent="0.35">
      <c r="A13" s="146"/>
      <c r="B13" s="146"/>
      <c r="C13" s="147"/>
      <c r="D13" s="29"/>
      <c r="E13" s="37"/>
      <c r="F13" s="37"/>
      <c r="H13" s="37"/>
      <c r="I13" s="37"/>
      <c r="K13" s="42"/>
      <c r="L13" s="42"/>
      <c r="N13" s="42"/>
    </row>
    <row r="14" spans="1:14" ht="20.25" x14ac:dyDescent="0.35">
      <c r="A14" s="146"/>
      <c r="B14" s="146"/>
      <c r="C14" s="147"/>
      <c r="D14" s="72"/>
      <c r="E14" s="82"/>
      <c r="F14" s="82"/>
      <c r="G14" s="82"/>
      <c r="H14" s="82"/>
      <c r="I14" s="82"/>
      <c r="J14" s="82"/>
      <c r="K14" s="81"/>
      <c r="L14" s="81"/>
      <c r="M14" s="82"/>
      <c r="N14" s="81"/>
    </row>
    <row r="15" spans="1:14" ht="20.25" x14ac:dyDescent="0.35">
      <c r="A15" s="146"/>
      <c r="B15" s="146"/>
      <c r="C15" s="148" t="s">
        <v>54</v>
      </c>
      <c r="D15" s="22" t="s">
        <v>51</v>
      </c>
      <c r="E15" s="67">
        <v>1254.58</v>
      </c>
      <c r="F15" s="67">
        <v>1233.99</v>
      </c>
      <c r="H15" s="123">
        <v>1233.99</v>
      </c>
      <c r="I15" s="67">
        <v>1218.81</v>
      </c>
      <c r="K15" s="67">
        <v>1257.6500000000001</v>
      </c>
      <c r="L15" s="123">
        <v>5000</v>
      </c>
      <c r="N15" s="43"/>
    </row>
    <row r="16" spans="1:14" ht="20.25" x14ac:dyDescent="0.35">
      <c r="A16" s="146"/>
      <c r="B16" s="146"/>
      <c r="C16" s="148"/>
      <c r="D16" s="30" t="s">
        <v>49</v>
      </c>
      <c r="E16" s="67">
        <v>315.642</v>
      </c>
      <c r="F16" s="67">
        <v>366.13400000000001</v>
      </c>
      <c r="H16" s="123">
        <v>366.13400000000001</v>
      </c>
      <c r="I16" s="67">
        <v>362.10399999999998</v>
      </c>
      <c r="K16" s="67">
        <v>315.072</v>
      </c>
      <c r="L16" s="123">
        <v>379.51799999999997</v>
      </c>
      <c r="N16" s="43"/>
    </row>
    <row r="17" spans="1:14" ht="20.25" x14ac:dyDescent="0.35">
      <c r="A17" s="146"/>
      <c r="B17" s="146"/>
      <c r="C17" s="148"/>
      <c r="D17" s="30" t="s">
        <v>50</v>
      </c>
      <c r="E17" s="67">
        <v>344.97199999999998</v>
      </c>
      <c r="F17" s="67">
        <v>309.58999999999997</v>
      </c>
      <c r="H17" s="123">
        <v>309.58999999999997</v>
      </c>
      <c r="I17" s="67">
        <v>305.75099999999998</v>
      </c>
      <c r="K17" s="67">
        <v>347.18599999999998</v>
      </c>
      <c r="L17" s="123">
        <v>319.84300000000002</v>
      </c>
      <c r="N17" s="43"/>
    </row>
    <row r="18" spans="1:14" ht="20.25" x14ac:dyDescent="0.35">
      <c r="A18" s="146"/>
      <c r="B18" s="146"/>
      <c r="C18" s="148"/>
      <c r="D18" s="31" t="s">
        <v>52</v>
      </c>
      <c r="E18" s="67">
        <v>296.23099999999999</v>
      </c>
      <c r="F18" s="67">
        <v>279.14400000000001</v>
      </c>
      <c r="H18" s="123">
        <v>279.14400000000001</v>
      </c>
      <c r="I18" s="67">
        <v>275.529</v>
      </c>
      <c r="K18" s="67">
        <v>296.25299999999999</v>
      </c>
      <c r="L18" s="123">
        <v>280.57799999999997</v>
      </c>
      <c r="N18" s="43"/>
    </row>
    <row r="19" spans="1:14" ht="20.25" x14ac:dyDescent="0.35">
      <c r="A19" s="146"/>
      <c r="B19" s="146"/>
      <c r="C19" s="148"/>
      <c r="D19" s="31" t="s">
        <v>53</v>
      </c>
      <c r="E19" s="67">
        <v>298.85300000000001</v>
      </c>
      <c r="F19" s="67">
        <v>279.495</v>
      </c>
      <c r="H19" s="123">
        <v>279.495</v>
      </c>
      <c r="I19" s="67">
        <v>275.82</v>
      </c>
      <c r="K19" s="67">
        <v>299.76600000000002</v>
      </c>
      <c r="L19" s="123">
        <v>300.78100000000001</v>
      </c>
      <c r="N19" s="43"/>
    </row>
    <row r="20" spans="1:14" ht="20.25" x14ac:dyDescent="0.35">
      <c r="A20" s="146"/>
      <c r="B20" s="146"/>
      <c r="C20" s="148"/>
      <c r="D20" s="80"/>
      <c r="E20" s="82">
        <f xml:space="preserve"> SUM(E16:E19)</f>
        <v>1255.6980000000001</v>
      </c>
      <c r="F20" s="82">
        <f xml:space="preserve"> SUM(F16:F19)</f>
        <v>1234.3629999999998</v>
      </c>
      <c r="G20" s="82"/>
      <c r="H20" s="82">
        <f xml:space="preserve"> SUM(H16:H19)</f>
        <v>1234.3629999999998</v>
      </c>
      <c r="I20" s="82">
        <f xml:space="preserve"> SUM(I16:I19)</f>
        <v>1219.204</v>
      </c>
      <c r="J20" s="82"/>
      <c r="K20" s="82">
        <f xml:space="preserve"> SUM(K16:K19)</f>
        <v>1258.277</v>
      </c>
      <c r="L20" s="82">
        <f xml:space="preserve"> SUM(L16:L19)</f>
        <v>1280.72</v>
      </c>
      <c r="M20" s="82"/>
      <c r="N20" s="81"/>
    </row>
    <row r="21" spans="1:14" ht="20.25" x14ac:dyDescent="0.35">
      <c r="A21" s="146"/>
      <c r="B21" s="146"/>
      <c r="C21" s="129" t="s">
        <v>56</v>
      </c>
      <c r="D21" s="32" t="s">
        <v>51</v>
      </c>
      <c r="E21" s="67">
        <v>1225.32</v>
      </c>
      <c r="F21" s="67">
        <v>1091.3699999999999</v>
      </c>
      <c r="H21" s="123">
        <v>1091.3699999999999</v>
      </c>
      <c r="I21" s="123">
        <v>1080.94</v>
      </c>
      <c r="K21" s="67">
        <v>1244.52</v>
      </c>
      <c r="L21" s="123">
        <v>5000</v>
      </c>
      <c r="N21" s="44"/>
    </row>
    <row r="22" spans="1:14" ht="20.25" x14ac:dyDescent="0.35">
      <c r="A22" s="146"/>
      <c r="B22" s="146"/>
      <c r="C22" s="129"/>
      <c r="D22" s="32" t="s">
        <v>49</v>
      </c>
      <c r="E22" s="67">
        <v>326.178</v>
      </c>
      <c r="F22" s="67">
        <v>324.11099999999999</v>
      </c>
      <c r="H22" s="123">
        <v>324.11099999999999</v>
      </c>
      <c r="I22" s="123">
        <v>320.00799999999998</v>
      </c>
      <c r="K22" s="67">
        <v>327.16300000000001</v>
      </c>
      <c r="L22" s="123">
        <v>328.02600000000001</v>
      </c>
      <c r="N22" s="44"/>
    </row>
    <row r="23" spans="1:14" ht="20.25" x14ac:dyDescent="0.35">
      <c r="A23" s="146"/>
      <c r="B23" s="146"/>
      <c r="C23" s="129"/>
      <c r="D23" s="32" t="s">
        <v>50</v>
      </c>
      <c r="E23" s="67">
        <v>323.73</v>
      </c>
      <c r="F23" s="67">
        <v>261.42200000000003</v>
      </c>
      <c r="H23" s="123">
        <v>261.42200000000003</v>
      </c>
      <c r="I23" s="123">
        <v>259.73899999999998</v>
      </c>
      <c r="K23" s="67">
        <v>329.89800000000002</v>
      </c>
      <c r="L23" s="123">
        <v>260.63099999999997</v>
      </c>
      <c r="N23" s="44"/>
    </row>
    <row r="24" spans="1:14" ht="20.25" x14ac:dyDescent="0.35">
      <c r="A24" s="146"/>
      <c r="B24" s="146"/>
      <c r="C24" s="129"/>
      <c r="D24" s="34" t="s">
        <v>52</v>
      </c>
      <c r="E24" s="67">
        <v>308.23500000000001</v>
      </c>
      <c r="F24" s="67">
        <v>247.82900000000001</v>
      </c>
      <c r="H24" s="123">
        <v>247.82900000000001</v>
      </c>
      <c r="I24" s="123">
        <v>245.506</v>
      </c>
      <c r="K24" s="67">
        <v>314.738</v>
      </c>
      <c r="L24" s="123">
        <v>252.73699999999999</v>
      </c>
      <c r="N24" s="44"/>
    </row>
    <row r="25" spans="1:14" ht="20.25" x14ac:dyDescent="0.35">
      <c r="A25" s="146"/>
      <c r="B25" s="146"/>
      <c r="C25" s="129"/>
      <c r="D25" s="34" t="s">
        <v>53</v>
      </c>
      <c r="E25" s="67">
        <v>264.19200000000001</v>
      </c>
      <c r="F25" s="67">
        <v>258.63799999999998</v>
      </c>
      <c r="H25" s="123">
        <v>258.63799999999998</v>
      </c>
      <c r="I25" s="123">
        <v>256.13200000000001</v>
      </c>
      <c r="K25" s="67">
        <v>269.95499999999998</v>
      </c>
      <c r="L25" s="123">
        <v>267.82</v>
      </c>
      <c r="N25" s="44"/>
    </row>
    <row r="26" spans="1:14" ht="20.25" x14ac:dyDescent="0.35">
      <c r="A26" s="146"/>
      <c r="B26" s="146"/>
      <c r="C26" s="129"/>
      <c r="D26" s="80"/>
      <c r="E26" s="82">
        <f xml:space="preserve"> SUM(E22:E25)</f>
        <v>1222.335</v>
      </c>
      <c r="F26" s="82">
        <f xml:space="preserve"> SUM(F22:F25)</f>
        <v>1092</v>
      </c>
      <c r="G26" s="82"/>
      <c r="H26" s="82">
        <f xml:space="preserve"> SUM(H22:H25)</f>
        <v>1092</v>
      </c>
      <c r="I26" s="82">
        <f xml:space="preserve"> SUM(I22:I25)</f>
        <v>1081.385</v>
      </c>
      <c r="J26" s="82"/>
      <c r="K26" s="82">
        <f xml:space="preserve"> SUM(K22:K25)</f>
        <v>1241.7539999999999</v>
      </c>
      <c r="L26" s="82">
        <f xml:space="preserve"> SUM(L22:L25)</f>
        <v>1109.2139999999999</v>
      </c>
      <c r="M26" s="82"/>
      <c r="N26" s="74"/>
    </row>
    <row r="27" spans="1:14" ht="20.25" x14ac:dyDescent="0.35">
      <c r="A27" s="146"/>
      <c r="B27" s="146"/>
      <c r="C27" s="149" t="s">
        <v>57</v>
      </c>
      <c r="D27" s="22" t="s">
        <v>51</v>
      </c>
      <c r="E27" s="67">
        <v>900.11099999999999</v>
      </c>
      <c r="F27" s="67">
        <v>873.947</v>
      </c>
      <c r="H27" s="67">
        <v>873.947</v>
      </c>
      <c r="I27" s="67">
        <v>861.50099999999998</v>
      </c>
      <c r="K27" s="67">
        <v>894.447</v>
      </c>
      <c r="L27" s="153">
        <v>5000</v>
      </c>
      <c r="N27" s="45"/>
    </row>
    <row r="28" spans="1:14" ht="20.25" x14ac:dyDescent="0.35">
      <c r="A28" s="146"/>
      <c r="B28" s="146"/>
      <c r="C28" s="149"/>
      <c r="D28" s="22" t="s">
        <v>49</v>
      </c>
      <c r="E28" s="67">
        <v>271.02600000000001</v>
      </c>
      <c r="F28" s="67">
        <v>245.23400000000001</v>
      </c>
      <c r="H28" s="67">
        <v>245.23400000000001</v>
      </c>
      <c r="I28" s="67">
        <v>240.63499999999999</v>
      </c>
      <c r="K28" s="67">
        <v>271.35700000000003</v>
      </c>
      <c r="L28" s="153">
        <v>243.31700000000001</v>
      </c>
      <c r="N28" s="45"/>
    </row>
    <row r="29" spans="1:14" ht="20.25" x14ac:dyDescent="0.35">
      <c r="A29" s="146"/>
      <c r="B29" s="146"/>
      <c r="C29" s="149"/>
      <c r="D29" s="22" t="s">
        <v>50</v>
      </c>
      <c r="E29" s="67">
        <v>204.37299999999999</v>
      </c>
      <c r="F29" s="67">
        <v>229.84800000000001</v>
      </c>
      <c r="H29" s="67">
        <v>229.84800000000001</v>
      </c>
      <c r="I29" s="67">
        <v>227.05199999999999</v>
      </c>
      <c r="K29" s="67">
        <v>202.14</v>
      </c>
      <c r="L29" s="153">
        <v>229.14500000000001</v>
      </c>
      <c r="N29" s="45"/>
    </row>
    <row r="30" spans="1:14" ht="20.25" x14ac:dyDescent="0.35">
      <c r="A30" s="146"/>
      <c r="B30" s="146"/>
      <c r="C30" s="149"/>
      <c r="D30" s="13" t="s">
        <v>52</v>
      </c>
      <c r="E30" s="67">
        <v>216.96100000000001</v>
      </c>
      <c r="F30" s="67">
        <v>201.172</v>
      </c>
      <c r="H30" s="67">
        <v>201.172</v>
      </c>
      <c r="I30" s="67">
        <v>199.434</v>
      </c>
      <c r="K30" s="67">
        <v>214.672</v>
      </c>
      <c r="L30" s="153">
        <v>205.679</v>
      </c>
      <c r="N30" s="45"/>
    </row>
    <row r="31" spans="1:14" ht="20.25" x14ac:dyDescent="0.35">
      <c r="A31" s="146"/>
      <c r="B31" s="146"/>
      <c r="C31" s="149"/>
      <c r="D31" s="13" t="s">
        <v>53</v>
      </c>
      <c r="E31" s="67">
        <v>203.06800000000001</v>
      </c>
      <c r="F31" s="67">
        <v>194.77699999999999</v>
      </c>
      <c r="H31" s="67">
        <v>194.77699999999999</v>
      </c>
      <c r="I31" s="67">
        <v>191.934</v>
      </c>
      <c r="K31" s="67">
        <v>208.696</v>
      </c>
      <c r="L31" s="153">
        <v>202.708</v>
      </c>
      <c r="N31" s="45"/>
    </row>
    <row r="32" spans="1:14" ht="20.25" x14ac:dyDescent="0.35">
      <c r="A32" s="146"/>
      <c r="B32" s="146"/>
      <c r="C32" s="149"/>
      <c r="D32" s="80"/>
      <c r="E32" s="82">
        <f xml:space="preserve"> SUM(E28:E31)</f>
        <v>895.428</v>
      </c>
      <c r="F32" s="82">
        <f xml:space="preserve"> SUM(F28:F31)</f>
        <v>871.03099999999995</v>
      </c>
      <c r="G32" s="82"/>
      <c r="H32" s="82">
        <f xml:space="preserve"> SUM(H28:H31)</f>
        <v>871.03099999999995</v>
      </c>
      <c r="I32" s="82">
        <f xml:space="preserve"> SUM(I28:I31)</f>
        <v>859.05499999999995</v>
      </c>
      <c r="J32" s="82"/>
      <c r="K32" s="82">
        <f xml:space="preserve"> SUM(K28:K31)</f>
        <v>896.86500000000001</v>
      </c>
      <c r="L32" s="82">
        <f xml:space="preserve"> SUM(L28:L31)</f>
        <v>880.84899999999993</v>
      </c>
      <c r="M32" s="82"/>
      <c r="N32" s="74"/>
    </row>
    <row r="33" spans="1:14" ht="20.25" x14ac:dyDescent="0.35">
      <c r="A33" s="150" t="s">
        <v>55</v>
      </c>
      <c r="B33" s="132" t="s">
        <v>37</v>
      </c>
      <c r="C33" s="151" t="s">
        <v>17</v>
      </c>
      <c r="D33" s="48" t="s">
        <v>51</v>
      </c>
      <c r="E33" s="124">
        <v>1113.9000000000001</v>
      </c>
      <c r="F33" s="124">
        <v>1109.0999999999999</v>
      </c>
      <c r="H33" s="6">
        <v>1109.0999999999999</v>
      </c>
      <c r="I33" s="124">
        <v>1096.45</v>
      </c>
      <c r="K33" s="124">
        <v>1112.19</v>
      </c>
      <c r="L33" s="124">
        <v>1119.02</v>
      </c>
    </row>
    <row r="34" spans="1:14" ht="20.25" x14ac:dyDescent="0.35">
      <c r="A34" s="150"/>
      <c r="B34" s="132"/>
      <c r="C34" s="151"/>
      <c r="D34" s="50" t="s">
        <v>49</v>
      </c>
      <c r="E34" s="124">
        <v>313.476</v>
      </c>
      <c r="F34" s="124">
        <v>322.79899999999998</v>
      </c>
      <c r="H34" s="6">
        <v>322.79899999999998</v>
      </c>
      <c r="I34" s="124">
        <v>318.98599999999999</v>
      </c>
      <c r="K34" s="124">
        <v>314.12400000000002</v>
      </c>
      <c r="L34" s="124">
        <v>325.00700000000001</v>
      </c>
    </row>
    <row r="35" spans="1:14" ht="20.25" x14ac:dyDescent="0.35">
      <c r="A35" s="150"/>
      <c r="B35" s="132"/>
      <c r="C35" s="151"/>
      <c r="D35" s="50" t="s">
        <v>50</v>
      </c>
      <c r="E35" s="124">
        <v>269.04599999999999</v>
      </c>
      <c r="F35" s="124">
        <v>289.00400000000002</v>
      </c>
      <c r="H35" s="6">
        <v>289.00400000000002</v>
      </c>
      <c r="I35" s="124">
        <v>285.73599999999999</v>
      </c>
      <c r="K35" s="124">
        <v>267.50200000000001</v>
      </c>
      <c r="L35" s="124">
        <v>290.18700000000001</v>
      </c>
    </row>
    <row r="36" spans="1:14" ht="20.25" x14ac:dyDescent="0.35">
      <c r="A36" s="150"/>
      <c r="B36" s="132"/>
      <c r="C36" s="151"/>
      <c r="D36" s="48" t="s">
        <v>52</v>
      </c>
      <c r="E36" s="124">
        <v>282.17</v>
      </c>
      <c r="F36" s="124">
        <v>247.434</v>
      </c>
      <c r="H36" s="6">
        <v>247.434</v>
      </c>
      <c r="I36" s="124">
        <v>244.62299999999999</v>
      </c>
      <c r="K36" s="124">
        <v>281.19900000000001</v>
      </c>
      <c r="L36" s="124">
        <v>250.02500000000001</v>
      </c>
    </row>
    <row r="37" spans="1:14" ht="20.25" x14ac:dyDescent="0.35">
      <c r="A37" s="150"/>
      <c r="B37" s="132"/>
      <c r="C37" s="151"/>
      <c r="D37" s="48" t="s">
        <v>53</v>
      </c>
      <c r="E37" s="124">
        <v>248.57900000000001</v>
      </c>
      <c r="F37" s="124">
        <v>251.58</v>
      </c>
      <c r="H37" s="6">
        <v>251.58</v>
      </c>
      <c r="I37" s="124">
        <v>248.64500000000001</v>
      </c>
      <c r="K37" s="124">
        <v>266.15300000000002</v>
      </c>
      <c r="L37" s="124">
        <v>257.82499999999999</v>
      </c>
    </row>
    <row r="38" spans="1:14" ht="20.25" x14ac:dyDescent="0.35">
      <c r="A38" s="150"/>
      <c r="B38" s="132"/>
      <c r="C38" s="151"/>
      <c r="D38" s="80"/>
      <c r="E38" s="82">
        <f xml:space="preserve"> SUM(E34:E37)</f>
        <v>1113.271</v>
      </c>
      <c r="F38" s="82">
        <f xml:space="preserve"> SUM(F34:F37)</f>
        <v>1110.817</v>
      </c>
      <c r="G38" s="82"/>
      <c r="H38" s="82">
        <f xml:space="preserve"> SUM(H34:H37)</f>
        <v>1110.817</v>
      </c>
      <c r="I38" s="82">
        <f xml:space="preserve"> SUM(I34:I37)</f>
        <v>1097.99</v>
      </c>
      <c r="J38" s="82"/>
      <c r="K38" s="82">
        <f xml:space="preserve"> SUM(K34:K37)</f>
        <v>1128.9780000000001</v>
      </c>
      <c r="L38" s="82">
        <f xml:space="preserve"> SUM(L34:L37)</f>
        <v>1123.0439999999999</v>
      </c>
      <c r="M38" s="82"/>
      <c r="N38" s="82"/>
    </row>
    <row r="39" spans="1:14" ht="20.25" x14ac:dyDescent="0.35">
      <c r="A39" s="150"/>
      <c r="B39" s="150" t="s">
        <v>76</v>
      </c>
      <c r="C39" s="151"/>
      <c r="D39" s="51" t="s">
        <v>51</v>
      </c>
      <c r="E39" s="124">
        <v>1109.98</v>
      </c>
      <c r="F39" s="124">
        <v>997.44399999999996</v>
      </c>
      <c r="H39" s="124">
        <v>997.44399999999996</v>
      </c>
      <c r="I39" s="124">
        <v>984.36</v>
      </c>
      <c r="K39" s="124">
        <v>1113.6400000000001</v>
      </c>
      <c r="L39" s="124">
        <v>993.03499999999997</v>
      </c>
    </row>
    <row r="40" spans="1:14" ht="20.25" x14ac:dyDescent="0.35">
      <c r="A40" s="150"/>
      <c r="B40" s="150"/>
      <c r="C40" s="151"/>
      <c r="D40" s="52" t="s">
        <v>49</v>
      </c>
      <c r="E40" s="124">
        <v>315.58300000000003</v>
      </c>
      <c r="F40" s="124">
        <v>291.22800000000001</v>
      </c>
      <c r="H40" s="124">
        <v>291.22800000000001</v>
      </c>
      <c r="I40" s="124">
        <v>286.64</v>
      </c>
      <c r="K40" s="124">
        <v>311.166</v>
      </c>
      <c r="L40" s="124">
        <v>288.27499999999998</v>
      </c>
    </row>
    <row r="41" spans="1:14" ht="20.25" x14ac:dyDescent="0.35">
      <c r="A41" s="150"/>
      <c r="B41" s="150"/>
      <c r="C41" s="151"/>
      <c r="D41" s="52" t="s">
        <v>50</v>
      </c>
      <c r="E41" s="124">
        <v>292.61200000000002</v>
      </c>
      <c r="F41" s="124">
        <v>258.99099999999999</v>
      </c>
      <c r="H41" s="124">
        <v>258.99099999999999</v>
      </c>
      <c r="I41" s="124">
        <v>257.28699999999998</v>
      </c>
      <c r="K41" s="124">
        <v>301.60599999999999</v>
      </c>
      <c r="L41" s="124">
        <v>255.00299999999999</v>
      </c>
    </row>
    <row r="42" spans="1:14" ht="20.25" x14ac:dyDescent="0.35">
      <c r="A42" s="150"/>
      <c r="B42" s="150"/>
      <c r="C42" s="151"/>
      <c r="D42" s="51" t="s">
        <v>52</v>
      </c>
      <c r="E42" s="124">
        <v>270.38099999999997</v>
      </c>
      <c r="F42" s="124">
        <v>211.45</v>
      </c>
      <c r="H42" s="124">
        <v>211.45</v>
      </c>
      <c r="I42" s="124">
        <v>208.863</v>
      </c>
      <c r="K42" s="124">
        <v>274.30500000000001</v>
      </c>
      <c r="L42" s="124">
        <v>212.488</v>
      </c>
    </row>
    <row r="43" spans="1:14" ht="20.25" x14ac:dyDescent="0.35">
      <c r="A43" s="150"/>
      <c r="B43" s="150"/>
      <c r="C43" s="151"/>
      <c r="D43" s="51" t="s">
        <v>53</v>
      </c>
      <c r="E43" s="124">
        <v>225.3</v>
      </c>
      <c r="F43" s="124">
        <v>234.83500000000001</v>
      </c>
      <c r="H43" s="124">
        <v>234.83500000000001</v>
      </c>
      <c r="I43" s="124">
        <v>230.786</v>
      </c>
      <c r="K43" s="124">
        <v>219.50200000000001</v>
      </c>
      <c r="L43" s="124">
        <v>237.82499999999999</v>
      </c>
    </row>
    <row r="44" spans="1:14" ht="20.25" x14ac:dyDescent="0.35">
      <c r="A44" s="150"/>
      <c r="B44" s="150"/>
      <c r="C44" s="151"/>
      <c r="D44" s="80"/>
      <c r="E44" s="82">
        <f xml:space="preserve"> SUM(E40:E43)</f>
        <v>1103.876</v>
      </c>
      <c r="F44" s="82">
        <f xml:space="preserve"> SUM(F40:F43)</f>
        <v>996.50400000000013</v>
      </c>
      <c r="G44" s="82"/>
      <c r="H44" s="82">
        <f xml:space="preserve"> SUM(H40:H43)</f>
        <v>996.50400000000013</v>
      </c>
      <c r="I44" s="82">
        <f xml:space="preserve"> SUM(I40:I43)</f>
        <v>983.57600000000002</v>
      </c>
      <c r="J44" s="82"/>
      <c r="K44" s="82">
        <f xml:space="preserve"> SUM(K40:K43)</f>
        <v>1106.579</v>
      </c>
      <c r="L44" s="82">
        <f xml:space="preserve"> SUM(L40:L43)</f>
        <v>993.59100000000012</v>
      </c>
      <c r="M44" s="82"/>
      <c r="N44" s="82"/>
    </row>
    <row r="45" spans="1:14" ht="20.25" x14ac:dyDescent="0.35">
      <c r="A45" s="150"/>
      <c r="B45" s="132" t="s">
        <v>77</v>
      </c>
      <c r="C45" s="151"/>
      <c r="D45" s="53" t="s">
        <v>51</v>
      </c>
      <c r="E45" s="124">
        <v>1178.8599999999999</v>
      </c>
      <c r="F45" s="124">
        <v>1094.93</v>
      </c>
      <c r="H45" s="124">
        <v>1094.93</v>
      </c>
      <c r="I45" s="124">
        <v>1078.3399999999999</v>
      </c>
      <c r="K45" s="124">
        <v>1185.23</v>
      </c>
      <c r="L45" s="124">
        <v>5000</v>
      </c>
    </row>
    <row r="46" spans="1:14" ht="20.25" x14ac:dyDescent="0.35">
      <c r="A46" s="150"/>
      <c r="B46" s="132"/>
      <c r="C46" s="151"/>
      <c r="D46" s="55" t="s">
        <v>49</v>
      </c>
      <c r="E46" s="124">
        <v>291.48700000000002</v>
      </c>
      <c r="F46" s="124">
        <v>325.03800000000001</v>
      </c>
      <c r="H46" s="124">
        <v>325.03800000000001</v>
      </c>
      <c r="I46" s="124">
        <v>318.97899999999998</v>
      </c>
      <c r="K46" s="124">
        <v>291.983</v>
      </c>
      <c r="L46" s="124">
        <v>320.16899999999998</v>
      </c>
    </row>
    <row r="47" spans="1:14" ht="20.25" x14ac:dyDescent="0.35">
      <c r="A47" s="150"/>
      <c r="B47" s="132"/>
      <c r="C47" s="151"/>
      <c r="D47" s="55" t="s">
        <v>50</v>
      </c>
      <c r="E47" s="124">
        <v>317.67899999999997</v>
      </c>
      <c r="F47" s="124">
        <v>253.14</v>
      </c>
      <c r="H47" s="124">
        <v>253.14</v>
      </c>
      <c r="I47" s="124">
        <v>249.738</v>
      </c>
      <c r="K47" s="124">
        <v>318.59500000000003</v>
      </c>
      <c r="L47" s="124">
        <v>251.80099999999999</v>
      </c>
    </row>
    <row r="48" spans="1:14" ht="20.25" x14ac:dyDescent="0.35">
      <c r="A48" s="150"/>
      <c r="B48" s="132"/>
      <c r="C48" s="151"/>
      <c r="D48" s="53" t="s">
        <v>52</v>
      </c>
      <c r="E48" s="124">
        <v>274.70800000000003</v>
      </c>
      <c r="F48" s="124">
        <v>269.82799999999997</v>
      </c>
      <c r="H48" s="124">
        <v>269.82799999999997</v>
      </c>
      <c r="I48" s="124">
        <v>266.267</v>
      </c>
      <c r="K48" s="124">
        <v>271.13200000000001</v>
      </c>
      <c r="L48" s="124">
        <v>270.28100000000001</v>
      </c>
    </row>
    <row r="49" spans="1:14" ht="20.25" x14ac:dyDescent="0.35">
      <c r="A49" s="150"/>
      <c r="B49" s="132"/>
      <c r="C49" s="151"/>
      <c r="D49" s="53" t="s">
        <v>53</v>
      </c>
      <c r="E49" s="124">
        <v>295.48899999999998</v>
      </c>
      <c r="F49" s="124">
        <v>247.238</v>
      </c>
      <c r="H49" s="124">
        <v>247.238</v>
      </c>
      <c r="I49" s="124">
        <v>244.08799999999999</v>
      </c>
      <c r="K49" s="124">
        <v>303.87700000000001</v>
      </c>
      <c r="L49" s="124">
        <v>245.64500000000001</v>
      </c>
    </row>
    <row r="50" spans="1:14" ht="20.25" x14ac:dyDescent="0.35">
      <c r="A50" s="150"/>
      <c r="B50" s="132"/>
      <c r="C50" s="151"/>
      <c r="D50" s="74"/>
      <c r="E50" s="82">
        <f xml:space="preserve"> SUM(E46:E49)</f>
        <v>1179.3630000000001</v>
      </c>
      <c r="F50" s="82">
        <f xml:space="preserve"> SUM(F46:F49)</f>
        <v>1095.2439999999999</v>
      </c>
      <c r="G50" s="82"/>
      <c r="H50" s="82">
        <f xml:space="preserve"> SUM(H46:H49)</f>
        <v>1095.2439999999999</v>
      </c>
      <c r="I50" s="82">
        <f xml:space="preserve"> SUM(I46:I49)</f>
        <v>1079.0719999999999</v>
      </c>
      <c r="J50" s="82"/>
      <c r="K50" s="82">
        <f xml:space="preserve"> SUM(K46:K49)</f>
        <v>1185.587</v>
      </c>
      <c r="L50" s="82">
        <f xml:space="preserve"> SUM(L46:L49)</f>
        <v>1087.896</v>
      </c>
      <c r="M50" s="82"/>
      <c r="N50" s="82"/>
    </row>
    <row r="51" spans="1:14" ht="20.25" x14ac:dyDescent="0.35">
      <c r="A51" s="150"/>
      <c r="B51" s="132" t="s">
        <v>78</v>
      </c>
      <c r="C51" s="151"/>
      <c r="D51" s="56" t="s">
        <v>51</v>
      </c>
    </row>
    <row r="52" spans="1:14" ht="20.25" x14ac:dyDescent="0.35">
      <c r="A52" s="150"/>
      <c r="B52" s="132"/>
      <c r="C52" s="151"/>
      <c r="D52" s="58" t="s">
        <v>49</v>
      </c>
    </row>
    <row r="53" spans="1:14" ht="20.25" x14ac:dyDescent="0.35">
      <c r="A53" s="150"/>
      <c r="B53" s="132"/>
      <c r="C53" s="151"/>
      <c r="D53" s="58" t="s">
        <v>50</v>
      </c>
    </row>
    <row r="54" spans="1:14" ht="20.25" x14ac:dyDescent="0.35">
      <c r="A54" s="150"/>
      <c r="B54" s="132"/>
      <c r="C54" s="151"/>
      <c r="D54" s="56" t="s">
        <v>52</v>
      </c>
    </row>
    <row r="55" spans="1:14" ht="20.25" x14ac:dyDescent="0.35">
      <c r="A55" s="150"/>
      <c r="B55" s="132"/>
      <c r="C55" s="151"/>
      <c r="D55" s="56" t="s">
        <v>53</v>
      </c>
    </row>
    <row r="56" spans="1:14" ht="20.25" x14ac:dyDescent="0.35">
      <c r="A56" s="150"/>
      <c r="B56" s="132"/>
      <c r="C56" s="151"/>
      <c r="D56" s="74"/>
      <c r="E56" s="82">
        <f xml:space="preserve"> SUM(E52:E55)</f>
        <v>0</v>
      </c>
      <c r="F56" s="82">
        <f xml:space="preserve"> SUM(F52:F55)</f>
        <v>0</v>
      </c>
      <c r="G56" s="82"/>
      <c r="H56" s="82">
        <f xml:space="preserve"> SUM(H52:H55)</f>
        <v>0</v>
      </c>
      <c r="I56" s="82">
        <f xml:space="preserve"> SUM(I52:I55)</f>
        <v>0</v>
      </c>
      <c r="J56" s="82"/>
      <c r="K56" s="82">
        <f xml:space="preserve"> SUM(K52:K55)</f>
        <v>0</v>
      </c>
      <c r="L56" s="82">
        <f xml:space="preserve"> SUM(L52:L55)</f>
        <v>0</v>
      </c>
      <c r="M56" s="82"/>
      <c r="N56" s="82"/>
    </row>
    <row r="57" spans="1:14" ht="20.25" x14ac:dyDescent="0.35">
      <c r="A57" s="150"/>
      <c r="B57" s="132" t="s">
        <v>79</v>
      </c>
      <c r="C57" s="151"/>
      <c r="D57" s="59" t="s">
        <v>51</v>
      </c>
    </row>
    <row r="58" spans="1:14" ht="20.25" x14ac:dyDescent="0.35">
      <c r="A58" s="150"/>
      <c r="B58" s="132"/>
      <c r="C58" s="151"/>
      <c r="D58" s="61" t="s">
        <v>49</v>
      </c>
    </row>
    <row r="59" spans="1:14" ht="20.25" x14ac:dyDescent="0.35">
      <c r="A59" s="150"/>
      <c r="B59" s="132"/>
      <c r="C59" s="151"/>
      <c r="D59" s="61" t="s">
        <v>50</v>
      </c>
    </row>
    <row r="60" spans="1:14" ht="20.25" x14ac:dyDescent="0.35">
      <c r="A60" s="150"/>
      <c r="B60" s="132"/>
      <c r="C60" s="151"/>
      <c r="D60" s="59" t="s">
        <v>52</v>
      </c>
    </row>
    <row r="61" spans="1:14" ht="20.25" x14ac:dyDescent="0.35">
      <c r="A61" s="150"/>
      <c r="B61" s="132"/>
      <c r="C61" s="151"/>
      <c r="D61" s="59" t="s">
        <v>53</v>
      </c>
    </row>
    <row r="62" spans="1:14" ht="20.25" x14ac:dyDescent="0.35">
      <c r="A62" s="150"/>
      <c r="B62" s="132"/>
      <c r="C62" s="151"/>
      <c r="D62" s="74"/>
      <c r="E62" s="82">
        <f xml:space="preserve"> SUM(E58:E61)</f>
        <v>0</v>
      </c>
      <c r="F62" s="82">
        <f xml:space="preserve"> SUM(F58:F61)</f>
        <v>0</v>
      </c>
      <c r="G62" s="82"/>
      <c r="H62" s="82">
        <f xml:space="preserve"> SUM(H58:H61)</f>
        <v>0</v>
      </c>
      <c r="I62" s="82">
        <f xml:space="preserve"> SUM(I58:I61)</f>
        <v>0</v>
      </c>
      <c r="J62" s="82"/>
      <c r="K62" s="82">
        <f xml:space="preserve"> SUM(K58:K61)</f>
        <v>0</v>
      </c>
      <c r="L62" s="82">
        <f xml:space="preserve"> SUM(L58:L61)</f>
        <v>0</v>
      </c>
      <c r="M62" s="82"/>
      <c r="N62" s="82"/>
    </row>
    <row r="63" spans="1:14" ht="20.25" x14ac:dyDescent="0.35">
      <c r="A63" s="132" t="s">
        <v>80</v>
      </c>
      <c r="B63" s="132" t="s">
        <v>79</v>
      </c>
      <c r="C63" s="132" t="s">
        <v>17</v>
      </c>
      <c r="D63" s="62" t="s">
        <v>51</v>
      </c>
      <c r="E63" s="122">
        <v>1638.16</v>
      </c>
      <c r="F63" s="122">
        <v>1537.85</v>
      </c>
      <c r="H63" s="122">
        <v>1537.85</v>
      </c>
      <c r="I63" s="122">
        <v>1493.19</v>
      </c>
      <c r="K63" s="122">
        <v>1647.92</v>
      </c>
      <c r="L63" s="122">
        <v>1485.21</v>
      </c>
    </row>
    <row r="64" spans="1:14" ht="20.25" x14ac:dyDescent="0.35">
      <c r="A64" s="132"/>
      <c r="B64" s="132"/>
      <c r="C64" s="132"/>
      <c r="D64" s="63" t="s">
        <v>49</v>
      </c>
      <c r="E64" s="122">
        <v>436.24200000000002</v>
      </c>
      <c r="F64" s="122">
        <v>448.08199999999999</v>
      </c>
      <c r="H64" s="122">
        <v>448.08199999999999</v>
      </c>
      <c r="I64" s="122">
        <v>435.20299999999997</v>
      </c>
      <c r="K64" s="122">
        <v>440.827</v>
      </c>
      <c r="L64" s="122">
        <v>434.47300000000001</v>
      </c>
    </row>
    <row r="65" spans="1:14" ht="20.25" x14ac:dyDescent="0.35">
      <c r="A65" s="132"/>
      <c r="B65" s="132"/>
      <c r="C65" s="132"/>
      <c r="D65" s="63" t="s">
        <v>50</v>
      </c>
      <c r="E65" s="122">
        <v>429.91800000000001</v>
      </c>
      <c r="F65" s="122">
        <v>393.96899999999999</v>
      </c>
      <c r="H65" s="122">
        <v>393.96899999999999</v>
      </c>
      <c r="I65" s="122">
        <v>383.13299999999998</v>
      </c>
      <c r="K65" s="122">
        <v>438.637</v>
      </c>
      <c r="L65" s="122">
        <v>380.20100000000002</v>
      </c>
    </row>
    <row r="66" spans="1:14" ht="20.25" x14ac:dyDescent="0.35">
      <c r="A66" s="132"/>
      <c r="B66" s="132"/>
      <c r="C66" s="132"/>
      <c r="D66" s="62" t="s">
        <v>52</v>
      </c>
      <c r="E66" s="122">
        <v>391.39699999999999</v>
      </c>
      <c r="F66" s="122">
        <v>354.60899999999998</v>
      </c>
      <c r="H66" s="122">
        <v>354.60899999999998</v>
      </c>
      <c r="I66" s="122">
        <v>345.32400000000001</v>
      </c>
      <c r="K66" s="122">
        <v>382.70299999999997</v>
      </c>
      <c r="L66" s="122">
        <v>343.31400000000002</v>
      </c>
    </row>
    <row r="67" spans="1:14" ht="20.25" x14ac:dyDescent="0.35">
      <c r="A67" s="132"/>
      <c r="B67" s="132"/>
      <c r="C67" s="132"/>
      <c r="D67" s="62" t="s">
        <v>53</v>
      </c>
      <c r="E67" s="122">
        <v>379.10700000000003</v>
      </c>
      <c r="F67" s="122">
        <v>340.58300000000003</v>
      </c>
      <c r="H67" s="122">
        <v>340.58300000000003</v>
      </c>
      <c r="I67" s="122">
        <v>330.30599999999998</v>
      </c>
      <c r="K67" s="122">
        <v>379.23500000000001</v>
      </c>
      <c r="L67" s="122">
        <v>330.78100000000001</v>
      </c>
    </row>
    <row r="68" spans="1:14" ht="20.25" x14ac:dyDescent="0.35">
      <c r="A68" s="132"/>
      <c r="B68" s="132"/>
      <c r="C68" s="132"/>
      <c r="D68" s="74"/>
      <c r="E68" s="82">
        <f xml:space="preserve"> SUM(E64:E67)</f>
        <v>1636.664</v>
      </c>
      <c r="F68" s="82">
        <f xml:space="preserve"> SUM(F64:F67)</f>
        <v>1537.2429999999999</v>
      </c>
      <c r="G68" s="82"/>
      <c r="H68" s="82">
        <f xml:space="preserve"> SUM(H64:H67)</f>
        <v>1537.2429999999999</v>
      </c>
      <c r="I68" s="82">
        <f xml:space="preserve"> SUM(I64:I67)</f>
        <v>1493.9660000000001</v>
      </c>
      <c r="J68" s="82"/>
      <c r="K68" s="82">
        <f xml:space="preserve"> SUM(K64:K67)</f>
        <v>1641.402</v>
      </c>
      <c r="L68" s="82">
        <f xml:space="preserve"> SUM(L64:L67)</f>
        <v>1488.769</v>
      </c>
      <c r="M68" s="82"/>
      <c r="N68" s="82"/>
    </row>
    <row r="69" spans="1:14" ht="20.25" x14ac:dyDescent="0.35">
      <c r="A69" s="132" t="s">
        <v>82</v>
      </c>
      <c r="B69" s="132" t="s">
        <v>79</v>
      </c>
      <c r="C69" s="132" t="s">
        <v>17</v>
      </c>
      <c r="D69" s="65" t="s">
        <v>51</v>
      </c>
      <c r="E69" s="64">
        <v>867.97199999999998</v>
      </c>
      <c r="F69" s="64">
        <v>823.65499999999997</v>
      </c>
      <c r="H69" s="122">
        <v>823.65499999999997</v>
      </c>
      <c r="I69" s="64">
        <v>820.57</v>
      </c>
      <c r="K69" s="122">
        <v>852.94600000000003</v>
      </c>
      <c r="L69" s="122">
        <v>1700</v>
      </c>
    </row>
    <row r="70" spans="1:14" ht="20.25" x14ac:dyDescent="0.35">
      <c r="A70" s="132"/>
      <c r="B70" s="132"/>
      <c r="C70" s="132"/>
      <c r="D70" s="66" t="s">
        <v>49</v>
      </c>
      <c r="E70" s="64">
        <v>224.82900000000001</v>
      </c>
      <c r="F70" s="64">
        <v>263.64299999999997</v>
      </c>
      <c r="H70" s="122">
        <v>263.64299999999997</v>
      </c>
      <c r="I70" s="64">
        <v>262.53699999999998</v>
      </c>
      <c r="K70" s="122">
        <v>223.233</v>
      </c>
      <c r="L70" s="122">
        <v>262.31900000000002</v>
      </c>
    </row>
    <row r="71" spans="1:14" ht="20.25" x14ac:dyDescent="0.35">
      <c r="A71" s="132"/>
      <c r="B71" s="132"/>
      <c r="C71" s="132"/>
      <c r="D71" s="66" t="s">
        <v>50</v>
      </c>
      <c r="E71" s="64">
        <v>229.25700000000001</v>
      </c>
      <c r="F71" s="64">
        <v>186.95599999999999</v>
      </c>
      <c r="H71" s="122">
        <v>186.95599999999999</v>
      </c>
      <c r="I71" s="64">
        <v>186.15600000000001</v>
      </c>
      <c r="K71" s="122">
        <v>208.84100000000001</v>
      </c>
      <c r="L71" s="122">
        <v>182.953</v>
      </c>
    </row>
    <row r="72" spans="1:14" ht="20.25" x14ac:dyDescent="0.35">
      <c r="A72" s="132"/>
      <c r="B72" s="132"/>
      <c r="C72" s="132"/>
      <c r="D72" s="65" t="s">
        <v>52</v>
      </c>
      <c r="E72" s="64">
        <v>207.77199999999999</v>
      </c>
      <c r="F72" s="64">
        <v>188.22300000000001</v>
      </c>
      <c r="H72" s="122">
        <v>188.22300000000001</v>
      </c>
      <c r="I72" s="64">
        <v>187.69499999999999</v>
      </c>
      <c r="K72" s="122">
        <v>206.31700000000001</v>
      </c>
      <c r="L72" s="122">
        <v>192.26900000000001</v>
      </c>
    </row>
    <row r="73" spans="1:14" ht="20.25" x14ac:dyDescent="0.35">
      <c r="A73" s="132"/>
      <c r="B73" s="132"/>
      <c r="C73" s="132"/>
      <c r="D73" s="65" t="s">
        <v>53</v>
      </c>
      <c r="E73" s="64">
        <v>194.92099999999999</v>
      </c>
      <c r="F73" s="64">
        <v>181.84800000000001</v>
      </c>
      <c r="H73" s="122">
        <v>181.84800000000001</v>
      </c>
      <c r="I73" s="64">
        <v>181.10300000000001</v>
      </c>
      <c r="K73" s="122">
        <v>187.30099999999999</v>
      </c>
      <c r="L73" s="122">
        <v>209.816</v>
      </c>
    </row>
    <row r="74" spans="1:14" ht="20.25" x14ac:dyDescent="0.35">
      <c r="A74" s="132"/>
      <c r="B74" s="132"/>
      <c r="C74" s="132"/>
      <c r="D74" s="74"/>
      <c r="E74" s="82">
        <f xml:space="preserve"> SUM(E70:E73)</f>
        <v>856.779</v>
      </c>
      <c r="F74" s="82">
        <f xml:space="preserve"> SUM(F70:F73)</f>
        <v>820.66999999999985</v>
      </c>
      <c r="G74" s="82"/>
      <c r="H74" s="82">
        <f xml:space="preserve"> SUM(H70:H73)</f>
        <v>820.66999999999985</v>
      </c>
      <c r="I74" s="82">
        <f xml:space="preserve"> SUM(I70:I73)</f>
        <v>817.49099999999999</v>
      </c>
      <c r="J74" s="82"/>
      <c r="K74" s="82">
        <f xml:space="preserve"> SUM(K70:K73)</f>
        <v>825.69200000000001</v>
      </c>
      <c r="L74" s="82">
        <f xml:space="preserve"> SUM(L70:L73)</f>
        <v>847.35700000000008</v>
      </c>
      <c r="M74" s="82"/>
      <c r="N74" s="82"/>
    </row>
    <row r="75" spans="1:14" ht="20.25" x14ac:dyDescent="0.35">
      <c r="A75" s="132" t="s">
        <v>81</v>
      </c>
      <c r="B75" s="132" t="s">
        <v>83</v>
      </c>
      <c r="C75" s="132" t="s">
        <v>17</v>
      </c>
      <c r="D75" s="68" t="s">
        <v>51</v>
      </c>
      <c r="E75" s="122">
        <v>1633.22</v>
      </c>
      <c r="F75" s="122">
        <v>1708.73</v>
      </c>
      <c r="H75" s="122">
        <v>1708.64</v>
      </c>
      <c r="I75" s="122">
        <v>1766.95</v>
      </c>
      <c r="K75" s="122">
        <v>1720.14</v>
      </c>
      <c r="L75" s="122">
        <v>1734.24</v>
      </c>
    </row>
    <row r="76" spans="1:14" ht="20.25" x14ac:dyDescent="0.35">
      <c r="A76" s="132"/>
      <c r="B76" s="132"/>
      <c r="C76" s="132"/>
      <c r="D76" s="69" t="s">
        <v>49</v>
      </c>
      <c r="E76" s="122">
        <v>447.05200000000002</v>
      </c>
      <c r="F76" s="122">
        <v>490.71499999999997</v>
      </c>
      <c r="H76" s="122">
        <v>490.721</v>
      </c>
      <c r="I76" s="122">
        <v>508.93299999999999</v>
      </c>
      <c r="K76" s="122">
        <v>453.74400000000003</v>
      </c>
      <c r="L76" s="122">
        <v>488.06799999999998</v>
      </c>
    </row>
    <row r="77" spans="1:14" ht="20.25" x14ac:dyDescent="0.35">
      <c r="A77" s="132"/>
      <c r="B77" s="132"/>
      <c r="C77" s="132"/>
      <c r="D77" s="69" t="s">
        <v>50</v>
      </c>
      <c r="E77" s="122">
        <v>399.27100000000002</v>
      </c>
      <c r="F77" s="122">
        <v>420.56700000000001</v>
      </c>
      <c r="H77" s="122">
        <v>420.52</v>
      </c>
      <c r="I77" s="122">
        <v>434.58499999999998</v>
      </c>
      <c r="K77" s="122">
        <v>423.423</v>
      </c>
      <c r="L77" s="122">
        <v>430.52600000000001</v>
      </c>
    </row>
    <row r="78" spans="1:14" ht="20.25" x14ac:dyDescent="0.35">
      <c r="A78" s="132"/>
      <c r="B78" s="132"/>
      <c r="C78" s="132"/>
      <c r="D78" s="68" t="s">
        <v>52</v>
      </c>
      <c r="E78" s="122">
        <v>375.02800000000002</v>
      </c>
      <c r="F78" s="122">
        <v>401.10199999999998</v>
      </c>
      <c r="H78" s="122">
        <v>401.012</v>
      </c>
      <c r="I78" s="122">
        <v>413.21199999999999</v>
      </c>
      <c r="K78" s="122">
        <v>390.06299999999999</v>
      </c>
      <c r="L78" s="122">
        <v>398.90800000000002</v>
      </c>
    </row>
    <row r="79" spans="1:14" ht="20.25" x14ac:dyDescent="0.35">
      <c r="A79" s="132"/>
      <c r="B79" s="132"/>
      <c r="C79" s="132"/>
      <c r="D79" s="68" t="s">
        <v>53</v>
      </c>
      <c r="E79" s="122">
        <v>411.66800000000001</v>
      </c>
      <c r="F79" s="122">
        <v>396.59699999999998</v>
      </c>
      <c r="H79" s="122">
        <v>396.60899999999998</v>
      </c>
      <c r="I79" s="122">
        <v>410.94299999999998</v>
      </c>
      <c r="K79" s="122">
        <v>433.83600000000001</v>
      </c>
      <c r="L79" s="122">
        <v>421.79500000000002</v>
      </c>
    </row>
    <row r="80" spans="1:14" ht="20.25" x14ac:dyDescent="0.35">
      <c r="A80" s="132"/>
      <c r="B80" s="132"/>
      <c r="C80" s="132"/>
      <c r="D80" s="74"/>
      <c r="E80" s="82">
        <f xml:space="preserve"> SUM(E76:E79)</f>
        <v>1633.0190000000002</v>
      </c>
      <c r="F80" s="82">
        <f xml:space="preserve"> SUM(F76:F79)</f>
        <v>1708.981</v>
      </c>
      <c r="G80" s="82"/>
      <c r="H80" s="82">
        <f xml:space="preserve"> SUM(H76:H79)</f>
        <v>1708.8619999999999</v>
      </c>
      <c r="I80" s="82">
        <f xml:space="preserve"> SUM(I76:I79)</f>
        <v>1767.673</v>
      </c>
      <c r="J80" s="82"/>
      <c r="K80" s="82">
        <f xml:space="preserve"> SUM(K76:K79)</f>
        <v>1701.066</v>
      </c>
      <c r="L80" s="82">
        <f xml:space="preserve"> SUM(L76:L79)</f>
        <v>1739.297</v>
      </c>
      <c r="M80" s="82"/>
      <c r="N80" s="82"/>
    </row>
    <row r="81" spans="1:14" ht="20.25" x14ac:dyDescent="0.35">
      <c r="A81" s="132"/>
      <c r="B81" s="132" t="s">
        <v>79</v>
      </c>
      <c r="C81" s="132" t="s">
        <v>17</v>
      </c>
      <c r="D81" s="70" t="s">
        <v>51</v>
      </c>
      <c r="E81" s="122">
        <v>942.726</v>
      </c>
      <c r="F81" s="122">
        <v>878.19200000000001</v>
      </c>
      <c r="H81" s="122">
        <v>878.19200000000001</v>
      </c>
      <c r="I81" s="122">
        <v>873.94500000000005</v>
      </c>
      <c r="K81" s="122">
        <v>942.68799999999999</v>
      </c>
      <c r="L81" s="122">
        <v>874.75</v>
      </c>
    </row>
    <row r="82" spans="1:14" ht="20.25" x14ac:dyDescent="0.35">
      <c r="A82" s="132"/>
      <c r="B82" s="132"/>
      <c r="C82" s="132"/>
      <c r="D82" s="71" t="s">
        <v>49</v>
      </c>
      <c r="E82" s="122">
        <v>272.77499999999998</v>
      </c>
      <c r="F82" s="122">
        <v>238.22800000000001</v>
      </c>
      <c r="H82" s="122">
        <v>238.22800000000001</v>
      </c>
      <c r="I82" s="122">
        <v>236.92</v>
      </c>
      <c r="K82" s="122">
        <v>269.79899999999998</v>
      </c>
      <c r="L82" s="122">
        <v>235.875</v>
      </c>
    </row>
    <row r="83" spans="1:14" ht="20.25" x14ac:dyDescent="0.35">
      <c r="A83" s="132"/>
      <c r="B83" s="132"/>
      <c r="C83" s="132"/>
      <c r="D83" s="71" t="s">
        <v>50</v>
      </c>
      <c r="E83" s="122">
        <v>226.44</v>
      </c>
      <c r="F83" s="122">
        <v>228.815</v>
      </c>
      <c r="H83" s="122">
        <v>228.815</v>
      </c>
      <c r="I83" s="122">
        <v>227.821</v>
      </c>
      <c r="K83" s="122">
        <v>228.24199999999999</v>
      </c>
      <c r="L83" s="122">
        <v>228.07</v>
      </c>
    </row>
    <row r="84" spans="1:14" ht="20.25" x14ac:dyDescent="0.35">
      <c r="A84" s="132"/>
      <c r="B84" s="132"/>
      <c r="C84" s="132"/>
      <c r="D84" s="70" t="s">
        <v>52</v>
      </c>
      <c r="E84" s="122">
        <v>239.08600000000001</v>
      </c>
      <c r="F84" s="122">
        <v>194.36</v>
      </c>
      <c r="H84" s="122">
        <v>194.36</v>
      </c>
      <c r="I84" s="122">
        <v>193.286</v>
      </c>
      <c r="K84" s="122">
        <v>241.458</v>
      </c>
      <c r="L84" s="122">
        <v>194.917</v>
      </c>
    </row>
    <row r="85" spans="1:14" ht="20.25" x14ac:dyDescent="0.35">
      <c r="A85" s="132"/>
      <c r="B85" s="132"/>
      <c r="C85" s="132"/>
      <c r="D85" s="70" t="s">
        <v>53</v>
      </c>
      <c r="E85" s="122">
        <v>201.661</v>
      </c>
      <c r="F85" s="122">
        <v>214.80099999999999</v>
      </c>
      <c r="H85" s="122">
        <v>214.80099999999999</v>
      </c>
      <c r="I85" s="122">
        <v>214.18600000000001</v>
      </c>
      <c r="K85" s="122">
        <v>205.05099999999999</v>
      </c>
      <c r="L85" s="122">
        <v>212.584</v>
      </c>
    </row>
    <row r="86" spans="1:14" ht="20.25" x14ac:dyDescent="0.35">
      <c r="A86" s="132"/>
      <c r="B86" s="132"/>
      <c r="C86" s="132"/>
      <c r="D86" s="74"/>
      <c r="E86" s="82">
        <f xml:space="preserve"> SUM(E82:E85)</f>
        <v>939.96199999999999</v>
      </c>
      <c r="F86" s="82">
        <f xml:space="preserve"> SUM(F82:F85)</f>
        <v>876.20399999999995</v>
      </c>
      <c r="G86" s="82"/>
      <c r="H86" s="82">
        <f xml:space="preserve"> SUM(H82:H85)</f>
        <v>876.20399999999995</v>
      </c>
      <c r="I86" s="82">
        <f xml:space="preserve"> SUM(I82:I85)</f>
        <v>872.21300000000008</v>
      </c>
      <c r="J86" s="82"/>
      <c r="K86" s="82">
        <f xml:space="preserve"> SUM(K82:K85)</f>
        <v>944.55</v>
      </c>
      <c r="L86" s="82">
        <f xml:space="preserve"> SUM(L82:L85)</f>
        <v>871.44599999999991</v>
      </c>
      <c r="M86" s="82"/>
      <c r="N86" s="82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Ruler="0" zoomScale="50" zoomScaleNormal="50" workbookViewId="0">
      <pane xSplit="4" topLeftCell="E1" activePane="topRight" state="frozen"/>
      <selection activeCell="F3" sqref="F3"/>
      <selection pane="topRight" activeCell="F3" sqref="F3"/>
    </sheetView>
  </sheetViews>
  <sheetFormatPr defaultColWidth="11.5546875" defaultRowHeight="17.25" x14ac:dyDescent="0.3"/>
  <cols>
    <col min="5" max="5" width="22.33203125" style="83" customWidth="1"/>
    <col min="6" max="6" width="20" style="83" customWidth="1"/>
  </cols>
  <sheetData>
    <row r="1" spans="1:7" ht="20.25" x14ac:dyDescent="0.35">
      <c r="A1" s="6"/>
      <c r="B1" s="6"/>
      <c r="C1" s="6"/>
      <c r="D1" s="6"/>
      <c r="E1" s="84" t="s">
        <v>88</v>
      </c>
      <c r="F1" s="84" t="s">
        <v>87</v>
      </c>
      <c r="G1" t="s">
        <v>86</v>
      </c>
    </row>
    <row r="2" spans="1:7" ht="20.25" x14ac:dyDescent="0.35">
      <c r="A2" s="2" t="s">
        <v>18</v>
      </c>
      <c r="B2" s="2" t="s">
        <v>19</v>
      </c>
      <c r="C2" s="2" t="s">
        <v>20</v>
      </c>
      <c r="D2" s="2" t="s">
        <v>48</v>
      </c>
      <c r="E2" s="85" t="s">
        <v>84</v>
      </c>
      <c r="F2" s="85" t="s">
        <v>84</v>
      </c>
      <c r="G2" s="2" t="s">
        <v>84</v>
      </c>
    </row>
    <row r="3" spans="1:7" ht="20.25" x14ac:dyDescent="0.35">
      <c r="A3" s="146" t="s">
        <v>55</v>
      </c>
      <c r="B3" s="146" t="s">
        <v>25</v>
      </c>
      <c r="C3" s="125" t="s">
        <v>35</v>
      </c>
      <c r="D3" s="4" t="s">
        <v>51</v>
      </c>
      <c r="E3" s="67">
        <v>0.27945599999999998</v>
      </c>
      <c r="F3" s="67">
        <v>0.26804600000000001</v>
      </c>
      <c r="G3" s="67">
        <v>0.273482</v>
      </c>
    </row>
    <row r="4" spans="1:7" ht="20.25" x14ac:dyDescent="0.35">
      <c r="A4" s="146"/>
      <c r="B4" s="146"/>
      <c r="C4" s="125"/>
      <c r="D4" s="4" t="s">
        <v>49</v>
      </c>
      <c r="E4" s="67">
        <v>0.30357200000000001</v>
      </c>
      <c r="F4" s="67">
        <v>0.29378599999999999</v>
      </c>
      <c r="G4" s="67">
        <v>0.30392999999999998</v>
      </c>
    </row>
    <row r="5" spans="1:7" ht="20.25" x14ac:dyDescent="0.35">
      <c r="A5" s="146"/>
      <c r="B5" s="146"/>
      <c r="C5" s="125"/>
      <c r="D5" s="4" t="s">
        <v>50</v>
      </c>
      <c r="E5" s="67">
        <v>0.27224799999999999</v>
      </c>
      <c r="F5" s="67">
        <v>0.25387999999999999</v>
      </c>
      <c r="G5" s="67">
        <v>0.26718500000000001</v>
      </c>
    </row>
    <row r="6" spans="1:7" ht="20.25" x14ac:dyDescent="0.35">
      <c r="A6" s="146"/>
      <c r="B6" s="146"/>
      <c r="C6" s="125"/>
      <c r="D6" s="28" t="s">
        <v>52</v>
      </c>
      <c r="E6" s="67">
        <v>0.271588</v>
      </c>
      <c r="F6" s="67">
        <v>0.25406499999999999</v>
      </c>
      <c r="G6" s="67">
        <v>0.25986199999999998</v>
      </c>
    </row>
    <row r="7" spans="1:7" ht="20.25" x14ac:dyDescent="0.35">
      <c r="A7" s="146"/>
      <c r="B7" s="146"/>
      <c r="C7" s="125"/>
      <c r="D7" s="28" t="s">
        <v>53</v>
      </c>
      <c r="E7" s="67">
        <v>0.260463</v>
      </c>
      <c r="F7" s="67">
        <v>0.25434000000000001</v>
      </c>
      <c r="G7" s="67">
        <v>0.25594</v>
      </c>
    </row>
    <row r="8" spans="1:7" ht="20.25" x14ac:dyDescent="0.35">
      <c r="A8" s="146"/>
      <c r="B8" s="146"/>
      <c r="C8" s="125"/>
      <c r="D8" s="72"/>
      <c r="E8" s="86"/>
      <c r="F8" s="86"/>
      <c r="G8" s="86"/>
    </row>
    <row r="9" spans="1:7" ht="20.25" x14ac:dyDescent="0.35">
      <c r="A9" s="146"/>
      <c r="B9" s="146"/>
      <c r="C9" s="147" t="s">
        <v>2</v>
      </c>
      <c r="D9" s="8" t="s">
        <v>51</v>
      </c>
      <c r="E9" s="86"/>
      <c r="F9" s="86"/>
      <c r="G9" s="86"/>
    </row>
    <row r="10" spans="1:7" ht="20.25" x14ac:dyDescent="0.35">
      <c r="A10" s="146"/>
      <c r="B10" s="146"/>
      <c r="C10" s="147"/>
      <c r="D10" s="8" t="s">
        <v>49</v>
      </c>
      <c r="E10" s="86"/>
      <c r="F10" s="86"/>
      <c r="G10" s="86"/>
    </row>
    <row r="11" spans="1:7" ht="20.25" x14ac:dyDescent="0.35">
      <c r="A11" s="146"/>
      <c r="B11" s="146"/>
      <c r="C11" s="147"/>
      <c r="D11" s="8" t="s">
        <v>50</v>
      </c>
      <c r="E11" s="86"/>
      <c r="F11" s="86"/>
      <c r="G11" s="86"/>
    </row>
    <row r="12" spans="1:7" ht="20.25" x14ac:dyDescent="0.35">
      <c r="A12" s="146"/>
      <c r="B12" s="146"/>
      <c r="C12" s="147"/>
      <c r="D12" s="29" t="s">
        <v>52</v>
      </c>
      <c r="E12" s="86"/>
      <c r="F12" s="86"/>
      <c r="G12" s="86"/>
    </row>
    <row r="13" spans="1:7" ht="20.25" x14ac:dyDescent="0.35">
      <c r="A13" s="146"/>
      <c r="B13" s="146"/>
      <c r="C13" s="147"/>
      <c r="D13" s="29" t="s">
        <v>53</v>
      </c>
      <c r="E13" s="86"/>
      <c r="F13" s="86"/>
      <c r="G13" s="86"/>
    </row>
    <row r="14" spans="1:7" ht="20.25" x14ac:dyDescent="0.35">
      <c r="A14" s="146"/>
      <c r="B14" s="146"/>
      <c r="C14" s="147"/>
      <c r="D14" s="72"/>
      <c r="E14" s="86"/>
      <c r="F14" s="86"/>
      <c r="G14" s="86"/>
    </row>
    <row r="15" spans="1:7" ht="20.25" x14ac:dyDescent="0.35">
      <c r="A15" s="146"/>
      <c r="B15" s="146"/>
      <c r="C15" s="148" t="s">
        <v>54</v>
      </c>
      <c r="D15" s="30" t="s">
        <v>51</v>
      </c>
      <c r="E15" s="67">
        <v>0.23514299999999999</v>
      </c>
      <c r="F15" s="67">
        <v>0.22090499999999999</v>
      </c>
      <c r="G15" s="67">
        <v>0.22522900000000001</v>
      </c>
    </row>
    <row r="16" spans="1:7" ht="20.25" x14ac:dyDescent="0.35">
      <c r="A16" s="146"/>
      <c r="B16" s="146"/>
      <c r="C16" s="148"/>
      <c r="D16" s="30" t="s">
        <v>49</v>
      </c>
      <c r="E16" s="67">
        <v>0.23280899999999999</v>
      </c>
      <c r="F16" s="67">
        <v>0.21506400000000001</v>
      </c>
      <c r="G16" s="67">
        <v>0.23100300000000001</v>
      </c>
    </row>
    <row r="17" spans="1:7" ht="20.25" x14ac:dyDescent="0.35">
      <c r="A17" s="146"/>
      <c r="B17" s="146"/>
      <c r="C17" s="148"/>
      <c r="D17" s="30" t="s">
        <v>50</v>
      </c>
      <c r="E17" s="67">
        <v>0.22281599999999999</v>
      </c>
      <c r="F17" s="67">
        <v>0.21527199999999999</v>
      </c>
      <c r="G17" s="67">
        <v>0.194997</v>
      </c>
    </row>
    <row r="18" spans="1:7" ht="20.25" x14ac:dyDescent="0.35">
      <c r="A18" s="146"/>
      <c r="B18" s="146"/>
      <c r="C18" s="148"/>
      <c r="D18" s="31" t="s">
        <v>52</v>
      </c>
      <c r="E18" s="67">
        <v>0.20957000000000001</v>
      </c>
      <c r="F18" s="67">
        <v>0.19009499999999999</v>
      </c>
      <c r="G18" s="67">
        <v>0.20313300000000001</v>
      </c>
    </row>
    <row r="19" spans="1:7" ht="20.25" x14ac:dyDescent="0.35">
      <c r="A19" s="146"/>
      <c r="B19" s="146"/>
      <c r="C19" s="148"/>
      <c r="D19" s="31" t="s">
        <v>53</v>
      </c>
      <c r="E19" s="67">
        <v>0.27059</v>
      </c>
      <c r="F19" s="67">
        <v>0.25065999999999999</v>
      </c>
      <c r="G19" s="67">
        <v>0.26506099999999999</v>
      </c>
    </row>
    <row r="20" spans="1:7" ht="20.25" x14ac:dyDescent="0.35">
      <c r="A20" s="146"/>
      <c r="B20" s="146"/>
      <c r="C20" s="148"/>
      <c r="D20" s="80"/>
      <c r="E20" s="86">
        <v>0</v>
      </c>
      <c r="F20" s="86">
        <v>0</v>
      </c>
      <c r="G20" s="86">
        <v>0</v>
      </c>
    </row>
    <row r="21" spans="1:7" ht="20.25" x14ac:dyDescent="0.35">
      <c r="A21" s="146"/>
      <c r="B21" s="146"/>
      <c r="C21" s="152" t="s">
        <v>56</v>
      </c>
      <c r="D21" s="32" t="s">
        <v>51</v>
      </c>
      <c r="E21" s="67">
        <v>0.26043500000000003</v>
      </c>
      <c r="F21" s="67">
        <v>0.24627099999999999</v>
      </c>
      <c r="G21" s="67">
        <v>0.24562899999999999</v>
      </c>
    </row>
    <row r="22" spans="1:7" ht="20.25" x14ac:dyDescent="0.35">
      <c r="A22" s="146"/>
      <c r="B22" s="146"/>
      <c r="C22" s="152"/>
      <c r="D22" s="32" t="s">
        <v>49</v>
      </c>
      <c r="E22" s="67">
        <v>0.276036</v>
      </c>
      <c r="F22" s="67">
        <v>0.265768</v>
      </c>
      <c r="G22" s="67">
        <v>0.27363799999999999</v>
      </c>
    </row>
    <row r="23" spans="1:7" ht="20.25" x14ac:dyDescent="0.35">
      <c r="A23" s="146"/>
      <c r="B23" s="146"/>
      <c r="C23" s="152"/>
      <c r="D23" s="32" t="s">
        <v>50</v>
      </c>
      <c r="E23" s="67">
        <v>0.22961300000000001</v>
      </c>
      <c r="F23" s="67">
        <v>0.226464</v>
      </c>
      <c r="G23" s="67">
        <v>0.23402700000000001</v>
      </c>
    </row>
    <row r="24" spans="1:7" ht="20.25" x14ac:dyDescent="0.35">
      <c r="A24" s="146"/>
      <c r="B24" s="146"/>
      <c r="C24" s="152"/>
      <c r="D24" s="34" t="s">
        <v>52</v>
      </c>
      <c r="E24" s="67">
        <v>0.25397700000000001</v>
      </c>
      <c r="F24" s="67">
        <v>0.23119899999999999</v>
      </c>
      <c r="G24" s="67">
        <v>0.22292799999999999</v>
      </c>
    </row>
    <row r="25" spans="1:7" ht="20.25" x14ac:dyDescent="0.35">
      <c r="A25" s="146"/>
      <c r="B25" s="146"/>
      <c r="C25" s="152"/>
      <c r="D25" s="34" t="s">
        <v>53</v>
      </c>
      <c r="E25" s="67">
        <v>0.27440300000000001</v>
      </c>
      <c r="F25" s="67">
        <v>0.24848300000000001</v>
      </c>
      <c r="G25" s="67">
        <v>0.23027500000000001</v>
      </c>
    </row>
    <row r="26" spans="1:7" ht="20.25" x14ac:dyDescent="0.35">
      <c r="A26" s="146"/>
      <c r="B26" s="146"/>
      <c r="C26" s="152"/>
      <c r="D26" s="80"/>
      <c r="E26" s="84">
        <v>0</v>
      </c>
      <c r="F26" s="84">
        <v>0</v>
      </c>
      <c r="G26" s="84">
        <v>0</v>
      </c>
    </row>
    <row r="27" spans="1:7" ht="20.25" x14ac:dyDescent="0.35">
      <c r="A27" s="146"/>
      <c r="B27" s="146"/>
      <c r="C27" s="149" t="s">
        <v>57</v>
      </c>
      <c r="D27" s="22" t="s">
        <v>51</v>
      </c>
      <c r="E27" s="54">
        <v>0.24543599999999999</v>
      </c>
      <c r="F27" s="54">
        <v>0.23832800000000001</v>
      </c>
      <c r="G27" s="54">
        <v>0.242316</v>
      </c>
    </row>
    <row r="28" spans="1:7" ht="20.25" x14ac:dyDescent="0.35">
      <c r="A28" s="146"/>
      <c r="B28" s="146"/>
      <c r="C28" s="149"/>
      <c r="D28" s="22" t="s">
        <v>49</v>
      </c>
      <c r="E28" s="54">
        <v>0.19079299999999999</v>
      </c>
      <c r="F28" s="54">
        <v>0.16994400000000001</v>
      </c>
      <c r="G28" s="54">
        <v>0.181279</v>
      </c>
    </row>
    <row r="29" spans="1:7" ht="20.25" x14ac:dyDescent="0.35">
      <c r="A29" s="146"/>
      <c r="B29" s="146"/>
      <c r="C29" s="149"/>
      <c r="D29" s="22" t="s">
        <v>50</v>
      </c>
      <c r="E29" s="54">
        <v>0.25349300000000002</v>
      </c>
      <c r="F29" s="54">
        <v>0.23327000000000001</v>
      </c>
      <c r="G29" s="54">
        <v>0.24934999999999999</v>
      </c>
    </row>
    <row r="30" spans="1:7" ht="20.25" x14ac:dyDescent="0.35">
      <c r="A30" s="146"/>
      <c r="B30" s="146"/>
      <c r="C30" s="149"/>
      <c r="D30" s="13" t="s">
        <v>52</v>
      </c>
      <c r="E30" s="54">
        <v>0.29981000000000002</v>
      </c>
      <c r="F30" s="54">
        <v>0.27737200000000001</v>
      </c>
      <c r="G30" s="54">
        <v>0.31206800000000001</v>
      </c>
    </row>
    <row r="31" spans="1:7" ht="20.25" x14ac:dyDescent="0.35">
      <c r="A31" s="146"/>
      <c r="B31" s="146"/>
      <c r="C31" s="149"/>
      <c r="D31" s="13" t="s">
        <v>53</v>
      </c>
      <c r="E31" s="54">
        <v>0.24391099999999999</v>
      </c>
      <c r="F31" s="54">
        <v>0.21299599999999999</v>
      </c>
      <c r="G31" s="54">
        <v>0.21618999999999999</v>
      </c>
    </row>
    <row r="32" spans="1:7" ht="20.25" x14ac:dyDescent="0.35">
      <c r="A32" s="146"/>
      <c r="B32" s="146"/>
      <c r="C32" s="149"/>
      <c r="D32" s="80"/>
      <c r="E32" s="84">
        <v>0</v>
      </c>
      <c r="F32" s="84">
        <v>0</v>
      </c>
      <c r="G32" s="84">
        <v>0</v>
      </c>
    </row>
    <row r="33" spans="1:7" s="49" customFormat="1" ht="20.25" x14ac:dyDescent="0.35">
      <c r="A33" s="150" t="s">
        <v>55</v>
      </c>
      <c r="B33" s="132" t="s">
        <v>37</v>
      </c>
      <c r="C33" s="151" t="s">
        <v>17</v>
      </c>
      <c r="D33" s="48" t="s">
        <v>51</v>
      </c>
      <c r="E33" s="93">
        <v>0.205647</v>
      </c>
      <c r="F33" s="93">
        <v>0.18140400000000001</v>
      </c>
      <c r="G33" s="93">
        <v>0.19125</v>
      </c>
    </row>
    <row r="34" spans="1:7" s="49" customFormat="1" ht="20.25" x14ac:dyDescent="0.35">
      <c r="A34" s="150"/>
      <c r="B34" s="132"/>
      <c r="C34" s="151"/>
      <c r="D34" s="50" t="s">
        <v>49</v>
      </c>
      <c r="E34" s="93">
        <v>0.178896</v>
      </c>
      <c r="F34" s="93">
        <v>0.15435299999999999</v>
      </c>
      <c r="G34" s="93">
        <v>0.16714599999999999</v>
      </c>
    </row>
    <row r="35" spans="1:7" s="49" customFormat="1" ht="20.25" x14ac:dyDescent="0.35">
      <c r="A35" s="150"/>
      <c r="B35" s="132"/>
      <c r="C35" s="151"/>
      <c r="D35" s="50" t="s">
        <v>50</v>
      </c>
      <c r="E35" s="93">
        <v>0.17869099999999999</v>
      </c>
      <c r="F35" s="93">
        <v>0.16936200000000001</v>
      </c>
      <c r="G35" s="93">
        <v>0.182202</v>
      </c>
    </row>
    <row r="36" spans="1:7" s="49" customFormat="1" ht="20.25" x14ac:dyDescent="0.35">
      <c r="A36" s="150"/>
      <c r="B36" s="132"/>
      <c r="C36" s="151"/>
      <c r="D36" s="48" t="s">
        <v>52</v>
      </c>
      <c r="E36" s="93">
        <v>0.22320999999999999</v>
      </c>
      <c r="F36" s="93">
        <v>0.193554</v>
      </c>
      <c r="G36" s="93">
        <v>0.205488</v>
      </c>
    </row>
    <row r="37" spans="1:7" s="49" customFormat="1" ht="20.25" x14ac:dyDescent="0.35">
      <c r="A37" s="150"/>
      <c r="B37" s="132"/>
      <c r="C37" s="151"/>
      <c r="D37" s="48" t="s">
        <v>53</v>
      </c>
      <c r="E37" s="93">
        <v>0.25492799999999999</v>
      </c>
      <c r="F37" s="93">
        <v>0.21354200000000001</v>
      </c>
      <c r="G37" s="93">
        <v>0.223165</v>
      </c>
    </row>
    <row r="38" spans="1:7" s="49" customFormat="1" ht="20.25" x14ac:dyDescent="0.35">
      <c r="A38" s="150"/>
      <c r="B38" s="132"/>
      <c r="C38" s="151"/>
      <c r="D38" s="80"/>
      <c r="E38" s="84">
        <v>0</v>
      </c>
      <c r="F38" s="84">
        <v>0</v>
      </c>
      <c r="G38" s="84">
        <v>0</v>
      </c>
    </row>
    <row r="39" spans="1:7" ht="20.25" x14ac:dyDescent="0.35">
      <c r="A39" s="150"/>
      <c r="B39" s="150" t="s">
        <v>76</v>
      </c>
      <c r="C39" s="151"/>
      <c r="D39" s="51" t="s">
        <v>51</v>
      </c>
      <c r="E39" s="93">
        <v>0.24099400000000001</v>
      </c>
      <c r="F39" s="93">
        <v>0.22184699999999999</v>
      </c>
      <c r="G39" s="93">
        <v>0.226908</v>
      </c>
    </row>
    <row r="40" spans="1:7" ht="20.25" x14ac:dyDescent="0.35">
      <c r="A40" s="150"/>
      <c r="B40" s="150"/>
      <c r="C40" s="151"/>
      <c r="D40" s="52" t="s">
        <v>49</v>
      </c>
      <c r="E40" s="93">
        <v>0.22056700000000001</v>
      </c>
      <c r="F40" s="93">
        <v>0.19355600000000001</v>
      </c>
      <c r="G40" s="93">
        <v>0.22037699999999999</v>
      </c>
    </row>
    <row r="41" spans="1:7" ht="20.25" x14ac:dyDescent="0.35">
      <c r="A41" s="150"/>
      <c r="B41" s="150"/>
      <c r="C41" s="151"/>
      <c r="D41" s="52" t="s">
        <v>50</v>
      </c>
      <c r="E41" s="93">
        <v>0.25001899999999999</v>
      </c>
      <c r="F41" s="93">
        <v>0.232769</v>
      </c>
      <c r="G41" s="93">
        <v>0.225636</v>
      </c>
    </row>
    <row r="42" spans="1:7" ht="20.25" x14ac:dyDescent="0.35">
      <c r="A42" s="150"/>
      <c r="B42" s="150"/>
      <c r="C42" s="151"/>
      <c r="D42" s="51" t="s">
        <v>52</v>
      </c>
      <c r="E42" s="93">
        <v>0.250944</v>
      </c>
      <c r="F42" s="93">
        <v>0.24612800000000001</v>
      </c>
      <c r="G42" s="93">
        <v>0.23811399999999999</v>
      </c>
    </row>
    <row r="43" spans="1:7" ht="20.25" x14ac:dyDescent="0.35">
      <c r="A43" s="150"/>
      <c r="B43" s="150"/>
      <c r="C43" s="151"/>
      <c r="D43" s="51" t="s">
        <v>53</v>
      </c>
      <c r="E43" s="93">
        <v>0.25731399999999999</v>
      </c>
      <c r="F43" s="93">
        <v>0.237368</v>
      </c>
      <c r="G43" s="93">
        <v>0.234648</v>
      </c>
    </row>
    <row r="44" spans="1:7" ht="20.25" x14ac:dyDescent="0.35">
      <c r="A44" s="150"/>
      <c r="B44" s="150"/>
      <c r="C44" s="151"/>
      <c r="D44" s="80"/>
      <c r="E44" s="84">
        <v>0</v>
      </c>
      <c r="F44" s="84">
        <v>0</v>
      </c>
      <c r="G44" s="84">
        <v>0</v>
      </c>
    </row>
    <row r="45" spans="1:7" s="54" customFormat="1" ht="20.25" x14ac:dyDescent="0.35">
      <c r="A45" s="150"/>
      <c r="B45" s="132" t="s">
        <v>77</v>
      </c>
      <c r="C45" s="151"/>
      <c r="D45" s="53" t="s">
        <v>51</v>
      </c>
      <c r="E45" s="93">
        <v>0.28142099999999998</v>
      </c>
      <c r="F45" s="93">
        <v>0.27264899999999997</v>
      </c>
      <c r="G45" s="93">
        <v>0.27533099999999999</v>
      </c>
    </row>
    <row r="46" spans="1:7" s="54" customFormat="1" ht="20.25" x14ac:dyDescent="0.35">
      <c r="A46" s="150"/>
      <c r="B46" s="132"/>
      <c r="C46" s="151"/>
      <c r="D46" s="55" t="s">
        <v>49</v>
      </c>
      <c r="E46" s="93">
        <v>0.30195499999999997</v>
      </c>
      <c r="F46" s="93">
        <v>0.292659</v>
      </c>
      <c r="G46" s="93">
        <v>0.30745600000000001</v>
      </c>
    </row>
    <row r="47" spans="1:7" s="54" customFormat="1" ht="20.25" x14ac:dyDescent="0.35">
      <c r="A47" s="150"/>
      <c r="B47" s="132"/>
      <c r="C47" s="151"/>
      <c r="D47" s="55" t="s">
        <v>50</v>
      </c>
      <c r="E47" s="93">
        <v>0.26266499999999998</v>
      </c>
      <c r="F47" s="93">
        <v>0.25247599999999998</v>
      </c>
      <c r="G47" s="93">
        <v>0.23475299999999999</v>
      </c>
    </row>
    <row r="48" spans="1:7" s="54" customFormat="1" ht="20.25" x14ac:dyDescent="0.35">
      <c r="A48" s="150"/>
      <c r="B48" s="132"/>
      <c r="C48" s="151"/>
      <c r="D48" s="53" t="s">
        <v>52</v>
      </c>
      <c r="E48" s="93">
        <v>0.289327</v>
      </c>
      <c r="F48" s="93">
        <v>0.28005600000000003</v>
      </c>
      <c r="G48" s="93">
        <v>0.28700799999999999</v>
      </c>
    </row>
    <row r="49" spans="1:7" s="54" customFormat="1" ht="20.25" x14ac:dyDescent="0.35">
      <c r="A49" s="150"/>
      <c r="B49" s="132"/>
      <c r="C49" s="151"/>
      <c r="D49" s="53" t="s">
        <v>53</v>
      </c>
      <c r="E49" s="93">
        <v>0.27804499999999999</v>
      </c>
      <c r="F49" s="93">
        <v>0.26699200000000001</v>
      </c>
      <c r="G49" s="93">
        <v>0.27121499999999998</v>
      </c>
    </row>
    <row r="50" spans="1:7" s="54" customFormat="1" ht="20.25" x14ac:dyDescent="0.35">
      <c r="A50" s="150"/>
      <c r="B50" s="132"/>
      <c r="C50" s="151"/>
      <c r="D50" s="80"/>
      <c r="E50" s="84">
        <v>0</v>
      </c>
      <c r="F50" s="84">
        <v>0</v>
      </c>
      <c r="G50" s="84">
        <v>0</v>
      </c>
    </row>
    <row r="51" spans="1:7" s="57" customFormat="1" ht="20.25" x14ac:dyDescent="0.35">
      <c r="A51" s="150"/>
      <c r="B51" s="132" t="s">
        <v>78</v>
      </c>
      <c r="C51" s="151"/>
      <c r="D51" s="56" t="s">
        <v>51</v>
      </c>
      <c r="E51" s="84">
        <v>0</v>
      </c>
      <c r="F51" s="84">
        <v>0</v>
      </c>
      <c r="G51" s="84">
        <v>0</v>
      </c>
    </row>
    <row r="52" spans="1:7" s="57" customFormat="1" ht="20.25" x14ac:dyDescent="0.35">
      <c r="A52" s="150"/>
      <c r="B52" s="132"/>
      <c r="C52" s="151"/>
      <c r="D52" s="58" t="s">
        <v>49</v>
      </c>
      <c r="E52" s="84">
        <v>0</v>
      </c>
      <c r="F52" s="84">
        <v>0</v>
      </c>
      <c r="G52" s="84">
        <v>0</v>
      </c>
    </row>
    <row r="53" spans="1:7" s="57" customFormat="1" ht="20.25" x14ac:dyDescent="0.35">
      <c r="A53" s="150"/>
      <c r="B53" s="132"/>
      <c r="C53" s="151"/>
      <c r="D53" s="58" t="s">
        <v>50</v>
      </c>
      <c r="E53" s="84">
        <v>0</v>
      </c>
      <c r="F53" s="84">
        <v>0</v>
      </c>
      <c r="G53" s="84">
        <v>0</v>
      </c>
    </row>
    <row r="54" spans="1:7" s="57" customFormat="1" ht="20.25" x14ac:dyDescent="0.35">
      <c r="A54" s="150"/>
      <c r="B54" s="132"/>
      <c r="C54" s="151"/>
      <c r="D54" s="56" t="s">
        <v>52</v>
      </c>
      <c r="E54" s="84">
        <v>0</v>
      </c>
      <c r="F54" s="84">
        <v>0</v>
      </c>
      <c r="G54" s="84">
        <v>0</v>
      </c>
    </row>
    <row r="55" spans="1:7" s="57" customFormat="1" ht="20.25" x14ac:dyDescent="0.35">
      <c r="A55" s="150"/>
      <c r="B55" s="132"/>
      <c r="C55" s="151"/>
      <c r="D55" s="56" t="s">
        <v>53</v>
      </c>
      <c r="E55" s="84">
        <v>0</v>
      </c>
      <c r="F55" s="84">
        <v>0</v>
      </c>
      <c r="G55" s="84">
        <v>0</v>
      </c>
    </row>
    <row r="56" spans="1:7" s="57" customFormat="1" ht="20.25" x14ac:dyDescent="0.35">
      <c r="A56" s="150"/>
      <c r="B56" s="132"/>
      <c r="C56" s="151"/>
      <c r="D56" s="80"/>
      <c r="E56" s="84">
        <v>0</v>
      </c>
      <c r="F56" s="84">
        <v>0</v>
      </c>
      <c r="G56" s="84">
        <v>0</v>
      </c>
    </row>
    <row r="57" spans="1:7" s="60" customFormat="1" ht="20.25" x14ac:dyDescent="0.35">
      <c r="A57" s="150"/>
      <c r="B57" s="132" t="s">
        <v>79</v>
      </c>
      <c r="C57" s="151"/>
      <c r="D57" s="59" t="s">
        <v>51</v>
      </c>
      <c r="E57" s="84">
        <v>0</v>
      </c>
      <c r="F57" s="84">
        <v>0</v>
      </c>
      <c r="G57" s="84">
        <v>0</v>
      </c>
    </row>
    <row r="58" spans="1:7" s="60" customFormat="1" ht="20.25" x14ac:dyDescent="0.35">
      <c r="A58" s="150"/>
      <c r="B58" s="132"/>
      <c r="C58" s="151"/>
      <c r="D58" s="61" t="s">
        <v>49</v>
      </c>
      <c r="E58" s="84">
        <v>0</v>
      </c>
      <c r="F58" s="84">
        <v>0</v>
      </c>
      <c r="G58" s="84">
        <v>0</v>
      </c>
    </row>
    <row r="59" spans="1:7" s="60" customFormat="1" ht="20.25" x14ac:dyDescent="0.35">
      <c r="A59" s="150"/>
      <c r="B59" s="132"/>
      <c r="C59" s="151"/>
      <c r="D59" s="61" t="s">
        <v>50</v>
      </c>
      <c r="E59" s="84">
        <v>0</v>
      </c>
      <c r="F59" s="84">
        <v>0</v>
      </c>
      <c r="G59" s="84">
        <v>0</v>
      </c>
    </row>
    <row r="60" spans="1:7" s="60" customFormat="1" ht="20.25" x14ac:dyDescent="0.35">
      <c r="A60" s="150"/>
      <c r="B60" s="132"/>
      <c r="C60" s="151"/>
      <c r="D60" s="59" t="s">
        <v>52</v>
      </c>
      <c r="E60" s="84">
        <v>0</v>
      </c>
      <c r="F60" s="84">
        <v>0</v>
      </c>
      <c r="G60" s="84">
        <v>0</v>
      </c>
    </row>
    <row r="61" spans="1:7" s="60" customFormat="1" ht="20.25" x14ac:dyDescent="0.35">
      <c r="A61" s="150"/>
      <c r="B61" s="132"/>
      <c r="C61" s="151"/>
      <c r="D61" s="59" t="s">
        <v>53</v>
      </c>
      <c r="E61" s="84">
        <v>0</v>
      </c>
      <c r="F61" s="84">
        <v>0</v>
      </c>
      <c r="G61" s="84">
        <v>0</v>
      </c>
    </row>
    <row r="62" spans="1:7" s="60" customFormat="1" ht="20.25" x14ac:dyDescent="0.35">
      <c r="A62" s="150"/>
      <c r="B62" s="132"/>
      <c r="C62" s="151"/>
      <c r="D62" s="80"/>
      <c r="E62" s="84">
        <v>0</v>
      </c>
      <c r="F62" s="84">
        <v>0</v>
      </c>
      <c r="G62" s="84">
        <v>0</v>
      </c>
    </row>
    <row r="63" spans="1:7" s="37" customFormat="1" ht="20.25" x14ac:dyDescent="0.35">
      <c r="A63" s="132" t="s">
        <v>80</v>
      </c>
      <c r="B63" s="132" t="s">
        <v>79</v>
      </c>
      <c r="C63" s="132" t="s">
        <v>17</v>
      </c>
      <c r="D63" s="62" t="s">
        <v>51</v>
      </c>
      <c r="E63" s="64">
        <v>0.26990500000000001</v>
      </c>
      <c r="F63" s="64">
        <v>0.25458199999999997</v>
      </c>
      <c r="G63" s="64">
        <v>0.26123200000000002</v>
      </c>
    </row>
    <row r="64" spans="1:7" s="37" customFormat="1" ht="20.25" x14ac:dyDescent="0.35">
      <c r="A64" s="132"/>
      <c r="B64" s="132"/>
      <c r="C64" s="132"/>
      <c r="D64" s="63" t="s">
        <v>49</v>
      </c>
      <c r="E64" s="64">
        <v>0.27680500000000002</v>
      </c>
      <c r="F64" s="64">
        <v>0.26956599999999997</v>
      </c>
      <c r="G64" s="64">
        <v>0.28591499999999997</v>
      </c>
    </row>
    <row r="65" spans="1:7" s="37" customFormat="1" ht="20.25" x14ac:dyDescent="0.35">
      <c r="A65" s="132"/>
      <c r="B65" s="132"/>
      <c r="C65" s="132"/>
      <c r="D65" s="63" t="s">
        <v>50</v>
      </c>
      <c r="E65" s="64">
        <v>0.24559700000000001</v>
      </c>
      <c r="F65" s="64">
        <v>0.233044</v>
      </c>
      <c r="G65" s="64">
        <v>0.23805100000000001</v>
      </c>
    </row>
    <row r="66" spans="1:7" s="37" customFormat="1" ht="20.25" x14ac:dyDescent="0.35">
      <c r="A66" s="132"/>
      <c r="B66" s="132"/>
      <c r="C66" s="132"/>
      <c r="D66" s="62" t="s">
        <v>52</v>
      </c>
      <c r="E66" s="64">
        <v>0.30169200000000002</v>
      </c>
      <c r="F66" s="64">
        <v>0.28181699999999998</v>
      </c>
      <c r="G66" s="64">
        <v>0.28836499999999998</v>
      </c>
    </row>
    <row r="67" spans="1:7" s="37" customFormat="1" ht="20.25" x14ac:dyDescent="0.35">
      <c r="A67" s="132"/>
      <c r="B67" s="132"/>
      <c r="C67" s="132"/>
      <c r="D67" s="62" t="s">
        <v>53</v>
      </c>
      <c r="E67" s="64">
        <v>0.27230500000000002</v>
      </c>
      <c r="F67" s="64">
        <v>0.25295200000000001</v>
      </c>
      <c r="G67" s="64">
        <v>0.24615500000000001</v>
      </c>
    </row>
    <row r="68" spans="1:7" s="37" customFormat="1" ht="20.25" x14ac:dyDescent="0.35">
      <c r="A68" s="132"/>
      <c r="B68" s="132"/>
      <c r="C68" s="132"/>
      <c r="D68" s="80"/>
      <c r="E68" s="84"/>
      <c r="F68" s="84"/>
      <c r="G68" s="84"/>
    </row>
    <row r="69" spans="1:7" s="64" customFormat="1" ht="20.25" x14ac:dyDescent="0.35">
      <c r="A69" s="132" t="s">
        <v>82</v>
      </c>
      <c r="B69" s="132" t="s">
        <v>79</v>
      </c>
      <c r="C69" s="132" t="s">
        <v>17</v>
      </c>
      <c r="D69" s="65" t="s">
        <v>51</v>
      </c>
      <c r="E69" s="64">
        <v>0.22048999999999999</v>
      </c>
      <c r="F69" s="64">
        <v>0.20399300000000001</v>
      </c>
      <c r="G69" s="64">
        <v>0.20930000000000001</v>
      </c>
    </row>
    <row r="70" spans="1:7" s="64" customFormat="1" ht="20.25" x14ac:dyDescent="0.35">
      <c r="A70" s="132"/>
      <c r="B70" s="132"/>
      <c r="C70" s="132"/>
      <c r="D70" s="66" t="s">
        <v>49</v>
      </c>
      <c r="E70" s="64">
        <v>0.18395800000000001</v>
      </c>
      <c r="F70" s="64">
        <v>0.17777100000000001</v>
      </c>
      <c r="G70" s="64">
        <v>0.16357099999999999</v>
      </c>
    </row>
    <row r="71" spans="1:7" s="64" customFormat="1" ht="20.25" x14ac:dyDescent="0.35">
      <c r="A71" s="132"/>
      <c r="B71" s="132"/>
      <c r="C71" s="132"/>
      <c r="D71" s="66" t="s">
        <v>50</v>
      </c>
      <c r="E71" s="64">
        <v>0.24287700000000001</v>
      </c>
      <c r="F71" s="64">
        <v>0.235456</v>
      </c>
      <c r="G71" s="64">
        <v>0.24398400000000001</v>
      </c>
    </row>
    <row r="72" spans="1:7" s="64" customFormat="1" ht="20.25" x14ac:dyDescent="0.35">
      <c r="A72" s="132"/>
      <c r="B72" s="132"/>
      <c r="C72" s="132"/>
      <c r="D72" s="65" t="s">
        <v>52</v>
      </c>
      <c r="E72" s="64">
        <v>0.22108</v>
      </c>
      <c r="F72" s="64">
        <v>0.18915100000000001</v>
      </c>
      <c r="G72" s="64">
        <v>0.20625499999999999</v>
      </c>
    </row>
    <row r="73" spans="1:7" s="64" customFormat="1" ht="20.25" x14ac:dyDescent="0.35">
      <c r="A73" s="132"/>
      <c r="B73" s="132"/>
      <c r="C73" s="132"/>
      <c r="D73" s="65" t="s">
        <v>53</v>
      </c>
      <c r="E73" s="64">
        <v>0.24285799999999999</v>
      </c>
      <c r="F73" s="64">
        <v>0.23292099999999999</v>
      </c>
      <c r="G73" s="64">
        <v>0.24445800000000001</v>
      </c>
    </row>
    <row r="74" spans="1:7" s="64" customFormat="1" ht="20.25" x14ac:dyDescent="0.35">
      <c r="A74" s="132"/>
      <c r="B74" s="132"/>
      <c r="C74" s="132"/>
      <c r="D74" s="80"/>
      <c r="E74" s="84">
        <v>0</v>
      </c>
      <c r="F74" s="84">
        <v>0</v>
      </c>
      <c r="G74" s="84">
        <v>0</v>
      </c>
    </row>
    <row r="75" spans="1:7" s="67" customFormat="1" ht="20.25" x14ac:dyDescent="0.35">
      <c r="A75" s="132" t="s">
        <v>81</v>
      </c>
      <c r="B75" s="132" t="s">
        <v>83</v>
      </c>
      <c r="C75" s="132" t="s">
        <v>17</v>
      </c>
      <c r="D75" s="68" t="s">
        <v>51</v>
      </c>
      <c r="E75" s="64">
        <v>0.139572</v>
      </c>
      <c r="F75" s="64">
        <v>0.110913</v>
      </c>
      <c r="G75" s="64">
        <v>0.11436</v>
      </c>
    </row>
    <row r="76" spans="1:7" s="67" customFormat="1" ht="20.25" x14ac:dyDescent="0.35">
      <c r="A76" s="132"/>
      <c r="B76" s="132"/>
      <c r="C76" s="132"/>
      <c r="D76" s="69" t="s">
        <v>49</v>
      </c>
      <c r="E76" s="64">
        <v>0.10800899999999999</v>
      </c>
      <c r="F76" s="64">
        <v>7.8784099999999996E-2</v>
      </c>
      <c r="G76" s="64">
        <v>9.5177899999999996E-2</v>
      </c>
    </row>
    <row r="77" spans="1:7" s="67" customFormat="1" ht="20.25" x14ac:dyDescent="0.35">
      <c r="A77" s="132"/>
      <c r="B77" s="132"/>
      <c r="C77" s="132"/>
      <c r="D77" s="69" t="s">
        <v>50</v>
      </c>
      <c r="E77" s="64">
        <v>0.195107</v>
      </c>
      <c r="F77" s="64">
        <v>0.165989</v>
      </c>
      <c r="G77" s="64">
        <v>0.15401599999999999</v>
      </c>
    </row>
    <row r="78" spans="1:7" s="67" customFormat="1" ht="20.25" x14ac:dyDescent="0.35">
      <c r="A78" s="132"/>
      <c r="B78" s="132"/>
      <c r="C78" s="132"/>
      <c r="D78" s="68" t="s">
        <v>52</v>
      </c>
      <c r="E78" s="64">
        <v>0.14287</v>
      </c>
      <c r="F78" s="64">
        <v>9.6049200000000001E-2</v>
      </c>
      <c r="G78" s="64">
        <v>0.12613199999999999</v>
      </c>
    </row>
    <row r="79" spans="1:7" s="67" customFormat="1" ht="20.25" x14ac:dyDescent="0.35">
      <c r="A79" s="132"/>
      <c r="B79" s="132"/>
      <c r="C79" s="132"/>
      <c r="D79" s="68" t="s">
        <v>53</v>
      </c>
      <c r="E79" s="64">
        <v>0.117024</v>
      </c>
      <c r="F79" s="64">
        <v>9.5491400000000004E-2</v>
      </c>
      <c r="G79" s="64">
        <v>8.2659800000000005E-2</v>
      </c>
    </row>
    <row r="80" spans="1:7" s="67" customFormat="1" ht="20.25" x14ac:dyDescent="0.35">
      <c r="A80" s="132"/>
      <c r="B80" s="132"/>
      <c r="C80" s="132"/>
      <c r="D80" s="80"/>
      <c r="E80" s="84">
        <v>0</v>
      </c>
      <c r="F80" s="84">
        <v>0</v>
      </c>
      <c r="G80" s="84">
        <v>0</v>
      </c>
    </row>
    <row r="81" spans="1:7" s="38" customFormat="1" ht="20.25" x14ac:dyDescent="0.35">
      <c r="A81" s="132"/>
      <c r="B81" s="132" t="s">
        <v>79</v>
      </c>
      <c r="C81" s="132" t="s">
        <v>17</v>
      </c>
      <c r="D81" s="70" t="s">
        <v>51</v>
      </c>
      <c r="E81" s="64">
        <v>0.22048300000000001</v>
      </c>
      <c r="F81" s="64">
        <v>0.194552</v>
      </c>
      <c r="G81" s="64">
        <v>0.19860700000000001</v>
      </c>
    </row>
    <row r="82" spans="1:7" s="38" customFormat="1" ht="20.25" x14ac:dyDescent="0.35">
      <c r="A82" s="132"/>
      <c r="B82" s="132"/>
      <c r="C82" s="132"/>
      <c r="D82" s="71" t="s">
        <v>49</v>
      </c>
      <c r="E82" s="64">
        <v>0.21040500000000001</v>
      </c>
      <c r="F82" s="64">
        <v>0.18379699999999999</v>
      </c>
      <c r="G82" s="64">
        <v>0.20244200000000001</v>
      </c>
    </row>
    <row r="83" spans="1:7" s="38" customFormat="1" ht="20.25" x14ac:dyDescent="0.35">
      <c r="A83" s="132"/>
      <c r="B83" s="132"/>
      <c r="C83" s="132"/>
      <c r="D83" s="71" t="s">
        <v>50</v>
      </c>
      <c r="E83" s="64">
        <v>0.18417800000000001</v>
      </c>
      <c r="F83" s="64">
        <v>0.17354</v>
      </c>
      <c r="G83" s="64">
        <v>0.147897</v>
      </c>
    </row>
    <row r="84" spans="1:7" s="38" customFormat="1" ht="20.25" x14ac:dyDescent="0.35">
      <c r="A84" s="132"/>
      <c r="B84" s="132"/>
      <c r="C84" s="132"/>
      <c r="D84" s="70" t="s">
        <v>52</v>
      </c>
      <c r="E84" s="64">
        <v>0.21490400000000001</v>
      </c>
      <c r="F84" s="64">
        <v>0.20014399999999999</v>
      </c>
      <c r="G84" s="64">
        <v>0.202926</v>
      </c>
    </row>
    <row r="85" spans="1:7" s="38" customFormat="1" ht="20.25" x14ac:dyDescent="0.35">
      <c r="A85" s="132"/>
      <c r="B85" s="132"/>
      <c r="C85" s="132"/>
      <c r="D85" s="70" t="s">
        <v>53</v>
      </c>
      <c r="E85" s="64">
        <v>0.26621699999999998</v>
      </c>
      <c r="F85" s="64">
        <v>0.23443600000000001</v>
      </c>
      <c r="G85" s="64">
        <v>0.24726300000000001</v>
      </c>
    </row>
    <row r="86" spans="1:7" s="38" customFormat="1" ht="20.25" x14ac:dyDescent="0.35">
      <c r="A86" s="132"/>
      <c r="B86" s="132"/>
      <c r="C86" s="132"/>
      <c r="D86" s="80"/>
      <c r="E86" s="84">
        <v>0</v>
      </c>
      <c r="F86" s="84">
        <v>0</v>
      </c>
      <c r="G86" s="84">
        <v>0</v>
      </c>
    </row>
    <row r="87" spans="1:7" ht="20.25" x14ac:dyDescent="0.35">
      <c r="E87" s="84"/>
    </row>
    <row r="88" spans="1:7" ht="20.25" x14ac:dyDescent="0.35">
      <c r="E88" s="84"/>
    </row>
  </sheetData>
  <mergeCells count="25">
    <mergeCell ref="C69:C74"/>
    <mergeCell ref="C75:C80"/>
    <mergeCell ref="C81:C86"/>
    <mergeCell ref="B81:B86"/>
    <mergeCell ref="B51:B56"/>
    <mergeCell ref="B57:B62"/>
    <mergeCell ref="C33:C62"/>
    <mergeCell ref="C63:C68"/>
    <mergeCell ref="B63:B68"/>
    <mergeCell ref="A63:A68"/>
    <mergeCell ref="B33:B38"/>
    <mergeCell ref="B39:B44"/>
    <mergeCell ref="B45:B50"/>
    <mergeCell ref="A75:A86"/>
    <mergeCell ref="B75:B80"/>
    <mergeCell ref="B69:B74"/>
    <mergeCell ref="A69:A74"/>
    <mergeCell ref="A3:A32"/>
    <mergeCell ref="B3:B32"/>
    <mergeCell ref="A33:A62"/>
    <mergeCell ref="C3:C8"/>
    <mergeCell ref="C9:C14"/>
    <mergeCell ref="C15:C20"/>
    <mergeCell ref="C21:C26"/>
    <mergeCell ref="C27:C3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showRuler="0" zoomScale="50" zoomScaleNormal="50" workbookViewId="0">
      <pane xSplit="4" topLeftCell="E1" activePane="topRight" state="frozen"/>
      <selection activeCell="F3" sqref="F3"/>
      <selection pane="topRight" activeCell="E7" sqref="E7"/>
    </sheetView>
  </sheetViews>
  <sheetFormatPr defaultColWidth="11.5546875" defaultRowHeight="17.25" x14ac:dyDescent="0.3"/>
  <cols>
    <col min="7" max="7" width="10.77734375" style="40"/>
    <col min="10" max="10" width="10.77734375" style="40"/>
    <col min="13" max="13" width="10.77734375" style="40"/>
    <col min="16" max="16" width="10.77734375" style="40"/>
    <col min="19" max="19" width="10.77734375" style="40"/>
    <col min="22" max="22" width="10.77734375" style="40"/>
    <col min="25" max="25" width="10.77734375" style="40"/>
    <col min="28" max="28" width="10.77734375" style="40"/>
  </cols>
  <sheetData>
    <row r="1" spans="1:35" ht="20.25" x14ac:dyDescent="0.35">
      <c r="A1" s="6"/>
      <c r="B1" s="6"/>
      <c r="C1" s="6"/>
      <c r="D1" s="6"/>
      <c r="E1" s="6" t="s">
        <v>58</v>
      </c>
      <c r="F1" s="6"/>
      <c r="G1" s="39"/>
      <c r="H1" s="6" t="s">
        <v>59</v>
      </c>
      <c r="I1" s="6"/>
      <c r="J1" s="39"/>
      <c r="K1" s="27" t="s">
        <v>60</v>
      </c>
      <c r="L1" s="27"/>
      <c r="M1" s="39"/>
      <c r="N1" s="27" t="s">
        <v>89</v>
      </c>
      <c r="O1" s="27"/>
      <c r="P1" s="39"/>
      <c r="Q1" s="27" t="s">
        <v>90</v>
      </c>
      <c r="R1" s="27"/>
      <c r="S1" s="39"/>
      <c r="T1" s="27" t="s">
        <v>91</v>
      </c>
      <c r="U1" s="27"/>
      <c r="V1" s="39"/>
      <c r="W1" s="27" t="s">
        <v>92</v>
      </c>
      <c r="X1" s="27"/>
      <c r="Y1" s="39"/>
      <c r="Z1" s="27" t="s">
        <v>94</v>
      </c>
      <c r="AA1" s="27"/>
      <c r="AB1" s="39"/>
      <c r="AC1" s="27" t="s">
        <v>93</v>
      </c>
      <c r="AD1" s="27"/>
      <c r="AE1" t="s">
        <v>95</v>
      </c>
      <c r="AH1" t="s">
        <v>97</v>
      </c>
    </row>
    <row r="2" spans="1:35" ht="20.25" x14ac:dyDescent="0.35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 t="s">
        <v>63</v>
      </c>
      <c r="O2" s="2" t="s">
        <v>64</v>
      </c>
      <c r="Q2" s="26" t="s">
        <v>63</v>
      </c>
      <c r="R2" s="26" t="s">
        <v>64</v>
      </c>
      <c r="T2" s="26" t="s">
        <v>63</v>
      </c>
      <c r="U2" s="26" t="s">
        <v>64</v>
      </c>
      <c r="W2" s="26" t="s">
        <v>63</v>
      </c>
      <c r="X2" s="26" t="s">
        <v>64</v>
      </c>
      <c r="Z2" s="26" t="s">
        <v>63</v>
      </c>
      <c r="AA2" s="26" t="s">
        <v>64</v>
      </c>
      <c r="AC2" s="26" t="s">
        <v>63</v>
      </c>
      <c r="AD2" s="26" t="s">
        <v>64</v>
      </c>
      <c r="AE2" s="26" t="s">
        <v>63</v>
      </c>
      <c r="AF2" s="26" t="s">
        <v>64</v>
      </c>
      <c r="AH2" s="26" t="s">
        <v>99</v>
      </c>
      <c r="AI2" s="26" t="s">
        <v>100</v>
      </c>
    </row>
    <row r="3" spans="1:35" ht="20.25" x14ac:dyDescent="0.35">
      <c r="A3" s="146" t="s">
        <v>55</v>
      </c>
      <c r="B3" s="146" t="s">
        <v>25</v>
      </c>
      <c r="C3" s="125" t="s">
        <v>35</v>
      </c>
      <c r="D3" s="4"/>
      <c r="E3" s="36"/>
      <c r="F3" s="36"/>
      <c r="H3" s="36"/>
      <c r="I3" s="36"/>
      <c r="K3" s="36"/>
      <c r="L3" s="36"/>
      <c r="N3" s="41"/>
      <c r="O3" s="41"/>
      <c r="Q3" s="41"/>
      <c r="R3" s="41"/>
      <c r="T3" s="41"/>
      <c r="U3" s="41"/>
      <c r="W3" s="36"/>
      <c r="X3" s="36"/>
      <c r="Z3" s="36"/>
      <c r="AA3" s="36"/>
      <c r="AC3" s="36"/>
      <c r="AD3" s="36"/>
    </row>
    <row r="4" spans="1:35" ht="20.25" x14ac:dyDescent="0.35">
      <c r="A4" s="146"/>
      <c r="B4" s="146"/>
      <c r="C4" s="125"/>
      <c r="D4" s="4" t="s">
        <v>49</v>
      </c>
      <c r="E4" s="109">
        <f>(1-defaultFit_Inclusive!$U4)*fitSyst_Inclusive!E4</f>
        <v>269.51340124199999</v>
      </c>
      <c r="F4" s="109">
        <f>(1-defaultFit_Inclusive!$U4)*fitSyst_Inclusive!F4</f>
        <v>249.506835102</v>
      </c>
      <c r="G4" s="110"/>
      <c r="H4" s="109">
        <f>(1-defaultFit_Inclusive!$U4)*fitSyst_Inclusive!H4</f>
        <v>249.506835102</v>
      </c>
      <c r="I4" s="109">
        <f>(1-defaultFit_Inclusive!$U4)*fitSyst_Inclusive!I4</f>
        <v>248.56501789399999</v>
      </c>
      <c r="J4" s="110"/>
      <c r="K4" s="109">
        <f>(1-defaultFit_Inclusive!$U4)*fitSyst_Inclusive!K4</f>
        <v>273.39416750699996</v>
      </c>
      <c r="L4" s="109">
        <f>(1-defaultFit_Inclusive!$U4)*fitSyst_Inclusive!L4</f>
        <v>265.79195435499997</v>
      </c>
      <c r="M4" s="110"/>
      <c r="N4" s="111">
        <f xml:space="preserve"> (1-fitSyst_bFrac!$E4)*defaultFit_Inclusive!E4</f>
        <v>266.49513848000004</v>
      </c>
      <c r="O4" s="111">
        <f xml:space="preserve"> (1-fitSyst_bFrac!E4)*defaultFit_Inclusive!H4</f>
        <v>246.555708412</v>
      </c>
      <c r="P4" s="110"/>
      <c r="Q4" s="111">
        <f xml:space="preserve"> (1-fitSyst_bFrac!F4)*defaultFit_Inclusive!E4</f>
        <v>270.23984924000001</v>
      </c>
      <c r="R4" s="111">
        <f xml:space="preserve"> (1-fitSyst_bFrac!F4)*defaultFit_Inclusive!H4</f>
        <v>250.02023620599999</v>
      </c>
      <c r="S4" s="110"/>
      <c r="T4" s="111">
        <f xml:space="preserve"> (1-fitSyst_bFrac!G4)*defaultFit_Inclusive!E4</f>
        <v>266.35814620000002</v>
      </c>
      <c r="U4" s="111">
        <f xml:space="preserve"> (1-fitSyst_bFrac!G4)*defaultFit_Inclusive!H4</f>
        <v>246.42896603</v>
      </c>
      <c r="V4" s="110"/>
      <c r="W4" s="109">
        <f>(1-defaultFit_Inclusive!$U4)*trgBiassing!E4</f>
        <v>246.88652480099998</v>
      </c>
      <c r="X4" s="109">
        <f>(1-defaultFit_Inclusive!$U4)*trgBiassing!F4</f>
        <v>217.41243987099998</v>
      </c>
      <c r="Y4" s="110"/>
      <c r="Z4" s="109">
        <f>(1-defaultFit_Inclusive!$U4)*trgBiassing!L4</f>
        <v>111.97684937899999</v>
      </c>
      <c r="AA4" s="109">
        <f>(1-defaultFit_Inclusive!$U4)*trgBiassing!M4</f>
        <v>117.50509080499999</v>
      </c>
      <c r="AB4" s="110"/>
      <c r="AC4" s="109">
        <f>(1-defaultFit_Inclusive!$U4)*epSystematic!E4</f>
        <v>263.21676104599999</v>
      </c>
      <c r="AD4" s="109">
        <f>(1-defaultFit_Inclusive!$U4)*epSystematic!F4</f>
        <v>254.67132077999997</v>
      </c>
      <c r="AE4" s="112">
        <f>SQRT(POWER(E4/$E$8-AH4,2)+POWER(H4/$H$8-AH4,2)+POWER(K4/$K$8-AH4,2)+POWER(N4/$N$8-AH4,2)+POWER(Q4/$Q$8-AH4,2)+POWER(T4/$T$8-AH4,2)+POWER(W4/$W$8-AH4,2)+POWER(Z4/$Z$8-AH4,2)+POWER(AC4/$AC$8-AH4,2))/SQRT(9*POWER(PI()/8,2))</f>
        <v>3.2144467984721203E-2</v>
      </c>
      <c r="AF4" s="112">
        <f>SQRT(POWER(F4/$F$8-AI4,2)+POWER(I4/$I$8-AI4,2)+POWER(L4/$L$8-AI4,2)+POWER(O4/$O$8-AI4,2)+POWER(R4/$R$8-AI4,2)+POWER(U4/$U$8-AI4,2)+POWER(X4/$X$8-AI4,2)+POWER(AA4/$AA$8-AI4,2)+POWER(AD4/$AD$8-AI4,2))/SQRT(9*POWER(PI()/8,2))</f>
        <v>7.4661116416627213E-3</v>
      </c>
      <c r="AG4" s="112"/>
      <c r="AH4" s="112">
        <f xml:space="preserve"> defaultFit_Prompt!E4/defaultFit_Prompt!$E$8</f>
        <v>0.25656691232826023</v>
      </c>
      <c r="AI4" s="112">
        <f xml:space="preserve"> defaultFit_Prompt!H4/defaultFit_Prompt!$H$8</f>
        <v>0.25673077470925137</v>
      </c>
    </row>
    <row r="5" spans="1:35" ht="20.25" x14ac:dyDescent="0.35">
      <c r="A5" s="146"/>
      <c r="B5" s="146"/>
      <c r="C5" s="125"/>
      <c r="D5" s="4" t="s">
        <v>50</v>
      </c>
      <c r="E5" s="109">
        <f>(1-defaultFit_Inclusive!$U5)*fitSyst_Inclusive!E5</f>
        <v>265.98669488999997</v>
      </c>
      <c r="F5" s="109">
        <f>(1-defaultFit_Inclusive!$U5)*fitSyst_Inclusive!F5</f>
        <v>237.36260246999996</v>
      </c>
      <c r="G5" s="110"/>
      <c r="H5" s="109">
        <f>(1-defaultFit_Inclusive!$U5)*fitSyst_Inclusive!H5</f>
        <v>237.36260246999996</v>
      </c>
      <c r="I5" s="109">
        <f>(1-defaultFit_Inclusive!$U5)*fitSyst_Inclusive!I5</f>
        <v>236.08580624999999</v>
      </c>
      <c r="J5" s="110"/>
      <c r="K5" s="109">
        <f>(1-defaultFit_Inclusive!$U5)*fitSyst_Inclusive!K5</f>
        <v>267.38793088</v>
      </c>
      <c r="L5" s="109">
        <f>(1-defaultFit_Inclusive!$U5)*fitSyst_Inclusive!L5</f>
        <v>246.54684655999998</v>
      </c>
      <c r="M5" s="110"/>
      <c r="N5" s="111">
        <f xml:space="preserve"> (1-fitSyst_bFrac!E5)*defaultFit_Inclusive!E5</f>
        <v>263.21625436800002</v>
      </c>
      <c r="O5" s="111">
        <f xml:space="preserve"> (1-fitSyst_bFrac!E5)*defaultFit_Inclusive!H5</f>
        <v>234.898696296</v>
      </c>
      <c r="P5" s="110"/>
      <c r="Q5" s="111">
        <f xml:space="preserve"> (1-fitSyst_bFrac!F5)*defaultFit_Inclusive!E5</f>
        <v>269.85966608000001</v>
      </c>
      <c r="R5" s="111">
        <f xml:space="preserve"> (1-fitSyst_bFrac!F5)*defaultFit_Inclusive!H5</f>
        <v>240.82739076000001</v>
      </c>
      <c r="S5" s="110"/>
      <c r="T5" s="111">
        <f xml:space="preserve"> (1-fitSyst_bFrac!G5)*defaultFit_Inclusive!E5</f>
        <v>265.04746046000002</v>
      </c>
      <c r="U5" s="111">
        <f xml:space="preserve"> (1-fitSyst_bFrac!G5)*defaultFit_Inclusive!H5</f>
        <v>236.53289599500002</v>
      </c>
      <c r="V5" s="110"/>
      <c r="W5" s="109">
        <f>(1-defaultFit_Inclusive!$U5)*trgBiassing!E5</f>
        <v>227.46485460999995</v>
      </c>
      <c r="X5" s="109">
        <f>(1-defaultFit_Inclusive!$U5)*trgBiassing!F5</f>
        <v>211.52920074999997</v>
      </c>
      <c r="Y5" s="110"/>
      <c r="Z5" s="109">
        <f>(1-defaultFit_Inclusive!$U5)*trgBiassing!L5</f>
        <v>128.56174533999999</v>
      </c>
      <c r="AA5" s="109">
        <f>(1-defaultFit_Inclusive!$U5)*trgBiassing!M5</f>
        <v>104.21131223999998</v>
      </c>
      <c r="AB5" s="110"/>
      <c r="AC5" s="109">
        <f>(1-defaultFit_Inclusive!$U5)*epSystematic!E5</f>
        <v>270.09688894999999</v>
      </c>
      <c r="AD5" s="109">
        <f>(1-defaultFit_Inclusive!$U5)*epSystematic!F5</f>
        <v>229.89547994</v>
      </c>
      <c r="AE5" s="112">
        <f t="shared" ref="AE5:AE7" si="0">SQRT(POWER(E5/$E$8-AH5,2)+POWER(H5/$H$8-AH5,2)+POWER(K5/$K$8-AH5,2)+POWER(N5/$N$8-AH5,2)+POWER(Q5/$Q$8-AH5,2)+POWER(T5/$T$8-AH5,2)+POWER(W5/$W$8-AH5,2)+POWER(Z5/$Z$8-AH5,2)+POWER(AC5/$AC$8-AH5,2))/SQRT(9*POWER(PI()/8,2))</f>
        <v>1.29522752333994E-2</v>
      </c>
      <c r="AF5" s="112">
        <f t="shared" ref="AF5:AF7" si="1">SQRT(POWER(F5/$F$8-AI5,2)+POWER(I5/$I$8-AI5,2)+POWER(L5/$L$8-AI5,2)+POWER(O5/$O$8-AI5,2)+POWER(R5/$R$8-AI5,2)+POWER(U5/$U$8-AI5,2)+POWER(X5/$X$8-AI5,2)+POWER(AA5/$AA$8-AI5,2)+POWER(AD5/$AD$8-AI5,2))/SQRT(9*POWER(PI()/8,2))</f>
        <v>1.8033952832063969E-2</v>
      </c>
      <c r="AG5" s="112"/>
      <c r="AH5" s="112">
        <f xml:space="preserve"> defaultFit_Prompt!E5/defaultFit_Prompt!$E$8</f>
        <v>0.25329651213668269</v>
      </c>
      <c r="AI5" s="112">
        <f xml:space="preserve"> defaultFit_Prompt!H5/defaultFit_Prompt!$H$8</f>
        <v>0.24448297621590123</v>
      </c>
    </row>
    <row r="6" spans="1:35" ht="20.25" x14ac:dyDescent="0.35">
      <c r="A6" s="146"/>
      <c r="B6" s="146"/>
      <c r="C6" s="125"/>
      <c r="D6" s="28" t="s">
        <v>52</v>
      </c>
      <c r="E6" s="109">
        <f>(1-defaultFit_Inclusive!$U6)*fitSyst_Inclusive!E6</f>
        <v>254.37267437400001</v>
      </c>
      <c r="F6" s="109">
        <f>(1-defaultFit_Inclusive!$U6)*fitSyst_Inclusive!F6</f>
        <v>246.54349838300001</v>
      </c>
      <c r="G6" s="110"/>
      <c r="H6" s="109">
        <f>(1-defaultFit_Inclusive!$U6)*fitSyst_Inclusive!H6</f>
        <v>246.54349838300001</v>
      </c>
      <c r="I6" s="109">
        <f>(1-defaultFit_Inclusive!$U6)*fitSyst_Inclusive!I6</f>
        <v>244.92094836300001</v>
      </c>
      <c r="J6" s="110"/>
      <c r="K6" s="109">
        <f>(1-defaultFit_Inclusive!$U6)*fitSyst_Inclusive!K6</f>
        <v>257.21064833100002</v>
      </c>
      <c r="L6" s="109">
        <f>(1-defaultFit_Inclusive!$U6)*fitSyst_Inclusive!L6</f>
        <v>245.342960226</v>
      </c>
      <c r="M6" s="110"/>
      <c r="N6" s="111">
        <f xml:space="preserve"> (1-fitSyst_bFrac!E6)*defaultFit_Inclusive!E6</f>
        <v>249.479653176</v>
      </c>
      <c r="O6" s="111">
        <f xml:space="preserve"> (1-fitSyst_bFrac!E6)*defaultFit_Inclusive!H6</f>
        <v>241.26170899200002</v>
      </c>
      <c r="P6" s="110"/>
      <c r="Q6" s="111">
        <f xml:space="preserve"> (1-fitSyst_bFrac!F6)*defaultFit_Inclusive!E6</f>
        <v>255.48124562999999</v>
      </c>
      <c r="R6" s="111">
        <f xml:space="preserve"> (1-fitSyst_bFrac!F6)*defaultFit_Inclusive!H6</f>
        <v>247.06560696000003</v>
      </c>
      <c r="S6" s="110"/>
      <c r="T6" s="111">
        <f xml:space="preserve"> (1-fitSyst_bFrac!G6)*defaultFit_Inclusive!E6</f>
        <v>253.49578472399998</v>
      </c>
      <c r="U6" s="111">
        <f xml:space="preserve"> (1-fitSyst_bFrac!G6)*defaultFit_Inclusive!H6</f>
        <v>245.145547808</v>
      </c>
      <c r="V6" s="110"/>
      <c r="W6" s="109">
        <f>(1-defaultFit_Inclusive!$U6)*trgBiassing!E6</f>
        <v>234.30813151199999</v>
      </c>
      <c r="X6" s="109">
        <f>(1-defaultFit_Inclusive!$U6)*trgBiassing!F6</f>
        <v>215.40765664599999</v>
      </c>
      <c r="Y6" s="110"/>
      <c r="Z6" s="109">
        <f>(1-defaultFit_Inclusive!$U6)*trgBiassing!L6</f>
        <v>137.98820344399999</v>
      </c>
      <c r="AA6" s="109">
        <f>(1-defaultFit_Inclusive!$U6)*trgBiassing!M6</f>
        <v>123.78047072299999</v>
      </c>
      <c r="AB6" s="110"/>
      <c r="AC6" s="109">
        <f>(1-defaultFit_Inclusive!$U6)*epSystematic!E6</f>
        <v>254.09356599900002</v>
      </c>
      <c r="AD6" s="109">
        <f>(1-defaultFit_Inclusive!$U6)*epSystematic!F6</f>
        <v>253.76235739400002</v>
      </c>
      <c r="AE6" s="112">
        <f t="shared" si="0"/>
        <v>2.6659604518646979E-2</v>
      </c>
      <c r="AF6" s="112">
        <f t="shared" si="1"/>
        <v>1.6697946837598628E-2</v>
      </c>
      <c r="AG6" s="112"/>
      <c r="AH6" s="112">
        <f xml:space="preserve"> defaultFit_Prompt!E6/defaultFit_Prompt!$E$8</f>
        <v>0.24245271835862781</v>
      </c>
      <c r="AI6" s="112">
        <f xml:space="preserve"> defaultFit_Prompt!H6/defaultFit_Prompt!$H$8</f>
        <v>0.25358983343312425</v>
      </c>
    </row>
    <row r="7" spans="1:35" ht="20.25" x14ac:dyDescent="0.35">
      <c r="A7" s="146"/>
      <c r="B7" s="146"/>
      <c r="C7" s="125"/>
      <c r="D7" s="28" t="s">
        <v>53</v>
      </c>
      <c r="E7" s="109">
        <f>(1-defaultFit_Inclusive!$U7)*fitSyst_Inclusive!E7</f>
        <v>260.17812717600003</v>
      </c>
      <c r="F7" s="109">
        <f>(1-defaultFit_Inclusive!$U7)*fitSyst_Inclusive!F7</f>
        <v>238.31909094400001</v>
      </c>
      <c r="G7" s="110"/>
      <c r="H7" s="109">
        <f>(1-defaultFit_Inclusive!$U7)*fitSyst_Inclusive!H7</f>
        <v>238.31909094400001</v>
      </c>
      <c r="I7" s="109">
        <f>(1-defaultFit_Inclusive!$U7)*fitSyst_Inclusive!I7</f>
        <v>237.070986592</v>
      </c>
      <c r="J7" s="110"/>
      <c r="K7" s="109">
        <f>(1-defaultFit_Inclusive!$U7)*fitSyst_Inclusive!K7</f>
        <v>256.27443388800003</v>
      </c>
      <c r="L7" s="109">
        <f>(1-defaultFit_Inclusive!$U7)*fitSyst_Inclusive!L7</f>
        <v>255.60174455200001</v>
      </c>
      <c r="M7" s="110"/>
      <c r="N7" s="111">
        <f xml:space="preserve"> (1-fitSyst_bFrac!E7)*defaultFit_Inclusive!E7</f>
        <v>257.380322573</v>
      </c>
      <c r="O7" s="111">
        <f xml:space="preserve"> (1-fitSyst_bFrac!E7)*defaultFit_Inclusive!H7</f>
        <v>235.58099042400002</v>
      </c>
      <c r="P7" s="110"/>
      <c r="Q7" s="111">
        <f xml:space="preserve"> (1-fitSyst_bFrac!F7)*defaultFit_Inclusive!E7</f>
        <v>259.51130413999999</v>
      </c>
      <c r="R7" s="111">
        <f xml:space="preserve"> (1-fitSyst_bFrac!F7)*defaultFit_Inclusive!H7</f>
        <v>237.53148432</v>
      </c>
      <c r="S7" s="110"/>
      <c r="T7" s="111">
        <f xml:space="preserve"> (1-fitSyst_bFrac!G7)*defaultFit_Inclusive!E7</f>
        <v>258.95445773999995</v>
      </c>
      <c r="U7" s="111">
        <f xml:space="preserve"> (1-fitSyst_bFrac!G7)*defaultFit_Inclusive!H7</f>
        <v>237.02180111999999</v>
      </c>
      <c r="V7" s="110"/>
      <c r="W7" s="109">
        <f>(1-defaultFit_Inclusive!$U7)*trgBiassing!E7</f>
        <v>231.70368891999999</v>
      </c>
      <c r="X7" s="109">
        <f>(1-defaultFit_Inclusive!$U7)*trgBiassing!F7</f>
        <v>211.86721027999999</v>
      </c>
      <c r="Y7" s="110"/>
      <c r="Z7" s="109">
        <f>(1-defaultFit_Inclusive!$U7)*trgBiassing!L7</f>
        <v>130.87661144800001</v>
      </c>
      <c r="AA7" s="109">
        <f>(1-defaultFit_Inclusive!$U7)*trgBiassing!M7</f>
        <v>117.32180908800001</v>
      </c>
      <c r="AB7" s="110"/>
      <c r="AC7" s="109">
        <f>(1-defaultFit_Inclusive!$U7)*epSystematic!E7</f>
        <v>263.74435340000002</v>
      </c>
      <c r="AD7" s="109">
        <f>(1-defaultFit_Inclusive!$U7)*epSystematic!F7</f>
        <v>233.72100866400001</v>
      </c>
      <c r="AE7" s="112">
        <f t="shared" si="0"/>
        <v>9.6027746443104519E-3</v>
      </c>
      <c r="AF7" s="112">
        <f t="shared" si="1"/>
        <v>1.0385309262237401E-2</v>
      </c>
      <c r="AG7" s="112"/>
      <c r="AH7" s="112">
        <f xml:space="preserve"> defaultFit_Prompt!E7/defaultFit_Prompt!$E$8</f>
        <v>0.24768385717642935</v>
      </c>
      <c r="AI7" s="112">
        <f xml:space="preserve"> defaultFit_Prompt!H7/defaultFit_Prompt!$H$8</f>
        <v>0.24519641564172312</v>
      </c>
    </row>
    <row r="8" spans="1:35" ht="20.25" x14ac:dyDescent="0.35">
      <c r="A8" s="146"/>
      <c r="B8" s="146"/>
      <c r="C8" s="125"/>
      <c r="D8" s="72"/>
      <c r="E8" s="113">
        <f xml:space="preserve"> SUM(E4:E7)</f>
        <v>1050.0508976819999</v>
      </c>
      <c r="F8" s="113">
        <f xml:space="preserve"> SUM(F4:F7)</f>
        <v>971.73202689899995</v>
      </c>
      <c r="G8" s="113"/>
      <c r="H8" s="113">
        <f xml:space="preserve"> SUM(H4:H7)</f>
        <v>971.73202689899995</v>
      </c>
      <c r="I8" s="113">
        <f xml:space="preserve"> SUM(I4:I7)</f>
        <v>966.64275909899993</v>
      </c>
      <c r="J8" s="113"/>
      <c r="K8" s="113">
        <f xml:space="preserve"> SUM(K4:K7)</f>
        <v>1054.267180606</v>
      </c>
      <c r="L8" s="113">
        <f xml:space="preserve"> SUM(L4:L7)</f>
        <v>1013.2835056929999</v>
      </c>
      <c r="M8" s="113"/>
      <c r="N8" s="113">
        <f xml:space="preserve"> SUM(N4:N7)</f>
        <v>1036.5713685970002</v>
      </c>
      <c r="O8" s="113">
        <f xml:space="preserve"> SUM(O4:O7)</f>
        <v>958.29710412400004</v>
      </c>
      <c r="P8" s="113"/>
      <c r="Q8" s="113">
        <f xml:space="preserve"> SUM(Q4:Q7)</f>
        <v>1055.09206509</v>
      </c>
      <c r="R8" s="113">
        <f xml:space="preserve"> SUM(R4:R7)</f>
        <v>975.44471824599998</v>
      </c>
      <c r="S8" s="113"/>
      <c r="T8" s="113">
        <f xml:space="preserve"> SUM(T4:T7)</f>
        <v>1043.8558491240001</v>
      </c>
      <c r="U8" s="113">
        <f xml:space="preserve"> SUM(U4:U7)</f>
        <v>965.12921095299998</v>
      </c>
      <c r="V8" s="113"/>
      <c r="W8" s="113">
        <f xml:space="preserve"> SUM(W4:W7)</f>
        <v>940.36319984299996</v>
      </c>
      <c r="X8" s="113">
        <f xml:space="preserve"> SUM(X4:X7)</f>
        <v>856.21650754699988</v>
      </c>
      <c r="Y8" s="113"/>
      <c r="Z8" s="113">
        <f xml:space="preserve"> SUM(Z4:Z7)</f>
        <v>509.40340961099997</v>
      </c>
      <c r="AA8" s="113">
        <f xml:space="preserve"> SUM(AA4:AA7)</f>
        <v>462.81868285600001</v>
      </c>
      <c r="AB8" s="113"/>
      <c r="AC8" s="113">
        <f xml:space="preserve"> SUM(AC4:AC7)</f>
        <v>1051.151569395</v>
      </c>
      <c r="AD8" s="113">
        <f xml:space="preserve"> SUM(AD4:AD7)</f>
        <v>972.05016677799995</v>
      </c>
      <c r="AE8" s="113"/>
      <c r="AF8" s="113"/>
      <c r="AG8" s="113"/>
      <c r="AH8" s="113"/>
      <c r="AI8" s="113"/>
    </row>
    <row r="9" spans="1:35" ht="20.25" x14ac:dyDescent="0.35">
      <c r="A9" s="146"/>
      <c r="B9" s="146"/>
      <c r="C9" s="147" t="s">
        <v>2</v>
      </c>
      <c r="D9" s="8"/>
      <c r="E9" s="109"/>
      <c r="F9" s="109"/>
      <c r="G9" s="110"/>
      <c r="H9" s="109"/>
      <c r="I9" s="109"/>
      <c r="J9" s="110"/>
      <c r="K9" s="109"/>
      <c r="L9" s="109"/>
      <c r="M9" s="110"/>
      <c r="N9" s="111"/>
      <c r="O9" s="111"/>
      <c r="P9" s="110"/>
      <c r="Q9" s="111"/>
      <c r="R9" s="111"/>
      <c r="S9" s="110"/>
      <c r="T9" s="111"/>
      <c r="U9" s="111"/>
      <c r="V9" s="110"/>
      <c r="W9" s="109"/>
      <c r="X9" s="109"/>
      <c r="Y9" s="110"/>
      <c r="Z9" s="109"/>
      <c r="AA9" s="109"/>
      <c r="AB9" s="110"/>
      <c r="AC9" s="109"/>
      <c r="AD9" s="109"/>
      <c r="AE9" s="112"/>
      <c r="AF9" s="112"/>
      <c r="AG9" s="112"/>
      <c r="AH9" s="112"/>
      <c r="AI9" s="112"/>
    </row>
    <row r="10" spans="1:35" ht="20.25" x14ac:dyDescent="0.35">
      <c r="A10" s="146"/>
      <c r="B10" s="146"/>
      <c r="C10" s="147"/>
      <c r="D10" s="8" t="s">
        <v>49</v>
      </c>
      <c r="E10" s="109"/>
      <c r="F10" s="109"/>
      <c r="G10" s="110"/>
      <c r="H10" s="109"/>
      <c r="I10" s="109"/>
      <c r="J10" s="110"/>
      <c r="K10" s="109"/>
      <c r="L10" s="109"/>
      <c r="M10" s="110"/>
      <c r="N10" s="111"/>
      <c r="O10" s="111"/>
      <c r="P10" s="110"/>
      <c r="Q10" s="111"/>
      <c r="R10" s="111"/>
      <c r="S10" s="110"/>
      <c r="T10" s="111"/>
      <c r="U10" s="111"/>
      <c r="V10" s="110"/>
      <c r="W10" s="109"/>
      <c r="X10" s="109"/>
      <c r="Y10" s="110"/>
      <c r="Z10" s="109"/>
      <c r="AA10" s="109"/>
      <c r="AB10" s="110"/>
      <c r="AC10" s="109"/>
      <c r="AD10" s="109"/>
      <c r="AE10" s="112"/>
      <c r="AF10" s="112"/>
      <c r="AG10" s="112"/>
      <c r="AH10" s="112"/>
      <c r="AI10" s="112"/>
    </row>
    <row r="11" spans="1:35" ht="20.25" x14ac:dyDescent="0.35">
      <c r="A11" s="146"/>
      <c r="B11" s="146"/>
      <c r="C11" s="147"/>
      <c r="D11" s="8" t="s">
        <v>50</v>
      </c>
      <c r="E11" s="109"/>
      <c r="F11" s="109"/>
      <c r="G11" s="110"/>
      <c r="H11" s="109"/>
      <c r="I11" s="109"/>
      <c r="J11" s="110"/>
      <c r="K11" s="109"/>
      <c r="L11" s="109"/>
      <c r="M11" s="110"/>
      <c r="N11" s="111"/>
      <c r="O11" s="111"/>
      <c r="P11" s="110"/>
      <c r="Q11" s="111"/>
      <c r="R11" s="111"/>
      <c r="S11" s="110"/>
      <c r="T11" s="111"/>
      <c r="U11" s="111"/>
      <c r="V11" s="110"/>
      <c r="W11" s="109"/>
      <c r="X11" s="109"/>
      <c r="Y11" s="110"/>
      <c r="Z11" s="109"/>
      <c r="AA11" s="109"/>
      <c r="AB11" s="110"/>
      <c r="AC11" s="109"/>
      <c r="AD11" s="109"/>
      <c r="AE11" s="112"/>
      <c r="AF11" s="112"/>
      <c r="AG11" s="112"/>
      <c r="AH11" s="112"/>
      <c r="AI11" s="112"/>
    </row>
    <row r="12" spans="1:35" ht="20.25" x14ac:dyDescent="0.35">
      <c r="A12" s="146"/>
      <c r="B12" s="146"/>
      <c r="C12" s="147"/>
      <c r="D12" s="29" t="s">
        <v>52</v>
      </c>
      <c r="E12" s="109"/>
      <c r="F12" s="109"/>
      <c r="G12" s="110"/>
      <c r="H12" s="109"/>
      <c r="I12" s="109"/>
      <c r="J12" s="110"/>
      <c r="K12" s="109"/>
      <c r="L12" s="109"/>
      <c r="M12" s="110"/>
      <c r="N12" s="111"/>
      <c r="O12" s="111"/>
      <c r="P12" s="110"/>
      <c r="Q12" s="111"/>
      <c r="R12" s="111"/>
      <c r="S12" s="110"/>
      <c r="T12" s="111"/>
      <c r="U12" s="111"/>
      <c r="V12" s="110"/>
      <c r="W12" s="109"/>
      <c r="X12" s="109"/>
      <c r="Y12" s="110"/>
      <c r="Z12" s="109"/>
      <c r="AA12" s="109"/>
      <c r="AB12" s="110"/>
      <c r="AC12" s="109"/>
      <c r="AD12" s="109"/>
      <c r="AE12" s="112"/>
      <c r="AF12" s="112"/>
      <c r="AG12" s="112"/>
      <c r="AH12" s="112"/>
      <c r="AI12" s="112"/>
    </row>
    <row r="13" spans="1:35" ht="20.25" x14ac:dyDescent="0.35">
      <c r="A13" s="146"/>
      <c r="B13" s="146"/>
      <c r="C13" s="147"/>
      <c r="D13" s="29" t="s">
        <v>53</v>
      </c>
      <c r="E13" s="109"/>
      <c r="F13" s="109"/>
      <c r="G13" s="110"/>
      <c r="H13" s="109"/>
      <c r="I13" s="109"/>
      <c r="J13" s="110"/>
      <c r="K13" s="109"/>
      <c r="L13" s="109"/>
      <c r="M13" s="110"/>
      <c r="N13" s="111"/>
      <c r="O13" s="111"/>
      <c r="P13" s="110"/>
      <c r="Q13" s="111"/>
      <c r="R13" s="111"/>
      <c r="S13" s="110"/>
      <c r="T13" s="111"/>
      <c r="U13" s="111"/>
      <c r="V13" s="110"/>
      <c r="W13" s="109"/>
      <c r="X13" s="109"/>
      <c r="Y13" s="110"/>
      <c r="Z13" s="109"/>
      <c r="AA13" s="109"/>
      <c r="AB13" s="110"/>
      <c r="AC13" s="109"/>
      <c r="AD13" s="109"/>
      <c r="AE13" s="112"/>
      <c r="AF13" s="112"/>
      <c r="AG13" s="112"/>
      <c r="AH13" s="112"/>
      <c r="AI13" s="112"/>
    </row>
    <row r="14" spans="1:35" ht="20.25" x14ac:dyDescent="0.35">
      <c r="A14" s="146"/>
      <c r="B14" s="146"/>
      <c r="C14" s="147"/>
      <c r="D14" s="72"/>
      <c r="E14" s="113"/>
      <c r="F14" s="113"/>
      <c r="G14" s="113"/>
      <c r="H14" s="113"/>
      <c r="I14" s="113"/>
      <c r="J14" s="113"/>
      <c r="K14" s="113"/>
      <c r="L14" s="113"/>
      <c r="M14" s="113"/>
      <c r="N14" s="114"/>
      <c r="O14" s="114"/>
      <c r="P14" s="113"/>
      <c r="Q14" s="114"/>
      <c r="R14" s="114"/>
      <c r="S14" s="113"/>
      <c r="T14" s="114"/>
      <c r="U14" s="114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</row>
    <row r="15" spans="1:35" ht="20.25" x14ac:dyDescent="0.35">
      <c r="A15" s="146"/>
      <c r="B15" s="146"/>
      <c r="C15" s="148" t="s">
        <v>54</v>
      </c>
      <c r="D15" s="30"/>
      <c r="E15" s="109"/>
      <c r="F15" s="109"/>
      <c r="G15" s="110"/>
      <c r="H15" s="109"/>
      <c r="I15" s="109"/>
      <c r="J15" s="110"/>
      <c r="K15" s="109"/>
      <c r="L15" s="109"/>
      <c r="M15" s="110"/>
      <c r="N15" s="111">
        <f xml:space="preserve"> (1-fitSyst_bFrac!E15)*defaultFit_Inclusive!E15</f>
        <v>962.87082873000008</v>
      </c>
      <c r="O15" s="111">
        <f xml:space="preserve"> (1-fitSyst_bFrac!E15)*defaultFit_Inclusive!H15</f>
        <v>944.29245219999996</v>
      </c>
      <c r="P15" s="110"/>
      <c r="Q15" s="111">
        <f xml:space="preserve"> (1-fitSyst_bFrac!F15)*defaultFit_Inclusive!E15</f>
        <v>980.79490455000007</v>
      </c>
      <c r="R15" s="111">
        <f xml:space="preserve"> (1-fitSyst_bFrac!F15)*defaultFit_Inclusive!H15</f>
        <v>961.87068699999986</v>
      </c>
      <c r="S15" s="110"/>
      <c r="T15" s="111">
        <f xml:space="preserve"> (1-fitSyst_bFrac!G15)*defaultFit_Inclusive!E15</f>
        <v>975.35146419000012</v>
      </c>
      <c r="U15" s="111">
        <f xml:space="preserve"> (1-fitSyst_bFrac!G15)*defaultFit_Inclusive!H15</f>
        <v>956.53227659999993</v>
      </c>
      <c r="V15" s="110"/>
      <c r="W15" s="109"/>
      <c r="X15" s="109"/>
      <c r="Y15" s="110"/>
      <c r="Z15" s="109"/>
      <c r="AA15" s="109"/>
      <c r="AB15" s="110"/>
      <c r="AC15" s="109"/>
      <c r="AD15" s="109"/>
      <c r="AE15" s="112"/>
      <c r="AF15" s="112"/>
      <c r="AG15" s="112"/>
      <c r="AH15" s="112"/>
      <c r="AI15" s="112"/>
    </row>
    <row r="16" spans="1:35" ht="20.25" x14ac:dyDescent="0.35">
      <c r="A16" s="146"/>
      <c r="B16" s="146"/>
      <c r="C16" s="148"/>
      <c r="D16" s="30" t="s">
        <v>49</v>
      </c>
      <c r="E16" s="109">
        <f>(1-defaultFit_Inclusive!$U16)*fitSyst_Inclusive!E16</f>
        <v>246.77806921799998</v>
      </c>
      <c r="F16" s="109">
        <f>(1-defaultFit_Inclusive!$U16)*fitSyst_Inclusive!F16</f>
        <v>286.25417908600002</v>
      </c>
      <c r="G16" s="110"/>
      <c r="H16" s="109">
        <f>(1-defaultFit_Inclusive!$U16)*fitSyst_Inclusive!H16</f>
        <v>286.25417908600002</v>
      </c>
      <c r="I16" s="109">
        <f>(1-defaultFit_Inclusive!$U16)*fitSyst_Inclusive!I16</f>
        <v>283.10340821599999</v>
      </c>
      <c r="J16" s="110"/>
      <c r="K16" s="109">
        <f>(1-defaultFit_Inclusive!$U16)*fitSyst_Inclusive!K16</f>
        <v>246.332426688</v>
      </c>
      <c r="L16" s="109">
        <f>(1-defaultFit_Inclusive!$U16)*fitSyst_Inclusive!L16</f>
        <v>296.71817842199999</v>
      </c>
      <c r="M16" s="110"/>
      <c r="N16" s="111">
        <f xml:space="preserve"> (1-fitSyst_bFrac!E16)*defaultFit_Inclusive!E16</f>
        <v>243.23637216799997</v>
      </c>
      <c r="O16" s="111">
        <f xml:space="preserve"> (1-fitSyst_bFrac!E16)*defaultFit_Inclusive!H16</f>
        <v>281.05505251300002</v>
      </c>
      <c r="P16" s="110"/>
      <c r="Q16" s="111">
        <f xml:space="preserve"> (1-fitSyst_bFrac!F16)*defaultFit_Inclusive!E16</f>
        <v>248.862388928</v>
      </c>
      <c r="R16" s="111">
        <f xml:space="preserve"> (1-fitSyst_bFrac!F16)*defaultFit_Inclusive!H16</f>
        <v>287.55580904800001</v>
      </c>
      <c r="S16" s="110"/>
      <c r="T16" s="111">
        <f xml:space="preserve"> (1-fitSyst_bFrac!G16)*defaultFit_Inclusive!E16</f>
        <v>243.80896085599997</v>
      </c>
      <c r="U16" s="111">
        <f xml:space="preserve"> (1-fitSyst_bFrac!G16)*defaultFit_Inclusive!H16</f>
        <v>281.71666797099999</v>
      </c>
      <c r="V16" s="110"/>
      <c r="W16" s="109">
        <f>(1-defaultFit_Inclusive!$U16)*trgBiassing!E16</f>
        <v>201.29125799799999</v>
      </c>
      <c r="X16" s="109">
        <f>(1-defaultFit_Inclusive!$U16)*trgBiassing!F16</f>
        <v>242.95648906600002</v>
      </c>
      <c r="Y16" s="110"/>
      <c r="Z16" s="109">
        <f>(1-defaultFit_Inclusive!$U16)*trgBiassing!L16</f>
        <v>111.09946455800001</v>
      </c>
      <c r="AA16" s="109">
        <f>(1-defaultFit_Inclusive!$U16)*trgBiassing!M16</f>
        <v>130.88286557399999</v>
      </c>
      <c r="AB16" s="110"/>
      <c r="AC16" s="109">
        <f>(1-defaultFit_Inclusive!$U16)*epSystematic!E16</f>
        <v>253.436906811</v>
      </c>
      <c r="AD16" s="109">
        <f>(1-defaultFit_Inclusive!$U16)*epSystematic!F16</f>
        <v>286.24636079600003</v>
      </c>
      <c r="AE16" s="112">
        <f>SQRT(POWER(E16/$E$20-AH16,2)+POWER(H16/$H$20-AH16,2)+POWER(K16/$K$20-AH16,2)+POWER(N16/$N$20-AH16,2)+POWER(Q16/$Q$20-AH16,2)+POWER(T16/$T$20-AH16,2)+POWER(W16/$W$20-AH16,2)+POWER(Z16/$Z$20-AH16,2)+POWER(AC16/$AC$20-AH16,2))/SQRT(9*POWER(PI()/8,2))</f>
        <v>4.2578624188722734E-2</v>
      </c>
      <c r="AF16" s="112">
        <f>SQRT(POWER(F16/$F$20-AI16,2)+POWER(I16/$I$20-AI16,2)+POWER(L16/$L$20-AI16,2)+POWER(O16/$O$20-AI16,2)+POWER(R16/$R$20-AI16,2)+POWER(U16/$U$20-AI16,2)+POWER(X16/$X$20-AI16,2)+POWER(AA16/$AA$20-AI16,2)+POWER(AD16/$AD$20-AI16,2))/SQRT(9*POWER(PI()/8,2))</f>
        <v>1.5608292374857689E-2</v>
      </c>
      <c r="AG16" s="112"/>
      <c r="AH16" s="112">
        <f xml:space="preserve"> defaultFit_Prompt!E16/defaultFit_Prompt!$E$20</f>
        <v>0.2534160623991879</v>
      </c>
      <c r="AI16" s="112">
        <f xml:space="preserve"> defaultFit_Prompt!H16/defaultFit_Prompt!$H$20</f>
        <v>0.29874093208790964</v>
      </c>
    </row>
    <row r="17" spans="1:35" ht="20.25" x14ac:dyDescent="0.35">
      <c r="A17" s="146"/>
      <c r="B17" s="146"/>
      <c r="C17" s="148"/>
      <c r="D17" s="30" t="s">
        <v>50</v>
      </c>
      <c r="E17" s="109">
        <f>(1-defaultFit_Inclusive!$U17)*fitSyst_Inclusive!E17</f>
        <v>270.65088734799997</v>
      </c>
      <c r="F17" s="109">
        <f>(1-defaultFit_Inclusive!$U17)*fitSyst_Inclusive!F17</f>
        <v>242.89162080999998</v>
      </c>
      <c r="G17" s="110"/>
      <c r="H17" s="109">
        <f>(1-defaultFit_Inclusive!$U17)*fitSyst_Inclusive!H17</f>
        <v>242.89162080999998</v>
      </c>
      <c r="I17" s="109">
        <f>(1-defaultFit_Inclusive!$U17)*fitSyst_Inclusive!I17</f>
        <v>239.87969880899999</v>
      </c>
      <c r="J17" s="110"/>
      <c r="K17" s="109">
        <f>(1-defaultFit_Inclusive!$U17)*fitSyst_Inclusive!K17</f>
        <v>272.38790097399999</v>
      </c>
      <c r="L17" s="109">
        <f>(1-defaultFit_Inclusive!$U17)*fitSyst_Inclusive!L17</f>
        <v>250.93570423700001</v>
      </c>
      <c r="M17" s="110"/>
      <c r="N17" s="111">
        <f xml:space="preserve"> (1-fitSyst_bFrac!E17)*defaultFit_Inclusive!E17</f>
        <v>269.05255177600003</v>
      </c>
      <c r="O17" s="111">
        <f xml:space="preserve"> (1-fitSyst_bFrac!E17)*defaultFit_Inclusive!H17</f>
        <v>240.68300422399997</v>
      </c>
      <c r="P17" s="110"/>
      <c r="Q17" s="111">
        <f xml:space="preserve"> (1-fitSyst_bFrac!F17)*defaultFit_Inclusive!E17</f>
        <v>271.66420159199998</v>
      </c>
      <c r="R17" s="111">
        <f xml:space="preserve"> (1-fitSyst_bFrac!F17)*defaultFit_Inclusive!H17</f>
        <v>243.01927540799997</v>
      </c>
      <c r="S17" s="110"/>
      <c r="T17" s="111">
        <f xml:space="preserve"> (1-fitSyst_bFrac!G17)*defaultFit_Inclusive!E17</f>
        <v>278.68318356700001</v>
      </c>
      <c r="U17" s="111">
        <f xml:space="preserve"> (1-fitSyst_bFrac!G17)*defaultFit_Inclusive!H17</f>
        <v>249.29815905799998</v>
      </c>
      <c r="V17" s="110"/>
      <c r="W17" s="109">
        <f>(1-defaultFit_Inclusive!$U17)*trgBiassing!E17</f>
        <v>240.78507989499997</v>
      </c>
      <c r="X17" s="109">
        <f>(1-defaultFit_Inclusive!$U17)*trgBiassing!F17</f>
        <v>207.582543015</v>
      </c>
      <c r="Y17" s="110"/>
      <c r="Z17" s="109">
        <f>(1-defaultFit_Inclusive!$U17)*trgBiassing!L17</f>
        <v>123.40720790499999</v>
      </c>
      <c r="AA17" s="109">
        <f>(1-defaultFit_Inclusive!$U17)*trgBiassing!M17</f>
        <v>119.625633525</v>
      </c>
      <c r="AB17" s="110"/>
      <c r="AC17" s="109">
        <f>(1-defaultFit_Inclusive!$U17)*epSystematic!E17</f>
        <v>263.21954449999998</v>
      </c>
      <c r="AD17" s="109">
        <f>(1-defaultFit_Inclusive!$U17)*epSystematic!F17</f>
        <v>238.59537572599999</v>
      </c>
      <c r="AE17" s="112">
        <f t="shared" ref="AE17:AE19" si="2">SQRT(POWER(E17/$E$20-AH17,2)+POWER(H17/$H$20-AH17,2)+POWER(K17/$K$20-AH17,2)+POWER(N17/$N$20-AH17,2)+POWER(Q17/$Q$20-AH17,2)+POWER(T17/$T$20-AH17,2)+POWER(W17/$W$20-AH17,2)+POWER(Z17/$Z$20-AH17,2)+POWER(AC17/$AC$20-AH17,2))/SQRT(9*POWER(PI()/8,2))</f>
        <v>2.3466078201997708E-2</v>
      </c>
      <c r="AF17" s="112">
        <f t="shared" ref="AF17:AF19" si="3">SQRT(POWER(F17/$F$20-AI17,2)+POWER(I17/$I$20-AI17,2)+POWER(L17/$L$20-AI17,2)+POWER(O17/$O$20-AI17,2)+POWER(R17/$R$20-AI17,2)+POWER(U17/$U$20-AI17,2)+POWER(X17/$X$20-AI17,2)+POWER(AA17/$AA$20-AI17,2)+POWER(AD17/$AD$20-AI17,2))/SQRT(9*POWER(PI()/8,2))</f>
        <v>8.1883293047167287E-3</v>
      </c>
      <c r="AG17" s="112"/>
      <c r="AH17" s="112">
        <f xml:space="preserve"> defaultFit_Prompt!E17/defaultFit_Prompt!$E$20</f>
        <v>0.27767464041143552</v>
      </c>
      <c r="AI17" s="112">
        <f xml:space="preserve"> defaultFit_Prompt!H17/defaultFit_Prompt!$H$20</f>
        <v>0.25342078976056825</v>
      </c>
    </row>
    <row r="18" spans="1:35" ht="20.25" x14ac:dyDescent="0.35">
      <c r="A18" s="146"/>
      <c r="B18" s="146"/>
      <c r="C18" s="148"/>
      <c r="D18" s="31" t="s">
        <v>52</v>
      </c>
      <c r="E18" s="109">
        <f>(1-defaultFit_Inclusive!$U18)*fitSyst_Inclusive!E18</f>
        <v>236.070631134</v>
      </c>
      <c r="F18" s="109">
        <f>(1-defaultFit_Inclusive!$U18)*fitSyst_Inclusive!F18</f>
        <v>222.45376161600001</v>
      </c>
      <c r="G18" s="110"/>
      <c r="H18" s="109">
        <f>(1-defaultFit_Inclusive!$U18)*fitSyst_Inclusive!H18</f>
        <v>222.45376161600001</v>
      </c>
      <c r="I18" s="109">
        <f>(1-defaultFit_Inclusive!$U18)*fitSyst_Inclusive!I18</f>
        <v>219.57291750600001</v>
      </c>
      <c r="J18" s="110"/>
      <c r="K18" s="109">
        <f>(1-defaultFit_Inclusive!$U18)*fitSyst_Inclusive!K18</f>
        <v>236.08816324199998</v>
      </c>
      <c r="L18" s="109">
        <f>(1-defaultFit_Inclusive!$U18)*fitSyst_Inclusive!L18</f>
        <v>223.596536292</v>
      </c>
      <c r="M18" s="110"/>
      <c r="N18" s="111">
        <f xml:space="preserve"> (1-fitSyst_bFrac!E18)*defaultFit_Inclusive!E18</f>
        <v>234.62649861999998</v>
      </c>
      <c r="O18" s="111">
        <f xml:space="preserve"> (1-fitSyst_bFrac!E18)*defaultFit_Inclusive!H18</f>
        <v>220.76867986000002</v>
      </c>
      <c r="P18" s="110"/>
      <c r="Q18" s="111">
        <f xml:space="preserve"> (1-fitSyst_bFrac!F18)*defaultFit_Inclusive!E18</f>
        <v>240.40734076999999</v>
      </c>
      <c r="R18" s="111">
        <f xml:space="preserve"> (1-fitSyst_bFrac!F18)*defaultFit_Inclusive!H18</f>
        <v>226.20808631000003</v>
      </c>
      <c r="S18" s="110"/>
      <c r="T18" s="111">
        <f xml:space="preserve"> (1-fitSyst_bFrac!G18)*defaultFit_Inclusive!E18</f>
        <v>236.53721907799999</v>
      </c>
      <c r="U18" s="111">
        <f xml:space="preserve"> (1-fitSyst_bFrac!G18)*defaultFit_Inclusive!H18</f>
        <v>222.56654683400001</v>
      </c>
      <c r="V18" s="110"/>
      <c r="W18" s="109">
        <f>(1-defaultFit_Inclusive!$U18)*trgBiassing!E18</f>
        <v>211.78786464000001</v>
      </c>
      <c r="X18" s="109">
        <f>(1-defaultFit_Inclusive!$U18)*trgBiassing!F18</f>
        <v>192.66113172599998</v>
      </c>
      <c r="Y18" s="110"/>
      <c r="Z18" s="109">
        <f>(1-defaultFit_Inclusive!$U18)*trgBiassing!L18</f>
        <v>109.46490395399999</v>
      </c>
      <c r="AA18" s="109">
        <f>(1-defaultFit_Inclusive!$U18)*trgBiassing!M18</f>
        <v>118.80553294799999</v>
      </c>
      <c r="AB18" s="110"/>
      <c r="AC18" s="109">
        <f>(1-defaultFit_Inclusive!$U18)*epSystematic!E18</f>
        <v>237.12733909800002</v>
      </c>
      <c r="AD18" s="109">
        <f>(1-defaultFit_Inclusive!$U18)*epSystematic!F18</f>
        <v>226.95393497399999</v>
      </c>
      <c r="AE18" s="112">
        <f t="shared" si="2"/>
        <v>9.8557608589248235E-3</v>
      </c>
      <c r="AF18" s="112">
        <f t="shared" si="3"/>
        <v>2.1482325676578925E-2</v>
      </c>
      <c r="AG18" s="112"/>
      <c r="AH18" s="112">
        <f xml:space="preserve"> defaultFit_Prompt!E18/defaultFit_Prompt!$E$20</f>
        <v>0.24183683257398844</v>
      </c>
      <c r="AI18" s="112">
        <f xml:space="preserve"> defaultFit_Prompt!H18/defaultFit_Prompt!$H$20</f>
        <v>0.23215634658400933</v>
      </c>
    </row>
    <row r="19" spans="1:35" ht="20.25" x14ac:dyDescent="0.35">
      <c r="A19" s="146"/>
      <c r="B19" s="146"/>
      <c r="C19" s="148"/>
      <c r="D19" s="31" t="s">
        <v>53</v>
      </c>
      <c r="E19" s="109">
        <f>(1-defaultFit_Inclusive!$U19)*fitSyst_Inclusive!E19</f>
        <v>220.95905752100001</v>
      </c>
      <c r="F19" s="109">
        <f>(1-defaultFit_Inclusive!$U19)*fitSyst_Inclusive!F19</f>
        <v>206.64658471500002</v>
      </c>
      <c r="G19" s="110"/>
      <c r="H19" s="109">
        <f>(1-defaultFit_Inclusive!$U19)*fitSyst_Inclusive!H19</f>
        <v>206.64658471500002</v>
      </c>
      <c r="I19" s="109">
        <f>(1-defaultFit_Inclusive!$U19)*fitSyst_Inclusive!I19</f>
        <v>203.92944774</v>
      </c>
      <c r="J19" s="110"/>
      <c r="K19" s="109">
        <f>(1-defaultFit_Inclusive!$U19)*fitSyst_Inclusive!K19</f>
        <v>221.63409046200002</v>
      </c>
      <c r="L19" s="109">
        <f>(1-defaultFit_Inclusive!$U19)*fitSyst_Inclusive!L19</f>
        <v>222.38453781700002</v>
      </c>
      <c r="M19" s="110"/>
      <c r="N19" s="111">
        <f xml:space="preserve"> (1-fitSyst_bFrac!E19)*defaultFit_Inclusive!E19</f>
        <v>219.12132868999998</v>
      </c>
      <c r="O19" s="111">
        <f xml:space="preserve"> (1-fitSyst_bFrac!E19)*defaultFit_Inclusive!H19</f>
        <v>204.00284762000001</v>
      </c>
      <c r="P19" s="110"/>
      <c r="Q19" s="111">
        <f xml:space="preserve"> (1-fitSyst_bFrac!F19)*defaultFit_Inclusive!E19</f>
        <v>225.10848006000001</v>
      </c>
      <c r="R19" s="111">
        <f xml:space="preserve"> (1-fitSyst_bFrac!F19)*defaultFit_Inclusive!H19</f>
        <v>209.57690988000002</v>
      </c>
      <c r="S19" s="110"/>
      <c r="T19" s="111">
        <f xml:space="preserve"> (1-fitSyst_bFrac!G19)*defaultFit_Inclusive!E19</f>
        <v>220.78229005099999</v>
      </c>
      <c r="U19" s="111">
        <f xml:space="preserve"> (1-fitSyst_bFrac!G19)*defaultFit_Inclusive!H19</f>
        <v>205.54920939800002</v>
      </c>
      <c r="V19" s="110"/>
      <c r="W19" s="109">
        <f>(1-defaultFit_Inclusive!$U19)*trgBiassing!E19</f>
        <v>201.19160876900003</v>
      </c>
      <c r="X19" s="109">
        <f>(1-defaultFit_Inclusive!$U19)*trgBiassing!F19</f>
        <v>183.93279831800001</v>
      </c>
      <c r="Y19" s="110"/>
      <c r="Z19" s="109">
        <f>(1-defaultFit_Inclusive!$U19)*trgBiassing!L19</f>
        <v>110.50429722000001</v>
      </c>
      <c r="AA19" s="109">
        <f>(1-defaultFit_Inclusive!$U19)*trgBiassing!M19</f>
        <v>94.943789797999997</v>
      </c>
      <c r="AB19" s="110"/>
      <c r="AC19" s="109">
        <f>(1-defaultFit_Inclusive!$U19)*epSystematic!E19</f>
        <v>224.24180260100002</v>
      </c>
      <c r="AD19" s="109">
        <f>(1-defaultFit_Inclusive!$U19)*epSystematic!F19</f>
        <v>207.22106510400002</v>
      </c>
      <c r="AE19" s="112">
        <f t="shared" si="2"/>
        <v>1.8324440991930011E-2</v>
      </c>
      <c r="AF19" s="112">
        <f t="shared" si="3"/>
        <v>1.3129552911301518E-2</v>
      </c>
      <c r="AG19" s="112"/>
      <c r="AH19" s="112">
        <f xml:space="preserve"> defaultFit_Prompt!E19/defaultFit_Prompt!$E$20</f>
        <v>0.22707246461538816</v>
      </c>
      <c r="AI19" s="112">
        <f xml:space="preserve"> defaultFit_Prompt!H19/defaultFit_Prompt!$H$20</f>
        <v>0.21568193156751281</v>
      </c>
    </row>
    <row r="20" spans="1:35" ht="20.25" x14ac:dyDescent="0.35">
      <c r="A20" s="146"/>
      <c r="B20" s="146"/>
      <c r="C20" s="148"/>
      <c r="D20" s="80"/>
      <c r="E20" s="113">
        <f xml:space="preserve"> SUM(E16:E19)</f>
        <v>974.45864522099987</v>
      </c>
      <c r="F20" s="113">
        <f xml:space="preserve"> SUM(F16:F19)</f>
        <v>958.24614622700005</v>
      </c>
      <c r="G20" s="113"/>
      <c r="H20" s="113">
        <f xml:space="preserve"> SUM(H16:H19)</f>
        <v>958.24614622700005</v>
      </c>
      <c r="I20" s="113">
        <f xml:space="preserve"> SUM(I16:I19)</f>
        <v>946.48547227100005</v>
      </c>
      <c r="J20" s="113"/>
      <c r="K20" s="113">
        <f xml:space="preserve"> SUM(K16:K19)</f>
        <v>976.44258136600001</v>
      </c>
      <c r="L20" s="113">
        <f xml:space="preserve"> SUM(L16:L19)</f>
        <v>993.63495676800005</v>
      </c>
      <c r="M20" s="113"/>
      <c r="N20" s="113">
        <f xml:space="preserve"> SUM(N16:N19)</f>
        <v>966.03675125399991</v>
      </c>
      <c r="O20" s="113">
        <f xml:space="preserve"> SUM(O16:O19)</f>
        <v>946.509584217</v>
      </c>
      <c r="P20" s="113"/>
      <c r="Q20" s="113">
        <f xml:space="preserve"> SUM(Q16:Q19)</f>
        <v>986.04241135000007</v>
      </c>
      <c r="R20" s="113">
        <f xml:space="preserve"> SUM(R16:R19)</f>
        <v>966.36008064600003</v>
      </c>
      <c r="S20" s="113"/>
      <c r="T20" s="113">
        <f xml:space="preserve"> SUM(T16:T19)</f>
        <v>979.81165355200005</v>
      </c>
      <c r="U20" s="113">
        <f xml:space="preserve"> SUM(U16:U19)</f>
        <v>959.13058326099997</v>
      </c>
      <c r="V20" s="113"/>
      <c r="W20" s="113">
        <f xml:space="preserve"> SUM(W16:W19)</f>
        <v>855.05581130200005</v>
      </c>
      <c r="X20" s="113">
        <f xml:space="preserve"> SUM(X16:X19)</f>
        <v>827.13296212499995</v>
      </c>
      <c r="Y20" s="113"/>
      <c r="Z20" s="113">
        <f xml:space="preserve"> SUM(Z16:Z19)</f>
        <v>454.47587363700001</v>
      </c>
      <c r="AA20" s="113">
        <f xml:space="preserve"> SUM(AA16:AA19)</f>
        <v>464.25782184500002</v>
      </c>
      <c r="AB20" s="113"/>
      <c r="AC20" s="113">
        <f xml:space="preserve"> SUM(AC16:AC19)</f>
        <v>978.02559300999997</v>
      </c>
      <c r="AD20" s="113">
        <f xml:space="preserve"> SUM(AD16:AD19)</f>
        <v>959.01673660000006</v>
      </c>
      <c r="AE20" s="113"/>
      <c r="AF20" s="113"/>
      <c r="AG20" s="113"/>
      <c r="AH20" s="113"/>
      <c r="AI20" s="113"/>
    </row>
    <row r="21" spans="1:35" ht="20.25" x14ac:dyDescent="0.35">
      <c r="A21" s="146"/>
      <c r="B21" s="146"/>
      <c r="C21" s="152" t="s">
        <v>56</v>
      </c>
      <c r="D21" s="32"/>
      <c r="E21" s="109"/>
      <c r="F21" s="109"/>
      <c r="G21" s="110"/>
      <c r="H21" s="109"/>
      <c r="I21" s="109"/>
      <c r="J21" s="110"/>
      <c r="K21" s="109"/>
      <c r="L21" s="109"/>
      <c r="M21" s="110"/>
      <c r="N21" s="111">
        <f xml:space="preserve"> (1-fitSyst_bFrac!E21)*defaultFit_Inclusive!E21</f>
        <v>907.5497941000001</v>
      </c>
      <c r="O21" s="111">
        <f xml:space="preserve"> (1-fitSyst_bFrac!E21)*defaultFit_Inclusive!H21</f>
        <v>807.73070605000009</v>
      </c>
      <c r="P21" s="110"/>
      <c r="Q21" s="111">
        <f xml:space="preserve"> (1-fitSyst_bFrac!F21)*defaultFit_Inclusive!E21</f>
        <v>924.93100506000007</v>
      </c>
      <c r="R21" s="111">
        <f xml:space="preserve"> (1-fitSyst_bFrac!F21)*defaultFit_Inclusive!H21</f>
        <v>823.20020193000005</v>
      </c>
      <c r="S21" s="110"/>
      <c r="T21" s="111">
        <f xml:space="preserve"> (1-fitSyst_bFrac!G21)*defaultFit_Inclusive!E21</f>
        <v>925.71882894000009</v>
      </c>
      <c r="U21" s="111">
        <f xml:space="preserve"> (1-fitSyst_bFrac!G21)*defaultFit_Inclusive!H21</f>
        <v>823.90137507000009</v>
      </c>
      <c r="V21" s="110"/>
      <c r="W21" s="109"/>
      <c r="X21" s="109"/>
      <c r="Y21" s="110"/>
      <c r="Z21" s="109"/>
      <c r="AA21" s="109"/>
      <c r="AB21" s="110"/>
      <c r="AC21" s="109"/>
      <c r="AD21" s="109"/>
      <c r="AE21" s="112"/>
      <c r="AF21" s="112"/>
      <c r="AG21" s="112"/>
      <c r="AH21" s="112"/>
      <c r="AI21" s="112"/>
    </row>
    <row r="22" spans="1:35" ht="20.25" x14ac:dyDescent="0.35">
      <c r="A22" s="146"/>
      <c r="B22" s="146"/>
      <c r="C22" s="152"/>
      <c r="D22" s="32" t="s">
        <v>49</v>
      </c>
      <c r="E22" s="109">
        <f>(1-defaultFit_Inclusive!$U22)*fitSyst_Inclusive!E22</f>
        <v>237.94130597399999</v>
      </c>
      <c r="F22" s="109">
        <f>(1-defaultFit_Inclusive!$U22)*fitSyst_Inclusive!F22</f>
        <v>236.43346461299998</v>
      </c>
      <c r="G22" s="110"/>
      <c r="H22" s="109">
        <f>(1-defaultFit_Inclusive!$U22)*fitSyst_Inclusive!H22</f>
        <v>236.43346461299998</v>
      </c>
      <c r="I22" s="109">
        <f>(1-defaultFit_Inclusive!$U22)*fitSyst_Inclusive!I22</f>
        <v>233.44039586399998</v>
      </c>
      <c r="J22" s="110"/>
      <c r="K22" s="109">
        <f>(1-defaultFit_Inclusive!$U22)*fitSyst_Inclusive!K22</f>
        <v>238.65984672900001</v>
      </c>
      <c r="L22" s="109">
        <f>(1-defaultFit_Inclusive!$U22)*fitSyst_Inclusive!L22</f>
        <v>239.28939055800001</v>
      </c>
      <c r="M22" s="110"/>
      <c r="N22" s="111">
        <f xml:space="preserve"> (1-fitSyst_bFrac!E22)*defaultFit_Inclusive!E22</f>
        <v>236.322120592</v>
      </c>
      <c r="O22" s="111">
        <f xml:space="preserve"> (1-fitSyst_bFrac!E22)*defaultFit_Inclusive!H22</f>
        <v>234.53465347600002</v>
      </c>
      <c r="P22" s="110"/>
      <c r="Q22" s="111">
        <f xml:space="preserve"> (1-fitSyst_bFrac!F22)*defaultFit_Inclusive!E22</f>
        <v>239.67388329599999</v>
      </c>
      <c r="R22" s="111">
        <f xml:space="preserve"> (1-fitSyst_bFrac!F22)*defaultFit_Inclusive!H22</f>
        <v>237.86106448800001</v>
      </c>
      <c r="S22" s="110"/>
      <c r="T22" s="111">
        <f xml:space="preserve"> (1-fitSyst_bFrac!G22)*defaultFit_Inclusive!E22</f>
        <v>237.10489493599999</v>
      </c>
      <c r="U22" s="111">
        <f xml:space="preserve"> (1-fitSyst_bFrac!G22)*defaultFit_Inclusive!H22</f>
        <v>235.31150715799998</v>
      </c>
      <c r="V22" s="110"/>
      <c r="W22" s="109">
        <f>(1-defaultFit_Inclusive!$U22)*trgBiassing!E22</f>
        <v>201.24174572700002</v>
      </c>
      <c r="X22" s="109">
        <f>(1-defaultFit_Inclusive!$U22)*trgBiassing!F22</f>
        <v>197.68843403399998</v>
      </c>
      <c r="Y22" s="110"/>
      <c r="Z22" s="109">
        <f>(1-defaultFit_Inclusive!$U22)*trgBiassing!L22</f>
        <v>104.04980770499999</v>
      </c>
      <c r="AA22" s="109">
        <f>(1-defaultFit_Inclusive!$U22)*trgBiassing!M22</f>
        <v>98.59035693300001</v>
      </c>
      <c r="AB22" s="110"/>
      <c r="AC22" s="109">
        <f>(1-defaultFit_Inclusive!$U22)*epSystematic!E22</f>
        <v>234.66665678700002</v>
      </c>
      <c r="AD22" s="109">
        <f>(1-defaultFit_Inclusive!$U22)*epSystematic!F22</f>
        <v>232.79261496000001</v>
      </c>
      <c r="AE22" s="112">
        <f>SQRT(POWER(E22/$E$26-AH22,2)+POWER(H22/$H$26-AH22,2)+POWER(K22/$K$26-AH22,2)+POWER(N22/$N$26-AH22,2)+POWER(Q22/$Q$26-AH22,2)+POWER(T22/$T$26-AH22,2)+POWER(W22/$W$26-AH22,2)+POWER(Z22/$Z$26-AH22,2)+POWER(AC22/$AC$26-AH22,2))/SQRT(9*POWER(PI()/8,2))</f>
        <v>3.3538151370780235E-2</v>
      </c>
      <c r="AF22" s="112">
        <f>SQRT(POWER(F22/$F$26-AI22,2)+POWER(I22/$I$26-AI22,2)+POWER(L22/$L$26-AI22,2)+POWER(O22/$O$26-AI22,2)+POWER(R22/$R$26-AI22,2)+POWER(U22/$U$26-AI22,2)+POWER(X22/$X$26-AI22,2)+POWER(AA22/$AA$26-AI22,2)+POWER(AD22/$AD$26-AI22,2))/SQRT(9*POWER(PI()/8,2))</f>
        <v>3.509564617314298E-2</v>
      </c>
      <c r="AG22" s="112"/>
      <c r="AH22" s="112">
        <f xml:space="preserve"> defaultFit_Prompt!E22/defaultFit_Prompt!$E$26</f>
        <v>0.25786620697504875</v>
      </c>
      <c r="AI22" s="112">
        <f xml:space="preserve"> defaultFit_Prompt!H22/defaultFit_Prompt!$H$26</f>
        <v>0.28742701852744162</v>
      </c>
    </row>
    <row r="23" spans="1:35" ht="20.25" x14ac:dyDescent="0.35">
      <c r="A23" s="146"/>
      <c r="B23" s="146"/>
      <c r="C23" s="152"/>
      <c r="D23" s="32" t="s">
        <v>50</v>
      </c>
      <c r="E23" s="109">
        <f>(1-defaultFit_Inclusive!$U23)*fitSyst_Inclusive!E23</f>
        <v>250.70719509000003</v>
      </c>
      <c r="F23" s="109">
        <f>(1-defaultFit_Inclusive!$U23)*fitSyst_Inclusive!F23</f>
        <v>202.45382372600002</v>
      </c>
      <c r="G23" s="110"/>
      <c r="H23" s="109">
        <f>(1-defaultFit_Inclusive!$U23)*fitSyst_Inclusive!H23</f>
        <v>202.45382372600002</v>
      </c>
      <c r="I23" s="109">
        <f>(1-defaultFit_Inclusive!$U23)*fitSyst_Inclusive!I23</f>
        <v>201.15045298699999</v>
      </c>
      <c r="J23" s="110"/>
      <c r="K23" s="109">
        <f>(1-defaultFit_Inclusive!$U23)*fitSyst_Inclusive!K23</f>
        <v>255.48389783400003</v>
      </c>
      <c r="L23" s="109">
        <f>(1-defaultFit_Inclusive!$U23)*fitSyst_Inclusive!L23</f>
        <v>201.84124722299998</v>
      </c>
      <c r="M23" s="110"/>
      <c r="N23" s="111">
        <f xml:space="preserve"> (1-fitSyst_bFrac!E23)*defaultFit_Inclusive!E23</f>
        <v>249.88734964199998</v>
      </c>
      <c r="O23" s="111">
        <f xml:space="preserve"> (1-fitSyst_bFrac!E23)*defaultFit_Inclusive!H23</f>
        <v>201.54325423099999</v>
      </c>
      <c r="P23" s="110"/>
      <c r="Q23" s="111">
        <f xml:space="preserve"> (1-fitSyst_bFrac!F23)*defaultFit_Inclusive!E23</f>
        <v>250.908778176</v>
      </c>
      <c r="R23" s="111">
        <f xml:space="preserve"> (1-fitSyst_bFrac!F23)*defaultFit_Inclusive!H23</f>
        <v>202.367073568</v>
      </c>
      <c r="S23" s="110"/>
      <c r="T23" s="111">
        <f xml:space="preserve"> (1-fitSyst_bFrac!G23)*defaultFit_Inclusive!E23</f>
        <v>248.45559811799998</v>
      </c>
      <c r="U23" s="111">
        <f xml:space="preserve"> (1-fitSyst_bFrac!G23)*defaultFit_Inclusive!H23</f>
        <v>200.38849444900001</v>
      </c>
      <c r="V23" s="110"/>
      <c r="W23" s="109">
        <f>(1-defaultFit_Inclusive!$U23)*trgBiassing!E23</f>
        <v>221.45918397900002</v>
      </c>
      <c r="X23" s="109">
        <f>(1-defaultFit_Inclusive!$U23)*trgBiassing!F23</f>
        <v>183.50035048400002</v>
      </c>
      <c r="Y23" s="110"/>
      <c r="Z23" s="109">
        <f>(1-defaultFit_Inclusive!$U23)*trgBiassing!L23</f>
        <v>127.51349118200001</v>
      </c>
      <c r="AA23" s="109">
        <f>(1-defaultFit_Inclusive!$U23)*trgBiassing!M23</f>
        <v>94.96252332600001</v>
      </c>
      <c r="AB23" s="110"/>
      <c r="AC23" s="109">
        <f>(1-defaultFit_Inclusive!$U23)*epSystematic!E23</f>
        <v>256.22038361699998</v>
      </c>
      <c r="AD23" s="109">
        <f>(1-defaultFit_Inclusive!$U23)*epSystematic!F23</f>
        <v>203.60850332900003</v>
      </c>
      <c r="AE23" s="112">
        <f t="shared" ref="AE23:AE25" si="4">SQRT(POWER(E23/$E$26-AH23,2)+POWER(H23/$H$26-AH23,2)+POWER(K23/$K$26-AH23,2)+POWER(N23/$N$26-AH23,2)+POWER(Q23/$Q$26-AH23,2)+POWER(T23/$T$26-AH23,2)+POWER(W23/$W$26-AH23,2)+POWER(Z23/$Z$26-AH23,2)+POWER(AC23/$AC$26-AH23,2))/SQRT(9*POWER(PI()/8,2))</f>
        <v>2.6350724669919258E-2</v>
      </c>
      <c r="AF23" s="112">
        <f t="shared" ref="AF23:AF25" si="5">SQRT(POWER(F23/$F$26-AI23,2)+POWER(I23/$I$26-AI23,2)+POWER(L23/$L$26-AI23,2)+POWER(O23/$O$26-AI23,2)+POWER(R23/$R$26-AI23,2)+POWER(U23/$U$26-AI23,2)+POWER(X23/$X$26-AI23,2)+POWER(AA23/$AA$26-AI23,2)+POWER(AD23/$AD$26-AI23,2))/SQRT(9*POWER(PI()/8,2))</f>
        <v>1.1341676995337245E-2</v>
      </c>
      <c r="AG23" s="112"/>
      <c r="AH23" s="112">
        <f xml:space="preserve"> defaultFit_Prompt!E23/defaultFit_Prompt!$E$26</f>
        <v>0.27202638399566009</v>
      </c>
      <c r="AI23" s="112">
        <f xml:space="preserve"> defaultFit_Prompt!H23/defaultFit_Prompt!$H$26</f>
        <v>0.24641408964049166</v>
      </c>
    </row>
    <row r="24" spans="1:35" ht="20.25" x14ac:dyDescent="0.35">
      <c r="A24" s="146"/>
      <c r="B24" s="146"/>
      <c r="C24" s="152"/>
      <c r="D24" s="34" t="s">
        <v>52</v>
      </c>
      <c r="E24" s="109">
        <f>(1-defaultFit_Inclusive!$U24)*fitSyst_Inclusive!E24</f>
        <v>235.21474497</v>
      </c>
      <c r="F24" s="109">
        <f>(1-defaultFit_Inclusive!$U24)*fitSyst_Inclusive!F24</f>
        <v>189.11880555799999</v>
      </c>
      <c r="G24" s="110"/>
      <c r="H24" s="109">
        <f>(1-defaultFit_Inclusive!$U24)*fitSyst_Inclusive!H24</f>
        <v>189.11880555799999</v>
      </c>
      <c r="I24" s="109">
        <f>(1-defaultFit_Inclusive!$U24)*fitSyst_Inclusive!I24</f>
        <v>187.346119612</v>
      </c>
      <c r="J24" s="110"/>
      <c r="K24" s="109">
        <f>(1-defaultFit_Inclusive!$U24)*fitSyst_Inclusive!K24</f>
        <v>240.17719727599999</v>
      </c>
      <c r="L24" s="109">
        <f>(1-defaultFit_Inclusive!$U24)*fitSyst_Inclusive!L24</f>
        <v>192.86411017399999</v>
      </c>
      <c r="M24" s="110"/>
      <c r="N24" s="111">
        <f xml:space="preserve"> (1-fitSyst_bFrac!E24)*defaultFit_Inclusive!E24</f>
        <v>230.44874276900001</v>
      </c>
      <c r="O24" s="111">
        <f xml:space="preserve"> (1-fitSyst_bFrac!E24)*defaultFit_Inclusive!H24</f>
        <v>185.19274952000001</v>
      </c>
      <c r="P24" s="110"/>
      <c r="Q24" s="111">
        <f xml:space="preserve"> (1-fitSyst_bFrac!F24)*defaultFit_Inclusive!E24</f>
        <v>237.48493530300004</v>
      </c>
      <c r="R24" s="111">
        <f xml:space="preserve"> (1-fitSyst_bFrac!F24)*defaultFit_Inclusive!H24</f>
        <v>190.84716024000002</v>
      </c>
      <c r="S24" s="110"/>
      <c r="T24" s="111">
        <f xml:space="preserve"> (1-fitSyst_bFrac!G24)*defaultFit_Inclusive!E24</f>
        <v>240.039872016</v>
      </c>
      <c r="U24" s="111">
        <f xml:space="preserve"> (1-fitSyst_bFrac!G24)*defaultFit_Inclusive!H24</f>
        <v>192.90035327999999</v>
      </c>
      <c r="V24" s="110"/>
      <c r="W24" s="109">
        <f>(1-defaultFit_Inclusive!$U24)*trgBiassing!E24</f>
        <v>208.98387682199998</v>
      </c>
      <c r="X24" s="109">
        <f>(1-defaultFit_Inclusive!$U24)*trgBiassing!F24</f>
        <v>169.78714259200001</v>
      </c>
      <c r="Y24" s="110"/>
      <c r="Z24" s="109">
        <f>(1-defaultFit_Inclusive!$U24)*trgBiassing!L24</f>
        <v>104.105427248</v>
      </c>
      <c r="AA24" s="109">
        <f>(1-defaultFit_Inclusive!$U24)*trgBiassing!M24</f>
        <v>101.375811394</v>
      </c>
      <c r="AB24" s="110"/>
      <c r="AC24" s="109">
        <f>(1-defaultFit_Inclusive!$U24)*epSystematic!E24</f>
        <v>225.29212966400002</v>
      </c>
      <c r="AD24" s="109">
        <f>(1-defaultFit_Inclusive!$U24)*epSystematic!F24</f>
        <v>193.96221395199998</v>
      </c>
      <c r="AE24" s="112">
        <f t="shared" si="4"/>
        <v>2.9401300193355205E-2</v>
      </c>
      <c r="AF24" s="112">
        <f t="shared" si="5"/>
        <v>2.2500062319932859E-2</v>
      </c>
      <c r="AG24" s="112"/>
      <c r="AH24" s="112">
        <f xml:space="preserve"> defaultFit_Prompt!E24/defaultFit_Prompt!$E$26</f>
        <v>0.25526811443567238</v>
      </c>
      <c r="AI24" s="112">
        <f xml:space="preserve"> defaultFit_Prompt!H24/defaultFit_Prompt!$H$26</f>
        <v>0.23039694659293411</v>
      </c>
    </row>
    <row r="25" spans="1:35" ht="20.25" x14ac:dyDescent="0.35">
      <c r="A25" s="146"/>
      <c r="B25" s="146"/>
      <c r="C25" s="152"/>
      <c r="D25" s="34" t="s">
        <v>53</v>
      </c>
      <c r="E25" s="109">
        <f>(1-defaultFit_Inclusive!$U25)*fitSyst_Inclusive!E25</f>
        <v>197.889847296</v>
      </c>
      <c r="F25" s="109">
        <f>(1-defaultFit_Inclusive!$U25)*fitSyst_Inclusive!F25</f>
        <v>193.72969024399998</v>
      </c>
      <c r="G25" s="110"/>
      <c r="H25" s="109">
        <f>(1-defaultFit_Inclusive!$U25)*fitSyst_Inclusive!H25</f>
        <v>193.72969024399998</v>
      </c>
      <c r="I25" s="109">
        <f>(1-defaultFit_Inclusive!$U25)*fitSyst_Inclusive!I25</f>
        <v>191.85260101599999</v>
      </c>
      <c r="J25" s="110"/>
      <c r="K25" s="109">
        <f>(1-defaultFit_Inclusive!$U25)*fitSyst_Inclusive!K25</f>
        <v>202.20655328999999</v>
      </c>
      <c r="L25" s="109">
        <f>(1-defaultFit_Inclusive!$U25)*fitSyst_Inclusive!L25</f>
        <v>200.60735715999999</v>
      </c>
      <c r="M25" s="110"/>
      <c r="N25" s="111">
        <f xml:space="preserve"> (1-fitSyst_bFrac!E25)*defaultFit_Inclusive!E25</f>
        <v>192.18234701700001</v>
      </c>
      <c r="O25" s="111">
        <f xml:space="preserve"> (1-fitSyst_bFrac!E25)*defaultFit_Inclusive!H25</f>
        <v>187.77724763000003</v>
      </c>
      <c r="P25" s="110"/>
      <c r="Q25" s="111">
        <f xml:space="preserve"> (1-fitSyst_bFrac!F25)*defaultFit_Inclusive!E25</f>
        <v>199.04754413699999</v>
      </c>
      <c r="R25" s="111">
        <f xml:space="preserve"> (1-fitSyst_bFrac!F25)*defaultFit_Inclusive!H25</f>
        <v>194.48508443</v>
      </c>
      <c r="S25" s="110"/>
      <c r="T25" s="111">
        <f xml:space="preserve"> (1-fitSyst_bFrac!G25)*defaultFit_Inclusive!E25</f>
        <v>203.87013322499999</v>
      </c>
      <c r="U25" s="111">
        <f xml:space="preserve"> (1-fitSyst_bFrac!G25)*defaultFit_Inclusive!H25</f>
        <v>199.19713275000001</v>
      </c>
      <c r="V25" s="110"/>
      <c r="W25" s="109">
        <f>(1-defaultFit_Inclusive!$U25)*trgBiassing!E25</f>
        <v>179.63429316</v>
      </c>
      <c r="X25" s="109">
        <f>(1-defaultFit_Inclusive!$U25)*trgBiassing!F25</f>
        <v>167.96278304399999</v>
      </c>
      <c r="Y25" s="110"/>
      <c r="Z25" s="109">
        <f>(1-defaultFit_Inclusive!$U25)*trgBiassing!L25</f>
        <v>107.60979523199998</v>
      </c>
      <c r="AA25" s="109">
        <f>(1-defaultFit_Inclusive!$U25)*trgBiassing!M25</f>
        <v>101.854936278</v>
      </c>
      <c r="AB25" s="110"/>
      <c r="AC25" s="109">
        <f>(1-defaultFit_Inclusive!$U25)*epSystematic!E25</f>
        <v>208.06178333599999</v>
      </c>
      <c r="AD25" s="109">
        <f>(1-defaultFit_Inclusive!$U25)*epSystematic!F25</f>
        <v>192.20839406600001</v>
      </c>
      <c r="AE25" s="112">
        <f t="shared" si="4"/>
        <v>3.1745549265089608E-2</v>
      </c>
      <c r="AF25" s="112">
        <f t="shared" si="5"/>
        <v>1.9090029335786442E-2</v>
      </c>
      <c r="AG25" s="112"/>
      <c r="AH25" s="112">
        <f xml:space="preserve"> defaultFit_Prompt!E25/defaultFit_Prompt!$E$26</f>
        <v>0.21483929459361889</v>
      </c>
      <c r="AI25" s="112">
        <f xml:space="preserve"> defaultFit_Prompt!H25/defaultFit_Prompt!$H$26</f>
        <v>0.23576194523913269</v>
      </c>
    </row>
    <row r="26" spans="1:35" ht="20.25" x14ac:dyDescent="0.35">
      <c r="A26" s="146"/>
      <c r="B26" s="146"/>
      <c r="C26" s="152"/>
      <c r="D26" s="80"/>
      <c r="E26" s="113">
        <f xml:space="preserve"> SUM(E22:E25)</f>
        <v>921.75309332999996</v>
      </c>
      <c r="F26" s="113">
        <f xml:space="preserve"> SUM(F22:F25)</f>
        <v>821.73578414100007</v>
      </c>
      <c r="G26" s="113"/>
      <c r="H26" s="113">
        <f xml:space="preserve"> SUM(H22:H25)</f>
        <v>821.73578414100007</v>
      </c>
      <c r="I26" s="113">
        <f xml:space="preserve"> SUM(I22:I25)</f>
        <v>813.78956947899997</v>
      </c>
      <c r="J26" s="113"/>
      <c r="K26" s="113">
        <f xml:space="preserve"> SUM(K22:K25)</f>
        <v>936.52749512900004</v>
      </c>
      <c r="L26" s="113">
        <f xml:space="preserve"> SUM(L22:L25)</f>
        <v>834.60210511499997</v>
      </c>
      <c r="M26" s="113"/>
      <c r="N26" s="113">
        <f xml:space="preserve"> SUM(N22:N25)</f>
        <v>908.84056002</v>
      </c>
      <c r="O26" s="113">
        <f xml:space="preserve"> SUM(O22:O25)</f>
        <v>809.04790485700005</v>
      </c>
      <c r="P26" s="113"/>
      <c r="Q26" s="113">
        <f xml:space="preserve"> SUM(Q22:Q25)</f>
        <v>927.11514091200002</v>
      </c>
      <c r="R26" s="113">
        <f xml:space="preserve"> SUM(R22:R25)</f>
        <v>825.56038272600006</v>
      </c>
      <c r="S26" s="113"/>
      <c r="T26" s="113">
        <f xml:space="preserve"> SUM(T22:T25)</f>
        <v>929.47049829499997</v>
      </c>
      <c r="U26" s="113">
        <f xml:space="preserve"> SUM(U22:U25)</f>
        <v>827.79748763700002</v>
      </c>
      <c r="V26" s="113"/>
      <c r="W26" s="113">
        <f xml:space="preserve"> SUM(W22:W25)</f>
        <v>811.31909968799994</v>
      </c>
      <c r="X26" s="113">
        <f xml:space="preserve"> SUM(X22:X25)</f>
        <v>718.93871015400009</v>
      </c>
      <c r="Y26" s="113"/>
      <c r="Z26" s="113">
        <f xml:space="preserve"> SUM(Z22:Z25)</f>
        <v>443.27852136699994</v>
      </c>
      <c r="AA26" s="113">
        <f xml:space="preserve"> SUM(AA22:AA25)</f>
        <v>396.78362793099996</v>
      </c>
      <c r="AB26" s="113"/>
      <c r="AC26" s="113">
        <f xml:space="preserve"> SUM(AC22:AC25)</f>
        <v>924.24095340400004</v>
      </c>
      <c r="AD26" s="113">
        <f xml:space="preserve"> SUM(AD22:AD25)</f>
        <v>822.57172630699995</v>
      </c>
      <c r="AE26" s="113"/>
      <c r="AF26" s="113"/>
      <c r="AG26" s="113"/>
      <c r="AH26" s="113"/>
      <c r="AI26" s="113"/>
    </row>
    <row r="27" spans="1:35" ht="20.25" x14ac:dyDescent="0.35">
      <c r="A27" s="146"/>
      <c r="B27" s="146"/>
      <c r="C27" s="149" t="s">
        <v>57</v>
      </c>
      <c r="D27" s="22"/>
      <c r="E27" s="109"/>
      <c r="F27" s="109"/>
      <c r="G27" s="110"/>
      <c r="H27" s="109"/>
      <c r="I27" s="109"/>
      <c r="J27" s="110"/>
      <c r="K27" s="109"/>
      <c r="L27" s="109"/>
      <c r="M27" s="110"/>
      <c r="N27" s="111">
        <f xml:space="preserve"> (1-fitSyst_bFrac!E27)*defaultFit_Inclusive!E27</f>
        <v>679.79651693200003</v>
      </c>
      <c r="O27" s="111">
        <f xml:space="preserve"> (1-fitSyst_bFrac!E27)*defaultFit_Inclusive!H27</f>
        <v>659.62249382800007</v>
      </c>
      <c r="P27" s="110"/>
      <c r="Q27" s="111">
        <f xml:space="preserve"> (1-fitSyst_bFrac!F27)*defaultFit_Inclusive!E27</f>
        <v>686.200206536</v>
      </c>
      <c r="R27" s="111">
        <f xml:space="preserve"> (1-fitSyst_bFrac!F27)*defaultFit_Inclusive!H27</f>
        <v>665.83614394400001</v>
      </c>
      <c r="S27" s="110"/>
      <c r="T27" s="111">
        <f xml:space="preserve"> (1-fitSyst_bFrac!G27)*defaultFit_Inclusive!E27</f>
        <v>682.60736549199999</v>
      </c>
      <c r="U27" s="111">
        <f xml:space="preserve"> (1-fitSyst_bFrac!G27)*defaultFit_Inclusive!H27</f>
        <v>662.34992606800006</v>
      </c>
      <c r="V27" s="110"/>
      <c r="W27" s="109"/>
      <c r="X27" s="109"/>
      <c r="Y27" s="110"/>
      <c r="Z27" s="109"/>
      <c r="AA27" s="109"/>
      <c r="AB27" s="110"/>
      <c r="AC27" s="109"/>
      <c r="AD27" s="109"/>
      <c r="AE27" s="112"/>
      <c r="AF27" s="112"/>
      <c r="AG27" s="112"/>
      <c r="AH27" s="112"/>
      <c r="AI27" s="112"/>
    </row>
    <row r="28" spans="1:35" ht="20.25" x14ac:dyDescent="0.35">
      <c r="A28" s="146"/>
      <c r="B28" s="146"/>
      <c r="C28" s="149"/>
      <c r="D28" s="22" t="s">
        <v>49</v>
      </c>
      <c r="E28" s="109">
        <f>(1-defaultFit_Inclusive!$U28)*fitSyst_Inclusive!E28</f>
        <v>223.420012074</v>
      </c>
      <c r="F28" s="109">
        <f>(1-defaultFit_Inclusive!$U28)*fitSyst_Inclusive!F28</f>
        <v>202.158402666</v>
      </c>
      <c r="G28" s="110"/>
      <c r="H28" s="109">
        <f>(1-defaultFit_Inclusive!$U28)*fitSyst_Inclusive!H28</f>
        <v>202.158402666</v>
      </c>
      <c r="I28" s="109">
        <f>(1-defaultFit_Inclusive!$U28)*fitSyst_Inclusive!I28</f>
        <v>198.36722161500001</v>
      </c>
      <c r="J28" s="110"/>
      <c r="K28" s="109">
        <f>(1-defaultFit_Inclusive!$U28)*fitSyst_Inclusive!K28</f>
        <v>223.69287159300004</v>
      </c>
      <c r="L28" s="109">
        <f>(1-defaultFit_Inclusive!$U28)*fitSyst_Inclusive!L28</f>
        <v>200.57812563300001</v>
      </c>
      <c r="M28" s="110"/>
      <c r="N28" s="111">
        <f xml:space="preserve"> (1-fitSyst_bFrac!E28)*defaultFit_Inclusive!E28</f>
        <v>219.548378791</v>
      </c>
      <c r="O28" s="111">
        <f xml:space="preserve"> (1-fitSyst_bFrac!E28)*defaultFit_Inclusive!H28</f>
        <v>198.54622031300002</v>
      </c>
      <c r="P28" s="110"/>
      <c r="Q28" s="111">
        <f xml:space="preserve"> (1-fitSyst_bFrac!F28)*defaultFit_Inclusive!E28</f>
        <v>225.20498352799999</v>
      </c>
      <c r="R28" s="111">
        <f xml:space="preserve"> (1-fitSyst_bFrac!F28)*defaultFit_Inclusive!H28</f>
        <v>203.66171010400001</v>
      </c>
      <c r="S28" s="110"/>
      <c r="T28" s="111">
        <f xml:space="preserve"> (1-fitSyst_bFrac!G28)*defaultFit_Inclusive!E28</f>
        <v>222.12965067299999</v>
      </c>
      <c r="U28" s="111">
        <f xml:space="preserve"> (1-fitSyst_bFrac!G28)*defaultFit_Inclusive!H28</f>
        <v>200.88056583900001</v>
      </c>
      <c r="V28" s="110"/>
      <c r="W28" s="109">
        <f>(1-defaultFit_Inclusive!$U28)*trgBiassing!E28</f>
        <v>185.54117552399998</v>
      </c>
      <c r="X28" s="109">
        <f>(1-defaultFit_Inclusive!$U28)*trgBiassing!F28</f>
        <v>165.276204057</v>
      </c>
      <c r="Y28" s="110"/>
      <c r="Z28" s="109">
        <f>(1-defaultFit_Inclusive!$U28)*trgBiassing!L28</f>
        <v>93.918081570000012</v>
      </c>
      <c r="AA28" s="109">
        <f>(1-defaultFit_Inclusive!$U28)*trgBiassing!M28</f>
        <v>91.321382220000004</v>
      </c>
      <c r="AB28" s="110"/>
      <c r="AC28" s="109">
        <f>(1-defaultFit_Inclusive!$U28)*epSystematic!E28</f>
        <v>223.24937183100002</v>
      </c>
      <c r="AD28" s="109">
        <f>(1-defaultFit_Inclusive!$U28)*epSystematic!F28</f>
        <v>204.969432756</v>
      </c>
      <c r="AE28" s="112">
        <f>SQRT(POWER(E28/$E$32-AH28,2)+POWER(H28/$H$32-AH28,2)+POWER(K28/$K$32-AH28,2)+POWER(N28/$N$32-AH28,2)+POWER(Q28/$Q$32-AH28,2)+POWER(T28/$T$32-AH28,2)+POWER(W28/$W$32-AH28,2)+POWER(Z28/$Z$32-AH28,2)+POWER(AC28/$AC$32-AH28,2))/SQRT(9*POWER(PI()/8,2))</f>
        <v>2.056044989239075E-2</v>
      </c>
      <c r="AF28" s="112">
        <f>SQRT(POWER(F28/$F$32-AI28,2)+POWER(I28/$I$32-AI28,2)+POWER(L28/$L$32-AI28,2)+POWER(O28/$O$32-AI28,2)+POWER(R28/$R$32-AI28,2)+POWER(U28/$U$32-AI28,2)+POWER(X28/$X$32-AI28,2)+POWER(AA28/$AA$32-AI28,2)+POWER(AD28/$AD$32-AI28,2))/SQRT(9*POWER(PI()/8,2))</f>
        <v>2.0320210969268806E-2</v>
      </c>
      <c r="AG28" s="112"/>
      <c r="AH28" s="112">
        <f xml:space="preserve"> defaultFit_Prompt!E28/defaultFit_Prompt!$E$32</f>
        <v>0.32336132527388406</v>
      </c>
      <c r="AI28" s="112">
        <f xml:space="preserve"> defaultFit_Prompt!H28/defaultFit_Prompt!$H$32</f>
        <v>0.30099250122033444</v>
      </c>
    </row>
    <row r="29" spans="1:35" ht="20.25" x14ac:dyDescent="0.35">
      <c r="A29" s="146"/>
      <c r="B29" s="146"/>
      <c r="C29" s="149"/>
      <c r="D29" s="22" t="s">
        <v>50</v>
      </c>
      <c r="E29" s="109">
        <f>(1-defaultFit_Inclusive!$U29)*fitSyst_Inclusive!E29</f>
        <v>156.45529767400001</v>
      </c>
      <c r="F29" s="109">
        <f>(1-defaultFit_Inclusive!$U29)*fitSyst_Inclusive!F29</f>
        <v>175.95737822400002</v>
      </c>
      <c r="G29" s="110"/>
      <c r="H29" s="109">
        <f>(1-defaultFit_Inclusive!$U29)*fitSyst_Inclusive!H29</f>
        <v>175.95737822400002</v>
      </c>
      <c r="I29" s="109">
        <f>(1-defaultFit_Inclusive!$U29)*fitSyst_Inclusive!I29</f>
        <v>173.816933976</v>
      </c>
      <c r="J29" s="110"/>
      <c r="K29" s="109">
        <f>(1-defaultFit_Inclusive!$U29)*fitSyst_Inclusive!K29</f>
        <v>154.74585132000001</v>
      </c>
      <c r="L29" s="109">
        <f>(1-defaultFit_Inclusive!$U29)*fitSyst_Inclusive!L29</f>
        <v>175.41920501000001</v>
      </c>
      <c r="M29" s="110"/>
      <c r="N29" s="111">
        <f xml:space="preserve"> (1-fitSyst_bFrac!E29)*defaultFit_Inclusive!E29</f>
        <v>152.749515833</v>
      </c>
      <c r="O29" s="111">
        <f xml:space="preserve"> (1-fitSyst_bFrac!E29)*defaultFit_Inclusive!H29</f>
        <v>171.72124473099998</v>
      </c>
      <c r="P29" s="110"/>
      <c r="Q29" s="111">
        <f xml:space="preserve"> (1-fitSyst_bFrac!F29)*defaultFit_Inclusive!E29</f>
        <v>156.88752586999999</v>
      </c>
      <c r="R29" s="111">
        <f xml:space="preserve"> (1-fitSyst_bFrac!F29)*defaultFit_Inclusive!H29</f>
        <v>176.37320209000001</v>
      </c>
      <c r="S29" s="110"/>
      <c r="T29" s="111">
        <f xml:space="preserve"> (1-fitSyst_bFrac!G29)*defaultFit_Inclusive!E29</f>
        <v>153.59725235000002</v>
      </c>
      <c r="U29" s="111">
        <f xml:space="preserve"> (1-fitSyst_bFrac!G29)*defaultFit_Inclusive!H29</f>
        <v>172.67427144999999</v>
      </c>
      <c r="V29" s="110"/>
      <c r="W29" s="109">
        <f>(1-defaultFit_Inclusive!$U29)*trgBiassing!E29</f>
        <v>131.788897776</v>
      </c>
      <c r="X29" s="109">
        <f>(1-defaultFit_Inclusive!$U29)*trgBiassing!F29</f>
        <v>162.76179971799999</v>
      </c>
      <c r="Y29" s="110"/>
      <c r="Z29" s="109">
        <f>(1-defaultFit_Inclusive!$U29)*trgBiassing!L29</f>
        <v>58.517341950999999</v>
      </c>
      <c r="AA29" s="109">
        <f>(1-defaultFit_Inclusive!$U29)*trgBiassing!M29</f>
        <v>83.553879472000006</v>
      </c>
      <c r="AB29" s="110"/>
      <c r="AC29" s="109">
        <f>(1-defaultFit_Inclusive!$U29)*epSystematic!E29</f>
        <v>160.86785870600002</v>
      </c>
      <c r="AD29" s="109">
        <f>(1-defaultFit_Inclusive!$U29)*epSystematic!F29</f>
        <v>175.525614792</v>
      </c>
      <c r="AE29" s="112">
        <f t="shared" ref="AE29:AE31" si="6">SQRT(POWER(E29/$E$32-AH29,2)+POWER(H29/$H$32-AH29,2)+POWER(K29/$K$32-AH29,2)+POWER(N29/$N$32-AH29,2)+POWER(Q29/$Q$32-AH29,2)+POWER(T29/$T$32-AH29,2)+POWER(W29/$W$32-AH29,2)+POWER(Z29/$Z$32-AH29,2)+POWER(AC29/$AC$32-AH29,2))/SQRT(9*POWER(PI()/8,2))</f>
        <v>3.9382060111076367E-2</v>
      </c>
      <c r="AF29" s="112">
        <f t="shared" ref="AF29:AF31" si="7">SQRT(POWER(F29/$F$32-AI29,2)+POWER(I29/$I$32-AI29,2)+POWER(L29/$L$32-AI29,2)+POWER(O29/$O$32-AI29,2)+POWER(R29/$R$32-AI29,2)+POWER(U29/$U$32-AI29,2)+POWER(X29/$X$32-AI29,2)+POWER(AA29/$AA$32-AI29,2)+POWER(AD29/$AD$32-AI29,2))/SQRT(9*POWER(PI()/8,2))</f>
        <v>1.3444838196601028E-2</v>
      </c>
      <c r="AG29" s="112"/>
      <c r="AH29" s="112">
        <f xml:space="preserve"> defaultFit_Prompt!E29/defaultFit_Prompt!$E$32</f>
        <v>0.22647437416261457</v>
      </c>
      <c r="AI29" s="112">
        <f xml:space="preserve"> defaultFit_Prompt!H29/defaultFit_Prompt!$H$32</f>
        <v>0.26205923211422993</v>
      </c>
    </row>
    <row r="30" spans="1:35" ht="20.25" x14ac:dyDescent="0.35">
      <c r="A30" s="146"/>
      <c r="B30" s="146"/>
      <c r="C30" s="149"/>
      <c r="D30" s="13" t="s">
        <v>52</v>
      </c>
      <c r="E30" s="109">
        <f>(1-defaultFit_Inclusive!$U30)*fitSyst_Inclusive!E30</f>
        <v>151.79546188399999</v>
      </c>
      <c r="F30" s="109">
        <f>(1-defaultFit_Inclusive!$U30)*fitSyst_Inclusive!F30</f>
        <v>140.74878276799998</v>
      </c>
      <c r="G30" s="110"/>
      <c r="H30" s="109">
        <f>(1-defaultFit_Inclusive!$U30)*fitSyst_Inclusive!H30</f>
        <v>140.74878276799998</v>
      </c>
      <c r="I30" s="109">
        <f>(1-defaultFit_Inclusive!$U30)*fitSyst_Inclusive!I30</f>
        <v>139.53280149599999</v>
      </c>
      <c r="J30" s="110"/>
      <c r="K30" s="109">
        <f>(1-defaultFit_Inclusive!$U30)*fitSyst_Inclusive!K30</f>
        <v>150.19397676799997</v>
      </c>
      <c r="L30" s="109">
        <f>(1-defaultFit_Inclusive!$U30)*fitSyst_Inclusive!L30</f>
        <v>143.902078276</v>
      </c>
      <c r="M30" s="110"/>
      <c r="N30" s="111">
        <f xml:space="preserve"> (1-fitSyst_bFrac!E30)*defaultFit_Inclusive!E30</f>
        <v>152.16389042</v>
      </c>
      <c r="O30" s="111">
        <f xml:space="preserve"> (1-fitSyst_bFrac!E30)*defaultFit_Inclusive!H30</f>
        <v>141.08408385999999</v>
      </c>
      <c r="P30" s="110"/>
      <c r="Q30" s="111">
        <f xml:space="preserve"> (1-fitSyst_bFrac!F30)*defaultFit_Inclusive!E30</f>
        <v>157.04007170400001</v>
      </c>
      <c r="R30" s="111">
        <f xml:space="preserve"> (1-fitSyst_bFrac!F30)*defaultFit_Inclusive!H30</f>
        <v>145.605206232</v>
      </c>
      <c r="S30" s="110"/>
      <c r="T30" s="111">
        <f xml:space="preserve"> (1-fitSyst_bFrac!G30)*defaultFit_Inclusive!E30</f>
        <v>149.50000637600002</v>
      </c>
      <c r="U30" s="111">
        <f xml:space="preserve"> (1-fitSyst_bFrac!G30)*defaultFit_Inclusive!H30</f>
        <v>138.61417040800001</v>
      </c>
      <c r="V30" s="110"/>
      <c r="W30" s="109">
        <f>(1-defaultFit_Inclusive!$U30)*trgBiassing!E30</f>
        <v>127.32471334</v>
      </c>
      <c r="X30" s="109">
        <f>(1-defaultFit_Inclusive!$U30)*trgBiassing!F30</f>
        <v>125.14182405999999</v>
      </c>
      <c r="Y30" s="110"/>
      <c r="Z30" s="109">
        <f>(1-defaultFit_Inclusive!$U30)*trgBiassing!L30</f>
        <v>64.362700313999994</v>
      </c>
      <c r="AA30" s="109">
        <f>(1-defaultFit_Inclusive!$U30)*trgBiassing!M30</f>
        <v>70.515719471999986</v>
      </c>
      <c r="AB30" s="110"/>
      <c r="AC30" s="109">
        <f>(1-defaultFit_Inclusive!$U30)*epSystematic!E30</f>
        <v>150.05614689999999</v>
      </c>
      <c r="AD30" s="109">
        <f>(1-defaultFit_Inclusive!$U30)*epSystematic!F30</f>
        <v>140.724994872</v>
      </c>
      <c r="AE30" s="112">
        <f t="shared" si="6"/>
        <v>1.1376606845445109E-2</v>
      </c>
      <c r="AF30" s="112">
        <f t="shared" si="7"/>
        <v>1.3577099911129159E-2</v>
      </c>
      <c r="AG30" s="112"/>
      <c r="AH30" s="112">
        <f xml:space="preserve"> defaultFit_Prompt!E30/defaultFit_Prompt!$E$32</f>
        <v>0.21982605732100555</v>
      </c>
      <c r="AI30" s="112">
        <f xml:space="preserve"> defaultFit_Prompt!H30/defaultFit_Prompt!$H$32</f>
        <v>0.20978855908313845</v>
      </c>
    </row>
    <row r="31" spans="1:35" ht="20.25" x14ac:dyDescent="0.35">
      <c r="A31" s="146"/>
      <c r="B31" s="146"/>
      <c r="C31" s="149"/>
      <c r="D31" s="13" t="s">
        <v>53</v>
      </c>
      <c r="E31" s="109">
        <f>(1-defaultFit_Inclusive!$U31)*fitSyst_Inclusive!E31</f>
        <v>159.061539856</v>
      </c>
      <c r="F31" s="109">
        <f>(1-defaultFit_Inclusive!$U31)*fitSyst_Inclusive!F31</f>
        <v>152.56726588399999</v>
      </c>
      <c r="G31" s="110"/>
      <c r="H31" s="109">
        <f>(1-defaultFit_Inclusive!$U31)*fitSyst_Inclusive!H31</f>
        <v>152.56726588399999</v>
      </c>
      <c r="I31" s="109">
        <f>(1-defaultFit_Inclusive!$U31)*fitSyst_Inclusive!I31</f>
        <v>150.34036672799999</v>
      </c>
      <c r="J31" s="110"/>
      <c r="K31" s="109">
        <f>(1-defaultFit_Inclusive!$U31)*fitSyst_Inclusive!K31</f>
        <v>163.469907232</v>
      </c>
      <c r="L31" s="109">
        <f>(1-defaultFit_Inclusive!$U31)*fitSyst_Inclusive!L31</f>
        <v>158.77955473599999</v>
      </c>
      <c r="M31" s="110"/>
      <c r="N31" s="111">
        <f xml:space="preserve"> (1-fitSyst_bFrac!E31)*defaultFit_Inclusive!E31</f>
        <v>153.78320997700001</v>
      </c>
      <c r="O31" s="111">
        <f xml:space="preserve"> (1-fitSyst_bFrac!E31)*defaultFit_Inclusive!H31</f>
        <v>147.345868231</v>
      </c>
      <c r="P31" s="110"/>
      <c r="Q31" s="111">
        <f xml:space="preserve"> (1-fitSyst_bFrac!F31)*defaultFit_Inclusive!E31</f>
        <v>160.071104572</v>
      </c>
      <c r="R31" s="111">
        <f xml:space="preserve"> (1-fitSyst_bFrac!F31)*defaultFit_Inclusive!H31</f>
        <v>153.370552516</v>
      </c>
      <c r="S31" s="110"/>
      <c r="T31" s="111">
        <f xml:space="preserve"> (1-fitSyst_bFrac!G31)*defaultFit_Inclusive!E31</f>
        <v>159.42146733000001</v>
      </c>
      <c r="U31" s="111">
        <f xml:space="preserve"> (1-fitSyst_bFrac!G31)*defaultFit_Inclusive!H31</f>
        <v>152.74810898999999</v>
      </c>
      <c r="V31" s="110"/>
      <c r="W31" s="109">
        <f>(1-defaultFit_Inclusive!$U31)*trgBiassing!E31</f>
        <v>142.01318947600001</v>
      </c>
      <c r="X31" s="109">
        <f>(1-defaultFit_Inclusive!$U31)*trgBiassing!F31</f>
        <v>135.09123807200001</v>
      </c>
      <c r="Y31" s="110"/>
      <c r="Z31" s="109">
        <f>(1-defaultFit_Inclusive!$U31)*trgBiassing!L31</f>
        <v>79.186121447999994</v>
      </c>
      <c r="AA31" s="109">
        <f>(1-defaultFit_Inclusive!$U31)*trgBiassing!M31</f>
        <v>69.59549419999999</v>
      </c>
      <c r="AB31" s="110"/>
      <c r="AC31" s="109">
        <f>(1-defaultFit_Inclusive!$U31)*epSystematic!E31</f>
        <v>157.78164072799999</v>
      </c>
      <c r="AD31" s="109">
        <f>(1-defaultFit_Inclusive!$U31)*epSystematic!F31</f>
        <v>151.17300612400001</v>
      </c>
      <c r="AE31" s="112">
        <f t="shared" si="6"/>
        <v>3.3865416395563674E-2</v>
      </c>
      <c r="AF31" s="112">
        <f t="shared" si="7"/>
        <v>9.1661152442204189E-3</v>
      </c>
      <c r="AG31" s="112"/>
      <c r="AH31" s="112">
        <f xml:space="preserve"> defaultFit_Prompt!E31/defaultFit_Prompt!$E$32</f>
        <v>0.23033824324249572</v>
      </c>
      <c r="AI31" s="112">
        <f xml:space="preserve"> defaultFit_Prompt!H31/defaultFit_Prompt!$H$32</f>
        <v>0.22715970758229723</v>
      </c>
    </row>
    <row r="32" spans="1:35" ht="20.25" x14ac:dyDescent="0.35">
      <c r="A32" s="146"/>
      <c r="B32" s="146"/>
      <c r="C32" s="149"/>
      <c r="D32" s="80"/>
      <c r="E32" s="113">
        <f xml:space="preserve"> SUM(E28:E31)</f>
        <v>690.73231148799994</v>
      </c>
      <c r="F32" s="113">
        <f xml:space="preserve"> SUM(F28:F31)</f>
        <v>671.43182954199995</v>
      </c>
      <c r="G32" s="113"/>
      <c r="H32" s="113">
        <f xml:space="preserve"> SUM(H28:H31)</f>
        <v>671.43182954199995</v>
      </c>
      <c r="I32" s="113">
        <f xml:space="preserve"> SUM(I28:I31)</f>
        <v>662.05732381500002</v>
      </c>
      <c r="J32" s="113"/>
      <c r="K32" s="113">
        <f xml:space="preserve"> SUM(K28:K31)</f>
        <v>692.10260691300005</v>
      </c>
      <c r="L32" s="113">
        <f xml:space="preserve"> SUM(L28:L31)</f>
        <v>678.67896365500008</v>
      </c>
      <c r="M32" s="113"/>
      <c r="N32" s="113">
        <f xml:space="preserve"> SUM(N28:N31)</f>
        <v>678.24499502100002</v>
      </c>
      <c r="O32" s="113">
        <f xml:space="preserve"> SUM(O28:O31)</f>
        <v>658.69741713500002</v>
      </c>
      <c r="P32" s="113"/>
      <c r="Q32" s="113">
        <f xml:space="preserve"> SUM(Q28:Q31)</f>
        <v>699.20368567399987</v>
      </c>
      <c r="R32" s="113">
        <f xml:space="preserve"> SUM(R28:R31)</f>
        <v>679.01067094200005</v>
      </c>
      <c r="S32" s="113"/>
      <c r="T32" s="113">
        <f xml:space="preserve"> SUM(T28:T31)</f>
        <v>684.64837672900001</v>
      </c>
      <c r="U32" s="113">
        <f xml:space="preserve"> SUM(U28:U31)</f>
        <v>664.91711668700009</v>
      </c>
      <c r="V32" s="113"/>
      <c r="W32" s="113">
        <f xml:space="preserve"> SUM(W28:W31)</f>
        <v>586.66797611599998</v>
      </c>
      <c r="X32" s="113">
        <f xml:space="preserve"> SUM(X28:X31)</f>
        <v>588.27106590699998</v>
      </c>
      <c r="Y32" s="113"/>
      <c r="Z32" s="113">
        <f xml:space="preserve"> SUM(Z28:Z31)</f>
        <v>295.98424528300001</v>
      </c>
      <c r="AA32" s="113">
        <f xml:space="preserve"> SUM(AA28:AA31)</f>
        <v>314.98647536399994</v>
      </c>
      <c r="AB32" s="113"/>
      <c r="AC32" s="113">
        <f xml:space="preserve"> SUM(AC28:AC31)</f>
        <v>691.95501816499996</v>
      </c>
      <c r="AD32" s="113">
        <f xml:space="preserve"> SUM(AD28:AD31)</f>
        <v>672.39304854400007</v>
      </c>
      <c r="AE32" s="113"/>
      <c r="AF32" s="113"/>
      <c r="AG32" s="113"/>
      <c r="AH32" s="113"/>
      <c r="AI32" s="113"/>
    </row>
    <row r="33" spans="1:35" ht="20.25" x14ac:dyDescent="0.35">
      <c r="A33" s="150" t="s">
        <v>55</v>
      </c>
      <c r="B33" s="132" t="s">
        <v>37</v>
      </c>
      <c r="C33" s="151" t="s">
        <v>17</v>
      </c>
      <c r="D33" s="48" t="s">
        <v>51</v>
      </c>
      <c r="E33" s="109">
        <f>(1-defaultFit_Inclusive!$U33)*fitSyst_Inclusive!E33</f>
        <v>904.42107990000011</v>
      </c>
      <c r="F33" s="109">
        <f>(1-defaultFit_Inclusive!$U33)*fitSyst_Inclusive!F33</f>
        <v>900.5237631</v>
      </c>
      <c r="G33" s="110"/>
      <c r="H33" s="109">
        <f>(1-defaultFit_Inclusive!$U33)*fitSyst_Inclusive!H33</f>
        <v>900.5237631</v>
      </c>
      <c r="I33" s="109">
        <f>(1-defaultFit_Inclusive!$U33)*fitSyst_Inclusive!I33</f>
        <v>890.25270945000011</v>
      </c>
      <c r="J33" s="110"/>
      <c r="K33" s="109">
        <f>(1-defaultFit_Inclusive!$U33)*fitSyst_Inclusive!K33</f>
        <v>903.03266079000002</v>
      </c>
      <c r="L33" s="109">
        <f>(1-defaultFit_Inclusive!$U33)*fitSyst_Inclusive!L33</f>
        <v>908.57821781999996</v>
      </c>
      <c r="M33" s="110"/>
      <c r="N33" s="111">
        <f xml:space="preserve"> (1-fitSyst_bFrac!E33)*defaultFit_Inclusive!E33</f>
        <v>886.10077149999995</v>
      </c>
      <c r="O33" s="111">
        <f xml:space="preserve"> (1-fitSyst_bFrac!E33)*defaultFit_Inclusive!H33</f>
        <v>885.70359499999995</v>
      </c>
      <c r="P33" s="110"/>
      <c r="Q33" s="111">
        <f xml:space="preserve"> (1-fitSyst_bFrac!F33)*defaultFit_Inclusive!E33</f>
        <v>913.14383799999996</v>
      </c>
      <c r="R33" s="111">
        <f xml:space="preserve"> (1-fitSyst_bFrac!F33)*defaultFit_Inclusive!H33</f>
        <v>912.73454000000004</v>
      </c>
      <c r="S33" s="110"/>
      <c r="T33" s="111">
        <f xml:space="preserve"> (1-fitSyst_bFrac!G33)*defaultFit_Inclusive!E33</f>
        <v>902.16062499999998</v>
      </c>
      <c r="U33" s="111">
        <f xml:space="preserve"> (1-fitSyst_bFrac!G33)*defaultFit_Inclusive!H33</f>
        <v>901.75624999999991</v>
      </c>
      <c r="V33" s="110"/>
      <c r="W33" s="109">
        <f>(1-defaultFit_Inclusive!$U33)*trgBiassing!E33</f>
        <v>732.61355235899998</v>
      </c>
      <c r="X33" s="109">
        <f>(1-defaultFit_Inclusive!$U33)*trgBiassing!F33</f>
        <v>717.13876884000001</v>
      </c>
      <c r="Y33" s="110"/>
      <c r="Z33" s="109">
        <f>(1-defaultFit_Inclusive!$U33)*trgBiassing!L33</f>
        <v>388.66803729000003</v>
      </c>
      <c r="AA33" s="109">
        <f>(1-defaultFit_Inclusive!$U33)*trgBiassing!M33</f>
        <v>381.54893860200002</v>
      </c>
      <c r="AB33" s="110"/>
      <c r="AC33" s="109">
        <f>(1-defaultFit_Inclusive!$U33)*epSystematic!E33</f>
        <v>905.72018550000007</v>
      </c>
      <c r="AD33" s="109">
        <f>(1-defaultFit_Inclusive!$U33)*epSystematic!F33</f>
        <v>905.31421499999999</v>
      </c>
      <c r="AE33" s="112"/>
      <c r="AF33" s="112"/>
      <c r="AG33" s="112"/>
      <c r="AH33" s="112"/>
      <c r="AI33" s="112"/>
    </row>
    <row r="34" spans="1:35" ht="20.25" x14ac:dyDescent="0.35">
      <c r="A34" s="150"/>
      <c r="B34" s="132"/>
      <c r="C34" s="151"/>
      <c r="D34" s="50" t="s">
        <v>49</v>
      </c>
      <c r="E34" s="109">
        <f>(1-defaultFit_Inclusive!$U34)*fitSyst_Inclusive!E34</f>
        <v>262.04932177199998</v>
      </c>
      <c r="F34" s="109">
        <f>(1-defaultFit_Inclusive!$U34)*fitSyst_Inclusive!F34</f>
        <v>269.84285565299996</v>
      </c>
      <c r="G34" s="110"/>
      <c r="H34" s="109">
        <f>(1-defaultFit_Inclusive!$U34)*fitSyst_Inclusive!H34</f>
        <v>269.84285565299996</v>
      </c>
      <c r="I34" s="109">
        <f>(1-defaultFit_Inclusive!$U34)*fitSyst_Inclusive!I34</f>
        <v>266.65538974200001</v>
      </c>
      <c r="J34" s="110"/>
      <c r="K34" s="109">
        <f>(1-defaultFit_Inclusive!$U34)*fitSyst_Inclusive!K34</f>
        <v>262.59101542799999</v>
      </c>
      <c r="L34" s="109">
        <f>(1-defaultFit_Inclusive!$U34)*fitSyst_Inclusive!L34</f>
        <v>271.688626629</v>
      </c>
      <c r="M34" s="110"/>
      <c r="N34" s="111">
        <f xml:space="preserve"> (1-fitSyst_bFrac!E34)*defaultFit_Inclusive!E34</f>
        <v>257.53598518400003</v>
      </c>
      <c r="O34" s="111">
        <f xml:space="preserve"> (1-fitSyst_bFrac!E34)*defaultFit_Inclusive!H34</f>
        <v>266.51475742400004</v>
      </c>
      <c r="P34" s="110"/>
      <c r="Q34" s="111">
        <f xml:space="preserve"> (1-fitSyst_bFrac!F34)*defaultFit_Inclusive!E34</f>
        <v>265.23379896200004</v>
      </c>
      <c r="R34" s="111">
        <f xml:space="preserve"> (1-fitSyst_bFrac!F34)*defaultFit_Inclusive!H34</f>
        <v>274.48094890700003</v>
      </c>
      <c r="S34" s="110"/>
      <c r="T34" s="111">
        <f xml:space="preserve"> (1-fitSyst_bFrac!G34)*defaultFit_Inclusive!E34</f>
        <v>261.22132568400002</v>
      </c>
      <c r="U34" s="111">
        <f xml:space="preserve"> (1-fitSyst_bFrac!G34)*defaultFit_Inclusive!H34</f>
        <v>270.32858417400001</v>
      </c>
      <c r="V34" s="110"/>
      <c r="W34" s="109">
        <f>(1-defaultFit_Inclusive!$U34)*trgBiassing!E34</f>
        <v>196.22434715099999</v>
      </c>
      <c r="X34" s="109">
        <f>(1-defaultFit_Inclusive!$U34)*trgBiassing!F34</f>
        <v>199.10251267199999</v>
      </c>
      <c r="Y34" s="110"/>
      <c r="Z34" s="109">
        <f>(1-defaultFit_Inclusive!$U34)*trgBiassing!L34</f>
        <v>95.149995380999997</v>
      </c>
      <c r="AA34" s="109">
        <f>(1-defaultFit_Inclusive!$U34)*trgBiassing!M34</f>
        <v>95.83714381499999</v>
      </c>
      <c r="AB34" s="110"/>
      <c r="AC34" s="109">
        <f>(1-defaultFit_Inclusive!$U34)*epSystematic!E34</f>
        <v>265.45998553199996</v>
      </c>
      <c r="AD34" s="109">
        <f>(1-defaultFit_Inclusive!$U34)*epSystematic!F34</f>
        <v>270.85184368199998</v>
      </c>
      <c r="AE34" s="112">
        <f>SQRT(POWER(E34/$E$38-AH34,2)+POWER(H34/$H$38-AH34,2)+POWER(K34/$K$38-AH34,2)+POWER(N34/$N$38-AH34,2)+POWER(Q34/$Q$38-AH34,2)+POWER(T34/$T$38-AH34,2)+POWER(W34/$W$38-AH34,2)+POWER(Z34/$Z$38-AH34,2)+POWER(AC34/$AC$38-AH34,2))/SQRT(9*POWER(PI()/8,2))</f>
        <v>4.1840609592249008E-2</v>
      </c>
      <c r="AF34" s="112">
        <f>SQRT(POWER(F34/$F$38-AI34,2)+POWER(I34/$I$38-AI34,2)+POWER(L34/$L$38-AI34,2)+POWER(O34/$O$38-AI34,2)+POWER(R34/$R$38-AI34,2)+POWER(U34/$U$38-AI34,2)+POWER(X34/$X$38-AI34,2)+POWER(AA34/$AA$38-AI34,2)+POWER(AD34/$AD$38-AI34,2))/SQRT(9*POWER(PI()/8,2))</f>
        <v>4.491510771430595E-2</v>
      </c>
      <c r="AG34" s="112"/>
      <c r="AH34" s="112">
        <f xml:space="preserve"> defaultFit_Prompt!E34/defaultFit_Prompt!$E$38</f>
        <v>0.29014577664754942</v>
      </c>
      <c r="AI34" s="112">
        <f xml:space="preserve"> defaultFit_Prompt!H34/defaultFit_Prompt!$H$38</f>
        <v>0.29934957849143645</v>
      </c>
    </row>
    <row r="35" spans="1:35" ht="20.25" x14ac:dyDescent="0.35">
      <c r="A35" s="150"/>
      <c r="B35" s="132"/>
      <c r="C35" s="151"/>
      <c r="D35" s="50" t="s">
        <v>50</v>
      </c>
      <c r="E35" s="109">
        <f>(1-defaultFit_Inclusive!$U35)*fitSyst_Inclusive!E35</f>
        <v>223.53713814599999</v>
      </c>
      <c r="F35" s="109">
        <f>(1-defaultFit_Inclusive!$U35)*fitSyst_Inclusive!F35</f>
        <v>240.11926240400001</v>
      </c>
      <c r="G35" s="110"/>
      <c r="H35" s="109">
        <f>(1-defaultFit_Inclusive!$U35)*fitSyst_Inclusive!H35</f>
        <v>240.11926240400001</v>
      </c>
      <c r="I35" s="109">
        <f>(1-defaultFit_Inclusive!$U35)*fitSyst_Inclusive!I35</f>
        <v>237.40404133600001</v>
      </c>
      <c r="J35" s="110"/>
      <c r="K35" s="109">
        <f>(1-defaultFit_Inclusive!$U35)*fitSyst_Inclusive!K35</f>
        <v>222.25430420200001</v>
      </c>
      <c r="L35" s="109">
        <f>(1-defaultFit_Inclusive!$U35)*fitSyst_Inclusive!L35</f>
        <v>241.102159137</v>
      </c>
      <c r="M35" s="110"/>
      <c r="N35" s="111">
        <f xml:space="preserve"> (1-fitSyst_bFrac!E35)*defaultFit_Inclusive!E35</f>
        <v>221.17851370000002</v>
      </c>
      <c r="O35" s="111">
        <f xml:space="preserve"> (1-fitSyst_bFrac!E35)*defaultFit_Inclusive!H35</f>
        <v>238.38740117700002</v>
      </c>
      <c r="P35" s="110"/>
      <c r="Q35" s="111">
        <f xml:space="preserve"> (1-fitSyst_bFrac!F35)*defaultFit_Inclusive!E35</f>
        <v>223.6908134</v>
      </c>
      <c r="R35" s="111">
        <f xml:space="preserve"> (1-fitSyst_bFrac!F35)*defaultFit_Inclusive!H35</f>
        <v>241.09517141399999</v>
      </c>
      <c r="S35" s="110"/>
      <c r="T35" s="111">
        <f xml:space="preserve"> (1-fitSyst_bFrac!G35)*defaultFit_Inclusive!E35</f>
        <v>220.23300140000001</v>
      </c>
      <c r="U35" s="111">
        <f xml:space="preserve"> (1-fitSyst_bFrac!G35)*defaultFit_Inclusive!H35</f>
        <v>237.36832289399999</v>
      </c>
      <c r="V35" s="110"/>
      <c r="W35" s="109">
        <f>(1-defaultFit_Inclusive!$U35)*trgBiassing!E35</f>
        <v>181.64230732200002</v>
      </c>
      <c r="X35" s="109">
        <f>(1-defaultFit_Inclusive!$U35)*trgBiassing!F35</f>
        <v>195.55075306199998</v>
      </c>
      <c r="Y35" s="110"/>
      <c r="Z35" s="109">
        <f>(1-defaultFit_Inclusive!$U35)*trgBiassing!L35</f>
        <v>93.770674710999998</v>
      </c>
      <c r="AA35" s="109">
        <f>(1-defaultFit_Inclusive!$U35)*trgBiassing!M35</f>
        <v>95.711542647000002</v>
      </c>
      <c r="AB35" s="110"/>
      <c r="AC35" s="109">
        <f>(1-defaultFit_Inclusive!$U35)*epSystematic!E35</f>
        <v>215.136403685</v>
      </c>
      <c r="AD35" s="109">
        <f>(1-defaultFit_Inclusive!$U35)*epSystematic!F35</f>
        <v>237.17223390699999</v>
      </c>
      <c r="AE35" s="112">
        <f t="shared" ref="AE35:AE37" si="8">SQRT(POWER(E35/$E$38-AH35,2)+POWER(H35/$H$38-AH35,2)+POWER(K35/$K$38-AH35,2)+POWER(N35/$N$38-AH35,2)+POWER(Q35/$Q$38-AH35,2)+POWER(T35/$T$38-AH35,2)+POWER(W35/$W$38-AH35,2)+POWER(Z35/$Z$38-AH35,2)+POWER(AC35/$AC$38-AH35,2))/SQRT(9*POWER(PI()/8,2))</f>
        <v>1.9047942235461572E-2</v>
      </c>
      <c r="AF35" s="112">
        <f t="shared" ref="AF35:AF37" si="9">SQRT(POWER(F35/$F$38-AI35,2)+POWER(I35/$I$38-AI35,2)+POWER(L35/$L$38-AI35,2)+POWER(O35/$O$38-AI35,2)+POWER(R35/$R$38-AI35,2)+POWER(U35/$U$38-AI35,2)+POWER(X35/$X$38-AI35,2)+POWER(AA35/$AA$38-AI35,2)+POWER(AD35/$AD$38-AI35,2))/SQRT(9*POWER(PI()/8,2))</f>
        <v>1.5202950393472083E-2</v>
      </c>
      <c r="AG35" s="112"/>
      <c r="AH35" s="112">
        <f xml:space="preserve"> defaultFit_Prompt!E35/defaultFit_Prompt!$E$38</f>
        <v>0.2476037722585484</v>
      </c>
      <c r="AI35" s="112">
        <f xml:space="preserve"> defaultFit_Prompt!H35/defaultFit_Prompt!$H$38</f>
        <v>0.26605821779692251</v>
      </c>
    </row>
    <row r="36" spans="1:35" ht="20.25" x14ac:dyDescent="0.35">
      <c r="A36" s="150"/>
      <c r="B36" s="132"/>
      <c r="C36" s="151"/>
      <c r="D36" s="48" t="s">
        <v>52</v>
      </c>
      <c r="E36" s="109">
        <f>(1-defaultFit_Inclusive!$U36)*fitSyst_Inclusive!E36</f>
        <v>224.46905669999998</v>
      </c>
      <c r="F36" s="109">
        <f>(1-defaultFit_Inclusive!$U36)*fitSyst_Inclusive!F36</f>
        <v>196.83622133999998</v>
      </c>
      <c r="G36" s="110"/>
      <c r="H36" s="109">
        <f>(1-defaultFit_Inclusive!$U36)*fitSyst_Inclusive!H36</f>
        <v>196.83622133999998</v>
      </c>
      <c r="I36" s="109">
        <f>(1-defaultFit_Inclusive!$U36)*fitSyst_Inclusive!I36</f>
        <v>194.60004272999998</v>
      </c>
      <c r="J36" s="110"/>
      <c r="K36" s="109">
        <f>(1-defaultFit_Inclusive!$U36)*fitSyst_Inclusive!K36</f>
        <v>223.69661649</v>
      </c>
      <c r="L36" s="109">
        <f>(1-defaultFit_Inclusive!$U36)*fitSyst_Inclusive!L36</f>
        <v>198.89738774999998</v>
      </c>
      <c r="M36" s="110"/>
      <c r="N36" s="111">
        <f xml:space="preserve"> (1-fitSyst_bFrac!E36)*defaultFit_Inclusive!E36</f>
        <v>219.83079321000002</v>
      </c>
      <c r="O36" s="111">
        <f xml:space="preserve"> (1-fitSyst_bFrac!E36)*defaultFit_Inclusive!H36</f>
        <v>193.03619895</v>
      </c>
      <c r="P36" s="110"/>
      <c r="Q36" s="111">
        <f xml:space="preserve"> (1-fitSyst_bFrac!F36)*defaultFit_Inclusive!E36</f>
        <v>228.22341155400002</v>
      </c>
      <c r="R36" s="111">
        <f xml:space="preserve"> (1-fitSyst_bFrac!F36)*defaultFit_Inclusive!H36</f>
        <v>200.40586322999999</v>
      </c>
      <c r="S36" s="110"/>
      <c r="T36" s="111">
        <f xml:space="preserve"> (1-fitSyst_bFrac!G36)*defaultFit_Inclusive!E36</f>
        <v>224.84610148800002</v>
      </c>
      <c r="U36" s="111">
        <f xml:space="preserve"> (1-fitSyst_bFrac!G36)*defaultFit_Inclusive!H36</f>
        <v>197.44020455999998</v>
      </c>
      <c r="V36" s="110"/>
      <c r="W36" s="109">
        <f>(1-defaultFit_Inclusive!$U36)*trgBiassing!E36</f>
        <v>185.13188270999999</v>
      </c>
      <c r="X36" s="109">
        <f>(1-defaultFit_Inclusive!$U36)*trgBiassing!F36</f>
        <v>166.01895944999998</v>
      </c>
      <c r="Y36" s="110"/>
      <c r="Z36" s="109">
        <f>(1-defaultFit_Inclusive!$U36)*trgBiassing!L36</f>
        <v>91.369096559999988</v>
      </c>
      <c r="AA36" s="109">
        <f>(1-defaultFit_Inclusive!$U36)*trgBiassing!M36</f>
        <v>106.52356206</v>
      </c>
      <c r="AB36" s="110"/>
      <c r="AC36" s="109">
        <f>(1-defaultFit_Inclusive!$U36)*epSystematic!E36</f>
        <v>227.05844174999999</v>
      </c>
      <c r="AD36" s="109">
        <f>(1-defaultFit_Inclusive!$U36)*epSystematic!F36</f>
        <v>204.12309293999999</v>
      </c>
      <c r="AE36" s="112">
        <f t="shared" si="8"/>
        <v>2.867909258284226E-2</v>
      </c>
      <c r="AF36" s="112">
        <f t="shared" si="9"/>
        <v>5.3401120843877457E-2</v>
      </c>
      <c r="AG36" s="112"/>
      <c r="AH36" s="112">
        <f xml:space="preserve"> defaultFit_Prompt!E36/defaultFit_Prompt!$E$38</f>
        <v>0.24913130378450965</v>
      </c>
      <c r="AI36" s="112">
        <f xml:space="preserve"> defaultFit_Prompt!H36/defaultFit_Prompt!$H$38</f>
        <v>0.21810096549108024</v>
      </c>
    </row>
    <row r="37" spans="1:35" ht="20.25" x14ac:dyDescent="0.35">
      <c r="A37" s="150"/>
      <c r="B37" s="132"/>
      <c r="C37" s="151"/>
      <c r="D37" s="48" t="s">
        <v>53</v>
      </c>
      <c r="E37" s="109">
        <f>(1-defaultFit_Inclusive!$U37)*fitSyst_Inclusive!E37</f>
        <v>192.35540177999999</v>
      </c>
      <c r="F37" s="109">
        <f>(1-defaultFit_Inclusive!$U37)*fitSyst_Inclusive!F37</f>
        <v>194.6776356</v>
      </c>
      <c r="G37" s="110"/>
      <c r="H37" s="109">
        <f>(1-defaultFit_Inclusive!$U37)*fitSyst_Inclusive!H37</f>
        <v>194.6776356</v>
      </c>
      <c r="I37" s="109">
        <f>(1-defaultFit_Inclusive!$U37)*fitSyst_Inclusive!I37</f>
        <v>192.40647390000001</v>
      </c>
      <c r="J37" s="110"/>
      <c r="K37" s="109">
        <f>(1-defaultFit_Inclusive!$U37)*fitSyst_Inclusive!K37</f>
        <v>205.95451446000001</v>
      </c>
      <c r="L37" s="109">
        <f>(1-defaultFit_Inclusive!$U37)*fitSyst_Inclusive!L37</f>
        <v>199.51014149999997</v>
      </c>
      <c r="M37" s="110"/>
      <c r="N37" s="111">
        <f xml:space="preserve"> (1-fitSyst_bFrac!E37)*defaultFit_Inclusive!E37</f>
        <v>185.43128414399999</v>
      </c>
      <c r="O37" s="111">
        <f xml:space="preserve"> (1-fitSyst_bFrac!E37)*defaultFit_Inclusive!H37</f>
        <v>188.93908311999999</v>
      </c>
      <c r="P37" s="110"/>
      <c r="Q37" s="111">
        <f xml:space="preserve"> (1-fitSyst_bFrac!F37)*defaultFit_Inclusive!E37</f>
        <v>195.73130766599999</v>
      </c>
      <c r="R37" s="111">
        <f xml:space="preserve"> (1-fitSyst_bFrac!F37)*defaultFit_Inclusive!H37</f>
        <v>199.43395193000001</v>
      </c>
      <c r="S37" s="110"/>
      <c r="T37" s="111">
        <f xml:space="preserve"> (1-fitSyst_bFrac!G37)*defaultFit_Inclusive!E37</f>
        <v>193.33636429499998</v>
      </c>
      <c r="U37" s="111">
        <f xml:space="preserve"> (1-fitSyst_bFrac!G37)*defaultFit_Inclusive!H37</f>
        <v>196.99370347499999</v>
      </c>
      <c r="V37" s="110"/>
      <c r="W37" s="109">
        <f>(1-defaultFit_Inclusive!$U37)*trgBiassing!E37</f>
        <v>166.56862409999999</v>
      </c>
      <c r="X37" s="109">
        <f>(1-defaultFit_Inclusive!$U37)*trgBiassing!F37</f>
        <v>156.56003622</v>
      </c>
      <c r="Y37" s="110"/>
      <c r="Z37" s="109">
        <f>(1-defaultFit_Inclusive!$U37)*trgBiassing!L37</f>
        <v>105.1195779</v>
      </c>
      <c r="AA37" s="109">
        <f>(1-defaultFit_Inclusive!$U37)*trgBiassing!M37</f>
        <v>83.524583159999992</v>
      </c>
      <c r="AB37" s="110"/>
      <c r="AC37" s="109">
        <f>(1-defaultFit_Inclusive!$U37)*epSystematic!E37</f>
        <v>195.67508957999999</v>
      </c>
      <c r="AD37" s="109">
        <f>(1-defaultFit_Inclusive!$U37)*epSystematic!F37</f>
        <v>194.30542817999998</v>
      </c>
      <c r="AE37" s="112">
        <f t="shared" si="8"/>
        <v>5.3475685526734269E-2</v>
      </c>
      <c r="AF37" s="112">
        <f t="shared" si="9"/>
        <v>5.1948714246333677E-3</v>
      </c>
      <c r="AG37" s="112"/>
      <c r="AH37" s="112">
        <f xml:space="preserve"> defaultFit_Prompt!E37/defaultFit_Prompt!$E$38</f>
        <v>0.21311914730939246</v>
      </c>
      <c r="AI37" s="112">
        <f xml:space="preserve"> defaultFit_Prompt!H37/defaultFit_Prompt!$H$38</f>
        <v>0.21649123822056074</v>
      </c>
    </row>
    <row r="38" spans="1:35" ht="20.25" x14ac:dyDescent="0.35">
      <c r="A38" s="150"/>
      <c r="B38" s="132"/>
      <c r="C38" s="151"/>
      <c r="D38" s="80"/>
      <c r="E38" s="113">
        <f xml:space="preserve"> SUM(E34:E37)</f>
        <v>902.41091839799992</v>
      </c>
      <c r="F38" s="113">
        <f xml:space="preserve"> SUM(F34:F37)</f>
        <v>901.47597499699998</v>
      </c>
      <c r="G38" s="113"/>
      <c r="H38" s="113">
        <f xml:space="preserve"> SUM(H34:H37)</f>
        <v>901.47597499699998</v>
      </c>
      <c r="I38" s="113">
        <f xml:space="preserve"> SUM(I34:I37)</f>
        <v>891.06594770800007</v>
      </c>
      <c r="J38" s="113"/>
      <c r="K38" s="113">
        <f xml:space="preserve"> SUM(K34:K37)</f>
        <v>914.49645057999999</v>
      </c>
      <c r="L38" s="113">
        <f xml:space="preserve"> SUM(L34:L37)</f>
        <v>911.19831501599992</v>
      </c>
      <c r="M38" s="113"/>
      <c r="N38" s="113">
        <f xml:space="preserve"> SUM(N34:N37)</f>
        <v>883.97657623800001</v>
      </c>
      <c r="O38" s="113">
        <f xml:space="preserve"> SUM(O34:O37)</f>
        <v>886.87744067100004</v>
      </c>
      <c r="P38" s="113"/>
      <c r="Q38" s="113">
        <f xml:space="preserve"> SUM(Q34:Q37)</f>
        <v>912.87933158200008</v>
      </c>
      <c r="R38" s="113">
        <f xml:space="preserve"> SUM(R34:R37)</f>
        <v>915.41593548100002</v>
      </c>
      <c r="S38" s="113"/>
      <c r="T38" s="113">
        <f xml:space="preserve"> SUM(T34:T37)</f>
        <v>899.63679286700005</v>
      </c>
      <c r="U38" s="113">
        <f xml:space="preserve"> SUM(U34:U37)</f>
        <v>902.13081510299992</v>
      </c>
      <c r="V38" s="113"/>
      <c r="W38" s="113">
        <f xml:space="preserve"> SUM(W34:W37)</f>
        <v>729.56716128300002</v>
      </c>
      <c r="X38" s="113">
        <f xml:space="preserve"> SUM(X34:X37)</f>
        <v>717.23226140400004</v>
      </c>
      <c r="Y38" s="113"/>
      <c r="Z38" s="113">
        <f xml:space="preserve"> SUM(Z34:Z37)</f>
        <v>385.40934455199999</v>
      </c>
      <c r="AA38" s="113">
        <f xml:space="preserve"> SUM(AA34:AA37)</f>
        <v>381.59683168200002</v>
      </c>
      <c r="AB38" s="113"/>
      <c r="AC38" s="113">
        <f xml:space="preserve"> SUM(AC34:AC37)</f>
        <v>903.32992054699992</v>
      </c>
      <c r="AD38" s="113">
        <f xml:space="preserve"> SUM(AD34:AD37)</f>
        <v>906.45259870899986</v>
      </c>
      <c r="AE38" s="113"/>
      <c r="AF38" s="113"/>
      <c r="AG38" s="113"/>
      <c r="AH38" s="113"/>
      <c r="AI38" s="113"/>
    </row>
    <row r="39" spans="1:35" ht="20.25" x14ac:dyDescent="0.35">
      <c r="A39" s="150"/>
      <c r="B39" s="150" t="s">
        <v>76</v>
      </c>
      <c r="C39" s="151"/>
      <c r="D39" s="51" t="s">
        <v>51</v>
      </c>
      <c r="E39" s="109">
        <f>(1-defaultFit_Inclusive!$U39)*fitSyst_Inclusive!E39</f>
        <v>858.8137256</v>
      </c>
      <c r="F39" s="109">
        <f>(1-defaultFit_Inclusive!$U39)*fitSyst_Inclusive!F39</f>
        <v>771.74237167999991</v>
      </c>
      <c r="G39" s="110"/>
      <c r="H39" s="109">
        <f>(1-defaultFit_Inclusive!$U39)*fitSyst_Inclusive!H39</f>
        <v>771.74237167999991</v>
      </c>
      <c r="I39" s="109">
        <f>(1-defaultFit_Inclusive!$U39)*fitSyst_Inclusive!I39</f>
        <v>761.61901920000003</v>
      </c>
      <c r="J39" s="110"/>
      <c r="K39" s="109">
        <f>(1-defaultFit_Inclusive!$U39)*fitSyst_Inclusive!K39</f>
        <v>861.64554080000005</v>
      </c>
      <c r="L39" s="109">
        <f>(1-defaultFit_Inclusive!$U39)*fitSyst_Inclusive!L39</f>
        <v>768.33104019999996</v>
      </c>
      <c r="M39" s="110"/>
      <c r="N39" s="111">
        <f xml:space="preserve"> (1-fitSyst_bFrac!E39)*defaultFit_Inclusive!E39</f>
        <v>840.50047421999989</v>
      </c>
      <c r="O39" s="111">
        <f xml:space="preserve"> (1-fitSyst_bFrac!E39)*defaultFit_Inclusive!H39</f>
        <v>757.36578803400005</v>
      </c>
      <c r="P39" s="110"/>
      <c r="Q39" s="111">
        <f xml:space="preserve"> (1-fitSyst_bFrac!F39)*defaultFit_Inclusive!E39</f>
        <v>861.70328760999985</v>
      </c>
      <c r="R39" s="111">
        <f xml:space="preserve"> (1-fitSyst_bFrac!F39)*defaultFit_Inclusive!H39</f>
        <v>776.47141136699997</v>
      </c>
      <c r="S39" s="110"/>
      <c r="T39" s="111">
        <f xml:space="preserve"> (1-fitSyst_bFrac!G39)*defaultFit_Inclusive!E39</f>
        <v>856.09888803999991</v>
      </c>
      <c r="U39" s="111">
        <f xml:space="preserve"> (1-fitSyst_bFrac!G39)*defaultFit_Inclusive!H39</f>
        <v>771.42134818800002</v>
      </c>
      <c r="V39" s="110"/>
      <c r="W39" s="109">
        <f>(1-defaultFit_Inclusive!$U39)*trgBiassing!E39</f>
        <v>760.09246963999988</v>
      </c>
      <c r="X39" s="109">
        <f>(1-defaultFit_Inclusive!$U39)*trgBiassing!F39</f>
        <v>683.06013271999996</v>
      </c>
      <c r="Y39" s="110"/>
      <c r="Z39" s="109">
        <f>(1-defaultFit_Inclusive!$U39)*trgBiassing!L39</f>
        <v>392.09885811999999</v>
      </c>
      <c r="AA39" s="109">
        <f>(1-defaultFit_Inclusive!$U39)*trgBiassing!M39</f>
        <v>374.38763359999996</v>
      </c>
      <c r="AB39" s="110"/>
      <c r="AC39" s="109">
        <f>(1-defaultFit_Inclusive!$U39)*epSystematic!E39</f>
        <v>856.79431639999984</v>
      </c>
      <c r="AD39" s="109">
        <f>(1-defaultFit_Inclusive!$U39)*epSystematic!F39</f>
        <v>772.04799107999997</v>
      </c>
      <c r="AE39" s="112"/>
      <c r="AF39" s="112"/>
      <c r="AG39" s="112"/>
      <c r="AH39" s="112"/>
      <c r="AI39" s="112"/>
    </row>
    <row r="40" spans="1:35" ht="20.25" x14ac:dyDescent="0.35">
      <c r="A40" s="150"/>
      <c r="B40" s="150"/>
      <c r="C40" s="151"/>
      <c r="D40" s="52" t="s">
        <v>49</v>
      </c>
      <c r="E40" s="109">
        <f>(1-defaultFit_Inclusive!$U40)*fitSyst_Inclusive!E40</f>
        <v>252.00343973900002</v>
      </c>
      <c r="F40" s="109">
        <f>(1-defaultFit_Inclusive!$U40)*fitSyst_Inclusive!F40</f>
        <v>232.55516852399998</v>
      </c>
      <c r="G40" s="110"/>
      <c r="H40" s="109">
        <f>(1-defaultFit_Inclusive!$U40)*fitSyst_Inclusive!H40</f>
        <v>232.55516852399998</v>
      </c>
      <c r="I40" s="109">
        <f>(1-defaultFit_Inclusive!$U40)*fitSyst_Inclusive!I40</f>
        <v>228.89149911999996</v>
      </c>
      <c r="J40" s="110"/>
      <c r="K40" s="109">
        <f>(1-defaultFit_Inclusive!$U40)*fitSyst_Inclusive!K40</f>
        <v>248.47631947799997</v>
      </c>
      <c r="L40" s="109">
        <f>(1-defaultFit_Inclusive!$U40)*fitSyst_Inclusive!L40</f>
        <v>230.19710057499995</v>
      </c>
      <c r="M40" s="110"/>
      <c r="N40" s="111">
        <f xml:space="preserve"> (1-fitSyst_bFrac!E40)*defaultFit_Inclusive!E40</f>
        <v>246.03893851200002</v>
      </c>
      <c r="O40" s="111">
        <f xml:space="preserve"> (1-fitSyst_bFrac!E40)*defaultFit_Inclusive!H40</f>
        <v>227.05818609600001</v>
      </c>
      <c r="P40" s="110"/>
      <c r="Q40" s="111">
        <f xml:space="preserve"> (1-fitSyst_bFrac!F40)*defaultFit_Inclusive!E40</f>
        <v>254.56533881599998</v>
      </c>
      <c r="R40" s="111">
        <f xml:space="preserve"> (1-fitSyst_bFrac!F40)*defaultFit_Inclusive!H40</f>
        <v>234.92681452799999</v>
      </c>
      <c r="S40" s="110"/>
      <c r="T40" s="111">
        <f xml:space="preserve"> (1-fitSyst_bFrac!G40)*defaultFit_Inclusive!E40</f>
        <v>246.09891467199998</v>
      </c>
      <c r="U40" s="111">
        <f xml:space="preserve"> (1-fitSyst_bFrac!G40)*defaultFit_Inclusive!H40</f>
        <v>227.11353537599999</v>
      </c>
      <c r="V40" s="110"/>
      <c r="W40" s="109">
        <f>(1-defaultFit_Inclusive!$U40)*trgBiassing!E40</f>
        <v>216.03911048500001</v>
      </c>
      <c r="X40" s="109">
        <f>(1-defaultFit_Inclusive!$U40)*trgBiassing!F40</f>
        <v>200.74480793599997</v>
      </c>
      <c r="Y40" s="110"/>
      <c r="Z40" s="109">
        <f>(1-defaultFit_Inclusive!$U40)*trgBiassing!L40</f>
        <v>113.01877108899998</v>
      </c>
      <c r="AA40" s="109">
        <f>(1-defaultFit_Inclusive!$U40)*trgBiassing!M40</f>
        <v>112.49333637499998</v>
      </c>
      <c r="AB40" s="110"/>
      <c r="AC40" s="109">
        <f>(1-defaultFit_Inclusive!$U40)*epSystematic!E40</f>
        <v>250.28819085499998</v>
      </c>
      <c r="AD40" s="109">
        <f>(1-defaultFit_Inclusive!$U40)*epSystematic!F40</f>
        <v>234.91163940699997</v>
      </c>
      <c r="AE40" s="112">
        <f>SQRT(POWER(E40/$E$44-AH40,2)+POWER(H40/$H$44-AH40,2)+POWER(K40/$K$44-AH40,2)+POWER(N40/$N$44-AH40,2)+POWER(Q40/$Q$44-AH40,2)+POWER(T40/$T$44-AH40,2)+POWER(W40/$W$44-AH40,2)+POWER(Z40/$Z$44-AH40,2)+POWER(AC40/$AC$44-AH40,2))/SQRT(9*POWER(PI()/8,2))</f>
        <v>1.2902473895949052E-2</v>
      </c>
      <c r="AF40" s="112">
        <f>SQRT(POWER(F40/$F$44-AI40,2)+POWER(I40/$I$44-AI40,2)+POWER(L40/$L$44-AI40,2)+POWER(O40/$O$44-AI40,2)+POWER(R40/$R$44-AI40,2)+POWER(U40/$U$44-AI40,2)+POWER(X40/$X$44-AI40,2)+POWER(AA40/$AA$44-AI40,2)+POWER(AD40/$AD$44-AI40,2))/SQRT(9*POWER(PI()/8,2))</f>
        <v>9.785873791619052E-3</v>
      </c>
      <c r="AG40" s="112"/>
      <c r="AH40" s="112">
        <f xml:space="preserve"> defaultFit_Prompt!E40/defaultFit_Prompt!$E$44</f>
        <v>0.29589654348986649</v>
      </c>
      <c r="AI40" s="112">
        <f xml:space="preserve"> defaultFit_Prompt!H40/defaultFit_Prompt!$H$44</f>
        <v>0.30245315614363028</v>
      </c>
    </row>
    <row r="41" spans="1:35" ht="20.25" x14ac:dyDescent="0.35">
      <c r="A41" s="150"/>
      <c r="B41" s="150"/>
      <c r="C41" s="151"/>
      <c r="D41" s="52" t="s">
        <v>50</v>
      </c>
      <c r="E41" s="109">
        <f>(1-defaultFit_Inclusive!$U41)*fitSyst_Inclusive!E41</f>
        <v>224.30582516800001</v>
      </c>
      <c r="F41" s="109">
        <f>(1-defaultFit_Inclusive!$U41)*fitSyst_Inclusive!F41</f>
        <v>198.533176924</v>
      </c>
      <c r="G41" s="110"/>
      <c r="H41" s="109">
        <f>(1-defaultFit_Inclusive!$U41)*fitSyst_Inclusive!H41</f>
        <v>198.533176924</v>
      </c>
      <c r="I41" s="109">
        <f>(1-defaultFit_Inclusive!$U41)*fitSyst_Inclusive!I41</f>
        <v>197.22695186799999</v>
      </c>
      <c r="J41" s="110"/>
      <c r="K41" s="109">
        <f>(1-defaultFit_Inclusive!$U41)*fitSyst_Inclusive!K41</f>
        <v>231.200301784</v>
      </c>
      <c r="L41" s="109">
        <f>(1-defaultFit_Inclusive!$U41)*fitSyst_Inclusive!L41</f>
        <v>195.476119692</v>
      </c>
      <c r="M41" s="110"/>
      <c r="N41" s="111">
        <f xml:space="preserve"> (1-fitSyst_bFrac!E41)*defaultFit_Inclusive!E41</f>
        <v>219.88992931400003</v>
      </c>
      <c r="O41" s="111">
        <f xml:space="preserve"> (1-fitSyst_bFrac!E41)*defaultFit_Inclusive!H41</f>
        <v>194.21507975999998</v>
      </c>
      <c r="P41" s="110"/>
      <c r="Q41" s="111">
        <f xml:space="preserve"> (1-fitSyst_bFrac!F41)*defaultFit_Inclusive!E41</f>
        <v>224.94752581400002</v>
      </c>
      <c r="R41" s="111">
        <f xml:space="preserve"> (1-fitSyst_bFrac!F41)*defaultFit_Inclusive!H41</f>
        <v>198.68213975999998</v>
      </c>
      <c r="S41" s="110"/>
      <c r="T41" s="111">
        <f xml:space="preserve"> (1-fitSyst_bFrac!G41)*defaultFit_Inclusive!E41</f>
        <v>227.03887861600003</v>
      </c>
      <c r="U41" s="111">
        <f xml:space="preserve"> (1-fitSyst_bFrac!G41)*defaultFit_Inclusive!H41</f>
        <v>200.52930144000001</v>
      </c>
      <c r="V41" s="110"/>
      <c r="W41" s="109">
        <f>(1-defaultFit_Inclusive!$U41)*trgBiassing!E41</f>
        <v>201.61859702400002</v>
      </c>
      <c r="X41" s="109">
        <f>(1-defaultFit_Inclusive!$U41)*trgBiassing!F41</f>
        <v>180.666869776</v>
      </c>
      <c r="Y41" s="110"/>
      <c r="Z41" s="109">
        <f>(1-defaultFit_Inclusive!$U41)*trgBiassing!L41</f>
        <v>98.521104972000003</v>
      </c>
      <c r="AA41" s="109">
        <f>(1-defaultFit_Inclusive!$U41)*trgBiassing!M41</f>
        <v>94.278939796000003</v>
      </c>
      <c r="AB41" s="110"/>
      <c r="AC41" s="109">
        <f>(1-defaultFit_Inclusive!$U41)*epSystematic!E41</f>
        <v>229.78752433199998</v>
      </c>
      <c r="AD41" s="109">
        <f>(1-defaultFit_Inclusive!$U41)*epSystematic!F41</f>
        <v>195.3013431</v>
      </c>
      <c r="AE41" s="112">
        <f t="shared" ref="AE41:AE43" si="10">SQRT(POWER(E41/$E$44-AH41,2)+POWER(H41/$H$44-AH41,2)+POWER(K41/$K$44-AH41,2)+POWER(N41/$N$44-AH41,2)+POWER(Q41/$Q$44-AH41,2)+POWER(T41/$T$44-AH41,2)+POWER(W41/$W$44-AH41,2)+POWER(Z41/$Z$44-AH41,2)+POWER(AC41/$AC$44-AH41,2))/SQRT(9*POWER(PI()/8,2))</f>
        <v>1.2544745036959111E-2</v>
      </c>
      <c r="AF41" s="112">
        <f t="shared" ref="AF41:AF43" si="11">SQRT(POWER(F41/$F$44-AI41,2)+POWER(I41/$I$44-AI41,2)+POWER(L41/$L$44-AI41,2)+POWER(O41/$O$44-AI41,2)+POWER(R41/$R$44-AI41,2)+POWER(U41/$U$44-AI41,2)+POWER(X41/$X$44-AI41,2)+POWER(AA41/$AA$44-AI41,2)+POWER(AD41/$AD$44-AI41,2))/SQRT(9*POWER(PI()/8,2))</f>
        <v>9.3398049493252366E-3</v>
      </c>
      <c r="AG41" s="112"/>
      <c r="AH41" s="112">
        <f xml:space="preserve"> defaultFit_Prompt!E41/defaultFit_Prompt!$E$44</f>
        <v>0.2638307829984004</v>
      </c>
      <c r="AI41" s="112">
        <f xml:space="preserve"> defaultFit_Prompt!H41/defaultFit_Prompt!$H$44</f>
        <v>0.25809998756890679</v>
      </c>
    </row>
    <row r="42" spans="1:35" ht="20.25" x14ac:dyDescent="0.35">
      <c r="A42" s="150"/>
      <c r="B42" s="150"/>
      <c r="C42" s="151"/>
      <c r="D42" s="51" t="s">
        <v>52</v>
      </c>
      <c r="E42" s="109">
        <f>(1-defaultFit_Inclusive!$U42)*fitSyst_Inclusive!E42</f>
        <v>203.91702410399998</v>
      </c>
      <c r="F42" s="109">
        <f>(1-defaultFit_Inclusive!$U42)*fitSyst_Inclusive!F42</f>
        <v>159.47220679999998</v>
      </c>
      <c r="G42" s="110"/>
      <c r="H42" s="109">
        <f>(1-defaultFit_Inclusive!$U42)*fitSyst_Inclusive!H42</f>
        <v>159.47220679999998</v>
      </c>
      <c r="I42" s="109">
        <f>(1-defaultFit_Inclusive!$U42)*fitSyst_Inclusive!I42</f>
        <v>157.521132792</v>
      </c>
      <c r="J42" s="110"/>
      <c r="K42" s="109">
        <f>(1-defaultFit_Inclusive!$U42)*fitSyst_Inclusive!K42</f>
        <v>206.87644212000001</v>
      </c>
      <c r="L42" s="109">
        <f>(1-defaultFit_Inclusive!$U42)*fitSyst_Inclusive!L42</f>
        <v>160.25504979199999</v>
      </c>
      <c r="M42" s="110"/>
      <c r="N42" s="111">
        <f xml:space="preserve"> (1-fitSyst_bFrac!E42)*defaultFit_Inclusive!E42</f>
        <v>202.61590271999998</v>
      </c>
      <c r="O42" s="111">
        <f xml:space="preserve"> (1-fitSyst_bFrac!E42)*defaultFit_Inclusive!H42</f>
        <v>158.56242124799999</v>
      </c>
      <c r="P42" s="110"/>
      <c r="Q42" s="111">
        <f xml:space="preserve"> (1-fitSyst_bFrac!F42)*defaultFit_Inclusive!E42</f>
        <v>203.91860664000001</v>
      </c>
      <c r="R42" s="111">
        <f xml:space="preserve"> (1-fitSyst_bFrac!F42)*defaultFit_Inclusive!H42</f>
        <v>159.58188657599999</v>
      </c>
      <c r="S42" s="110"/>
      <c r="T42" s="111">
        <f xml:space="preserve"> (1-fitSyst_bFrac!G42)*defaultFit_Inclusive!E42</f>
        <v>206.08635357000003</v>
      </c>
      <c r="U42" s="111">
        <f xml:space="preserve"> (1-fitSyst_bFrac!G42)*defaultFit_Inclusive!H42</f>
        <v>161.27831413800001</v>
      </c>
      <c r="V42" s="110"/>
      <c r="W42" s="109">
        <f>(1-defaultFit_Inclusive!$U42)*trgBiassing!E42</f>
        <v>183.41302369599998</v>
      </c>
      <c r="X42" s="109">
        <f>(1-defaultFit_Inclusive!$U42)*trgBiassing!F42</f>
        <v>139.93657864799999</v>
      </c>
      <c r="Y42" s="110"/>
      <c r="Z42" s="109">
        <f>(1-defaultFit_Inclusive!$U42)*trgBiassing!L42</f>
        <v>86.775656855999998</v>
      </c>
      <c r="AA42" s="109">
        <f>(1-defaultFit_Inclusive!$U42)*trgBiassing!M42</f>
        <v>76.717859031999993</v>
      </c>
      <c r="AB42" s="110"/>
      <c r="AC42" s="109">
        <f>(1-defaultFit_Inclusive!$U42)*epSystematic!E42</f>
        <v>195.907590024</v>
      </c>
      <c r="AD42" s="109">
        <f>(1-defaultFit_Inclusive!$U42)*epSystematic!F42</f>
        <v>163.49351588799999</v>
      </c>
      <c r="AE42" s="112">
        <f t="shared" si="10"/>
        <v>3.1554272877381329E-2</v>
      </c>
      <c r="AF42" s="112">
        <f t="shared" si="11"/>
        <v>6.0194675574532282E-3</v>
      </c>
      <c r="AG42" s="112"/>
      <c r="AH42" s="112">
        <f xml:space="preserve"> defaultFit_Prompt!E42/defaultFit_Prompt!$E$44</f>
        <v>0.23947408606344639</v>
      </c>
      <c r="AI42" s="112">
        <f xml:space="preserve"> defaultFit_Prompt!H42/defaultFit_Prompt!$H$44</f>
        <v>0.20757267106831304</v>
      </c>
    </row>
    <row r="43" spans="1:35" ht="20.25" x14ac:dyDescent="0.35">
      <c r="A43" s="150"/>
      <c r="B43" s="150"/>
      <c r="C43" s="151"/>
      <c r="D43" s="51" t="s">
        <v>53</v>
      </c>
      <c r="E43" s="109">
        <f>(1-defaultFit_Inclusive!$U43)*fitSyst_Inclusive!E43</f>
        <v>171.0720924</v>
      </c>
      <c r="F43" s="109">
        <f>(1-defaultFit_Inclusive!$U43)*fitSyst_Inclusive!F43</f>
        <v>178.31209418</v>
      </c>
      <c r="G43" s="110"/>
      <c r="H43" s="109">
        <f>(1-defaultFit_Inclusive!$U43)*fitSyst_Inclusive!H43</f>
        <v>178.31209418</v>
      </c>
      <c r="I43" s="109">
        <f>(1-defaultFit_Inclusive!$U43)*fitSyst_Inclusive!I43</f>
        <v>175.23765608799999</v>
      </c>
      <c r="J43" s="110"/>
      <c r="K43" s="109">
        <f>(1-defaultFit_Inclusive!$U43)*fitSyst_Inclusive!K43</f>
        <v>166.66962461599999</v>
      </c>
      <c r="L43" s="109">
        <f>(1-defaultFit_Inclusive!$U43)*fitSyst_Inclusive!L43</f>
        <v>180.58242509999999</v>
      </c>
      <c r="M43" s="110"/>
      <c r="N43" s="111">
        <f xml:space="preserve"> (1-fitSyst_bFrac!E43)*defaultFit_Inclusive!E43</f>
        <v>167.311559394</v>
      </c>
      <c r="O43" s="111">
        <f xml:space="preserve"> (1-fitSyst_bFrac!E43)*defaultFit_Inclusive!H43</f>
        <v>174.43466082</v>
      </c>
      <c r="P43" s="110"/>
      <c r="Q43" s="111">
        <f xml:space="preserve"> (1-fitSyst_bFrac!F43)*defaultFit_Inclusive!E43</f>
        <v>171.80497432799999</v>
      </c>
      <c r="R43" s="111">
        <f xml:space="preserve"> (1-fitSyst_bFrac!F43)*defaultFit_Inclusive!H43</f>
        <v>179.11937784</v>
      </c>
      <c r="S43" s="110"/>
      <c r="T43" s="111">
        <f xml:space="preserve"> (1-fitSyst_bFrac!G43)*defaultFit_Inclusive!E43</f>
        <v>172.41773320800002</v>
      </c>
      <c r="U43" s="111">
        <f xml:space="preserve"> (1-fitSyst_bFrac!G43)*defaultFit_Inclusive!H43</f>
        <v>179.75822424</v>
      </c>
      <c r="V43" s="110"/>
      <c r="W43" s="109">
        <f>(1-defaultFit_Inclusive!$U43)*trgBiassing!E43</f>
        <v>153.94665976800002</v>
      </c>
      <c r="X43" s="109">
        <f>(1-defaultFit_Inclusive!$U43)*trgBiassing!F43</f>
        <v>160.26562094400001</v>
      </c>
      <c r="Y43" s="110"/>
      <c r="Z43" s="109">
        <f>(1-defaultFit_Inclusive!$U43)*trgBiassing!L43</f>
        <v>88.353838187999997</v>
      </c>
      <c r="AA43" s="109">
        <f>(1-defaultFit_Inclusive!$U43)*trgBiassing!M43</f>
        <v>90.181492543999994</v>
      </c>
      <c r="AB43" s="110"/>
      <c r="AC43" s="109">
        <f>(1-defaultFit_Inclusive!$U43)*epSystematic!E43</f>
        <v>175.89521681599999</v>
      </c>
      <c r="AD43" s="109">
        <f>(1-defaultFit_Inclusive!$U43)*epSystematic!F43</f>
        <v>175.47607879999998</v>
      </c>
      <c r="AE43" s="112">
        <f t="shared" si="10"/>
        <v>3.6115828498171382E-2</v>
      </c>
      <c r="AF43" s="112">
        <f t="shared" si="11"/>
        <v>9.7955652757693683E-3</v>
      </c>
      <c r="AG43" s="112"/>
      <c r="AH43" s="112">
        <f xml:space="preserve"> defaultFit_Prompt!E43/defaultFit_Prompt!$E$44</f>
        <v>0.20079858744828666</v>
      </c>
      <c r="AI43" s="112">
        <f xml:space="preserve"> defaultFit_Prompt!H43/defaultFit_Prompt!$H$44</f>
        <v>0.23187418521914993</v>
      </c>
    </row>
    <row r="44" spans="1:35" ht="20.25" x14ac:dyDescent="0.35">
      <c r="A44" s="150"/>
      <c r="B44" s="150"/>
      <c r="C44" s="151"/>
      <c r="D44" s="80"/>
      <c r="E44" s="113">
        <f xml:space="preserve"> SUM(E40:E43)</f>
        <v>851.29838141100004</v>
      </c>
      <c r="F44" s="113">
        <f xml:space="preserve"> SUM(F40:F43)</f>
        <v>768.87264642800005</v>
      </c>
      <c r="G44" s="113"/>
      <c r="H44" s="113">
        <f xml:space="preserve"> SUM(H40:H43)</f>
        <v>768.87264642800005</v>
      </c>
      <c r="I44" s="113">
        <f xml:space="preserve"> SUM(I40:I43)</f>
        <v>758.87723986799995</v>
      </c>
      <c r="J44" s="113"/>
      <c r="K44" s="113">
        <f xml:space="preserve"> SUM(K40:K43)</f>
        <v>853.22268799799997</v>
      </c>
      <c r="L44" s="113">
        <f xml:space="preserve"> SUM(L40:L43)</f>
        <v>766.51069515899997</v>
      </c>
      <c r="M44" s="113"/>
      <c r="N44" s="113">
        <f xml:space="preserve"> SUM(N40:N43)</f>
        <v>835.85632994000002</v>
      </c>
      <c r="O44" s="113">
        <f xml:space="preserve"> SUM(O40:O43)</f>
        <v>754.27034792399991</v>
      </c>
      <c r="P44" s="113"/>
      <c r="Q44" s="113">
        <f xml:space="preserve"> SUM(Q40:Q43)</f>
        <v>855.23644559799993</v>
      </c>
      <c r="R44" s="113">
        <f xml:space="preserve"> SUM(R40:R43)</f>
        <v>772.31021870399991</v>
      </c>
      <c r="S44" s="113"/>
      <c r="T44" s="113">
        <f xml:space="preserve"> SUM(T40:T43)</f>
        <v>851.64188006600011</v>
      </c>
      <c r="U44" s="113">
        <f xml:space="preserve"> SUM(U40:U43)</f>
        <v>768.67937519400004</v>
      </c>
      <c r="V44" s="113"/>
      <c r="W44" s="113">
        <f xml:space="preserve"> SUM(W40:W43)</f>
        <v>755.01739097300003</v>
      </c>
      <c r="X44" s="113">
        <f xml:space="preserve"> SUM(X40:X43)</f>
        <v>681.61387730399997</v>
      </c>
      <c r="Y44" s="113"/>
      <c r="Z44" s="113">
        <f xml:space="preserve"> SUM(Z40:Z43)</f>
        <v>386.66937110499998</v>
      </c>
      <c r="AA44" s="113">
        <f xml:space="preserve"> SUM(AA40:AA43)</f>
        <v>373.67162774699995</v>
      </c>
      <c r="AB44" s="113"/>
      <c r="AC44" s="113">
        <f xml:space="preserve"> SUM(AC40:AC43)</f>
        <v>851.87852202700003</v>
      </c>
      <c r="AD44" s="113">
        <f xml:space="preserve"> SUM(AD40:AD43)</f>
        <v>769.18257719499991</v>
      </c>
      <c r="AE44" s="113"/>
      <c r="AF44" s="113"/>
      <c r="AG44" s="113"/>
      <c r="AH44" s="113"/>
      <c r="AI44" s="113"/>
    </row>
    <row r="45" spans="1:35" ht="20.25" x14ac:dyDescent="0.35">
      <c r="A45" s="150"/>
      <c r="B45" s="132" t="s">
        <v>77</v>
      </c>
      <c r="C45" s="151"/>
      <c r="D45" s="53" t="s">
        <v>51</v>
      </c>
      <c r="E45" s="109">
        <f>(1-defaultFit_Inclusive!$U45)*fitSyst_Inclusive!E45</f>
        <v>837.40437985999984</v>
      </c>
      <c r="F45" s="109">
        <f>(1-defaultFit_Inclusive!$U45)*fitSyst_Inclusive!F45</f>
        <v>777.78462043000002</v>
      </c>
      <c r="G45" s="110"/>
      <c r="H45" s="109">
        <f>(1-defaultFit_Inclusive!$U45)*fitSyst_Inclusive!H45</f>
        <v>777.78462043000002</v>
      </c>
      <c r="I45" s="109">
        <f>(1-defaultFit_Inclusive!$U45)*fitSyst_Inclusive!I45</f>
        <v>765.99989733999985</v>
      </c>
      <c r="J45" s="110"/>
      <c r="K45" s="109">
        <f>(1-defaultFit_Inclusive!$U45)*fitSyst_Inclusive!K45</f>
        <v>841.92931572999998</v>
      </c>
      <c r="L45" s="109">
        <f>(1-defaultFit_Inclusive!$U45)*fitSyst_Inclusive!L45</f>
        <v>3551.7549999999997</v>
      </c>
      <c r="M45" s="110"/>
      <c r="N45" s="111">
        <f xml:space="preserve"> (1-fitSyst_bFrac!E45)*defaultFit_Inclusive!E45</f>
        <v>863.94034591000002</v>
      </c>
      <c r="O45" s="111">
        <f xml:space="preserve"> (1-fitSyst_bFrac!E45)*defaultFit_Inclusive!H45</f>
        <v>786.92304868999997</v>
      </c>
      <c r="P45" s="110"/>
      <c r="Q45" s="111">
        <f xml:space="preserve"> (1-fitSyst_bFrac!F45)*defaultFit_Inclusive!E45</f>
        <v>874.48683379000011</v>
      </c>
      <c r="R45" s="111">
        <f xml:space="preserve"> (1-fitSyst_bFrac!F45)*defaultFit_Inclusive!H45</f>
        <v>796.52935361000004</v>
      </c>
      <c r="S45" s="110"/>
      <c r="T45" s="111">
        <f xml:space="preserve"> (1-fitSyst_bFrac!G45)*defaultFit_Inclusive!E45</f>
        <v>871.26229201000001</v>
      </c>
      <c r="U45" s="111">
        <f xml:space="preserve"> (1-fitSyst_bFrac!G45)*defaultFit_Inclusive!H45</f>
        <v>793.59226858999989</v>
      </c>
      <c r="V45" s="110"/>
      <c r="W45" s="109">
        <f>(1-defaultFit_Inclusive!$U45)*trgBiassing!E45</f>
        <v>741.42175273999999</v>
      </c>
      <c r="X45" s="109">
        <f>(1-defaultFit_Inclusive!$U45)*trgBiassing!F45</f>
        <v>720.96364394</v>
      </c>
      <c r="Y45" s="110"/>
      <c r="Z45" s="109">
        <f>(1-defaultFit_Inclusive!$U45)*trgBiassing!L45</f>
        <v>404.61663995099997</v>
      </c>
      <c r="AA45" s="109">
        <f>(1-defaultFit_Inclusive!$U45)*trgBiassing!M45</f>
        <v>409.71624977999994</v>
      </c>
      <c r="AB45" s="110"/>
      <c r="AC45" s="109">
        <f>(1-defaultFit_Inclusive!$U45)*epSystematic!E45</f>
        <v>854.04790378999996</v>
      </c>
      <c r="AD45" s="109">
        <f>(1-defaultFit_Inclusive!$U45)*epSystematic!F45</f>
        <v>777.91248360999987</v>
      </c>
      <c r="AE45" s="112"/>
      <c r="AF45" s="112"/>
      <c r="AG45" s="112"/>
      <c r="AH45" s="112"/>
      <c r="AI45" s="112"/>
    </row>
    <row r="46" spans="1:35" ht="20.25" x14ac:dyDescent="0.35">
      <c r="A46" s="150"/>
      <c r="B46" s="132"/>
      <c r="C46" s="151"/>
      <c r="D46" s="55" t="s">
        <v>49</v>
      </c>
      <c r="E46" s="109">
        <f>(1-defaultFit_Inclusive!$U46)*fitSyst_Inclusive!E46</f>
        <v>202.56393537100001</v>
      </c>
      <c r="F46" s="109">
        <f>(1-defaultFit_Inclusive!$U46)*fitSyst_Inclusive!F46</f>
        <v>225.87963245400002</v>
      </c>
      <c r="G46" s="110"/>
      <c r="H46" s="109">
        <f>(1-defaultFit_Inclusive!$U46)*fitSyst_Inclusive!H46</f>
        <v>225.87963245400002</v>
      </c>
      <c r="I46" s="109">
        <f>(1-defaultFit_Inclusive!$U46)*fitSyst_Inclusive!I46</f>
        <v>221.669033407</v>
      </c>
      <c r="J46" s="110"/>
      <c r="K46" s="109">
        <f>(1-defaultFit_Inclusive!$U46)*fitSyst_Inclusive!K46</f>
        <v>202.90862213900002</v>
      </c>
      <c r="L46" s="109">
        <f>(1-defaultFit_Inclusive!$U46)*fitSyst_Inclusive!L46</f>
        <v>222.496003677</v>
      </c>
      <c r="M46" s="110"/>
      <c r="N46" s="111">
        <f xml:space="preserve"> (1-fitSyst_bFrac!E46)*defaultFit_Inclusive!E46</f>
        <v>206.85097680500002</v>
      </c>
      <c r="O46" s="111">
        <f xml:space="preserve"> (1-fitSyst_bFrac!E46)*defaultFit_Inclusive!H46</f>
        <v>226.71943163999998</v>
      </c>
      <c r="P46" s="110"/>
      <c r="Q46" s="111">
        <f xml:space="preserve"> (1-fitSyst_bFrac!F46)*defaultFit_Inclusive!E46</f>
        <v>209.60565118900001</v>
      </c>
      <c r="R46" s="111">
        <f xml:space="preserve"> (1-fitSyst_bFrac!F46)*defaultFit_Inclusive!H46</f>
        <v>229.73869807199998</v>
      </c>
      <c r="S46" s="110"/>
      <c r="T46" s="111">
        <f xml:space="preserve"> (1-fitSyst_bFrac!G46)*defaultFit_Inclusive!E46</f>
        <v>205.22087097600001</v>
      </c>
      <c r="U46" s="111">
        <f xml:space="preserve"> (1-fitSyst_bFrac!G46)*defaultFit_Inclusive!H46</f>
        <v>224.93275084799998</v>
      </c>
      <c r="V46" s="110"/>
      <c r="W46" s="109">
        <f>(1-defaultFit_Inclusive!$U46)*trgBiassing!E46</f>
        <v>174.38787688600002</v>
      </c>
      <c r="X46" s="109">
        <f>(1-defaultFit_Inclusive!$U46)*trgBiassing!F46</f>
        <v>203.48958612700002</v>
      </c>
      <c r="Y46" s="110"/>
      <c r="Z46" s="109">
        <f>(1-defaultFit_Inclusive!$U46)*trgBiassing!L46</f>
        <v>95.371909987000009</v>
      </c>
      <c r="AA46" s="109">
        <f>(1-defaultFit_Inclusive!$U46)*trgBiassing!M46</f>
        <v>109.56939117700001</v>
      </c>
      <c r="AB46" s="110"/>
      <c r="AC46" s="109">
        <f>(1-defaultFit_Inclusive!$U46)*epSystematic!E46</f>
        <v>205.03998165000002</v>
      </c>
      <c r="AD46" s="109">
        <f>(1-defaultFit_Inclusive!$U46)*epSystematic!F46</f>
        <v>222.58356523500001</v>
      </c>
      <c r="AE46" s="112">
        <f>SQRT(POWER(E46/$E$50-AH46,2)+POWER(H46/$H$50-AH46,2)+POWER(K46/$K$50-AH46,2)+POWER(N46/$N$50-AH46,2)+POWER(Q46/$Q$50-AH46,2)+POWER(T46/$T$50-AH46,2)+POWER(W46/$W$50-AH46,2)+POWER(Z46/$Z$50-AH46,2)+POWER(AC46/$AC$50-AH46,2))/SQRT(9*POWER(PI()/8,2))</f>
        <v>4.3373155158218601E-2</v>
      </c>
      <c r="AF46" s="112">
        <f>SQRT(POWER(F46/$F$50-AI46,2)+POWER(I46/$I$50-AI46,2)+POWER(L46/$L$50-AI46,2)+POWER(O46/$O$50-AI46,2)+POWER(R46/$R$50-AI46,2)+POWER(U46/$U$50-AI46,2)+POWER(X46/$X$50-AI46,2)+POWER(AA46/$AA$50-AI46,2)+POWER(AD46/$AD$50-AI46,2))/SQRT(9*POWER(PI()/8,2))</f>
        <v>2.2094551176851961E-2</v>
      </c>
      <c r="AG46" s="112"/>
      <c r="AH46" s="112">
        <f xml:space="preserve"> defaultFit_Prompt!E46/defaultFit_Prompt!$E$50</f>
        <v>0.24059375003342504</v>
      </c>
      <c r="AI46" s="112">
        <f xml:space="preserve"> defaultFit_Prompt!H46/defaultFit_Prompt!$H$50</f>
        <v>0.29057922944553916</v>
      </c>
    </row>
    <row r="47" spans="1:35" ht="20.25" x14ac:dyDescent="0.35">
      <c r="A47" s="150"/>
      <c r="B47" s="132"/>
      <c r="C47" s="151"/>
      <c r="D47" s="55" t="s">
        <v>50</v>
      </c>
      <c r="E47" s="109">
        <f>(1-defaultFit_Inclusive!$U47)*fitSyst_Inclusive!E47</f>
        <v>232.19825235899995</v>
      </c>
      <c r="F47" s="109">
        <f>(1-defaultFit_Inclusive!$U47)*fitSyst_Inclusive!F47</f>
        <v>185.02534193999998</v>
      </c>
      <c r="G47" s="110"/>
      <c r="H47" s="109">
        <f>(1-defaultFit_Inclusive!$U47)*fitSyst_Inclusive!H47</f>
        <v>185.02534193999998</v>
      </c>
      <c r="I47" s="109">
        <f>(1-defaultFit_Inclusive!$U47)*fitSyst_Inclusive!I47</f>
        <v>182.53874869799998</v>
      </c>
      <c r="J47" s="110"/>
      <c r="K47" s="109">
        <f>(1-defaultFit_Inclusive!$U47)*fitSyst_Inclusive!K47</f>
        <v>232.86777599499999</v>
      </c>
      <c r="L47" s="109">
        <f>(1-defaultFit_Inclusive!$U47)*fitSyst_Inclusive!L47</f>
        <v>184.04663872099997</v>
      </c>
      <c r="M47" s="110"/>
      <c r="N47" s="111">
        <f xml:space="preserve"> (1-fitSyst_bFrac!E47)*defaultFit_Inclusive!E47</f>
        <v>238.80216112000002</v>
      </c>
      <c r="O47" s="111">
        <f xml:space="preserve"> (1-fitSyst_bFrac!E47)*defaultFit_Inclusive!H47</f>
        <v>186.48013218500003</v>
      </c>
      <c r="P47" s="110"/>
      <c r="Q47" s="111">
        <f xml:space="preserve"> (1-fitSyst_bFrac!F47)*defaultFit_Inclusive!E47</f>
        <v>242.10209292800005</v>
      </c>
      <c r="R47" s="111">
        <f xml:space="preserve"> (1-fitSyst_bFrac!F47)*defaultFit_Inclusive!H47</f>
        <v>189.05704236400001</v>
      </c>
      <c r="S47" s="110"/>
      <c r="T47" s="111">
        <f xml:space="preserve"> (1-fitSyst_bFrac!G47)*defaultFit_Inclusive!E47</f>
        <v>247.84207638400002</v>
      </c>
      <c r="U47" s="111">
        <f xml:space="preserve"> (1-fitSyst_bFrac!G47)*defaultFit_Inclusive!H47</f>
        <v>193.539384017</v>
      </c>
      <c r="V47" s="110"/>
      <c r="W47" s="109">
        <f>(1-defaultFit_Inclusive!$U47)*trgBiassing!E47</f>
        <v>204.62645039699999</v>
      </c>
      <c r="X47" s="109">
        <f>(1-defaultFit_Inclusive!$U47)*trgBiassing!F47</f>
        <v>177.67008391699997</v>
      </c>
      <c r="Y47" s="110"/>
      <c r="Z47" s="109">
        <f>(1-defaultFit_Inclusive!$U47)*trgBiassing!L47</f>
        <v>112.36667809299999</v>
      </c>
      <c r="AA47" s="109">
        <f>(1-defaultFit_Inclusive!$U47)*trgBiassing!M47</f>
        <v>105.401731884</v>
      </c>
      <c r="AB47" s="110"/>
      <c r="AC47" s="109">
        <f>(1-defaultFit_Inclusive!$U47)*epSystematic!E47</f>
        <v>241.16007473999997</v>
      </c>
      <c r="AD47" s="109">
        <f>(1-defaultFit_Inclusive!$U47)*epSystematic!F47</f>
        <v>187.56456149399997</v>
      </c>
      <c r="AE47" s="112">
        <f t="shared" ref="AE47:AE49" si="12">SQRT(POWER(E47/$E$50-AH47,2)+POWER(H47/$H$50-AH47,2)+POWER(K47/$K$50-AH47,2)+POWER(N47/$N$50-AH47,2)+POWER(Q47/$Q$50-AH47,2)+POWER(T47/$T$50-AH47,2)+POWER(W47/$W$50-AH47,2)+POWER(Z47/$Z$50-AH47,2)+POWER(AC47/$AC$50-AH47,2))/SQRT(9*POWER(PI()/8,2))</f>
        <v>3.3753775395003419E-2</v>
      </c>
      <c r="AF47" s="112">
        <f t="shared" ref="AF47:AF49" si="13">SQRT(POWER(F47/$F$50-AI47,2)+POWER(I47/$I$50-AI47,2)+POWER(L47/$L$50-AI47,2)+POWER(O47/$O$50-AI47,2)+POWER(R47/$R$50-AI47,2)+POWER(U47/$U$50-AI47,2)+POWER(X47/$X$50-AI47,2)+POWER(AA47/$AA$50-AI47,2)+POWER(AD47/$AD$50-AI47,2))/SQRT(9*POWER(PI()/8,2))</f>
        <v>1.8881171390684615E-2</v>
      </c>
      <c r="AG47" s="112"/>
      <c r="AH47" s="112">
        <f xml:space="preserve"> defaultFit_Prompt!E47/defaultFit_Prompt!$E$50</f>
        <v>0.27657383613894881</v>
      </c>
      <c r="AI47" s="112">
        <f xml:space="preserve"> defaultFit_Prompt!H47/defaultFit_Prompt!$H$50</f>
        <v>0.23798767564668033</v>
      </c>
    </row>
    <row r="48" spans="1:35" ht="20.25" x14ac:dyDescent="0.35">
      <c r="A48" s="150"/>
      <c r="B48" s="132"/>
      <c r="C48" s="151"/>
      <c r="D48" s="53" t="s">
        <v>52</v>
      </c>
      <c r="E48" s="109">
        <f>(1-defaultFit_Inclusive!$U48)*fitSyst_Inclusive!E48</f>
        <v>193.07137539200002</v>
      </c>
      <c r="F48" s="109">
        <f>(1-defaultFit_Inclusive!$U48)*fitSyst_Inclusive!F48</f>
        <v>189.64159427199999</v>
      </c>
      <c r="G48" s="110"/>
      <c r="H48" s="109">
        <f>(1-defaultFit_Inclusive!$U48)*fitSyst_Inclusive!H48</f>
        <v>189.64159427199999</v>
      </c>
      <c r="I48" s="109">
        <f>(1-defaultFit_Inclusive!$U48)*fitSyst_Inclusive!I48</f>
        <v>187.13883800799999</v>
      </c>
      <c r="J48" s="110"/>
      <c r="K48" s="109">
        <f>(1-defaultFit_Inclusive!$U48)*fitSyst_Inclusive!K48</f>
        <v>190.55807676800001</v>
      </c>
      <c r="L48" s="109">
        <f>(1-defaultFit_Inclusive!$U48)*fitSyst_Inclusive!L48</f>
        <v>189.95997354400001</v>
      </c>
      <c r="M48" s="110"/>
      <c r="N48" s="111">
        <f xml:space="preserve"> (1-fitSyst_bFrac!E48)*defaultFit_Inclusive!E48</f>
        <v>198.485994189</v>
      </c>
      <c r="O48" s="111">
        <f xml:space="preserve"> (1-fitSyst_bFrac!E48)*defaultFit_Inclusive!H48</f>
        <v>192.24059986500001</v>
      </c>
      <c r="P48" s="110"/>
      <c r="Q48" s="111">
        <f xml:space="preserve"> (1-fitSyst_bFrac!F48)*defaultFit_Inclusive!E48</f>
        <v>201.07531959199997</v>
      </c>
      <c r="R48" s="111">
        <f xml:space="preserve"> (1-fitSyst_bFrac!F48)*defaultFit_Inclusive!H48</f>
        <v>194.74845171999996</v>
      </c>
      <c r="S48" s="110"/>
      <c r="T48" s="111">
        <f xml:space="preserve"> (1-fitSyst_bFrac!G48)*defaultFit_Inclusive!E48</f>
        <v>199.13367465600001</v>
      </c>
      <c r="U48" s="111">
        <f xml:space="preserve"> (1-fitSyst_bFrac!G48)*defaultFit_Inclusive!H48</f>
        <v>192.86790096000001</v>
      </c>
      <c r="V48" s="110"/>
      <c r="W48" s="109">
        <f>(1-defaultFit_Inclusive!$U48)*trgBiassing!E48</f>
        <v>171.43704702399998</v>
      </c>
      <c r="X48" s="109">
        <f>(1-defaultFit_Inclusive!$U48)*trgBiassing!F48</f>
        <v>174.93781336800001</v>
      </c>
      <c r="Y48" s="110"/>
      <c r="Z48" s="109">
        <f>(1-defaultFit_Inclusive!$U48)*trgBiassing!L48</f>
        <v>91.946949799999999</v>
      </c>
      <c r="AA48" s="109">
        <f>(1-defaultFit_Inclusive!$U48)*trgBiassing!M48</f>
        <v>105.42711412</v>
      </c>
      <c r="AB48" s="110"/>
      <c r="AC48" s="109">
        <f>(1-defaultFit_Inclusive!$U48)*epSystematic!E48</f>
        <v>190.423837384</v>
      </c>
      <c r="AD48" s="109">
        <f>(1-defaultFit_Inclusive!$U48)*epSystematic!F48</f>
        <v>188.87903023199999</v>
      </c>
      <c r="AE48" s="112">
        <f t="shared" si="12"/>
        <v>1.4497323831856078E-2</v>
      </c>
      <c r="AF48" s="112">
        <f t="shared" si="13"/>
        <v>1.0892465151814301E-2</v>
      </c>
      <c r="AG48" s="112"/>
      <c r="AH48" s="112">
        <f xml:space="preserve"> defaultFit_Prompt!E48/defaultFit_Prompt!$E$50</f>
        <v>0.22933687210544854</v>
      </c>
      <c r="AI48" s="112">
        <f xml:space="preserve"> defaultFit_Prompt!H48/defaultFit_Prompt!$H$50</f>
        <v>0.24475872897292883</v>
      </c>
    </row>
    <row r="49" spans="1:35" ht="20.25" x14ac:dyDescent="0.35">
      <c r="A49" s="150"/>
      <c r="B49" s="132"/>
      <c r="C49" s="151"/>
      <c r="D49" s="53" t="s">
        <v>53</v>
      </c>
      <c r="E49" s="109">
        <f>(1-defaultFit_Inclusive!$U49)*fitSyst_Inclusive!E49</f>
        <v>210.08381432999997</v>
      </c>
      <c r="F49" s="109">
        <f>(1-defaultFit_Inclusive!$U49)*fitSyst_Inclusive!F49</f>
        <v>175.77880085999999</v>
      </c>
      <c r="G49" s="110"/>
      <c r="H49" s="109">
        <f>(1-defaultFit_Inclusive!$U49)*fitSyst_Inclusive!H49</f>
        <v>175.77880085999999</v>
      </c>
      <c r="I49" s="109">
        <f>(1-defaultFit_Inclusive!$U49)*fitSyst_Inclusive!I49</f>
        <v>173.53924536</v>
      </c>
      <c r="J49" s="110"/>
      <c r="K49" s="109">
        <f>(1-defaultFit_Inclusive!$U49)*fitSyst_Inclusive!K49</f>
        <v>216.04743069</v>
      </c>
      <c r="L49" s="109">
        <f>(1-defaultFit_Inclusive!$U49)*fitSyst_Inclusive!L49</f>
        <v>174.64622564999999</v>
      </c>
      <c r="M49" s="110"/>
      <c r="N49" s="111">
        <f xml:space="preserve"> (1-fitSyst_bFrac!E49)*defaultFit_Inclusive!E49</f>
        <v>220.32406103500003</v>
      </c>
      <c r="O49" s="111">
        <f xml:space="preserve"> (1-fitSyst_bFrac!E49)*defaultFit_Inclusive!H49</f>
        <v>178.79071184</v>
      </c>
      <c r="P49" s="110"/>
      <c r="Q49" s="111">
        <f xml:space="preserve"> (1-fitSyst_bFrac!F49)*defaultFit_Inclusive!E49</f>
        <v>223.697182416</v>
      </c>
      <c r="R49" s="111">
        <f xml:space="preserve"> (1-fitSyst_bFrac!F49)*defaultFit_Inclusive!H49</f>
        <v>181.52796518399998</v>
      </c>
      <c r="S49" s="110"/>
      <c r="T49" s="111">
        <f xml:space="preserve"> (1-fitSyst_bFrac!G49)*defaultFit_Inclusive!E49</f>
        <v>222.40841994500002</v>
      </c>
      <c r="U49" s="111">
        <f xml:space="preserve"> (1-fitSyst_bFrac!G49)*defaultFit_Inclusive!H49</f>
        <v>180.48214768</v>
      </c>
      <c r="V49" s="110"/>
      <c r="W49" s="109">
        <f>(1-defaultFit_Inclusive!$U49)*trgBiassing!E49</f>
        <v>191.98180716000002</v>
      </c>
      <c r="X49" s="109">
        <f>(1-defaultFit_Inclusive!$U49)*trgBiassing!F49</f>
        <v>164.22838224</v>
      </c>
      <c r="Y49" s="110"/>
      <c r="Z49" s="109">
        <f>(1-defaultFit_Inclusive!$U49)*trgBiassing!L49</f>
        <v>97.093618050000003</v>
      </c>
      <c r="AA49" s="109">
        <f>(1-defaultFit_Inclusive!$U49)*trgBiassing!M49</f>
        <v>89.555203140000003</v>
      </c>
      <c r="AB49" s="110"/>
      <c r="AC49" s="109">
        <f>(1-defaultFit_Inclusive!$U49)*epSystematic!E49</f>
        <v>219.12024303000001</v>
      </c>
      <c r="AD49" s="109">
        <f>(1-defaultFit_Inclusive!$U49)*epSystematic!F49</f>
        <v>177.94654839</v>
      </c>
      <c r="AE49" s="112">
        <f t="shared" si="12"/>
        <v>2.4959989686007159E-2</v>
      </c>
      <c r="AF49" s="112">
        <f t="shared" si="13"/>
        <v>7.639559431105363E-3</v>
      </c>
      <c r="AG49" s="112"/>
      <c r="AH49" s="112">
        <f xml:space="preserve"> defaultFit_Prompt!E49/defaultFit_Prompt!$E$50</f>
        <v>0.2534955417221777</v>
      </c>
      <c r="AI49" s="112">
        <f xml:space="preserve"> defaultFit_Prompt!H49/defaultFit_Prompt!$H$50</f>
        <v>0.22667436593485174</v>
      </c>
    </row>
    <row r="50" spans="1:35" ht="20.25" x14ac:dyDescent="0.35">
      <c r="A50" s="150"/>
      <c r="B50" s="132"/>
      <c r="C50" s="151"/>
      <c r="D50" s="74"/>
      <c r="E50" s="113">
        <f xml:space="preserve"> SUM(E46:E49)</f>
        <v>837.91737745199998</v>
      </c>
      <c r="F50" s="113">
        <f xml:space="preserve"> SUM(F46:F49)</f>
        <v>776.32536952600003</v>
      </c>
      <c r="G50" s="113"/>
      <c r="H50" s="113">
        <f xml:space="preserve"> SUM(H46:H49)</f>
        <v>776.32536952600003</v>
      </c>
      <c r="I50" s="113">
        <f xml:space="preserve"> SUM(I46:I49)</f>
        <v>764.88586547299997</v>
      </c>
      <c r="J50" s="113"/>
      <c r="K50" s="113">
        <f xml:space="preserve"> SUM(K46:K49)</f>
        <v>842.38190559200007</v>
      </c>
      <c r="L50" s="113">
        <f xml:space="preserve"> SUM(L46:L49)</f>
        <v>771.14884159200005</v>
      </c>
      <c r="M50" s="113"/>
      <c r="N50" s="113">
        <f xml:space="preserve"> SUM(N46:N49)</f>
        <v>864.46319314899995</v>
      </c>
      <c r="O50" s="113">
        <f xml:space="preserve"> SUM(O46:O49)</f>
        <v>784.23087553000005</v>
      </c>
      <c r="P50" s="113"/>
      <c r="Q50" s="113">
        <f xml:space="preserve"> SUM(Q46:Q49)</f>
        <v>876.48024612500012</v>
      </c>
      <c r="R50" s="113">
        <f xml:space="preserve"> SUM(R46:R49)</f>
        <v>795.07215733999988</v>
      </c>
      <c r="S50" s="113"/>
      <c r="T50" s="113">
        <f xml:space="preserve"> SUM(T46:T49)</f>
        <v>874.6050419610001</v>
      </c>
      <c r="U50" s="113">
        <f xml:space="preserve"> SUM(U46:U49)</f>
        <v>791.822183505</v>
      </c>
      <c r="V50" s="113"/>
      <c r="W50" s="113">
        <f xml:space="preserve"> SUM(W46:W49)</f>
        <v>742.43318146699994</v>
      </c>
      <c r="X50" s="113">
        <f xml:space="preserve"> SUM(X46:X49)</f>
        <v>720.32586565199995</v>
      </c>
      <c r="Y50" s="113"/>
      <c r="Z50" s="113">
        <f xml:space="preserve"> SUM(Z46:Z49)</f>
        <v>396.77915593</v>
      </c>
      <c r="AA50" s="113">
        <f xml:space="preserve"> SUM(AA46:AA49)</f>
        <v>409.95344032100002</v>
      </c>
      <c r="AB50" s="113"/>
      <c r="AC50" s="113">
        <f xml:space="preserve"> SUM(AC46:AC49)</f>
        <v>855.74413680399994</v>
      </c>
      <c r="AD50" s="113">
        <f xml:space="preserve"> SUM(AD46:AD49)</f>
        <v>776.97370535099992</v>
      </c>
      <c r="AE50" s="113"/>
      <c r="AF50" s="113"/>
      <c r="AG50" s="113"/>
      <c r="AH50" s="113"/>
      <c r="AI50" s="113"/>
    </row>
    <row r="51" spans="1:35" ht="20.25" x14ac:dyDescent="0.35">
      <c r="A51" s="150"/>
      <c r="B51" s="132" t="s">
        <v>78</v>
      </c>
      <c r="C51" s="151"/>
      <c r="D51" s="56" t="s">
        <v>51</v>
      </c>
      <c r="E51" s="109"/>
      <c r="F51" s="109"/>
      <c r="G51" s="110"/>
      <c r="H51" s="109"/>
      <c r="I51" s="109"/>
      <c r="J51" s="110"/>
      <c r="K51" s="109"/>
      <c r="L51" s="109"/>
      <c r="M51" s="110"/>
      <c r="N51" s="111"/>
      <c r="O51" s="111"/>
      <c r="P51" s="110"/>
      <c r="Q51" s="111">
        <f xml:space="preserve"> (1-fitSyst_bFrac!F51)*defaultFit_Inclusive!E51</f>
        <v>0</v>
      </c>
      <c r="R51" s="111">
        <f xml:space="preserve"> (1-fitSyst_bFrac!F51)*defaultFit_Inclusive!H51</f>
        <v>0</v>
      </c>
      <c r="S51" s="110"/>
      <c r="T51" s="111">
        <f xml:space="preserve"> (1-fitSyst_bFrac!G51)*defaultFit_Inclusive!E51</f>
        <v>0</v>
      </c>
      <c r="U51" s="111">
        <f xml:space="preserve"> (1-fitSyst_bFrac!G51)*defaultFit_Inclusive!H51</f>
        <v>0</v>
      </c>
      <c r="V51" s="110"/>
      <c r="W51" s="109"/>
      <c r="X51" s="109"/>
      <c r="Y51" s="110"/>
      <c r="Z51" s="109"/>
      <c r="AA51" s="109"/>
      <c r="AB51" s="110"/>
      <c r="AC51" s="109"/>
      <c r="AD51" s="109"/>
      <c r="AE51" s="112"/>
      <c r="AF51" s="112"/>
      <c r="AG51" s="112"/>
      <c r="AH51" s="112"/>
      <c r="AI51" s="112"/>
    </row>
    <row r="52" spans="1:35" ht="20.25" x14ac:dyDescent="0.35">
      <c r="A52" s="150"/>
      <c r="B52" s="132"/>
      <c r="C52" s="151"/>
      <c r="D52" s="58" t="s">
        <v>49</v>
      </c>
      <c r="E52" s="109"/>
      <c r="F52" s="109"/>
      <c r="G52" s="110"/>
      <c r="H52" s="109"/>
      <c r="I52" s="109"/>
      <c r="J52" s="110"/>
      <c r="K52" s="109"/>
      <c r="L52" s="109"/>
      <c r="M52" s="110"/>
      <c r="N52" s="111"/>
      <c r="O52" s="111"/>
      <c r="P52" s="110"/>
      <c r="Q52" s="111">
        <f xml:space="preserve"> (1-fitSyst_bFrac!F52)*defaultFit_Inclusive!E52</f>
        <v>0</v>
      </c>
      <c r="R52" s="111">
        <f xml:space="preserve"> (1-fitSyst_bFrac!F52)*defaultFit_Inclusive!H52</f>
        <v>0</v>
      </c>
      <c r="S52" s="110"/>
      <c r="T52" s="111">
        <f xml:space="preserve"> (1-fitSyst_bFrac!G52)*defaultFit_Inclusive!E52</f>
        <v>0</v>
      </c>
      <c r="U52" s="111">
        <f xml:space="preserve"> (1-fitSyst_bFrac!G52)*defaultFit_Inclusive!H52</f>
        <v>0</v>
      </c>
      <c r="V52" s="110"/>
      <c r="W52" s="109"/>
      <c r="X52" s="109"/>
      <c r="Y52" s="110"/>
      <c r="Z52" s="109"/>
      <c r="AA52" s="109"/>
      <c r="AB52" s="110"/>
      <c r="AC52" s="109"/>
      <c r="AD52" s="109"/>
      <c r="AE52" s="112"/>
      <c r="AF52" s="112"/>
      <c r="AG52" s="112"/>
      <c r="AH52" s="112"/>
      <c r="AI52" s="112"/>
    </row>
    <row r="53" spans="1:35" ht="20.25" x14ac:dyDescent="0.35">
      <c r="A53" s="150"/>
      <c r="B53" s="132"/>
      <c r="C53" s="151"/>
      <c r="D53" s="58" t="s">
        <v>50</v>
      </c>
      <c r="E53" s="109"/>
      <c r="F53" s="109"/>
      <c r="G53" s="110"/>
      <c r="H53" s="109"/>
      <c r="I53" s="109"/>
      <c r="J53" s="110"/>
      <c r="K53" s="109"/>
      <c r="L53" s="109"/>
      <c r="M53" s="110"/>
      <c r="N53" s="111"/>
      <c r="O53" s="111"/>
      <c r="P53" s="110"/>
      <c r="Q53" s="111">
        <f xml:space="preserve"> (1-fitSyst_bFrac!F53)*defaultFit_Inclusive!E53</f>
        <v>0</v>
      </c>
      <c r="R53" s="111">
        <f xml:space="preserve"> (1-fitSyst_bFrac!F53)*defaultFit_Inclusive!H53</f>
        <v>0</v>
      </c>
      <c r="S53" s="110"/>
      <c r="T53" s="111">
        <f xml:space="preserve"> (1-fitSyst_bFrac!G53)*defaultFit_Inclusive!E53</f>
        <v>0</v>
      </c>
      <c r="U53" s="111">
        <f xml:space="preserve"> (1-fitSyst_bFrac!G53)*defaultFit_Inclusive!H53</f>
        <v>0</v>
      </c>
      <c r="V53" s="110"/>
      <c r="W53" s="109"/>
      <c r="X53" s="109"/>
      <c r="Y53" s="110"/>
      <c r="Z53" s="109"/>
      <c r="AA53" s="109"/>
      <c r="AB53" s="110"/>
      <c r="AC53" s="109"/>
      <c r="AD53" s="109"/>
      <c r="AE53" s="112"/>
      <c r="AF53" s="112"/>
      <c r="AG53" s="112"/>
      <c r="AH53" s="112"/>
      <c r="AI53" s="112"/>
    </row>
    <row r="54" spans="1:35" ht="20.25" x14ac:dyDescent="0.35">
      <c r="A54" s="150"/>
      <c r="B54" s="132"/>
      <c r="C54" s="151"/>
      <c r="D54" s="56" t="s">
        <v>52</v>
      </c>
      <c r="E54" s="109"/>
      <c r="F54" s="109"/>
      <c r="G54" s="110"/>
      <c r="H54" s="109"/>
      <c r="I54" s="109"/>
      <c r="J54" s="110"/>
      <c r="K54" s="109"/>
      <c r="L54" s="109"/>
      <c r="M54" s="110"/>
      <c r="N54" s="111"/>
      <c r="O54" s="111"/>
      <c r="P54" s="110"/>
      <c r="Q54" s="111">
        <f xml:space="preserve"> (1-fitSyst_bFrac!F54)*defaultFit_Inclusive!E54</f>
        <v>0</v>
      </c>
      <c r="R54" s="111">
        <f xml:space="preserve"> (1-fitSyst_bFrac!F54)*defaultFit_Inclusive!H54</f>
        <v>0</v>
      </c>
      <c r="S54" s="110"/>
      <c r="T54" s="111">
        <f xml:space="preserve"> (1-fitSyst_bFrac!G54)*defaultFit_Inclusive!E54</f>
        <v>0</v>
      </c>
      <c r="U54" s="111">
        <f xml:space="preserve"> (1-fitSyst_bFrac!G54)*defaultFit_Inclusive!H54</f>
        <v>0</v>
      </c>
      <c r="V54" s="110"/>
      <c r="W54" s="109"/>
      <c r="X54" s="109"/>
      <c r="Y54" s="110"/>
      <c r="Z54" s="109"/>
      <c r="AA54" s="109"/>
      <c r="AB54" s="110"/>
      <c r="AC54" s="109"/>
      <c r="AD54" s="109"/>
      <c r="AE54" s="112"/>
      <c r="AF54" s="112"/>
      <c r="AG54" s="112"/>
      <c r="AH54" s="112"/>
      <c r="AI54" s="112"/>
    </row>
    <row r="55" spans="1:35" ht="20.25" x14ac:dyDescent="0.35">
      <c r="A55" s="150"/>
      <c r="B55" s="132"/>
      <c r="C55" s="151"/>
      <c r="D55" s="56" t="s">
        <v>53</v>
      </c>
      <c r="E55" s="109"/>
      <c r="F55" s="109"/>
      <c r="G55" s="110"/>
      <c r="H55" s="109"/>
      <c r="I55" s="109"/>
      <c r="J55" s="110"/>
      <c r="K55" s="109"/>
      <c r="L55" s="109"/>
      <c r="M55" s="110"/>
      <c r="N55" s="111"/>
      <c r="O55" s="111"/>
      <c r="P55" s="110"/>
      <c r="Q55" s="111">
        <f xml:space="preserve"> (1-fitSyst_bFrac!F55)*defaultFit_Inclusive!E55</f>
        <v>0</v>
      </c>
      <c r="R55" s="111">
        <f xml:space="preserve"> (1-fitSyst_bFrac!F55)*defaultFit_Inclusive!H55</f>
        <v>0</v>
      </c>
      <c r="S55" s="110"/>
      <c r="T55" s="111">
        <f xml:space="preserve"> (1-fitSyst_bFrac!G55)*defaultFit_Inclusive!E55</f>
        <v>0</v>
      </c>
      <c r="U55" s="111">
        <f xml:space="preserve"> (1-fitSyst_bFrac!G55)*defaultFit_Inclusive!H55</f>
        <v>0</v>
      </c>
      <c r="V55" s="110"/>
      <c r="W55" s="109"/>
      <c r="X55" s="109"/>
      <c r="Y55" s="110"/>
      <c r="Z55" s="109"/>
      <c r="AA55" s="109"/>
      <c r="AB55" s="110"/>
      <c r="AC55" s="109"/>
      <c r="AD55" s="109"/>
      <c r="AE55" s="112"/>
      <c r="AF55" s="112"/>
      <c r="AG55" s="112"/>
      <c r="AH55" s="112"/>
      <c r="AI55" s="112"/>
    </row>
    <row r="56" spans="1:35" ht="20.25" x14ac:dyDescent="0.35">
      <c r="A56" s="150"/>
      <c r="B56" s="132"/>
      <c r="C56" s="151"/>
      <c r="D56" s="74"/>
      <c r="E56" s="109"/>
      <c r="F56" s="109"/>
      <c r="G56" s="113"/>
      <c r="H56" s="109"/>
      <c r="I56" s="109"/>
      <c r="J56" s="113"/>
      <c r="K56" s="109"/>
      <c r="L56" s="109"/>
      <c r="M56" s="113"/>
      <c r="N56" s="111"/>
      <c r="O56" s="111"/>
      <c r="P56" s="113"/>
      <c r="Q56" s="111">
        <f xml:space="preserve"> (1-fitSyst_bFrac!F56)*defaultFit_Inclusive!E56</f>
        <v>0</v>
      </c>
      <c r="R56" s="111">
        <f xml:space="preserve"> (1-fitSyst_bFrac!F56)*defaultFit_Inclusive!H56</f>
        <v>0</v>
      </c>
      <c r="S56" s="113"/>
      <c r="T56" s="111">
        <f xml:space="preserve"> (1-fitSyst_bFrac!G56)*defaultFit_Inclusive!E56</f>
        <v>0</v>
      </c>
      <c r="U56" s="111">
        <f xml:space="preserve"> (1-fitSyst_bFrac!G56)*defaultFit_Inclusive!H56</f>
        <v>0</v>
      </c>
      <c r="V56" s="113"/>
      <c r="W56" s="109"/>
      <c r="X56" s="109"/>
      <c r="Y56" s="113"/>
      <c r="Z56" s="109"/>
      <c r="AA56" s="109"/>
      <c r="AB56" s="113"/>
      <c r="AC56" s="109"/>
      <c r="AD56" s="109"/>
      <c r="AE56" s="113"/>
      <c r="AF56" s="113"/>
      <c r="AG56" s="112"/>
      <c r="AH56" s="112"/>
      <c r="AI56" s="112"/>
    </row>
    <row r="57" spans="1:35" ht="20.25" x14ac:dyDescent="0.35">
      <c r="A57" s="150"/>
      <c r="B57" s="132" t="s">
        <v>79</v>
      </c>
      <c r="C57" s="151"/>
      <c r="D57" s="59" t="s">
        <v>51</v>
      </c>
      <c r="E57" s="109"/>
      <c r="F57" s="109"/>
      <c r="G57" s="110"/>
      <c r="H57" s="109"/>
      <c r="I57" s="109"/>
      <c r="J57" s="110"/>
      <c r="K57" s="109"/>
      <c r="L57" s="109"/>
      <c r="M57" s="110"/>
      <c r="N57" s="111"/>
      <c r="O57" s="111"/>
      <c r="P57" s="110"/>
      <c r="Q57" s="111">
        <f xml:space="preserve"> (1-fitSyst_bFrac!F57)*defaultFit_Inclusive!E57</f>
        <v>0</v>
      </c>
      <c r="R57" s="111">
        <f xml:space="preserve"> (1-fitSyst_bFrac!F57)*defaultFit_Inclusive!H57</f>
        <v>0</v>
      </c>
      <c r="S57" s="110"/>
      <c r="T57" s="111">
        <f xml:space="preserve"> (1-fitSyst_bFrac!G57)*defaultFit_Inclusive!E57</f>
        <v>0</v>
      </c>
      <c r="U57" s="111">
        <f xml:space="preserve"> (1-fitSyst_bFrac!G57)*defaultFit_Inclusive!H57</f>
        <v>0</v>
      </c>
      <c r="V57" s="110"/>
      <c r="W57" s="109"/>
      <c r="X57" s="109"/>
      <c r="Y57" s="110"/>
      <c r="Z57" s="109"/>
      <c r="AA57" s="109"/>
      <c r="AB57" s="110"/>
      <c r="AC57" s="109"/>
      <c r="AD57" s="109"/>
      <c r="AE57" s="112"/>
      <c r="AF57" s="112"/>
      <c r="AG57" s="112"/>
      <c r="AH57" s="112"/>
      <c r="AI57" s="112"/>
    </row>
    <row r="58" spans="1:35" ht="20.25" x14ac:dyDescent="0.35">
      <c r="A58" s="150"/>
      <c r="B58" s="132"/>
      <c r="C58" s="151"/>
      <c r="D58" s="61" t="s">
        <v>49</v>
      </c>
      <c r="E58" s="109"/>
      <c r="F58" s="109"/>
      <c r="G58" s="110"/>
      <c r="H58" s="109"/>
      <c r="I58" s="109"/>
      <c r="J58" s="110"/>
      <c r="K58" s="109"/>
      <c r="L58" s="109"/>
      <c r="M58" s="110"/>
      <c r="N58" s="111"/>
      <c r="O58" s="111"/>
      <c r="P58" s="110"/>
      <c r="Q58" s="111">
        <f xml:space="preserve"> (1-fitSyst_bFrac!F58)*defaultFit_Inclusive!E58</f>
        <v>0</v>
      </c>
      <c r="R58" s="111">
        <f xml:space="preserve"> (1-fitSyst_bFrac!F58)*defaultFit_Inclusive!H58</f>
        <v>0</v>
      </c>
      <c r="S58" s="110"/>
      <c r="T58" s="111">
        <f xml:space="preserve"> (1-fitSyst_bFrac!G58)*defaultFit_Inclusive!E58</f>
        <v>0</v>
      </c>
      <c r="U58" s="111">
        <f xml:space="preserve"> (1-fitSyst_bFrac!G58)*defaultFit_Inclusive!H58</f>
        <v>0</v>
      </c>
      <c r="V58" s="110"/>
      <c r="W58" s="109"/>
      <c r="X58" s="109"/>
      <c r="Y58" s="110"/>
      <c r="Z58" s="109"/>
      <c r="AA58" s="109"/>
      <c r="AB58" s="110"/>
      <c r="AC58" s="109"/>
      <c r="AD58" s="109"/>
      <c r="AE58" s="112"/>
      <c r="AF58" s="112"/>
      <c r="AG58" s="112"/>
      <c r="AH58" s="112"/>
      <c r="AI58" s="112"/>
    </row>
    <row r="59" spans="1:35" ht="20.25" x14ac:dyDescent="0.35">
      <c r="A59" s="150"/>
      <c r="B59" s="132"/>
      <c r="C59" s="151"/>
      <c r="D59" s="61" t="s">
        <v>50</v>
      </c>
      <c r="E59" s="109"/>
      <c r="F59" s="109"/>
      <c r="G59" s="110"/>
      <c r="H59" s="109"/>
      <c r="I59" s="109"/>
      <c r="J59" s="110"/>
      <c r="K59" s="109"/>
      <c r="L59" s="109"/>
      <c r="M59" s="110"/>
      <c r="N59" s="111"/>
      <c r="O59" s="111"/>
      <c r="P59" s="110"/>
      <c r="Q59" s="111">
        <f xml:space="preserve"> (1-fitSyst_bFrac!F59)*defaultFit_Inclusive!E59</f>
        <v>0</v>
      </c>
      <c r="R59" s="111">
        <f xml:space="preserve"> (1-fitSyst_bFrac!F59)*defaultFit_Inclusive!H59</f>
        <v>0</v>
      </c>
      <c r="S59" s="110"/>
      <c r="T59" s="111">
        <f xml:space="preserve"> (1-fitSyst_bFrac!G59)*defaultFit_Inclusive!E59</f>
        <v>0</v>
      </c>
      <c r="U59" s="111">
        <f xml:space="preserve"> (1-fitSyst_bFrac!G59)*defaultFit_Inclusive!H59</f>
        <v>0</v>
      </c>
      <c r="V59" s="110"/>
      <c r="W59" s="109"/>
      <c r="X59" s="109"/>
      <c r="Y59" s="110"/>
      <c r="Z59" s="109"/>
      <c r="AA59" s="109"/>
      <c r="AB59" s="110"/>
      <c r="AC59" s="109"/>
      <c r="AD59" s="109"/>
      <c r="AE59" s="112"/>
      <c r="AF59" s="112"/>
      <c r="AG59" s="112"/>
      <c r="AH59" s="112"/>
      <c r="AI59" s="112"/>
    </row>
    <row r="60" spans="1:35" ht="20.25" x14ac:dyDescent="0.35">
      <c r="A60" s="150"/>
      <c r="B60" s="132"/>
      <c r="C60" s="151"/>
      <c r="D60" s="59" t="s">
        <v>52</v>
      </c>
      <c r="E60" s="109"/>
      <c r="F60" s="109"/>
      <c r="G60" s="110"/>
      <c r="H60" s="109"/>
      <c r="I60" s="109"/>
      <c r="J60" s="110"/>
      <c r="K60" s="109"/>
      <c r="L60" s="109"/>
      <c r="M60" s="110"/>
      <c r="N60" s="111"/>
      <c r="O60" s="111"/>
      <c r="P60" s="110"/>
      <c r="Q60" s="111">
        <f xml:space="preserve"> (1-fitSyst_bFrac!F60)*defaultFit_Inclusive!E60</f>
        <v>0</v>
      </c>
      <c r="R60" s="111">
        <f xml:space="preserve"> (1-fitSyst_bFrac!F60)*defaultFit_Inclusive!H60</f>
        <v>0</v>
      </c>
      <c r="S60" s="110"/>
      <c r="T60" s="111">
        <f xml:space="preserve"> (1-fitSyst_bFrac!G60)*defaultFit_Inclusive!E60</f>
        <v>0</v>
      </c>
      <c r="U60" s="111">
        <f xml:space="preserve"> (1-fitSyst_bFrac!G60)*defaultFit_Inclusive!H60</f>
        <v>0</v>
      </c>
      <c r="V60" s="110"/>
      <c r="W60" s="109"/>
      <c r="X60" s="109"/>
      <c r="Y60" s="110"/>
      <c r="Z60" s="109"/>
      <c r="AA60" s="109"/>
      <c r="AB60" s="110"/>
      <c r="AC60" s="109"/>
      <c r="AD60" s="109"/>
      <c r="AE60" s="112"/>
      <c r="AF60" s="112"/>
      <c r="AG60" s="112"/>
      <c r="AH60" s="112"/>
      <c r="AI60" s="112"/>
    </row>
    <row r="61" spans="1:35" ht="20.25" x14ac:dyDescent="0.35">
      <c r="A61" s="150"/>
      <c r="B61" s="132"/>
      <c r="C61" s="151"/>
      <c r="D61" s="59" t="s">
        <v>53</v>
      </c>
      <c r="E61" s="109"/>
      <c r="F61" s="109"/>
      <c r="G61" s="110"/>
      <c r="H61" s="109"/>
      <c r="I61" s="109"/>
      <c r="J61" s="110"/>
      <c r="K61" s="109"/>
      <c r="L61" s="109"/>
      <c r="M61" s="110"/>
      <c r="N61" s="111"/>
      <c r="O61" s="111"/>
      <c r="P61" s="110"/>
      <c r="Q61" s="111">
        <f xml:space="preserve"> (1-fitSyst_bFrac!F61)*defaultFit_Inclusive!E61</f>
        <v>0</v>
      </c>
      <c r="R61" s="111">
        <f xml:space="preserve"> (1-fitSyst_bFrac!F61)*defaultFit_Inclusive!H61</f>
        <v>0</v>
      </c>
      <c r="S61" s="110"/>
      <c r="T61" s="111">
        <f xml:space="preserve"> (1-fitSyst_bFrac!G61)*defaultFit_Inclusive!E61</f>
        <v>0</v>
      </c>
      <c r="U61" s="111">
        <f xml:space="preserve"> (1-fitSyst_bFrac!G61)*defaultFit_Inclusive!H61</f>
        <v>0</v>
      </c>
      <c r="V61" s="110"/>
      <c r="W61" s="109"/>
      <c r="X61" s="109"/>
      <c r="Y61" s="110"/>
      <c r="Z61" s="109"/>
      <c r="AA61" s="109"/>
      <c r="AB61" s="110"/>
      <c r="AC61" s="109"/>
      <c r="AD61" s="109"/>
      <c r="AE61" s="112"/>
      <c r="AF61" s="112"/>
      <c r="AG61" s="112"/>
      <c r="AH61" s="112"/>
      <c r="AI61" s="112"/>
    </row>
    <row r="62" spans="1:35" ht="20.25" x14ac:dyDescent="0.35">
      <c r="A62" s="150"/>
      <c r="B62" s="132"/>
      <c r="C62" s="151"/>
      <c r="D62" s="74"/>
      <c r="E62" s="113"/>
      <c r="F62" s="113"/>
      <c r="G62" s="113"/>
      <c r="H62" s="113"/>
      <c r="I62" s="113"/>
      <c r="J62" s="113"/>
      <c r="K62" s="113"/>
      <c r="L62" s="113"/>
      <c r="M62" s="113"/>
      <c r="N62" s="111"/>
      <c r="O62" s="111"/>
      <c r="P62" s="113"/>
      <c r="Q62" s="111">
        <f xml:space="preserve"> (1-fitSyst_bFrac!F62)*defaultFit_Inclusive!E62</f>
        <v>0</v>
      </c>
      <c r="R62" s="111">
        <f xml:space="preserve"> (1-fitSyst_bFrac!F62)*defaultFit_Inclusive!H62</f>
        <v>0</v>
      </c>
      <c r="S62" s="113"/>
      <c r="T62" s="111">
        <f xml:space="preserve"> (1-fitSyst_bFrac!G62)*defaultFit_Inclusive!E62</f>
        <v>0</v>
      </c>
      <c r="U62" s="111">
        <f xml:space="preserve"> (1-fitSyst_bFrac!G62)*defaultFit_Inclusive!H62</f>
        <v>0</v>
      </c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</row>
    <row r="63" spans="1:35" ht="20.25" x14ac:dyDescent="0.35">
      <c r="A63" s="132" t="s">
        <v>80</v>
      </c>
      <c r="B63" s="132" t="s">
        <v>79</v>
      </c>
      <c r="C63" s="132" t="s">
        <v>17</v>
      </c>
      <c r="D63" s="62" t="s">
        <v>51</v>
      </c>
      <c r="E63" s="109">
        <f>(1-defaultFit_Inclusive!$U63)*fitSyst_Inclusive!E63</f>
        <v>1211.5700307200002</v>
      </c>
      <c r="F63" s="109">
        <f>(1-defaultFit_Inclusive!$U63)*fitSyst_Inclusive!F63</f>
        <v>1137.3815571999999</v>
      </c>
      <c r="G63" s="110"/>
      <c r="H63" s="109">
        <f>(1-defaultFit_Inclusive!$U63)*fitSyst_Inclusive!H63</f>
        <v>1137.3815571999999</v>
      </c>
      <c r="I63" s="109">
        <f>(1-defaultFit_Inclusive!$U63)*fitSyst_Inclusive!I63</f>
        <v>1104.35137848</v>
      </c>
      <c r="J63" s="110"/>
      <c r="K63" s="109">
        <f>(1-defaultFit_Inclusive!$U63)*fitSyst_Inclusive!K63</f>
        <v>1218.7884486400001</v>
      </c>
      <c r="L63" s="109">
        <f>(1-defaultFit_Inclusive!$U63)*fitSyst_Inclusive!L63</f>
        <v>1098.4494343200001</v>
      </c>
      <c r="M63" s="110"/>
      <c r="N63" s="111">
        <f xml:space="preserve"> (1-fitSyst_bFrac!E63)*defaultFit_Inclusive!E63</f>
        <v>1258.60346955</v>
      </c>
      <c r="O63" s="111">
        <f xml:space="preserve"> (1-fitSyst_bFrac!E63)*defaultFit_Inclusive!H63</f>
        <v>1110.58400925</v>
      </c>
      <c r="P63" s="110"/>
      <c r="Q63" s="111">
        <f xml:space="preserve"> (1-fitSyst_bFrac!F63)*defaultFit_Inclusive!E63</f>
        <v>1285.01863602</v>
      </c>
      <c r="R63" s="111">
        <f xml:space="preserve"> (1-fitSyst_bFrac!F63)*defaultFit_Inclusive!H63</f>
        <v>1133.8925907</v>
      </c>
      <c r="S63" s="110"/>
      <c r="T63" s="111">
        <f xml:space="preserve"> (1-fitSyst_bFrac!G63)*defaultFit_Inclusive!E63</f>
        <v>1273.55476752</v>
      </c>
      <c r="U63" s="111">
        <f xml:space="preserve"> (1-fitSyst_bFrac!G63)*defaultFit_Inclusive!H63</f>
        <v>1123.7769432</v>
      </c>
      <c r="V63" s="110"/>
      <c r="W63" s="109">
        <f>(1-defaultFit_Inclusive!$U63)*trgBiassing!E63</f>
        <v>1078.7984748800002</v>
      </c>
      <c r="X63" s="109">
        <f>(1-defaultFit_Inclusive!$U63)*trgBiassing!F63</f>
        <v>1046.6410147200002</v>
      </c>
      <c r="Y63" s="110"/>
      <c r="Z63" s="109">
        <f>(1-defaultFit_Inclusive!$U63)*trgBiassing!L63</f>
        <v>552.98998003200006</v>
      </c>
      <c r="AA63" s="109">
        <f>(1-defaultFit_Inclusive!$U63)*trgBiassing!M63</f>
        <v>556.45496855199997</v>
      </c>
      <c r="AB63" s="110"/>
      <c r="AC63" s="109" t="e">
        <f>(1-defaultFit_Inclusive!$U63)*epSystematic!#REF!</f>
        <v>#REF!</v>
      </c>
      <c r="AD63" s="109">
        <f>(1-defaultFit_Inclusive!$U63)*epSystematic!F64</f>
        <v>327.87666503200001</v>
      </c>
      <c r="AE63" s="112"/>
      <c r="AF63" s="112"/>
      <c r="AG63" s="112"/>
      <c r="AH63" s="112"/>
      <c r="AI63" s="112"/>
    </row>
    <row r="64" spans="1:35" ht="20.25" x14ac:dyDescent="0.35">
      <c r="A64" s="132"/>
      <c r="B64" s="132"/>
      <c r="C64" s="132"/>
      <c r="D64" s="63" t="s">
        <v>49</v>
      </c>
      <c r="E64" s="109">
        <f>(1-defaultFit_Inclusive!$U64)*fitSyst_Inclusive!E64</f>
        <v>321.52823992200001</v>
      </c>
      <c r="F64" s="109">
        <f>(1-defaultFit_Inclusive!$U64)*fitSyst_Inclusive!F64</f>
        <v>330.25480536200001</v>
      </c>
      <c r="G64" s="110"/>
      <c r="H64" s="109">
        <f>(1-defaultFit_Inclusive!$U64)*fitSyst_Inclusive!H64</f>
        <v>330.25480536200001</v>
      </c>
      <c r="I64" s="109">
        <f>(1-defaultFit_Inclusive!$U64)*fitSyst_Inclusive!I64</f>
        <v>320.76245432299999</v>
      </c>
      <c r="J64" s="110"/>
      <c r="K64" s="109">
        <f>(1-defaultFit_Inclusive!$U64)*fitSyst_Inclusive!K64</f>
        <v>324.90757290700003</v>
      </c>
      <c r="L64" s="109">
        <f>(1-defaultFit_Inclusive!$U64)*fitSyst_Inclusive!L64</f>
        <v>320.22441439300002</v>
      </c>
      <c r="M64" s="110"/>
      <c r="N64" s="111">
        <f xml:space="preserve"> (1-fitSyst_bFrac!E64)*defaultFit_Inclusive!E64</f>
        <v>333.075412395</v>
      </c>
      <c r="O64" s="111">
        <f xml:space="preserve"> (1-fitSyst_bFrac!E64)*defaultFit_Inclusive!H64</f>
        <v>321.15209643000003</v>
      </c>
      <c r="P64" s="110"/>
      <c r="Q64" s="111">
        <f xml:space="preserve"> (1-fitSyst_bFrac!F64)*defaultFit_Inclusive!E64</f>
        <v>336.40941347400002</v>
      </c>
      <c r="R64" s="111">
        <f xml:space="preserve"> (1-fitSyst_bFrac!F64)*defaultFit_Inclusive!H64</f>
        <v>324.366748116</v>
      </c>
      <c r="S64" s="110"/>
      <c r="T64" s="111">
        <f xml:space="preserve"> (1-fitSyst_bFrac!G64)*defaultFit_Inclusive!E64</f>
        <v>328.87970168500004</v>
      </c>
      <c r="U64" s="111">
        <f xml:space="preserve"> (1-fitSyst_bFrac!G64)*defaultFit_Inclusive!H64</f>
        <v>317.10658229000006</v>
      </c>
      <c r="V64" s="110"/>
      <c r="W64" s="109">
        <f>(1-defaultFit_Inclusive!$U64)*trgBiassing!E64</f>
        <v>275.69387125500003</v>
      </c>
      <c r="X64" s="109">
        <f>(1-defaultFit_Inclusive!$U64)*trgBiassing!F64</f>
        <v>296.59193176900004</v>
      </c>
      <c r="Y64" s="110"/>
      <c r="Z64" s="109">
        <f>(1-defaultFit_Inclusive!$U64)*trgBiassing!L64</f>
        <v>142.177420023</v>
      </c>
      <c r="AA64" s="109">
        <f>(1-defaultFit_Inclusive!$U64)*trgBiassing!M64</f>
        <v>154.29805926800003</v>
      </c>
      <c r="AB64" s="110"/>
      <c r="AC64" s="109">
        <f>(1-defaultFit_Inclusive!$U64)*epSystematic!E63</f>
        <v>1270.5776094900002</v>
      </c>
      <c r="AD64" s="109" t="e">
        <f>(1-defaultFit_Inclusive!$U64)*epSystematic!#REF!</f>
        <v>#REF!</v>
      </c>
      <c r="AE64" s="112">
        <f>SQRT(POWER(E64/$E$8-AH64,2)+POWER(H64/$H$8-AH64,2)+POWER(K64/$K$8-AH64,2)+POWER(N64/$N$8-AH64,2)+POWER(Q64/$Q$8-AH64,2)+POWER(T64/$T$8-AH64,2)+POWER(W64/$W$8-AH64,2)+POWER(Z64/$Z$8-AH64,2)+POWER(AC64/$AC$8-AH64,2))/SQRT(9*POWER(PI()/8,2))</f>
        <v>0.80674109830454399</v>
      </c>
      <c r="AF64" s="112" t="e">
        <f>SQRT(POWER(F64/$F$68-AI64,2)+POWER(I64/$I$68-AI64,2)+POWER(L64/$L$68-AI64,2)+POWER(O64/$O$68-AI64,2)+POWER(R64/$R$68-AI64,2)+POWER(U64/$U$68-AI64,2)+POWER(X64/$X$68-AI64,2)+POWER(AA64/$AA$68-AI64,2)+POWER(AD64/$AD$68-AI64,2))/SQRT(9*POWER(PI()/8,2))</f>
        <v>#REF!</v>
      </c>
      <c r="AG64" s="112"/>
      <c r="AH64" s="112">
        <f xml:space="preserve"> defaultFit_Prompt!E64/defaultFit_Prompt!$E$68</f>
        <v>0.26735580907908535</v>
      </c>
      <c r="AI64" s="112">
        <f xml:space="preserve"> defaultFit_Prompt!H64/defaultFit_Prompt!$H$68</f>
        <v>0.29170598704071377</v>
      </c>
    </row>
    <row r="65" spans="1:35" ht="20.25" x14ac:dyDescent="0.35">
      <c r="A65" s="132"/>
      <c r="B65" s="132"/>
      <c r="C65" s="132"/>
      <c r="D65" s="63" t="s">
        <v>50</v>
      </c>
      <c r="E65" s="109">
        <f>(1-defaultFit_Inclusive!$U65)*fitSyst_Inclusive!E65</f>
        <v>328.30387127399996</v>
      </c>
      <c r="F65" s="109">
        <f>(1-defaultFit_Inclusive!$U65)*fitSyst_Inclusive!F65</f>
        <v>300.85166906699999</v>
      </c>
      <c r="G65" s="110"/>
      <c r="H65" s="109">
        <f>(1-defaultFit_Inclusive!$U65)*fitSyst_Inclusive!H65</f>
        <v>300.85166906699999</v>
      </c>
      <c r="I65" s="109">
        <f>(1-defaultFit_Inclusive!$U65)*fitSyst_Inclusive!I65</f>
        <v>292.57683351899999</v>
      </c>
      <c r="J65" s="110"/>
      <c r="K65" s="109">
        <f>(1-defaultFit_Inclusive!$U65)*fitSyst_Inclusive!K65</f>
        <v>334.96207459099998</v>
      </c>
      <c r="L65" s="109">
        <f>(1-defaultFit_Inclusive!$U65)*fitSyst_Inclusive!L65</f>
        <v>290.33783224299998</v>
      </c>
      <c r="M65" s="110"/>
      <c r="N65" s="111">
        <f xml:space="preserve"> (1-fitSyst_bFrac!E65)*defaultFit_Inclusive!E65</f>
        <v>340.98940159699998</v>
      </c>
      <c r="O65" s="111">
        <f xml:space="preserve"> (1-fitSyst_bFrac!E65)*defaultFit_Inclusive!H65</f>
        <v>294.10929037099999</v>
      </c>
      <c r="P65" s="110"/>
      <c r="Q65" s="111">
        <f xml:space="preserve"> (1-fitSyst_bFrac!F65)*defaultFit_Inclusive!E65</f>
        <v>346.66334504399998</v>
      </c>
      <c r="R65" s="111">
        <f xml:space="preserve"> (1-fitSyst_bFrac!F65)*defaultFit_Inclusive!H65</f>
        <v>299.00316529200001</v>
      </c>
      <c r="S65" s="110"/>
      <c r="T65" s="111">
        <f xml:space="preserve"> (1-fitSyst_bFrac!G65)*defaultFit_Inclusive!E65</f>
        <v>344.40018605099999</v>
      </c>
      <c r="U65" s="111">
        <f xml:space="preserve"> (1-fitSyst_bFrac!G65)*defaultFit_Inclusive!H65</f>
        <v>297.05115129300003</v>
      </c>
      <c r="V65" s="110"/>
      <c r="W65" s="109">
        <f>(1-defaultFit_Inclusive!$U65)*trgBiassing!E65</f>
        <v>295.434385625</v>
      </c>
      <c r="X65" s="109">
        <f>(1-defaultFit_Inclusive!$U65)*trgBiassing!F65</f>
        <v>279.247444954</v>
      </c>
      <c r="Y65" s="110"/>
      <c r="Z65" s="109">
        <f>(1-defaultFit_Inclusive!$U65)*trgBiassing!L65</f>
        <v>151.82597397399999</v>
      </c>
      <c r="AA65" s="109">
        <f>(1-defaultFit_Inclusive!$U65)*trgBiassing!M65</f>
        <v>144.932568613</v>
      </c>
      <c r="AB65" s="110"/>
      <c r="AC65" s="109">
        <f>(1-defaultFit_Inclusive!$U65)*epSystematic!E65</f>
        <v>354.63504555699996</v>
      </c>
      <c r="AD65" s="109">
        <f>(1-defaultFit_Inclusive!$U65)*epSystematic!F65</f>
        <v>296.732578725</v>
      </c>
      <c r="AE65" s="112">
        <f t="shared" ref="AE65:AE67" si="14">SQRT(POWER(E65/$E$8-AH65,2)+POWER(H65/$H$8-AH65,2)+POWER(K65/$K$8-AH65,2)+POWER(N65/$N$8-AH65,2)+POWER(Q65/$Q$8-AH65,2)+POWER(T65/$T$8-AH65,2)+POWER(W65/$W$8-AH65,2)+POWER(Z65/$Z$8-AH65,2)+POWER(AC65/$AC$8-AH65,2))/SQRT(9*POWER(PI()/8,2))</f>
        <v>0.12536131178595541</v>
      </c>
      <c r="AF65" s="112" t="e">
        <f t="shared" ref="AF65:AF67" si="15">SQRT(POWER(F65/$F$68-AI65,2)+POWER(I65/$I$68-AI65,2)+POWER(L65/$L$68-AI65,2)+POWER(O65/$O$68-AI65,2)+POWER(R65/$R$68-AI65,2)+POWER(U65/$U$68-AI65,2)+POWER(X65/$X$68-AI65,2)+POWER(AA65/$AA$68-AI65,2)+POWER(AD65/$AD$68-AI65,2))/SQRT(9*POWER(PI()/8,2))</f>
        <v>#REF!</v>
      </c>
      <c r="AG65" s="112"/>
      <c r="AH65" s="112">
        <f xml:space="preserve"> defaultFit_Prompt!E65/defaultFit_Prompt!$E$68</f>
        <v>0.27185584011653058</v>
      </c>
      <c r="AI65" s="112">
        <f xml:space="preserve"> defaultFit_Prompt!H65/defaultFit_Prompt!$H$68</f>
        <v>0.26533470644694129</v>
      </c>
    </row>
    <row r="66" spans="1:35" ht="20.25" x14ac:dyDescent="0.35">
      <c r="A66" s="132"/>
      <c r="B66" s="132"/>
      <c r="C66" s="132"/>
      <c r="D66" s="62" t="s">
        <v>52</v>
      </c>
      <c r="E66" s="109">
        <f>(1-defaultFit_Inclusive!$U66)*fitSyst_Inclusive!E66</f>
        <v>275.06794064499996</v>
      </c>
      <c r="F66" s="109">
        <f>(1-defaultFit_Inclusive!$U66)*fitSyst_Inclusive!F66</f>
        <v>249.213886065</v>
      </c>
      <c r="G66" s="110"/>
      <c r="H66" s="109">
        <f>(1-defaultFit_Inclusive!$U66)*fitSyst_Inclusive!H66</f>
        <v>249.213886065</v>
      </c>
      <c r="I66" s="109">
        <f>(1-defaultFit_Inclusive!$U66)*fitSyst_Inclusive!I66</f>
        <v>242.68852734000001</v>
      </c>
      <c r="J66" s="110"/>
      <c r="K66" s="109">
        <f>(1-defaultFit_Inclusive!$U66)*fitSyst_Inclusive!K66</f>
        <v>268.95792785499998</v>
      </c>
      <c r="L66" s="109">
        <f>(1-defaultFit_Inclusive!$U66)*fitSyst_Inclusive!L66</f>
        <v>241.27592949000001</v>
      </c>
      <c r="M66" s="110"/>
      <c r="N66" s="111">
        <f xml:space="preserve"> (1-fitSyst_bFrac!E66)*defaultFit_Inclusive!E66</f>
        <v>286.513677476</v>
      </c>
      <c r="O66" s="111">
        <f xml:space="preserve"> (1-fitSyst_bFrac!E66)*defaultFit_Inclusive!H66</f>
        <v>245.22202712799998</v>
      </c>
      <c r="P66" s="110"/>
      <c r="Q66" s="111">
        <f xml:space="preserve"> (1-fitSyst_bFrac!F66)*defaultFit_Inclusive!E66</f>
        <v>294.66833035100001</v>
      </c>
      <c r="R66" s="111">
        <f xml:space="preserve"> (1-fitSyst_bFrac!F66)*defaultFit_Inclusive!H66</f>
        <v>252.201451378</v>
      </c>
      <c r="S66" s="110"/>
      <c r="T66" s="111">
        <f xml:space="preserve"> (1-fitSyst_bFrac!G66)*defaultFit_Inclusive!E66</f>
        <v>291.98170559500005</v>
      </c>
      <c r="U66" s="111">
        <f xml:space="preserve"> (1-fitSyst_bFrac!G66)*defaultFit_Inclusive!H66</f>
        <v>249.90201641000002</v>
      </c>
      <c r="V66" s="110"/>
      <c r="W66" s="109">
        <f>(1-defaultFit_Inclusive!$U66)*trgBiassing!E66</f>
        <v>247.91021989000001</v>
      </c>
      <c r="X66" s="109">
        <f>(1-defaultFit_Inclusive!$U66)*trgBiassing!F66</f>
        <v>228.99897832500002</v>
      </c>
      <c r="Y66" s="110"/>
      <c r="Z66" s="109">
        <f>(1-defaultFit_Inclusive!$U66)*trgBiassing!L66</f>
        <v>116.61452061999999</v>
      </c>
      <c r="AA66" s="109">
        <f>(1-defaultFit_Inclusive!$U66)*trgBiassing!M66</f>
        <v>129.539439555</v>
      </c>
      <c r="AB66" s="110"/>
      <c r="AC66" s="109">
        <f>(1-defaultFit_Inclusive!$U66)*epSystematic!E66</f>
        <v>279.94878246999997</v>
      </c>
      <c r="AD66" s="109">
        <f>(1-defaultFit_Inclusive!$U66)*epSystematic!F66</f>
        <v>246.907345695</v>
      </c>
      <c r="AE66" s="112">
        <f t="shared" si="14"/>
        <v>9.9192672471234505E-2</v>
      </c>
      <c r="AF66" s="112" t="e">
        <f t="shared" si="15"/>
        <v>#REF!</v>
      </c>
      <c r="AG66" s="112"/>
      <c r="AH66" s="112">
        <f xml:space="preserve"> defaultFit_Prompt!E66/defaultFit_Prompt!$E$68</f>
        <v>0.22710758703503287</v>
      </c>
      <c r="AI66" s="112">
        <f xml:space="preserve"> defaultFit_Prompt!H66/defaultFit_Prompt!$H$68</f>
        <v>0.21995472364340554</v>
      </c>
    </row>
    <row r="67" spans="1:35" ht="20.25" x14ac:dyDescent="0.35">
      <c r="A67" s="132"/>
      <c r="B67" s="132"/>
      <c r="C67" s="132"/>
      <c r="D67" s="62" t="s">
        <v>53</v>
      </c>
      <c r="E67" s="109">
        <f>(1-defaultFit_Inclusive!$U67)*fitSyst_Inclusive!E67</f>
        <v>281.64200226300005</v>
      </c>
      <c r="F67" s="109">
        <f>(1-defaultFit_Inclusive!$U67)*fitSyst_Inclusive!F67</f>
        <v>253.02217594700002</v>
      </c>
      <c r="G67" s="110"/>
      <c r="H67" s="109">
        <f>(1-defaultFit_Inclusive!$U67)*fitSyst_Inclusive!H67</f>
        <v>253.02217594700002</v>
      </c>
      <c r="I67" s="109">
        <f>(1-defaultFit_Inclusive!$U67)*fitSyst_Inclusive!I67</f>
        <v>245.387300154</v>
      </c>
      <c r="J67" s="110"/>
      <c r="K67" s="109">
        <f>(1-defaultFit_Inclusive!$U67)*fitSyst_Inclusive!K67</f>
        <v>281.73709461500005</v>
      </c>
      <c r="L67" s="109">
        <f>(1-defaultFit_Inclusive!$U67)*fitSyst_Inclusive!L67</f>
        <v>245.74018192900002</v>
      </c>
      <c r="M67" s="110"/>
      <c r="N67" s="111">
        <f xml:space="preserve"> (1-fitSyst_bFrac!E67)*defaultFit_Inclusive!E67</f>
        <v>290.62027984499997</v>
      </c>
      <c r="O67" s="111">
        <f xml:space="preserve"> (1-fitSyst_bFrac!E67)*defaultFit_Inclusive!H67</f>
        <v>245.09204216999998</v>
      </c>
      <c r="P67" s="110"/>
      <c r="Q67" s="111">
        <f xml:space="preserve"> (1-fitSyst_bFrac!F67)*defaultFit_Inclusive!E67</f>
        <v>298.34930680799994</v>
      </c>
      <c r="R67" s="111">
        <f xml:space="preserve"> (1-fitSyst_bFrac!F67)*defaultFit_Inclusive!H67</f>
        <v>251.61024868799996</v>
      </c>
      <c r="S67" s="110"/>
      <c r="T67" s="111">
        <f xml:space="preserve"> (1-fitSyst_bFrac!G67)*defaultFit_Inclusive!E67</f>
        <v>301.06383149499999</v>
      </c>
      <c r="U67" s="111">
        <f xml:space="preserve"> (1-fitSyst_bFrac!G67)*defaultFit_Inclusive!H67</f>
        <v>253.89951907</v>
      </c>
      <c r="V67" s="110"/>
      <c r="W67" s="109">
        <f>(1-defaultFit_Inclusive!$U67)*trgBiassing!E67</f>
        <v>256.17582465200002</v>
      </c>
      <c r="X67" s="109">
        <f>(1-defaultFit_Inclusive!$U67)*trgBiassing!F67</f>
        <v>235.41969010100001</v>
      </c>
      <c r="Y67" s="110"/>
      <c r="Z67" s="109">
        <f>(1-defaultFit_Inclusive!$U67)*trgBiassing!L67</f>
        <v>137.94780057400001</v>
      </c>
      <c r="AA67" s="109">
        <f>(1-defaultFit_Inclusive!$U67)*trgBiassing!M67</f>
        <v>124.90231853400002</v>
      </c>
      <c r="AB67" s="110"/>
      <c r="AC67" s="109">
        <f>(1-defaultFit_Inclusive!$U67)*epSystematic!E67</f>
        <v>302.21538120000002</v>
      </c>
      <c r="AD67" s="109">
        <f>(1-defaultFit_Inclusive!$U67)*epSystematic!F67</f>
        <v>251.886268086</v>
      </c>
      <c r="AE67" s="112">
        <f t="shared" si="14"/>
        <v>0.1086807595433536</v>
      </c>
      <c r="AF67" s="112" t="e">
        <f t="shared" si="15"/>
        <v>#REF!</v>
      </c>
      <c r="AG67" s="112"/>
      <c r="AH67" s="112">
        <f xml:space="preserve"> defaultFit_Prompt!E67/defaultFit_Prompt!$E$68</f>
        <v>0.23368076376935115</v>
      </c>
      <c r="AI67" s="112">
        <f xml:space="preserve"> defaultFit_Prompt!H67/defaultFit_Prompt!$H$68</f>
        <v>0.22300458286893937</v>
      </c>
    </row>
    <row r="68" spans="1:35" ht="20.25" x14ac:dyDescent="0.35">
      <c r="A68" s="132"/>
      <c r="B68" s="132"/>
      <c r="C68" s="132"/>
      <c r="D68" s="74"/>
      <c r="E68" s="113">
        <f xml:space="preserve"> SUM(E64:E67)</f>
        <v>1206.5420541039998</v>
      </c>
      <c r="F68" s="113">
        <f xml:space="preserve"> SUM(F64:F67)</f>
        <v>1133.342536441</v>
      </c>
      <c r="G68" s="113"/>
      <c r="H68" s="113">
        <f xml:space="preserve"> SUM(H64:H67)</f>
        <v>1133.342536441</v>
      </c>
      <c r="I68" s="113">
        <f xml:space="preserve"> SUM(I64:I67)</f>
        <v>1101.4151153360001</v>
      </c>
      <c r="J68" s="113"/>
      <c r="K68" s="113">
        <f xml:space="preserve"> SUM(K64:K67)</f>
        <v>1210.5646699680001</v>
      </c>
      <c r="L68" s="113">
        <f xml:space="preserve"> SUM(L64:L67)</f>
        <v>1097.5783580550001</v>
      </c>
      <c r="M68" s="113"/>
      <c r="N68" s="113">
        <f xml:space="preserve"> SUM(N64:N67)</f>
        <v>1251.198771313</v>
      </c>
      <c r="O68" s="113">
        <f xml:space="preserve"> SUM(O64:O67)</f>
        <v>1105.5754560990001</v>
      </c>
      <c r="P68" s="113"/>
      <c r="Q68" s="113">
        <f xml:space="preserve"> SUM(Q64:Q67)</f>
        <v>1276.0903956769998</v>
      </c>
      <c r="R68" s="113">
        <f xml:space="preserve"> SUM(R64:R67)</f>
        <v>1127.181613474</v>
      </c>
      <c r="S68" s="113"/>
      <c r="T68" s="113">
        <f xml:space="preserve"> SUM(T64:T67)</f>
        <v>1266.325424826</v>
      </c>
      <c r="U68" s="113">
        <f xml:space="preserve"> SUM(U64:U67)</f>
        <v>1117.9592690630002</v>
      </c>
      <c r="V68" s="113"/>
      <c r="W68" s="113">
        <f xml:space="preserve"> SUM(W64:W67)</f>
        <v>1075.2143014220001</v>
      </c>
      <c r="X68" s="113">
        <f xml:space="preserve"> SUM(X64:X67)</f>
        <v>1040.2580451490001</v>
      </c>
      <c r="Y68" s="113"/>
      <c r="Z68" s="113">
        <f xml:space="preserve"> SUM(Z64:Z67)</f>
        <v>548.56571519099998</v>
      </c>
      <c r="AA68" s="113">
        <f xml:space="preserve"> SUM(AA64:AA67)</f>
        <v>553.67238597000005</v>
      </c>
      <c r="AB68" s="113"/>
      <c r="AC68" s="113">
        <f xml:space="preserve"> SUM(AC64:AC67)</f>
        <v>2207.3768187170003</v>
      </c>
      <c r="AD68" s="113" t="e">
        <f xml:space="preserve"> SUM(AD64:AD67)</f>
        <v>#REF!</v>
      </c>
      <c r="AE68" s="113"/>
      <c r="AF68" s="113"/>
      <c r="AG68" s="113"/>
      <c r="AH68" s="113"/>
      <c r="AI68" s="113"/>
    </row>
    <row r="69" spans="1:35" ht="20.25" x14ac:dyDescent="0.35">
      <c r="A69" s="132" t="s">
        <v>82</v>
      </c>
      <c r="B69" s="132" t="s">
        <v>79</v>
      </c>
      <c r="C69" s="132" t="s">
        <v>17</v>
      </c>
      <c r="D69" s="65" t="s">
        <v>51</v>
      </c>
      <c r="E69" s="109">
        <f>(1-defaultFit_Inclusive!$U69)*fitSyst_Inclusive!E69</f>
        <v>688.03619656800004</v>
      </c>
      <c r="F69" s="109">
        <f>(1-defaultFit_Inclusive!$U69)*fitSyst_Inclusive!F69</f>
        <v>652.90637657000002</v>
      </c>
      <c r="G69" s="110"/>
      <c r="H69" s="109">
        <f>(1-defaultFit_Inclusive!$U69)*fitSyst_Inclusive!H69</f>
        <v>652.90637657000002</v>
      </c>
      <c r="I69" s="109">
        <f>(1-defaultFit_Inclusive!$U69)*fitSyst_Inclusive!I69</f>
        <v>650.46091558000001</v>
      </c>
      <c r="J69" s="110"/>
      <c r="K69" s="109">
        <f>(1-defaultFit_Inclusive!$U69)*fitSyst_Inclusive!K69</f>
        <v>676.12517652400004</v>
      </c>
      <c r="L69" s="109">
        <f>(1-defaultFit_Inclusive!$U69)*fitSyst_Inclusive!L69</f>
        <v>1347.5798</v>
      </c>
      <c r="M69" s="110"/>
      <c r="N69" s="111">
        <f xml:space="preserve"> (1-fitSyst_bFrac!E69)*defaultFit_Inclusive!E69</f>
        <v>677.42147284999999</v>
      </c>
      <c r="O69" s="111">
        <f xml:space="preserve"> (1-fitSyst_bFrac!E69)*defaultFit_Inclusive!H69</f>
        <v>642.14085024999997</v>
      </c>
      <c r="P69" s="110"/>
      <c r="Q69" s="111">
        <f xml:space="preserve"> (1-fitSyst_bFrac!F69)*defaultFit_Inclusive!E69</f>
        <v>691.75794324499998</v>
      </c>
      <c r="R69" s="111">
        <f xml:space="preserve"> (1-fitSyst_bFrac!F69)*defaultFit_Inclusive!H69</f>
        <v>655.73066642499998</v>
      </c>
      <c r="S69" s="110"/>
      <c r="T69" s="111">
        <f xml:space="preserve"> (1-fitSyst_bFrac!G69)*defaultFit_Inclusive!E69</f>
        <v>687.14597449999997</v>
      </c>
      <c r="U69" s="111">
        <f xml:space="preserve"> (1-fitSyst_bFrac!G69)*defaultFit_Inclusive!H69</f>
        <v>651.35889249999991</v>
      </c>
      <c r="V69" s="110"/>
      <c r="W69" s="109">
        <f>(1-defaultFit_Inclusive!$U69)*trgBiassing!E69</f>
        <v>558.97372295800005</v>
      </c>
      <c r="X69" s="109">
        <f>(1-defaultFit_Inclusive!$U69)*trgBiassing!F69</f>
        <v>542.11074349600005</v>
      </c>
      <c r="Y69" s="110"/>
      <c r="Z69" s="109">
        <f>(1-defaultFit_Inclusive!$U69)*trgBiassing!L69</f>
        <v>322.987926464</v>
      </c>
      <c r="AA69" s="109">
        <f>(1-defaultFit_Inclusive!$U69)*trgBiassing!M69</f>
        <v>278.42663325399997</v>
      </c>
      <c r="AB69" s="110"/>
      <c r="AC69" s="109">
        <f>(1-defaultFit_Inclusive!$U69)*epSystematic!E69</f>
        <v>688.87883029</v>
      </c>
      <c r="AD69" s="109">
        <f>(1-defaultFit_Inclusive!$U69)*epSystematic!F69</f>
        <v>653.00149984999996</v>
      </c>
      <c r="AE69" s="112"/>
      <c r="AF69" s="112"/>
      <c r="AG69" s="112"/>
      <c r="AH69" s="112"/>
      <c r="AI69" s="112"/>
    </row>
    <row r="70" spans="1:35" ht="20.25" x14ac:dyDescent="0.35">
      <c r="A70" s="132"/>
      <c r="B70" s="132"/>
      <c r="C70" s="132"/>
      <c r="D70" s="66" t="s">
        <v>49</v>
      </c>
      <c r="E70" s="109">
        <f>(1-defaultFit_Inclusive!$U70)*fitSyst_Inclusive!E70</f>
        <v>185.385899556</v>
      </c>
      <c r="F70" s="109">
        <f>(1-defaultFit_Inclusive!$U70)*fitSyst_Inclusive!F70</f>
        <v>217.39052665199998</v>
      </c>
      <c r="G70" s="110"/>
      <c r="H70" s="109">
        <f>(1-defaultFit_Inclusive!$U70)*fitSyst_Inclusive!H70</f>
        <v>217.39052665199998</v>
      </c>
      <c r="I70" s="109">
        <f>(1-defaultFit_Inclusive!$U70)*fitSyst_Inclusive!I70</f>
        <v>216.47855886799996</v>
      </c>
      <c r="J70" s="110"/>
      <c r="K70" s="109">
        <f>(1-defaultFit_Inclusive!$U70)*fitSyst_Inclusive!K70</f>
        <v>184.06989541199999</v>
      </c>
      <c r="L70" s="109">
        <f>(1-defaultFit_Inclusive!$U70)*fitSyst_Inclusive!L70</f>
        <v>216.298803916</v>
      </c>
      <c r="M70" s="110"/>
      <c r="N70" s="111">
        <f xml:space="preserve"> (1-fitSyst_bFrac!E70)*defaultFit_Inclusive!E70</f>
        <v>183.71553545999998</v>
      </c>
      <c r="O70" s="111">
        <f xml:space="preserve"> (1-fitSyst_bFrac!E70)*defaultFit_Inclusive!H70</f>
        <v>215.138864754</v>
      </c>
      <c r="P70" s="110"/>
      <c r="Q70" s="111">
        <f xml:space="preserve"> (1-fitSyst_bFrac!F70)*defaultFit_Inclusive!E70</f>
        <v>185.10841477</v>
      </c>
      <c r="R70" s="111">
        <f xml:space="preserve"> (1-fitSyst_bFrac!F70)*defaultFit_Inclusive!H70</f>
        <v>216.76998687299999</v>
      </c>
      <c r="S70" s="110"/>
      <c r="T70" s="111">
        <f xml:space="preserve"> (1-fitSyst_bFrac!G70)*defaultFit_Inclusive!E70</f>
        <v>188.30526076999999</v>
      </c>
      <c r="U70" s="111">
        <f xml:space="preserve"> (1-fitSyst_bFrac!G70)*defaultFit_Inclusive!H70</f>
        <v>220.51363227299998</v>
      </c>
      <c r="V70" s="110"/>
      <c r="W70" s="109">
        <f>(1-defaultFit_Inclusive!$U70)*trgBiassing!E70</f>
        <v>145.187579992</v>
      </c>
      <c r="X70" s="109">
        <f>(1-defaultFit_Inclusive!$U70)*trgBiassing!F70</f>
        <v>171.18690747599999</v>
      </c>
      <c r="Y70" s="110"/>
      <c r="Z70" s="109">
        <f>(1-defaultFit_Inclusive!$U70)*trgBiassing!L70</f>
        <v>73.785284975999986</v>
      </c>
      <c r="AA70" s="109">
        <f>(1-defaultFit_Inclusive!$U70)*trgBiassing!M70</f>
        <v>89.405000827999999</v>
      </c>
      <c r="AB70" s="110"/>
      <c r="AC70" s="109">
        <f>(1-defaultFit_Inclusive!$U70)*epSystematic!E70</f>
        <v>188.097890552</v>
      </c>
      <c r="AD70" s="109">
        <f>(1-defaultFit_Inclusive!$U70)*epSystematic!F70</f>
        <v>212.96179340799998</v>
      </c>
      <c r="AE70" s="112">
        <f>SQRT(POWER(E70/$E$74-AH70,2)+POWER(H70/$H$74-AH70,2)+POWER(K70/$K$74-AH70,2)+POWER(N70/$N$74-AH70,2)+POWER(Q70/$Q$74-AH70,2)+POWER(T70/$T$74-AH70,2)+POWER(W70/$W$74-AH70,2)+POWER(Z70/$Z$74-AH70,2)+POWER(AC70/$AC$74-AH70,2))/SQRT(9*POWER(PI()/8,2))</f>
        <v>6.3572211181741875E-2</v>
      </c>
      <c r="AF70" s="112">
        <f>SQRT(POWER(F70/$F$74-AI70,2)+POWER(I70/$I$74-AI70,2)+POWER(L70/$L$74-AI70,2)+POWER(O70/$O$74-AI70,2)+POWER(R70/$R$74-AI70,2)+POWER(U70/$U$74-AI70,2)+POWER(X70/$X$74-AI70,2)+POWER(AA70/$AA$74-AI70,2)+POWER(AD70/$AD$74-AI70,2))/SQRT(9*POWER(PI()/8,2))</f>
        <v>2.1957809116039225E-2</v>
      </c>
      <c r="AG70" s="112"/>
      <c r="AH70" s="112">
        <f xml:space="preserve"> defaultFit_Prompt!E70/defaultFit_Prompt!$E$74</f>
        <v>0.27294189599576041</v>
      </c>
      <c r="AI70" s="112">
        <f xml:space="preserve"> defaultFit_Prompt!H70/defaultFit_Prompt!$H$74</f>
        <v>0.33319728419967304</v>
      </c>
    </row>
    <row r="71" spans="1:35" ht="20.25" x14ac:dyDescent="0.35">
      <c r="A71" s="132"/>
      <c r="B71" s="132"/>
      <c r="C71" s="132"/>
      <c r="D71" s="66" t="s">
        <v>50</v>
      </c>
      <c r="E71" s="109">
        <f>(1-defaultFit_Inclusive!$U71)*fitSyst_Inclusive!E71</f>
        <v>176.44604525099999</v>
      </c>
      <c r="F71" s="109">
        <f>(1-defaultFit_Inclusive!$U71)*fitSyst_Inclusive!F71</f>
        <v>143.88937670799999</v>
      </c>
      <c r="G71" s="110"/>
      <c r="H71" s="109">
        <f>(1-defaultFit_Inclusive!$U71)*fitSyst_Inclusive!H71</f>
        <v>143.88937670799999</v>
      </c>
      <c r="I71" s="109">
        <f>(1-defaultFit_Inclusive!$U71)*fitSyst_Inclusive!I71</f>
        <v>143.27366230799998</v>
      </c>
      <c r="J71" s="110"/>
      <c r="K71" s="109">
        <f>(1-defaultFit_Inclusive!$U71)*fitSyst_Inclusive!K71</f>
        <v>160.733013763</v>
      </c>
      <c r="L71" s="109">
        <f>(1-defaultFit_Inclusive!$U71)*fitSyst_Inclusive!L71</f>
        <v>140.808495779</v>
      </c>
      <c r="M71" s="110"/>
      <c r="N71" s="111">
        <f xml:space="preserve"> (1-fitSyst_bFrac!E71)*defaultFit_Inclusive!E71</f>
        <v>173.86572572</v>
      </c>
      <c r="O71" s="111">
        <f xml:space="preserve"> (1-fitSyst_bFrac!E71)*defaultFit_Inclusive!H71</f>
        <v>141.51461705299999</v>
      </c>
      <c r="P71" s="110"/>
      <c r="Q71" s="111">
        <f xml:space="preserve"> (1-fitSyst_bFrac!F71)*defaultFit_Inclusive!E71</f>
        <v>175.56988415999999</v>
      </c>
      <c r="R71" s="111">
        <f xml:space="preserve"> (1-fitSyst_bFrac!F71)*defaultFit_Inclusive!H71</f>
        <v>142.90168358400001</v>
      </c>
      <c r="S71" s="110"/>
      <c r="T71" s="111">
        <f xml:space="preserve"> (1-fitSyst_bFrac!G71)*defaultFit_Inclusive!E71</f>
        <v>173.61151423999999</v>
      </c>
      <c r="U71" s="111">
        <f xml:space="preserve"> (1-fitSyst_bFrac!G71)*defaultFit_Inclusive!H71</f>
        <v>141.30770657600002</v>
      </c>
      <c r="V71" s="110"/>
      <c r="W71" s="109">
        <f>(1-defaultFit_Inclusive!$U71)*trgBiassing!E71</f>
        <v>136.53081998499999</v>
      </c>
      <c r="X71" s="109">
        <f>(1-defaultFit_Inclusive!$U71)*trgBiassing!F71</f>
        <v>123.50461220999999</v>
      </c>
      <c r="Y71" s="110"/>
      <c r="Z71" s="109">
        <f>(1-defaultFit_Inclusive!$U71)*trgBiassing!L71</f>
        <v>75.927744807599993</v>
      </c>
      <c r="AA71" s="109">
        <f>(1-defaultFit_Inclusive!$U71)*trgBiassing!M71</f>
        <v>58.598463019600004</v>
      </c>
      <c r="AB71" s="110"/>
      <c r="AC71" s="109">
        <f>(1-defaultFit_Inclusive!$U71)*epSystematic!E71</f>
        <v>175.45859328199998</v>
      </c>
      <c r="AD71" s="109">
        <f>(1-defaultFit_Inclusive!$U71)*epSystematic!F71</f>
        <v>142.82803901099999</v>
      </c>
      <c r="AE71" s="112">
        <f t="shared" ref="AE71:AE73" si="16">SQRT(POWER(E71/$E$74-AH71,2)+POWER(H71/$H$74-AH71,2)+POWER(K71/$K$74-AH71,2)+POWER(N71/$N$74-AH71,2)+POWER(Q71/$Q$74-AH71,2)+POWER(T71/$T$74-AH71,2)+POWER(W71/$W$74-AH71,2)+POWER(Z71/$Z$74-AH71,2)+POWER(AC71/$AC$74-AH71,2))/SQRT(9*POWER(PI()/8,2))</f>
        <v>4.1772971475986076E-2</v>
      </c>
      <c r="AF71" s="112">
        <f t="shared" ref="AF71:AF73" si="17">SQRT(POWER(F71/$F$74-AI71,2)+POWER(I71/$I$74-AI71,2)+POWER(L71/$L$74-AI71,2)+POWER(O71/$O$74-AI71,2)+POWER(R71/$R$74-AI71,2)+POWER(U71/$U$74-AI71,2)+POWER(X71/$X$74-AI71,2)+POWER(AA71/$AA$74-AI71,2)+POWER(AD71/$AD$74-AI71,2))/SQRT(9*POWER(PI()/8,2))</f>
        <v>1.4393831377630964E-2</v>
      </c>
      <c r="AG71" s="112"/>
      <c r="AH71" s="112">
        <f xml:space="preserve"> defaultFit_Prompt!E71/defaultFit_Prompt!$E$74</f>
        <v>0.25986591818311255</v>
      </c>
      <c r="AI71" s="112">
        <f xml:space="preserve"> defaultFit_Prompt!H71/defaultFit_Prompt!$H$74</f>
        <v>0.22049305097701077</v>
      </c>
    </row>
    <row r="72" spans="1:35" ht="20.25" x14ac:dyDescent="0.35">
      <c r="A72" s="132"/>
      <c r="B72" s="132"/>
      <c r="C72" s="132"/>
      <c r="D72" s="65" t="s">
        <v>52</v>
      </c>
      <c r="E72" s="109">
        <f>(1-defaultFit_Inclusive!$U72)*fitSyst_Inclusive!E72</f>
        <v>166.653713428</v>
      </c>
      <c r="F72" s="109">
        <f>(1-defaultFit_Inclusive!$U72)*fitSyst_Inclusive!F72</f>
        <v>150.973480077</v>
      </c>
      <c r="G72" s="110"/>
      <c r="H72" s="109">
        <f>(1-defaultFit_Inclusive!$U72)*fitSyst_Inclusive!H72</f>
        <v>150.973480077</v>
      </c>
      <c r="I72" s="109">
        <f>(1-defaultFit_Inclusive!$U72)*fitSyst_Inclusive!I72</f>
        <v>150.54997180499998</v>
      </c>
      <c r="J72" s="110"/>
      <c r="K72" s="109">
        <f>(1-defaultFit_Inclusive!$U72)*fitSyst_Inclusive!K72</f>
        <v>165.48665938300002</v>
      </c>
      <c r="L72" s="109">
        <f>(1-defaultFit_Inclusive!$U72)*fitSyst_Inclusive!L72</f>
        <v>154.21877263100001</v>
      </c>
      <c r="M72" s="110"/>
      <c r="N72" s="111">
        <f xml:space="preserve"> (1-fitSyst_bFrac!E72)*defaultFit_Inclusive!E72</f>
        <v>162.44843952000002</v>
      </c>
      <c r="O72" s="111">
        <f xml:space="preserve"> (1-fitSyst_bFrac!E72)*defaultFit_Inclusive!H72</f>
        <v>146.65194192000001</v>
      </c>
      <c r="P72" s="110"/>
      <c r="Q72" s="111">
        <f xml:space="preserve"> (1-fitSyst_bFrac!F72)*defaultFit_Inclusive!E72</f>
        <v>169.107424044</v>
      </c>
      <c r="R72" s="111">
        <f xml:space="preserve"> (1-fitSyst_bFrac!F72)*defaultFit_Inclusive!H72</f>
        <v>152.66340632399999</v>
      </c>
      <c r="S72" s="110"/>
      <c r="T72" s="111">
        <f xml:space="preserve"> (1-fitSyst_bFrac!G72)*defaultFit_Inclusive!E72</f>
        <v>165.54028222000002</v>
      </c>
      <c r="U72" s="111">
        <f xml:space="preserve"> (1-fitSyst_bFrac!G72)*defaultFit_Inclusive!H72</f>
        <v>149.44313362000003</v>
      </c>
      <c r="V72" s="110"/>
      <c r="W72" s="109">
        <f>(1-defaultFit_Inclusive!$U72)*trgBiassing!E72</f>
        <v>143.11050358</v>
      </c>
      <c r="X72" s="109">
        <f>(1-defaultFit_Inclusive!$U72)*trgBiassing!F72</f>
        <v>129.713846082</v>
      </c>
      <c r="Y72" s="110"/>
      <c r="Z72" s="109">
        <f>(1-defaultFit_Inclusive!$U72)*trgBiassing!L72</f>
        <v>85.746789397000001</v>
      </c>
      <c r="AA72" s="109">
        <f>(1-defaultFit_Inclusive!$U72)*trgBiassing!M72</f>
        <v>72.216662625400005</v>
      </c>
      <c r="AB72" s="110"/>
      <c r="AC72" s="109">
        <f>(1-defaultFit_Inclusive!$U72)*epSystematic!E72</f>
        <v>163.380347409</v>
      </c>
      <c r="AD72" s="109">
        <f>(1-defaultFit_Inclusive!$U72)*epSystematic!F72</f>
        <v>156.817573391</v>
      </c>
      <c r="AE72" s="112">
        <f t="shared" si="16"/>
        <v>2.6594627909138906E-2</v>
      </c>
      <c r="AF72" s="112">
        <f t="shared" si="17"/>
        <v>2.6397288954919693E-2</v>
      </c>
      <c r="AG72" s="112"/>
      <c r="AH72" s="112">
        <f xml:space="preserve"> defaultFit_Prompt!E72/defaultFit_Prompt!$E$74</f>
        <v>0.24595923095756525</v>
      </c>
      <c r="AI72" s="112">
        <f xml:space="preserve"> defaultFit_Prompt!H72/defaultFit_Prompt!$H$74</f>
        <v>0.23146943946012341</v>
      </c>
    </row>
    <row r="73" spans="1:35" ht="20.25" x14ac:dyDescent="0.35">
      <c r="A73" s="132"/>
      <c r="B73" s="132"/>
      <c r="C73" s="132"/>
      <c r="D73" s="65" t="s">
        <v>53</v>
      </c>
      <c r="E73" s="109">
        <f>(1-defaultFit_Inclusive!$U73)*fitSyst_Inclusive!E73</f>
        <v>150.28292147399998</v>
      </c>
      <c r="F73" s="109">
        <f>(1-defaultFit_Inclusive!$U73)*fitSyst_Inclusive!F73</f>
        <v>140.203716912</v>
      </c>
      <c r="G73" s="110"/>
      <c r="H73" s="109">
        <f>(1-defaultFit_Inclusive!$U73)*fitSyst_Inclusive!H73</f>
        <v>140.203716912</v>
      </c>
      <c r="I73" s="109">
        <f>(1-defaultFit_Inclusive!$U73)*fitSyst_Inclusive!I73</f>
        <v>139.62932638199999</v>
      </c>
      <c r="J73" s="110"/>
      <c r="K73" s="109">
        <f>(1-defaultFit_Inclusive!$U73)*fitSyst_Inclusive!K73</f>
        <v>144.40794719399997</v>
      </c>
      <c r="L73" s="109">
        <f>(1-defaultFit_Inclusive!$U73)*fitSyst_Inclusive!L73</f>
        <v>161.766877104</v>
      </c>
      <c r="M73" s="110"/>
      <c r="N73" s="111">
        <f xml:space="preserve"> (1-fitSyst_bFrac!E73)*defaultFit_Inclusive!E73</f>
        <v>147.76231843599999</v>
      </c>
      <c r="O73" s="111">
        <f xml:space="preserve"> (1-fitSyst_bFrac!E73)*defaultFit_Inclusive!H73</f>
        <v>137.64841559999999</v>
      </c>
      <c r="P73" s="110"/>
      <c r="Q73" s="111">
        <f xml:space="preserve"> (1-fitSyst_bFrac!F73)*defaultFit_Inclusive!E73</f>
        <v>149.701603482</v>
      </c>
      <c r="R73" s="111">
        <f xml:space="preserve"> (1-fitSyst_bFrac!F73)*defaultFit_Inclusive!H73</f>
        <v>139.45496220000001</v>
      </c>
      <c r="S73" s="110"/>
      <c r="T73" s="111">
        <f xml:space="preserve"> (1-fitSyst_bFrac!G73)*defaultFit_Inclusive!E73</f>
        <v>147.45006563599998</v>
      </c>
      <c r="U73" s="111">
        <f xml:space="preserve"> (1-fitSyst_bFrac!G73)*defaultFit_Inclusive!H73</f>
        <v>137.35753560000001</v>
      </c>
      <c r="V73" s="110"/>
      <c r="W73" s="109">
        <f>(1-defaultFit_Inclusive!$U73)*trgBiassing!E73</f>
        <v>128.58792130800001</v>
      </c>
      <c r="X73" s="109">
        <f>(1-defaultFit_Inclusive!$U73)*trgBiassing!F73</f>
        <v>117.45630993599998</v>
      </c>
      <c r="Y73" s="110"/>
      <c r="Z73" s="109">
        <f>(1-defaultFit_Inclusive!$U73)*trgBiassing!L73</f>
        <v>83.712986532000002</v>
      </c>
      <c r="AA73" s="109">
        <f>(1-defaultFit_Inclusive!$U73)*trgBiassing!M73</f>
        <v>57.755237639399994</v>
      </c>
      <c r="AB73" s="110"/>
      <c r="AC73" s="109">
        <f>(1-defaultFit_Inclusive!$U73)*epSystematic!E73</f>
        <v>152.95364468999998</v>
      </c>
      <c r="AD73" s="109">
        <f>(1-defaultFit_Inclusive!$U73)*epSystematic!F73</f>
        <v>139.56533388</v>
      </c>
      <c r="AE73" s="112">
        <f t="shared" si="16"/>
        <v>3.6723435177395132E-2</v>
      </c>
      <c r="AF73" s="112">
        <f t="shared" si="17"/>
        <v>2.2689577849208352E-2</v>
      </c>
      <c r="AG73" s="112"/>
      <c r="AH73" s="112">
        <f xml:space="preserve"> defaultFit_Prompt!E73/defaultFit_Prompt!$E$74</f>
        <v>0.22123295486356176</v>
      </c>
      <c r="AI73" s="112">
        <f xml:space="preserve"> defaultFit_Prompt!H73/defaultFit_Prompt!$H$74</f>
        <v>0.21484022536319278</v>
      </c>
    </row>
    <row r="74" spans="1:35" ht="20.25" x14ac:dyDescent="0.35">
      <c r="A74" s="132"/>
      <c r="B74" s="132"/>
      <c r="C74" s="132"/>
      <c r="D74" s="74"/>
      <c r="E74" s="113">
        <f xml:space="preserve"> SUM(E70:E73)</f>
        <v>678.76857970900005</v>
      </c>
      <c r="F74" s="113">
        <f xml:space="preserve"> SUM(F70:F73)</f>
        <v>652.45710034899992</v>
      </c>
      <c r="G74" s="113"/>
      <c r="H74" s="113">
        <f xml:space="preserve"> SUM(H70:H73)</f>
        <v>652.45710034899992</v>
      </c>
      <c r="I74" s="113">
        <f xml:space="preserve"> SUM(I70:I73)</f>
        <v>649.93151936299989</v>
      </c>
      <c r="J74" s="113"/>
      <c r="K74" s="113">
        <f xml:space="preserve"> SUM(K70:K73)</f>
        <v>654.69751575199996</v>
      </c>
      <c r="L74" s="113">
        <f xml:space="preserve"> SUM(L70:L73)</f>
        <v>673.09294943000009</v>
      </c>
      <c r="M74" s="113"/>
      <c r="N74" s="113">
        <f xml:space="preserve"> SUM(N70:N73)</f>
        <v>667.79201913599991</v>
      </c>
      <c r="O74" s="113">
        <f xml:space="preserve"> SUM(O70:O73)</f>
        <v>640.95383932699997</v>
      </c>
      <c r="P74" s="113"/>
      <c r="Q74" s="113">
        <f xml:space="preserve"> SUM(Q70:Q73)</f>
        <v>679.48732645600001</v>
      </c>
      <c r="R74" s="113">
        <f xml:space="preserve"> SUM(R70:R73)</f>
        <v>651.79003898099995</v>
      </c>
      <c r="S74" s="113"/>
      <c r="T74" s="113">
        <f xml:space="preserve"> SUM(T70:T73)</f>
        <v>674.90712286600001</v>
      </c>
      <c r="U74" s="113">
        <f xml:space="preserve"> SUM(U70:U73)</f>
        <v>648.622008069</v>
      </c>
      <c r="V74" s="113"/>
      <c r="W74" s="113">
        <f xml:space="preserve"> SUM(W70:W73)</f>
        <v>553.41682486499997</v>
      </c>
      <c r="X74" s="113">
        <f xml:space="preserve"> SUM(X70:X73)</f>
        <v>541.86167570400005</v>
      </c>
      <c r="Y74" s="113"/>
      <c r="Z74" s="113">
        <f xml:space="preserve"> SUM(Z70:Z73)</f>
        <v>319.1728057126</v>
      </c>
      <c r="AA74" s="113">
        <f xml:space="preserve"> SUM(AA70:AA73)</f>
        <v>277.97536411240003</v>
      </c>
      <c r="AB74" s="113"/>
      <c r="AC74" s="113">
        <f xml:space="preserve"> SUM(AC70:AC73)</f>
        <v>679.89047593300006</v>
      </c>
      <c r="AD74" s="113">
        <f xml:space="preserve"> SUM(AD70:AD73)</f>
        <v>652.17273968999996</v>
      </c>
      <c r="AE74" s="113"/>
      <c r="AF74" s="113"/>
      <c r="AG74" s="113"/>
      <c r="AH74" s="113"/>
      <c r="AI74" s="113"/>
    </row>
    <row r="75" spans="1:35" ht="20.25" x14ac:dyDescent="0.35">
      <c r="A75" s="132" t="s">
        <v>81</v>
      </c>
      <c r="B75" s="132" t="s">
        <v>83</v>
      </c>
      <c r="C75" s="132" t="s">
        <v>17</v>
      </c>
      <c r="D75" s="68" t="s">
        <v>51</v>
      </c>
      <c r="E75" s="109">
        <f>(1-defaultFit_Inclusive!$U75)*fitSyst_Inclusive!E75</f>
        <v>1435.57261526</v>
      </c>
      <c r="F75" s="109">
        <f>(1-defaultFit_Inclusive!$U75)*fitSyst_Inclusive!F75</f>
        <v>1501.94462159</v>
      </c>
      <c r="G75" s="110"/>
      <c r="H75" s="109">
        <f>(1-defaultFit_Inclusive!$U75)*fitSyst_Inclusive!H75</f>
        <v>1501.8655131200001</v>
      </c>
      <c r="I75" s="109">
        <f>(1-defaultFit_Inclusive!$U75)*fitSyst_Inclusive!I75</f>
        <v>1553.1190118499999</v>
      </c>
      <c r="J75" s="110"/>
      <c r="K75" s="109">
        <f>(1-defaultFit_Inclusive!$U75)*fitSyst_Inclusive!K75</f>
        <v>1511.9738176200001</v>
      </c>
      <c r="L75" s="109">
        <f>(1-defaultFit_Inclusive!$U75)*fitSyst_Inclusive!L75</f>
        <v>1524.3674779199998</v>
      </c>
      <c r="M75" s="110"/>
      <c r="N75" s="111">
        <f xml:space="preserve"> (1-fitSyst_bFrac!E75)*defaultFit_Inclusive!E75</f>
        <v>1457.7113047600001</v>
      </c>
      <c r="O75" s="111">
        <f xml:space="preserve"> (1-fitSyst_bFrac!E75)*defaultFit_Inclusive!H75</f>
        <v>1472.2611422399998</v>
      </c>
      <c r="P75" s="110"/>
      <c r="Q75" s="111">
        <f xml:space="preserve"> (1-fitSyst_bFrac!F75)*defaultFit_Inclusive!E75</f>
        <v>1506.26452279</v>
      </c>
      <c r="R75" s="111">
        <f xml:space="preserve"> (1-fitSyst_bFrac!F75)*defaultFit_Inclusive!H75</f>
        <v>1521.2989839599998</v>
      </c>
      <c r="S75" s="110"/>
      <c r="T75" s="111">
        <f xml:space="preserve"> (1-fitSyst_bFrac!G75)*defaultFit_Inclusive!E75</f>
        <v>1500.4247187999999</v>
      </c>
      <c r="U75" s="111">
        <f xml:space="preserve"> (1-fitSyst_bFrac!G75)*defaultFit_Inclusive!H75</f>
        <v>1515.4008911999999</v>
      </c>
      <c r="V75" s="110"/>
      <c r="W75" s="109">
        <f>(1-defaultFit_Inclusive!$U75)*trgBiassing!E75</f>
        <v>1236.3862776299998</v>
      </c>
      <c r="X75" s="109">
        <f>(1-defaultFit_Inclusive!$U75)*trgBiassing!F75</f>
        <v>1273.5936280200001</v>
      </c>
      <c r="Y75" s="110"/>
      <c r="Z75" s="109">
        <f>(1-defaultFit_Inclusive!$U75)*trgBiassing!L75</f>
        <v>672.59954956599995</v>
      </c>
      <c r="AA75" s="109">
        <f>(1-defaultFit_Inclusive!$U75)*trgBiassing!M75</f>
        <v>735.14182696499995</v>
      </c>
      <c r="AB75" s="110"/>
      <c r="AC75" s="109">
        <f>(1-defaultFit_Inclusive!$U75)*epSystematic!E75</f>
        <v>1489.14662911</v>
      </c>
      <c r="AD75" s="109">
        <f>(1-defaultFit_Inclusive!$U75)*epSystematic!F75</f>
        <v>1504.0102316399998</v>
      </c>
      <c r="AE75" s="112"/>
      <c r="AF75" s="112"/>
      <c r="AG75" s="112"/>
      <c r="AH75" s="112"/>
      <c r="AI75" s="112"/>
    </row>
    <row r="76" spans="1:35" ht="20.25" x14ac:dyDescent="0.35">
      <c r="A76" s="132"/>
      <c r="B76" s="132"/>
      <c r="C76" s="132"/>
      <c r="D76" s="69" t="s">
        <v>49</v>
      </c>
      <c r="E76" s="109">
        <f>(1-defaultFit_Inclusive!$U76)*fitSyst_Inclusive!E76</f>
        <v>408.72511441</v>
      </c>
      <c r="F76" s="109">
        <f>(1-defaultFit_Inclusive!$U76)*fitSyst_Inclusive!F76</f>
        <v>448.64477626249999</v>
      </c>
      <c r="G76" s="110"/>
      <c r="H76" s="109">
        <f>(1-defaultFit_Inclusive!$U76)*fitSyst_Inclusive!H76</f>
        <v>448.65026186750003</v>
      </c>
      <c r="I76" s="109">
        <f>(1-defaultFit_Inclusive!$U76)*fitSyst_Inclusive!I76</f>
        <v>465.30090157749999</v>
      </c>
      <c r="J76" s="110"/>
      <c r="K76" s="109">
        <f>(1-defaultFit_Inclusive!$U76)*fitSyst_Inclusive!K76</f>
        <v>414.84339252000001</v>
      </c>
      <c r="L76" s="109">
        <f>(1-defaultFit_Inclusive!$U76)*fitSyst_Inclusive!L76</f>
        <v>446.22471019</v>
      </c>
      <c r="M76" s="110"/>
      <c r="N76" s="111">
        <f xml:space="preserve"> (1-fitSyst_bFrac!E76)*defaultFit_Inclusive!E76</f>
        <v>413.97034712699997</v>
      </c>
      <c r="O76" s="111">
        <f xml:space="preserve"> (1-fitSyst_bFrac!E76)*defaultFit_Inclusive!H76</f>
        <v>438.30207762499998</v>
      </c>
      <c r="P76" s="110"/>
      <c r="Q76" s="111">
        <f xml:space="preserve"> (1-fitSyst_bFrac!F76)*defaultFit_Inclusive!E76</f>
        <v>427.53353554229994</v>
      </c>
      <c r="R76" s="111">
        <f xml:space="preserve"> (1-fitSyst_bFrac!F76)*defaultFit_Inclusive!H76</f>
        <v>452.66246286249998</v>
      </c>
      <c r="S76" s="110"/>
      <c r="T76" s="111">
        <f xml:space="preserve"> (1-fitSyst_bFrac!G76)*defaultFit_Inclusive!E76</f>
        <v>419.92522214369995</v>
      </c>
      <c r="U76" s="111">
        <f xml:space="preserve"> (1-fitSyst_bFrac!G76)*defaultFit_Inclusive!H76</f>
        <v>444.60695938749996</v>
      </c>
      <c r="V76" s="110"/>
      <c r="W76" s="109">
        <f>(1-defaultFit_Inclusive!$U76)*trgBiassing!E76</f>
        <v>356.15199035749998</v>
      </c>
      <c r="X76" s="109">
        <f>(1-defaultFit_Inclusive!$U76)*trgBiassing!F76</f>
        <v>390.21668313999999</v>
      </c>
      <c r="Y76" s="110"/>
      <c r="Z76" s="109">
        <f>(1-defaultFit_Inclusive!$U76)*trgBiassing!L76</f>
        <v>195.52067621250001</v>
      </c>
      <c r="AA76" s="109">
        <f>(1-defaultFit_Inclusive!$U76)*trgBiassing!M76</f>
        <v>214.93331803999999</v>
      </c>
      <c r="AB76" s="110"/>
      <c r="AC76" s="109">
        <f>(1-defaultFit_Inclusive!$U76)*epSystematic!E76</f>
        <v>422.09901940000003</v>
      </c>
      <c r="AD76" s="109">
        <f>(1-defaultFit_Inclusive!$U76)*epSystematic!F76</f>
        <v>448.47106543749999</v>
      </c>
      <c r="AE76" s="112">
        <f>SQRT(POWER(E76/$E$80-AH76,2)+POWER(H76/$H$80-AH76,2)+POWER(K76/$K$80-AH76,2)+POWER(N76/$N$80-AH76,2)+POWER(Q76/$Q$80-AH76,2)+POWER(T76/$T$80-AH76,2)+POWER(W76/$W$80-AH76,2)+POWER(Z76/$Z$80-AH76,2)+POWER(AC76/$AC$80-AH76,2))/SQRT(9*POWER(PI()/8,2))</f>
        <v>1.4856301895041514E-2</v>
      </c>
      <c r="AF76" s="112">
        <f>SQRT(POWER(F76/$F$80-AI76,2)+POWER(I76/$I$80-AI76,2)+POWER(L76/$L$80-AI76,2)+POWER(O76/$O$80-AI76,2)+POWER(R76/$R$80-AI76,2)+POWER(U76/$U$80-AI76,2)+POWER(X76/$X$80-AI76,2)+POWER(AA76/$AA$80-AI76,2)+POWER(AD76/$AD$80-AI76,2))/SQRT(9*POWER(PI()/8,2))</f>
        <v>1.0593923865602789E-2</v>
      </c>
      <c r="AG76" s="112"/>
      <c r="AH76" s="112">
        <f xml:space="preserve"> defaultFit_Prompt!E76/defaultFit_Prompt!$E$80</f>
        <v>0.28351898176248064</v>
      </c>
      <c r="AI76" s="112">
        <f xml:space="preserve"> defaultFit_Prompt!H76/defaultFit_Prompt!$H$80</f>
        <v>0.29731662146918886</v>
      </c>
    </row>
    <row r="77" spans="1:35" ht="20.25" x14ac:dyDescent="0.35">
      <c r="A77" s="132"/>
      <c r="B77" s="132"/>
      <c r="C77" s="132"/>
      <c r="D77" s="69" t="s">
        <v>50</v>
      </c>
      <c r="E77" s="109">
        <f>(1-defaultFit_Inclusive!$U77)*fitSyst_Inclusive!E77</f>
        <v>332.26813567700003</v>
      </c>
      <c r="F77" s="109">
        <f>(1-defaultFit_Inclusive!$U77)*fitSyst_Inclusive!F77</f>
        <v>349.99039002900003</v>
      </c>
      <c r="G77" s="110"/>
      <c r="H77" s="109">
        <f>(1-defaultFit_Inclusive!$U77)*fitSyst_Inclusive!H77</f>
        <v>349.95127723999997</v>
      </c>
      <c r="I77" s="109">
        <f>(1-defaultFit_Inclusive!$U77)*fitSyst_Inclusive!I77</f>
        <v>361.65598739500001</v>
      </c>
      <c r="J77" s="110"/>
      <c r="K77" s="109">
        <f>(1-defaultFit_Inclusive!$U77)*fitSyst_Inclusive!K77</f>
        <v>352.36711610100002</v>
      </c>
      <c r="L77" s="109">
        <f>(1-defaultFit_Inclusive!$U77)*fitSyst_Inclusive!L77</f>
        <v>358.27814036199999</v>
      </c>
      <c r="M77" s="110"/>
      <c r="N77" s="111">
        <f xml:space="preserve"> (1-fitSyst_bFrac!E77)*defaultFit_Inclusive!E77</f>
        <v>334.12959683899999</v>
      </c>
      <c r="O77" s="111">
        <f xml:space="preserve"> (1-fitSyst_bFrac!E77)*defaultFit_Inclusive!H77</f>
        <v>339.26883864399997</v>
      </c>
      <c r="P77" s="110"/>
      <c r="Q77" s="111">
        <f xml:space="preserve"> (1-fitSyst_bFrac!F77)*defaultFit_Inclusive!E77</f>
        <v>346.21714835300003</v>
      </c>
      <c r="R77" s="111">
        <f xml:space="preserve"> (1-fitSyst_bFrac!F77)*defaultFit_Inclusive!H77</f>
        <v>351.54230858800003</v>
      </c>
      <c r="S77" s="110"/>
      <c r="T77" s="111">
        <f xml:space="preserve"> (1-fitSyst_bFrac!G77)*defaultFit_Inclusive!E77</f>
        <v>351.18741603200004</v>
      </c>
      <c r="U77" s="111">
        <f xml:space="preserve"> (1-fitSyst_bFrac!G77)*defaultFit_Inclusive!H77</f>
        <v>356.58902387200004</v>
      </c>
      <c r="V77" s="110"/>
      <c r="W77" s="109">
        <f>(1-defaultFit_Inclusive!$U77)*trgBiassing!E77</f>
        <v>293.43995463099998</v>
      </c>
      <c r="X77" s="109">
        <f>(1-defaultFit_Inclusive!$U77)*trgBiassing!F77</f>
        <v>300.69412870999997</v>
      </c>
      <c r="Y77" s="110"/>
      <c r="Z77" s="109">
        <f>(1-defaultFit_Inclusive!$U77)*trgBiassing!L77</f>
        <v>158.330234246</v>
      </c>
      <c r="AA77" s="109">
        <f>(1-defaultFit_Inclusive!$U77)*trgBiassing!M77</f>
        <v>184.679771227</v>
      </c>
      <c r="AB77" s="110"/>
      <c r="AC77" s="109">
        <f>(1-defaultFit_Inclusive!$U77)*epSystematic!E77</f>
        <v>342.46492298800001</v>
      </c>
      <c r="AD77" s="109">
        <f>(1-defaultFit_Inclusive!$U77)*epSystematic!F77</f>
        <v>352.42620137800003</v>
      </c>
      <c r="AE77" s="112">
        <f t="shared" ref="AE77:AE79" si="18">SQRT(POWER(E77/$E$80-AH77,2)+POWER(H77/$H$80-AH77,2)+POWER(K77/$K$80-AH77,2)+POWER(N77/$N$80-AH77,2)+POWER(Q77/$Q$80-AH77,2)+POWER(T77/$T$80-AH77,2)+POWER(W77/$W$80-AH77,2)+POWER(Z77/$Z$80-AH77,2)+POWER(AC77/$AC$80-AH77,2))/SQRT(9*POWER(PI()/8,2))</f>
        <v>7.4201013006831859E-3</v>
      </c>
      <c r="AF77" s="112">
        <f t="shared" ref="AF77:AF79" si="19">SQRT(POWER(F77/$F$80-AI77,2)+POWER(I77/$I$80-AI77,2)+POWER(L77/$L$80-AI77,2)+POWER(O77/$O$80-AI77,2)+POWER(R77/$R$80-AI77,2)+POWER(U77/$U$80-AI77,2)+POWER(X77/$X$80-AI77,2)+POWER(AA77/$AA$80-AI77,2)+POWER(AD77/$AD$80-AI77,2))/SQRT(9*POWER(PI()/8,2))</f>
        <v>1.6072667499656905E-2</v>
      </c>
      <c r="AG77" s="112"/>
      <c r="AH77" s="112">
        <f xml:space="preserve"> defaultFit_Prompt!E77/defaultFit_Prompt!$E$80</f>
        <v>0.23083296015084678</v>
      </c>
      <c r="AI77" s="112">
        <f xml:space="preserve"> defaultFit_Prompt!H77/defaultFit_Prompt!$H$80</f>
        <v>0.23214514169964573</v>
      </c>
    </row>
    <row r="78" spans="1:35" ht="20.25" x14ac:dyDescent="0.35">
      <c r="A78" s="132"/>
      <c r="B78" s="132"/>
      <c r="C78" s="132"/>
      <c r="D78" s="68" t="s">
        <v>52</v>
      </c>
      <c r="E78" s="109">
        <f>(1-defaultFit_Inclusive!$U78)*fitSyst_Inclusive!E78</f>
        <v>331.08034382</v>
      </c>
      <c r="F78" s="109">
        <f>(1-defaultFit_Inclusive!$U78)*fitSyst_Inclusive!F78</f>
        <v>354.09886212999999</v>
      </c>
      <c r="G78" s="110"/>
      <c r="H78" s="109">
        <f>(1-defaultFit_Inclusive!$U78)*fitSyst_Inclusive!H78</f>
        <v>354.01940877999999</v>
      </c>
      <c r="I78" s="109">
        <f>(1-defaultFit_Inclusive!$U78)*fitSyst_Inclusive!I78</f>
        <v>364.78975178000002</v>
      </c>
      <c r="J78" s="110"/>
      <c r="K78" s="109">
        <f>(1-defaultFit_Inclusive!$U78)*fitSyst_Inclusive!K78</f>
        <v>344.35346734500001</v>
      </c>
      <c r="L78" s="109">
        <f>(1-defaultFit_Inclusive!$U78)*fitSyst_Inclusive!L78</f>
        <v>352.16196602000002</v>
      </c>
      <c r="M78" s="110"/>
      <c r="N78" s="111">
        <f xml:space="preserve"> (1-fitSyst_bFrac!E78)*defaultFit_Inclusive!E78</f>
        <v>332.95814840999998</v>
      </c>
      <c r="O78" s="111">
        <f xml:space="preserve"> (1-fitSyst_bFrac!E78)*defaultFit_Inclusive!H78</f>
        <v>344.25769319999995</v>
      </c>
      <c r="P78" s="110"/>
      <c r="Q78" s="111">
        <f xml:space="preserve"> (1-fitSyst_bFrac!F78)*defaultFit_Inclusive!E78</f>
        <v>351.1460159156</v>
      </c>
      <c r="R78" s="111">
        <f xml:space="preserve"> (1-fitSyst_bFrac!F78)*defaultFit_Inclusive!H78</f>
        <v>363.06279931199998</v>
      </c>
      <c r="S78" s="110"/>
      <c r="T78" s="111">
        <f xml:space="preserve"> (1-fitSyst_bFrac!G78)*defaultFit_Inclusive!E78</f>
        <v>339.46014167599998</v>
      </c>
      <c r="U78" s="111">
        <f xml:space="preserve"> (1-fitSyst_bFrac!G78)*defaultFit_Inclusive!H78</f>
        <v>350.98034351999996</v>
      </c>
      <c r="V78" s="110"/>
      <c r="W78" s="109">
        <f>(1-defaultFit_Inclusive!$U78)*trgBiassing!E78</f>
        <v>281.37521087500005</v>
      </c>
      <c r="X78" s="109">
        <f>(1-defaultFit_Inclusive!$U78)*trgBiassing!F78</f>
        <v>285.15807315000001</v>
      </c>
      <c r="Y78" s="110"/>
      <c r="Z78" s="109">
        <f>(1-defaultFit_Inclusive!$U78)*trgBiassing!L78</f>
        <v>141.42961144500001</v>
      </c>
      <c r="AA78" s="109">
        <f>(1-defaultFit_Inclusive!$U78)*trgBiassing!M78</f>
        <v>157.55775868000001</v>
      </c>
      <c r="AB78" s="110"/>
      <c r="AC78" s="109">
        <f>(1-defaultFit_Inclusive!$U78)*epSystematic!E78</f>
        <v>353.23193780000003</v>
      </c>
      <c r="AD78" s="109">
        <f>(1-defaultFit_Inclusive!$U78)*epSystematic!F78</f>
        <v>357.85082588</v>
      </c>
      <c r="AE78" s="112">
        <f t="shared" si="18"/>
        <v>1.9078391193936603E-2</v>
      </c>
      <c r="AF78" s="112">
        <f t="shared" si="19"/>
        <v>2.1446170666284552E-2</v>
      </c>
      <c r="AG78" s="112"/>
      <c r="AH78" s="112">
        <f xml:space="preserve"> defaultFit_Prompt!E78/defaultFit_Prompt!$E$80</f>
        <v>0.22914624928543659</v>
      </c>
      <c r="AI78" s="112">
        <f xml:space="preserve"> defaultFit_Prompt!H78/defaultFit_Prompt!$H$80</f>
        <v>0.23466024104174102</v>
      </c>
    </row>
    <row r="79" spans="1:35" ht="20.25" x14ac:dyDescent="0.35">
      <c r="A79" s="132"/>
      <c r="B79" s="132"/>
      <c r="C79" s="132"/>
      <c r="D79" s="68" t="s">
        <v>53</v>
      </c>
      <c r="E79" s="109">
        <f>(1-defaultFit_Inclusive!$U79)*fitSyst_Inclusive!E79</f>
        <v>369.38599138800004</v>
      </c>
      <c r="F79" s="109">
        <f>(1-defaultFit_Inclusive!$U79)*fitSyst_Inclusive!F79</f>
        <v>355.86291872700002</v>
      </c>
      <c r="G79" s="110"/>
      <c r="H79" s="109">
        <f>(1-defaultFit_Inclusive!$U79)*fitSyst_Inclusive!H79</f>
        <v>355.87368621899998</v>
      </c>
      <c r="I79" s="109">
        <f>(1-defaultFit_Inclusive!$U79)*fitSyst_Inclusive!I79</f>
        <v>368.73545541300001</v>
      </c>
      <c r="J79" s="110"/>
      <c r="K79" s="109">
        <f>(1-defaultFit_Inclusive!$U79)*fitSyst_Inclusive!K79</f>
        <v>389.27713827600002</v>
      </c>
      <c r="L79" s="109">
        <f>(1-defaultFit_Inclusive!$U79)*fitSyst_Inclusive!L79</f>
        <v>378.47285734500002</v>
      </c>
      <c r="M79" s="110"/>
      <c r="N79" s="111">
        <f xml:space="preserve"> (1-fitSyst_bFrac!E79)*defaultFit_Inclusive!E79</f>
        <v>377.75126041599998</v>
      </c>
      <c r="O79" s="111">
        <f xml:space="preserve"> (1-fitSyst_bFrac!E79)*defaultFit_Inclusive!H79</f>
        <v>350.72777993599999</v>
      </c>
      <c r="P79" s="110"/>
      <c r="Q79" s="111">
        <f xml:space="preserve"> (1-fitSyst_bFrac!F79)*defaultFit_Inclusive!E79</f>
        <v>386.96325121759998</v>
      </c>
      <c r="R79" s="111">
        <f xml:space="preserve"> (1-fitSyst_bFrac!F79)*defaultFit_Inclusive!H79</f>
        <v>359.28076551460003</v>
      </c>
      <c r="S79" s="110"/>
      <c r="T79" s="111">
        <f xml:space="preserve"> (1-fitSyst_bFrac!G79)*defaultFit_Inclusive!E79</f>
        <v>392.45281500319993</v>
      </c>
      <c r="U79" s="111">
        <f xml:space="preserve"> (1-fitSyst_bFrac!G79)*defaultFit_Inclusive!H79</f>
        <v>364.37761818219997</v>
      </c>
      <c r="V79" s="110"/>
      <c r="W79" s="109">
        <f>(1-defaultFit_Inclusive!$U79)*trgBiassing!E79</f>
        <v>310.900564008</v>
      </c>
      <c r="X79" s="109">
        <f>(1-defaultFit_Inclusive!$U79)*trgBiassing!F79</f>
        <v>303.72761975400005</v>
      </c>
      <c r="Y79" s="110"/>
      <c r="Z79" s="109">
        <f>(1-defaultFit_Inclusive!$U79)*trgBiassing!L79</f>
        <v>180.807725664</v>
      </c>
      <c r="AA79" s="109">
        <f>(1-defaultFit_Inclusive!$U79)*trgBiassing!M79</f>
        <v>180.45150113700001</v>
      </c>
      <c r="AB79" s="110"/>
      <c r="AC79" s="109">
        <f>(1-defaultFit_Inclusive!$U79)*epSystematic!E79</f>
        <v>378.56258644500002</v>
      </c>
      <c r="AD79" s="109">
        <f>(1-defaultFit_Inclusive!$U79)*epSystematic!F79</f>
        <v>351.98123786100001</v>
      </c>
      <c r="AE79" s="112">
        <f t="shared" si="18"/>
        <v>2.1294433000423104E-2</v>
      </c>
      <c r="AF79" s="112">
        <f t="shared" si="19"/>
        <v>1.2757285215590287E-2</v>
      </c>
      <c r="AG79" s="112"/>
      <c r="AH79" s="112">
        <f xml:space="preserve"> defaultFit_Prompt!E79/defaultFit_Prompt!$E$80</f>
        <v>0.25650180880123602</v>
      </c>
      <c r="AI79" s="112">
        <f xml:space="preserve"> defaultFit_Prompt!H79/defaultFit_Prompt!$H$80</f>
        <v>0.23587799578942428</v>
      </c>
    </row>
    <row r="80" spans="1:35" ht="20.25" x14ac:dyDescent="0.35">
      <c r="A80" s="132"/>
      <c r="B80" s="132"/>
      <c r="C80" s="132"/>
      <c r="D80" s="74"/>
      <c r="E80" s="113">
        <f xml:space="preserve"> SUM(E76:E79)</f>
        <v>1441.4595852950001</v>
      </c>
      <c r="F80" s="113">
        <f xml:space="preserve"> SUM(F76:F79)</f>
        <v>1508.5969471485</v>
      </c>
      <c r="G80" s="113"/>
      <c r="H80" s="113">
        <f xml:space="preserve"> SUM(H76:H79)</f>
        <v>1508.4946341065001</v>
      </c>
      <c r="I80" s="113">
        <f xml:space="preserve"> SUM(I76:I79)</f>
        <v>1560.4820961655</v>
      </c>
      <c r="J80" s="113"/>
      <c r="K80" s="113">
        <f xml:space="preserve"> SUM(K76:K79)</f>
        <v>1500.841114242</v>
      </c>
      <c r="L80" s="113">
        <f xml:space="preserve"> SUM(L76:L79)</f>
        <v>1535.1376739169998</v>
      </c>
      <c r="M80" s="113"/>
      <c r="N80" s="113">
        <f xml:space="preserve"> SUM(N76:N79)</f>
        <v>1458.8093527919998</v>
      </c>
      <c r="O80" s="113">
        <f xml:space="preserve"> SUM(O76:O79)</f>
        <v>1472.5563894049999</v>
      </c>
      <c r="P80" s="113"/>
      <c r="Q80" s="113">
        <f xml:space="preserve"> SUM(Q76:Q79)</f>
        <v>1511.8599510284998</v>
      </c>
      <c r="R80" s="113">
        <f xml:space="preserve"> SUM(R76:R79)</f>
        <v>1526.5483362770999</v>
      </c>
      <c r="S80" s="113"/>
      <c r="T80" s="113">
        <f xml:space="preserve"> SUM(T76:T79)</f>
        <v>1503.0255948549</v>
      </c>
      <c r="U80" s="113">
        <f xml:space="preserve"> SUM(U76:U79)</f>
        <v>1516.5539449616999</v>
      </c>
      <c r="V80" s="113"/>
      <c r="W80" s="113">
        <f xml:space="preserve"> SUM(W76:W79)</f>
        <v>1241.8677198715</v>
      </c>
      <c r="X80" s="113">
        <f xml:space="preserve"> SUM(X76:X79)</f>
        <v>1279.7965047539999</v>
      </c>
      <c r="Y80" s="113"/>
      <c r="Z80" s="113">
        <f xml:space="preserve"> SUM(Z76:Z79)</f>
        <v>676.08824756750005</v>
      </c>
      <c r="AA80" s="113">
        <f xml:space="preserve"> SUM(AA76:AA79)</f>
        <v>737.62234908400001</v>
      </c>
      <c r="AB80" s="113"/>
      <c r="AC80" s="113">
        <f xml:space="preserve"> SUM(AC76:AC79)</f>
        <v>1496.358466633</v>
      </c>
      <c r="AD80" s="113">
        <f xml:space="preserve"> SUM(AD76:AD79)</f>
        <v>1510.7293305564999</v>
      </c>
      <c r="AE80" s="113"/>
      <c r="AF80" s="113"/>
      <c r="AG80" s="113"/>
      <c r="AH80" s="113"/>
      <c r="AI80" s="113"/>
    </row>
    <row r="81" spans="1:35" ht="20.25" x14ac:dyDescent="0.35">
      <c r="A81" s="132"/>
      <c r="B81" s="132" t="s">
        <v>79</v>
      </c>
      <c r="C81" s="132" t="s">
        <v>17</v>
      </c>
      <c r="D81" s="70" t="s">
        <v>51</v>
      </c>
      <c r="E81" s="109">
        <f>(1-defaultFit_Inclusive!$U81)*fitSyst_Inclusive!E81</f>
        <v>751.93994029800001</v>
      </c>
      <c r="F81" s="109">
        <f>(1-defaultFit_Inclusive!$U81)*fitSyst_Inclusive!F81</f>
        <v>700.46613761599997</v>
      </c>
      <c r="G81" s="110"/>
      <c r="H81" s="109">
        <f>(1-defaultFit_Inclusive!$U81)*fitSyst_Inclusive!H81</f>
        <v>700.46613761599997</v>
      </c>
      <c r="I81" s="109">
        <f>(1-defaultFit_Inclusive!$U81)*fitSyst_Inclusive!I81</f>
        <v>697.07863273500004</v>
      </c>
      <c r="J81" s="110"/>
      <c r="K81" s="109">
        <f>(1-defaultFit_Inclusive!$U81)*fitSyst_Inclusive!K81</f>
        <v>751.90963062399999</v>
      </c>
      <c r="L81" s="109">
        <f>(1-defaultFit_Inclusive!$U81)*fitSyst_Inclusive!L81</f>
        <v>697.72071925</v>
      </c>
      <c r="M81" s="110"/>
      <c r="N81" s="111">
        <f xml:space="preserve"> (1-fitSyst_bFrac!E81)*defaultFit_Inclusive!E81</f>
        <v>742.00196485800006</v>
      </c>
      <c r="O81" s="111">
        <f xml:space="preserve"> (1-fitSyst_bFrac!E81)*defaultFit_Inclusive!H81</f>
        <v>685.60313039100004</v>
      </c>
      <c r="P81" s="110"/>
      <c r="Q81" s="111">
        <f xml:space="preserve"> (1-fitSyst_bFrac!F81)*defaultFit_Inclusive!E81</f>
        <v>766.685009552</v>
      </c>
      <c r="R81" s="111">
        <f xml:space="preserve"> (1-fitSyst_bFrac!F81)*defaultFit_Inclusive!H81</f>
        <v>708.41004130399995</v>
      </c>
      <c r="S81" s="110"/>
      <c r="T81" s="111">
        <f xml:space="preserve"> (1-fitSyst_bFrac!G81)*defaultFit_Inclusive!E81</f>
        <v>762.825160482</v>
      </c>
      <c r="U81" s="111">
        <f xml:space="preserve"> (1-fitSyst_bFrac!G81)*defaultFit_Inclusive!H81</f>
        <v>704.84357553900008</v>
      </c>
      <c r="V81" s="110"/>
      <c r="W81" s="109">
        <f>(1-defaultFit_Inclusive!$U81)*trgBiassing!E81</f>
        <v>634.58646593099991</v>
      </c>
      <c r="X81" s="109">
        <f>(1-defaultFit_Inclusive!$U81)*trgBiassing!F81</f>
        <v>620.69905187799998</v>
      </c>
      <c r="Y81" s="110"/>
      <c r="Z81" s="109">
        <f>(1-defaultFit_Inclusive!$U81)*trgBiassing!L81</f>
        <v>389.72338353800001</v>
      </c>
      <c r="AA81" s="109">
        <f>(1-defaultFit_Inclusive!$U81)*trgBiassing!M81</f>
        <v>364.236935819</v>
      </c>
      <c r="AB81" s="110"/>
      <c r="AC81" s="109">
        <f>(1-defaultFit_Inclusive!$U81)*epSystematic!E81</f>
        <v>759.236595502</v>
      </c>
      <c r="AD81" s="109">
        <f>(1-defaultFit_Inclusive!$U81)*epSystematic!F81</f>
        <v>701.52777382900001</v>
      </c>
      <c r="AE81" s="112"/>
      <c r="AF81" s="112"/>
      <c r="AG81" s="112"/>
      <c r="AH81" s="112"/>
      <c r="AI81" s="112"/>
    </row>
    <row r="82" spans="1:35" ht="20.25" x14ac:dyDescent="0.35">
      <c r="A82" s="132"/>
      <c r="B82" s="132"/>
      <c r="C82" s="132"/>
      <c r="D82" s="71" t="s">
        <v>49</v>
      </c>
      <c r="E82" s="109">
        <f>(1-defaultFit_Inclusive!$U82)*fitSyst_Inclusive!E82</f>
        <v>218.461405875</v>
      </c>
      <c r="F82" s="109">
        <f>(1-defaultFit_Inclusive!$U82)*fitSyst_Inclusive!F82</f>
        <v>190.79323178000001</v>
      </c>
      <c r="G82" s="110"/>
      <c r="H82" s="109">
        <f>(1-defaultFit_Inclusive!$U82)*fitSyst_Inclusive!H82</f>
        <v>190.79323178000001</v>
      </c>
      <c r="I82" s="109">
        <f>(1-defaultFit_Inclusive!$U82)*fitSyst_Inclusive!I82</f>
        <v>189.7456742</v>
      </c>
      <c r="J82" s="110"/>
      <c r="K82" s="109">
        <f>(1-defaultFit_Inclusive!$U82)*fitSyst_Inclusive!K82</f>
        <v>216.07797211499999</v>
      </c>
      <c r="L82" s="109">
        <f>(1-defaultFit_Inclusive!$U82)*fitSyst_Inclusive!L82</f>
        <v>188.90874937500001</v>
      </c>
      <c r="M82" s="110"/>
      <c r="N82" s="111">
        <f xml:space="preserve"> (1-fitSyst_bFrac!E82)*defaultFit_Inclusive!E82</f>
        <v>216.842526875</v>
      </c>
      <c r="O82" s="111">
        <f xml:space="preserve"> (1-fitSyst_bFrac!E82)*defaultFit_Inclusive!H82</f>
        <v>188.51343746500001</v>
      </c>
      <c r="P82" s="110"/>
      <c r="Q82" s="111">
        <f xml:space="preserve"> (1-fitSyst_bFrac!F82)*defaultFit_Inclusive!E82</f>
        <v>224.149748875</v>
      </c>
      <c r="R82" s="111">
        <f xml:space="preserve"> (1-fitSyst_bFrac!F82)*defaultFit_Inclusive!H82</f>
        <v>194.86601764100001</v>
      </c>
      <c r="S82" s="110"/>
      <c r="T82" s="111">
        <f xml:space="preserve"> (1-fitSyst_bFrac!G82)*defaultFit_Inclusive!E82</f>
        <v>219.02936575000001</v>
      </c>
      <c r="U82" s="111">
        <f xml:space="preserve"> (1-fitSyst_bFrac!G82)*defaultFit_Inclusive!H82</f>
        <v>190.41457982600002</v>
      </c>
      <c r="V82" s="110"/>
      <c r="W82" s="109">
        <f>(1-defaultFit_Inclusive!$U82)*trgBiassing!E82</f>
        <v>172.93109362500002</v>
      </c>
      <c r="X82" s="109">
        <f>(1-defaultFit_Inclusive!$U82)*trgBiassing!F82</f>
        <v>159.35208845000002</v>
      </c>
      <c r="Y82" s="110"/>
      <c r="Z82" s="109">
        <f>(1-defaultFit_Inclusive!$U82)*trgBiassing!L82</f>
        <v>111.24853269500002</v>
      </c>
      <c r="AA82" s="109">
        <f>(1-defaultFit_Inclusive!$U82)*trgBiassing!M82</f>
        <v>85.179725945000001</v>
      </c>
      <c r="AB82" s="110"/>
      <c r="AC82" s="109">
        <f>(1-defaultFit_Inclusive!$U82)*epSystematic!E82</f>
        <v>226.80502580500001</v>
      </c>
      <c r="AD82" s="109">
        <f>(1-defaultFit_Inclusive!$U82)*epSystematic!F82</f>
        <v>194.41323198000001</v>
      </c>
      <c r="AE82" s="112">
        <f>SQRT(POWER(E82/$E$86-AH82,2)+POWER(H82/$H$86-AH82,2)+POWER(K82/$K$86-AH82,2)+POWER(N82/$N$86-AH82,2)+POWER(Q82/$Q$86-AH82,2)+POWER(T82/$T$86-AH82,2)+POWER(W82/$W$86-AH82,2)+POWER(Z82/$Z$86-AH82,2)+POWER(AC82/$AC$86-AH82,2))/SQRT(9*POWER(PI()/8,2))</f>
        <v>2.2663525508724022E-2</v>
      </c>
      <c r="AF82" s="112">
        <f>SQRT(POWER(F82/$F$86-AI82,2)+POWER(I82/$I$86-AI82,2)+POWER(L82/$L$86-AI82,2)+POWER(O82/$O$86-AI82,2)+POWER(R82/$R$86-AI82,2)+POWER(U82/$U$86-AI82,2)+POWER(X82/$X$86-AI82,2)+POWER(AA82/$AA$86-AI82,2)+POWER(AD82/$AD$86-AI82,2))/SQRT(9*POWER(PI()/8,2))</f>
        <v>3.6737691894134755E-2</v>
      </c>
      <c r="AG82" s="112"/>
      <c r="AH82" s="112">
        <f xml:space="preserve"> defaultFit_Prompt!E82/defaultFit_Prompt!$E$86</f>
        <v>0.29003906827149117</v>
      </c>
      <c r="AI82" s="112">
        <f xml:space="preserve"> defaultFit_Prompt!H82/defaultFit_Prompt!$H$86</f>
        <v>0.27314516009899287</v>
      </c>
    </row>
    <row r="83" spans="1:35" ht="20.25" x14ac:dyDescent="0.35">
      <c r="A83" s="132"/>
      <c r="B83" s="132"/>
      <c r="C83" s="132"/>
      <c r="D83" s="71" t="s">
        <v>50</v>
      </c>
      <c r="E83" s="109">
        <f>(1-defaultFit_Inclusive!$U83)*fitSyst_Inclusive!E83</f>
        <v>187.848963</v>
      </c>
      <c r="F83" s="109">
        <f>(1-defaultFit_Inclusive!$U83)*fitSyst_Inclusive!F83</f>
        <v>189.819203625</v>
      </c>
      <c r="G83" s="110"/>
      <c r="H83" s="109">
        <f>(1-defaultFit_Inclusive!$U83)*fitSyst_Inclusive!H83</f>
        <v>189.819203625</v>
      </c>
      <c r="I83" s="109">
        <f>(1-defaultFit_Inclusive!$U83)*fitSyst_Inclusive!I83</f>
        <v>188.99460607499998</v>
      </c>
      <c r="J83" s="110"/>
      <c r="K83" s="109">
        <f>(1-defaultFit_Inclusive!$U83)*fitSyst_Inclusive!K83</f>
        <v>189.34385714999999</v>
      </c>
      <c r="L83" s="109">
        <f>(1-defaultFit_Inclusive!$U83)*fitSyst_Inclusive!L83</f>
        <v>189.20117024999999</v>
      </c>
      <c r="M83" s="110"/>
      <c r="N83" s="111">
        <f xml:space="preserve"> (1-fitSyst_bFrac!E83)*defaultFit_Inclusive!E83</f>
        <v>188.27050622800002</v>
      </c>
      <c r="O83" s="111">
        <f xml:space="preserve"> (1-fitSyst_bFrac!E83)*defaultFit_Inclusive!H83</f>
        <v>187.00353466200002</v>
      </c>
      <c r="P83" s="110"/>
      <c r="Q83" s="111">
        <f xml:space="preserve"> (1-fitSyst_bFrac!F83)*defaultFit_Inclusive!E83</f>
        <v>190.72548004000001</v>
      </c>
      <c r="R83" s="111">
        <f xml:space="preserve"> (1-fitSyst_bFrac!F83)*defaultFit_Inclusive!H83</f>
        <v>189.44198766</v>
      </c>
      <c r="S83" s="110"/>
      <c r="T83" s="111">
        <f xml:space="preserve"> (1-fitSyst_bFrac!G83)*defaultFit_Inclusive!E83</f>
        <v>196.643217722</v>
      </c>
      <c r="U83" s="111">
        <f xml:space="preserve"> (1-fitSyst_bFrac!G83)*defaultFit_Inclusive!H83</f>
        <v>195.31990176300002</v>
      </c>
      <c r="V83" s="110"/>
      <c r="W83" s="109">
        <f>(1-defaultFit_Inclusive!$U83)*trgBiassing!E83</f>
        <v>166.300752375</v>
      </c>
      <c r="X83" s="109">
        <f>(1-defaultFit_Inclusive!$U83)*trgBiassing!F83</f>
        <v>174.89266064999998</v>
      </c>
      <c r="Y83" s="110"/>
      <c r="Z83" s="109">
        <f>(1-defaultFit_Inclusive!$U83)*trgBiassing!L83</f>
        <v>99.018901575000001</v>
      </c>
      <c r="AA83" s="109">
        <f>(1-defaultFit_Inclusive!$U83)*trgBiassing!M83</f>
        <v>102.45914909999999</v>
      </c>
      <c r="AB83" s="110"/>
      <c r="AC83" s="109">
        <f>(1-defaultFit_Inclusive!$U83)*epSystematic!E83</f>
        <v>180.4126527</v>
      </c>
      <c r="AD83" s="109">
        <f>(1-defaultFit_Inclusive!$U83)*epSystematic!F83</f>
        <v>188.2239309</v>
      </c>
      <c r="AE83" s="112">
        <f t="shared" ref="AE83:AE85" si="20">SQRT(POWER(E83/$E$86-AH83,2)+POWER(H83/$H$86-AH83,2)+POWER(K83/$K$86-AH83,2)+POWER(N83/$N$86-AH83,2)+POWER(Q83/$Q$86-AH83,2)+POWER(T83/$T$86-AH83,2)+POWER(W83/$W$86-AH83,2)+POWER(Z83/$Z$86-AH83,2)+POWER(AC83/$AC$86-AH83,2))/SQRT(9*POWER(PI()/8,2))</f>
        <v>2.290780762768261E-2</v>
      </c>
      <c r="AF83" s="112">
        <f t="shared" ref="AF83:AF85" si="21">SQRT(POWER(F83/$F$86-AI83,2)+POWER(I83/$I$86-AI83,2)+POWER(L83/$L$86-AI83,2)+POWER(O83/$O$86-AI83,2)+POWER(R83/$R$86-AI83,2)+POWER(U83/$U$86-AI83,2)+POWER(X83/$X$86-AI83,2)+POWER(AA83/$AA$86-AI83,2)+POWER(AD83/$AD$86-AI83,2))/SQRT(9*POWER(PI()/8,2))</f>
        <v>1.3595008100206371E-2</v>
      </c>
      <c r="AG83" s="112"/>
      <c r="AH83" s="112">
        <f xml:space="preserve"> defaultFit_Prompt!E83/defaultFit_Prompt!$E$86</f>
        <v>0.25245780687154695</v>
      </c>
      <c r="AI83" s="112">
        <f xml:space="preserve"> defaultFit_Prompt!H83/defaultFit_Prompt!$H$86</f>
        <v>0.27164110304400446</v>
      </c>
    </row>
    <row r="84" spans="1:35" ht="20.25" x14ac:dyDescent="0.35">
      <c r="A84" s="132"/>
      <c r="B84" s="132"/>
      <c r="C84" s="132"/>
      <c r="D84" s="70" t="s">
        <v>52</v>
      </c>
      <c r="E84" s="109">
        <f>(1-defaultFit_Inclusive!$U84)*fitSyst_Inclusive!E84</f>
        <v>190.15513741200002</v>
      </c>
      <c r="F84" s="109">
        <f>(1-defaultFit_Inclusive!$U84)*fitSyst_Inclusive!F84</f>
        <v>154.58267112000001</v>
      </c>
      <c r="G84" s="110"/>
      <c r="H84" s="109">
        <f>(1-defaultFit_Inclusive!$U84)*fitSyst_Inclusive!H84</f>
        <v>154.58267112000001</v>
      </c>
      <c r="I84" s="109">
        <f>(1-defaultFit_Inclusive!$U84)*fitSyst_Inclusive!I84</f>
        <v>153.728473812</v>
      </c>
      <c r="J84" s="110"/>
      <c r="K84" s="109">
        <f>(1-defaultFit_Inclusive!$U84)*fitSyst_Inclusive!K84</f>
        <v>192.041688636</v>
      </c>
      <c r="L84" s="109">
        <f>(1-defaultFit_Inclusive!$U84)*fitSyst_Inclusive!L84</f>
        <v>155.02567661399999</v>
      </c>
      <c r="M84" s="110"/>
      <c r="N84" s="111">
        <f xml:space="preserve"> (1-fitSyst_bFrac!E84)*defaultFit_Inclusive!E84</f>
        <v>189.20342542400002</v>
      </c>
      <c r="O84" s="111">
        <f xml:space="preserve"> (1-fitSyst_bFrac!E84)*defaultFit_Inclusive!H84</f>
        <v>153.100000768</v>
      </c>
      <c r="P84" s="110"/>
      <c r="Q84" s="111">
        <f xml:space="preserve"> (1-fitSyst_bFrac!F84)*defaultFit_Inclusive!E84</f>
        <v>192.760496864</v>
      </c>
      <c r="R84" s="111">
        <f xml:space="preserve"> (1-fitSyst_bFrac!F84)*defaultFit_Inclusive!H84</f>
        <v>155.97831884800001</v>
      </c>
      <c r="S84" s="110"/>
      <c r="T84" s="111">
        <f xml:space="preserve"> (1-fitSyst_bFrac!G84)*defaultFit_Inclusive!E84</f>
        <v>192.09005155600002</v>
      </c>
      <c r="U84" s="111">
        <f xml:space="preserve"> (1-fitSyst_bFrac!G84)*defaultFit_Inclusive!H84</f>
        <v>155.43580659200001</v>
      </c>
      <c r="V84" s="110"/>
      <c r="W84" s="109">
        <f>(1-defaultFit_Inclusive!$U84)*trgBiassing!E84</f>
        <v>156.512966154</v>
      </c>
      <c r="X84" s="109">
        <f>(1-defaultFit_Inclusive!$U84)*trgBiassing!F84</f>
        <v>138.342582822</v>
      </c>
      <c r="Y84" s="110"/>
      <c r="Z84" s="109">
        <f>(1-defaultFit_Inclusive!$U84)*trgBiassing!L84</f>
        <v>90.781131221999999</v>
      </c>
      <c r="AA84" s="109">
        <f>(1-defaultFit_Inclusive!$U84)*trgBiassing!M84</f>
        <v>91.906540151999991</v>
      </c>
      <c r="AB84" s="110"/>
      <c r="AC84" s="109">
        <f>(1-defaultFit_Inclusive!$U84)*epSystematic!E84</f>
        <v>193.143237306</v>
      </c>
      <c r="AD84" s="109">
        <f>(1-defaultFit_Inclusive!$U84)*epSystematic!F84</f>
        <v>157.29081062999998</v>
      </c>
      <c r="AE84" s="112">
        <f t="shared" si="20"/>
        <v>3.2075176394626613E-2</v>
      </c>
      <c r="AF84" s="112">
        <f t="shared" si="21"/>
        <v>2.5867803503101604E-2</v>
      </c>
      <c r="AG84" s="112"/>
      <c r="AH84" s="112">
        <f xml:space="preserve"> defaultFit_Prompt!E84/defaultFit_Prompt!$E$86</f>
        <v>0.25275887799938607</v>
      </c>
      <c r="AI84" s="112">
        <f xml:space="preserve"> defaultFit_Prompt!H84/defaultFit_Prompt!$H$86</f>
        <v>0.22156021199123282</v>
      </c>
    </row>
    <row r="85" spans="1:35" ht="20.25" x14ac:dyDescent="0.35">
      <c r="A85" s="132"/>
      <c r="B85" s="132"/>
      <c r="C85" s="132"/>
      <c r="D85" s="70" t="s">
        <v>53</v>
      </c>
      <c r="E85" s="109">
        <f>(1-defaultFit_Inclusive!$U85)*fitSyst_Inclusive!E85</f>
        <v>153.48943028599999</v>
      </c>
      <c r="F85" s="109">
        <f>(1-defaultFit_Inclusive!$U85)*fitSyst_Inclusive!F85</f>
        <v>163.49062592599998</v>
      </c>
      <c r="G85" s="110"/>
      <c r="H85" s="109">
        <f>(1-defaultFit_Inclusive!$U85)*fitSyst_Inclusive!H85</f>
        <v>163.49062592599998</v>
      </c>
      <c r="I85" s="109">
        <f>(1-defaultFit_Inclusive!$U85)*fitSyst_Inclusive!I85</f>
        <v>163.022533436</v>
      </c>
      <c r="J85" s="110"/>
      <c r="K85" s="109">
        <f>(1-defaultFit_Inclusive!$U85)*fitSyst_Inclusive!K85</f>
        <v>156.06964742599999</v>
      </c>
      <c r="L85" s="109">
        <f>(1-defaultFit_Inclusive!$U85)*fitSyst_Inclusive!L85</f>
        <v>161.803209584</v>
      </c>
      <c r="M85" s="110"/>
      <c r="N85" s="111">
        <f xml:space="preserve"> (1-fitSyst_bFrac!E85)*defaultFit_Inclusive!E85</f>
        <v>149.68439417000002</v>
      </c>
      <c r="O85" s="111">
        <f xml:space="preserve"> (1-fitSyst_bFrac!E85)*defaultFit_Inclusive!H85</f>
        <v>157.687765351</v>
      </c>
      <c r="P85" s="110"/>
      <c r="Q85" s="111">
        <f xml:space="preserve"> (1-fitSyst_bFrac!F85)*defaultFit_Inclusive!E85</f>
        <v>156.16740036000002</v>
      </c>
      <c r="R85" s="111">
        <f xml:space="preserve"> (1-fitSyst_bFrac!F85)*defaultFit_Inclusive!H85</f>
        <v>164.517406908</v>
      </c>
      <c r="S85" s="110"/>
      <c r="T85" s="111">
        <f xml:space="preserve"> (1-fitSyst_bFrac!G85)*defaultFit_Inclusive!E85</f>
        <v>153.55082063</v>
      </c>
      <c r="U85" s="111">
        <f xml:space="preserve"> (1-fitSyst_bFrac!G85)*defaultFit_Inclusive!H85</f>
        <v>161.76092308899999</v>
      </c>
      <c r="V85" s="110"/>
      <c r="W85" s="109">
        <f>(1-defaultFit_Inclusive!$U85)*trgBiassing!E85</f>
        <v>137.33529206200001</v>
      </c>
      <c r="X85" s="109">
        <f>(1-defaultFit_Inclusive!$U85)*trgBiassing!F85</f>
        <v>146.372902186</v>
      </c>
      <c r="Y85" s="110"/>
      <c r="Z85" s="109">
        <f>(1-defaultFit_Inclusive!$U85)*trgBiassing!L85</f>
        <v>88.622466935999995</v>
      </c>
      <c r="AA85" s="109">
        <f>(1-defaultFit_Inclusive!$U85)*trgBiassing!M85</f>
        <v>85.545995644000001</v>
      </c>
      <c r="AB85" s="110"/>
      <c r="AC85" s="109">
        <f>(1-defaultFit_Inclusive!$U85)*epSystematic!E85</f>
        <v>157.13979058199999</v>
      </c>
      <c r="AD85" s="109">
        <f>(1-defaultFit_Inclusive!$U85)*epSystematic!F85</f>
        <v>160.44764417799999</v>
      </c>
      <c r="AE85" s="112">
        <f t="shared" si="20"/>
        <v>3.345982721995322E-2</v>
      </c>
      <c r="AF85" s="112">
        <f t="shared" si="21"/>
        <v>6.4799539989037853E-3</v>
      </c>
      <c r="AG85" s="112"/>
      <c r="AH85" s="112">
        <f xml:space="preserve"> defaultFit_Prompt!E85/defaultFit_Prompt!$E$86</f>
        <v>0.20474424685757583</v>
      </c>
      <c r="AI85" s="112">
        <f xml:space="preserve"> defaultFit_Prompt!H85/defaultFit_Prompt!$H$86</f>
        <v>0.23365352486576987</v>
      </c>
    </row>
    <row r="86" spans="1:35" ht="20.25" x14ac:dyDescent="0.35">
      <c r="A86" s="132"/>
      <c r="B86" s="132"/>
      <c r="C86" s="132"/>
      <c r="D86" s="74"/>
      <c r="E86" s="113">
        <f xml:space="preserve"> SUM(E82:E85)</f>
        <v>749.95493657300005</v>
      </c>
      <c r="F86" s="113">
        <f xml:space="preserve"> SUM(F82:F85)</f>
        <v>698.68573245100004</v>
      </c>
      <c r="G86" s="113"/>
      <c r="H86" s="113">
        <f xml:space="preserve"> SUM(H82:H85)</f>
        <v>698.68573245100004</v>
      </c>
      <c r="I86" s="113">
        <f xml:space="preserve"> SUM(I82:I85)</f>
        <v>695.49128752299998</v>
      </c>
      <c r="J86" s="113"/>
      <c r="K86" s="113">
        <f xml:space="preserve"> SUM(K82:K85)</f>
        <v>753.53316532699989</v>
      </c>
      <c r="L86" s="113">
        <f xml:space="preserve"> SUM(L82:L85)</f>
        <v>694.93880582299994</v>
      </c>
      <c r="M86" s="113"/>
      <c r="N86" s="113">
        <f xml:space="preserve"> SUM(N82:N85)</f>
        <v>744.00085269700003</v>
      </c>
      <c r="O86" s="113">
        <f xml:space="preserve"> SUM(O82:O85)</f>
        <v>686.30473824599994</v>
      </c>
      <c r="P86" s="113"/>
      <c r="Q86" s="113">
        <f xml:space="preserve"> SUM(Q82:Q85)</f>
        <v>763.80312613900003</v>
      </c>
      <c r="R86" s="113">
        <f xml:space="preserve"> SUM(R82:R85)</f>
        <v>704.80373105699994</v>
      </c>
      <c r="S86" s="113"/>
      <c r="T86" s="113">
        <f xml:space="preserve"> SUM(T82:T85)</f>
        <v>761.31345565800007</v>
      </c>
      <c r="U86" s="113">
        <f xml:space="preserve"> SUM(U82:U85)</f>
        <v>702.93121127000006</v>
      </c>
      <c r="V86" s="113"/>
      <c r="W86" s="113">
        <f xml:space="preserve"> SUM(W82:W85)</f>
        <v>633.080104216</v>
      </c>
      <c r="X86" s="113">
        <f xml:space="preserve"> SUM(X82:X85)</f>
        <v>618.96023410800001</v>
      </c>
      <c r="Y86" s="113"/>
      <c r="Z86" s="113">
        <f xml:space="preserve"> SUM(Z82:Z85)</f>
        <v>389.67103242799999</v>
      </c>
      <c r="AA86" s="113">
        <f xml:space="preserve"> SUM(AA82:AA85)</f>
        <v>365.09141084100003</v>
      </c>
      <c r="AB86" s="113"/>
      <c r="AC86" s="113">
        <f xml:space="preserve"> SUM(AC82:AC85)</f>
        <v>757.50070639299997</v>
      </c>
      <c r="AD86" s="113">
        <f xml:space="preserve"> SUM(AD82:AD85)</f>
        <v>700.37561768800003</v>
      </c>
      <c r="AE86" s="113"/>
      <c r="AF86" s="113"/>
      <c r="AG86" s="113"/>
      <c r="AH86" s="113"/>
      <c r="AI86" s="113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3"/>
  <sheetViews>
    <sheetView showRuler="0" zoomScale="50" zoomScaleNormal="50" workbookViewId="0">
      <pane xSplit="4" topLeftCell="E1" activePane="topRight" state="frozen"/>
      <selection activeCell="F3" sqref="F3"/>
      <selection pane="topRight" activeCell="D1" sqref="D1:E1048576"/>
    </sheetView>
  </sheetViews>
  <sheetFormatPr defaultColWidth="11.5546875" defaultRowHeight="17.25" x14ac:dyDescent="0.3"/>
  <cols>
    <col min="4" max="4" width="11.33203125" customWidth="1"/>
    <col min="7" max="7" width="10.77734375" style="40"/>
    <col min="10" max="10" width="10.77734375" style="40"/>
    <col min="13" max="13" width="10.77734375" style="40"/>
  </cols>
  <sheetData>
    <row r="1" spans="1:35" ht="20.25" x14ac:dyDescent="0.35">
      <c r="A1" s="6"/>
      <c r="B1" s="6"/>
      <c r="C1" s="6"/>
      <c r="D1" s="6"/>
      <c r="E1" s="6" t="s">
        <v>58</v>
      </c>
      <c r="F1" s="6"/>
      <c r="G1" s="39"/>
      <c r="H1" s="6" t="s">
        <v>59</v>
      </c>
      <c r="I1" s="6"/>
      <c r="J1" s="39"/>
      <c r="K1" s="27" t="s">
        <v>60</v>
      </c>
      <c r="L1" s="27"/>
      <c r="M1" s="39"/>
      <c r="N1" s="27" t="s">
        <v>89</v>
      </c>
      <c r="O1" s="27"/>
      <c r="P1" s="39"/>
      <c r="Q1" s="27" t="s">
        <v>90</v>
      </c>
      <c r="R1" s="27"/>
      <c r="S1" s="39"/>
      <c r="T1" s="27" t="s">
        <v>91</v>
      </c>
      <c r="U1" s="27"/>
      <c r="V1" s="39"/>
      <c r="W1" s="27" t="s">
        <v>92</v>
      </c>
      <c r="X1" s="27"/>
      <c r="Y1" s="39"/>
      <c r="Z1" s="27" t="s">
        <v>94</v>
      </c>
      <c r="AA1" s="27"/>
      <c r="AB1" s="39"/>
      <c r="AC1" s="27" t="s">
        <v>93</v>
      </c>
      <c r="AD1" s="27"/>
      <c r="AE1" t="s">
        <v>95</v>
      </c>
      <c r="AH1" t="s">
        <v>98</v>
      </c>
    </row>
    <row r="2" spans="1:35" ht="20.25" x14ac:dyDescent="0.35">
      <c r="A2" s="2" t="s">
        <v>18</v>
      </c>
      <c r="B2" s="2" t="s">
        <v>19</v>
      </c>
      <c r="C2" s="2" t="s">
        <v>20</v>
      </c>
      <c r="D2" s="2" t="s">
        <v>48</v>
      </c>
      <c r="E2" s="2" t="s">
        <v>63</v>
      </c>
      <c r="F2" s="2" t="s">
        <v>64</v>
      </c>
      <c r="H2" s="2" t="s">
        <v>63</v>
      </c>
      <c r="I2" s="2" t="s">
        <v>64</v>
      </c>
      <c r="K2" s="2" t="s">
        <v>63</v>
      </c>
      <c r="L2" s="2" t="s">
        <v>64</v>
      </c>
      <c r="N2" s="2" t="s">
        <v>63</v>
      </c>
      <c r="O2" s="2" t="s">
        <v>64</v>
      </c>
      <c r="P2" s="40"/>
      <c r="Q2" s="26" t="s">
        <v>63</v>
      </c>
      <c r="R2" s="26" t="s">
        <v>64</v>
      </c>
      <c r="S2" s="40"/>
      <c r="T2" s="26" t="s">
        <v>63</v>
      </c>
      <c r="U2" s="26" t="s">
        <v>64</v>
      </c>
      <c r="V2" s="40"/>
      <c r="W2" s="26" t="s">
        <v>63</v>
      </c>
      <c r="X2" s="26" t="s">
        <v>64</v>
      </c>
      <c r="Y2" s="40"/>
      <c r="Z2" s="26" t="s">
        <v>63</v>
      </c>
      <c r="AA2" s="26" t="s">
        <v>64</v>
      </c>
      <c r="AB2" s="40"/>
      <c r="AC2" s="26" t="s">
        <v>63</v>
      </c>
      <c r="AD2" s="26" t="s">
        <v>64</v>
      </c>
      <c r="AE2" s="26" t="s">
        <v>63</v>
      </c>
      <c r="AF2" s="26" t="s">
        <v>64</v>
      </c>
      <c r="AH2" s="26" t="s">
        <v>99</v>
      </c>
      <c r="AI2" s="26" t="s">
        <v>100</v>
      </c>
    </row>
    <row r="3" spans="1:35" ht="20.25" x14ac:dyDescent="0.35">
      <c r="A3" s="146" t="s">
        <v>55</v>
      </c>
      <c r="B3" s="146" t="s">
        <v>25</v>
      </c>
      <c r="C3" s="125" t="s">
        <v>35</v>
      </c>
      <c r="D3" s="4"/>
      <c r="E3" s="36"/>
      <c r="F3" s="36"/>
      <c r="H3" s="36"/>
      <c r="I3" s="36"/>
      <c r="K3" s="36"/>
      <c r="L3" s="36"/>
      <c r="N3" s="41"/>
      <c r="O3" s="41"/>
      <c r="P3" s="40"/>
      <c r="Q3" s="41"/>
      <c r="R3" s="41"/>
      <c r="S3" s="40"/>
      <c r="T3" s="41"/>
      <c r="U3" s="41"/>
      <c r="V3" s="40"/>
      <c r="W3" s="36"/>
      <c r="X3" s="36"/>
      <c r="Y3" s="40"/>
      <c r="Z3" s="36"/>
      <c r="AA3" s="36"/>
      <c r="AB3" s="40"/>
      <c r="AC3" s="36"/>
      <c r="AD3" s="36"/>
    </row>
    <row r="4" spans="1:35" ht="20.25" x14ac:dyDescent="0.35">
      <c r="A4" s="146"/>
      <c r="B4" s="146"/>
      <c r="C4" s="125"/>
      <c r="D4" s="4" t="s">
        <v>49</v>
      </c>
      <c r="E4" s="109">
        <f>defaultFit_Inclusive!$U4*fitSyst_Inclusive!E4</f>
        <v>112.80059875800001</v>
      </c>
      <c r="F4" s="109">
        <f>defaultFit_Inclusive!$U4*fitSyst_Inclusive!F4</f>
        <v>104.42716489800002</v>
      </c>
      <c r="G4" s="110"/>
      <c r="H4" s="109">
        <f>defaultFit_Inclusive!$U4*fitSyst_Inclusive!H4</f>
        <v>104.42716489800002</v>
      </c>
      <c r="I4" s="109">
        <f>defaultFit_Inclusive!$U4*fitSyst_Inclusive!I4</f>
        <v>104.03298210600001</v>
      </c>
      <c r="J4" s="110"/>
      <c r="K4" s="109">
        <f>defaultFit_Inclusive!$U4*fitSyst_Inclusive!K4</f>
        <v>114.42483249300001</v>
      </c>
      <c r="L4" s="109">
        <f>defaultFit_Inclusive!$U4*fitSyst_Inclusive!L4</f>
        <v>111.24304564500001</v>
      </c>
      <c r="M4" s="110"/>
      <c r="N4" s="111">
        <f xml:space="preserve"> fitSyst_bFrac!E4*defaultFit_Inclusive!E4</f>
        <v>116.16486152000002</v>
      </c>
      <c r="O4" s="111">
        <f xml:space="preserve"> fitSyst_bFrac!E4*defaultFit_Inclusive!H4</f>
        <v>107.473291588</v>
      </c>
      <c r="P4" s="110"/>
      <c r="Q4" s="111">
        <f xml:space="preserve"> fitSyst_bFrac!F4*defaultFit_Inclusive!E4</f>
        <v>112.42015076</v>
      </c>
      <c r="R4" s="111">
        <f xml:space="preserve"> fitSyst_bFrac!F4*defaultFit_Inclusive!H4</f>
        <v>104.00876379399999</v>
      </c>
      <c r="S4" s="110"/>
      <c r="T4" s="111">
        <f>fitSyst_bFrac!$G4*defaultFit_Inclusive!$E4</f>
        <v>116.3018538</v>
      </c>
      <c r="U4" s="111">
        <f>fitSyst_bFrac!$G4*defaultFit_Inclusive!$H4</f>
        <v>107.60003396999998</v>
      </c>
      <c r="V4" s="110"/>
      <c r="W4" s="109">
        <f>defaultFit_Inclusive!$U4*trgBiassing!E4</f>
        <v>103.33047519899999</v>
      </c>
      <c r="X4" s="109">
        <f>defaultFit_Inclusive!$U4*trgBiassing!F4</f>
        <v>90.994560128999993</v>
      </c>
      <c r="Y4" s="110"/>
      <c r="Z4" s="109">
        <f>defaultFit_Inclusive!$U4*trgBiassing!L4</f>
        <v>46.866150620999996</v>
      </c>
      <c r="AA4" s="109">
        <f>defaultFit_Inclusive!$U4*trgBiassing!M4</f>
        <v>49.179909195</v>
      </c>
      <c r="AB4" s="110"/>
      <c r="AC4" s="109">
        <f>defaultFit_Inclusive!$U4*epSystematic!E4</f>
        <v>110.165238954</v>
      </c>
      <c r="AD4" s="109">
        <f>defaultFit_Inclusive!$U4*epSystematic!F4</f>
        <v>106.58867922</v>
      </c>
      <c r="AE4" s="112">
        <f>SQRT(POWER(E4/$E$8-AH4,2)+POWER(H4/$H$8-AH4,2)+POWER(K4/$K$8-AH4,2)+POWER(N4/$N$8-AH4,2)+POWER(Q4/$Q$8-AH4,2)+POWER(T4/$T$8-AH4,2)+POWER(W4/$W$8-AH4,2)+POWER(Z4/$Z$8-AH4,2)+POWER(AC4/$AC$8-AH4,2))/SQRT(9*POWER(PI()/8,2))</f>
        <v>3.5334234745758863E-2</v>
      </c>
      <c r="AF4" s="112">
        <f>SQRT(POWER(F4/$F$8-AI4,2)+POWER(I4/$I$8-AI4,2)+POWER(L4/$L$8-AI4,2)+POWER(O4/$O$8-AI4,2)+POWER(R4/$R$8-AI4,2)+POWER(U4/$U$8-AI4,2)+POWER(X4/$X$8-AI4,2)+POWER(AA4/$AA$8-AI4,2)+POWER(AD4/$AD$8-AI4,2))/SQRT(9*POWER(PI()/8,2))</f>
        <v>8.8179943134693729E-3</v>
      </c>
      <c r="AG4" s="112"/>
      <c r="AH4" s="112">
        <f xml:space="preserve"> defaultFit_NonPrompt!E4/defaultFit_NonPrompt!$E$8</f>
        <v>0.29443157620326543</v>
      </c>
      <c r="AI4" s="112">
        <f xml:space="preserve"> defaultFit_NonPrompt!H4/defaultFit_NonPrompt!$H$8</f>
        <v>0.29469877439320502</v>
      </c>
    </row>
    <row r="5" spans="1:35" ht="20.25" x14ac:dyDescent="0.35">
      <c r="A5" s="146"/>
      <c r="B5" s="146"/>
      <c r="C5" s="125"/>
      <c r="D5" s="4" t="s">
        <v>50</v>
      </c>
      <c r="E5" s="109">
        <f>defaultFit_Inclusive!$U5*fitSyst_Inclusive!E5</f>
        <v>95.246305110000009</v>
      </c>
      <c r="F5" s="109">
        <f>defaultFit_Inclusive!$U5*fitSyst_Inclusive!F5</f>
        <v>84.996397529999996</v>
      </c>
      <c r="G5" s="110"/>
      <c r="H5" s="109">
        <f>defaultFit_Inclusive!$U5*fitSyst_Inclusive!H5</f>
        <v>84.996397529999996</v>
      </c>
      <c r="I5" s="109">
        <f>defaultFit_Inclusive!$U5*fitSyst_Inclusive!I5</f>
        <v>84.53919375000001</v>
      </c>
      <c r="J5" s="110"/>
      <c r="K5" s="109">
        <f>defaultFit_Inclusive!$U5*fitSyst_Inclusive!K5</f>
        <v>95.748069120000011</v>
      </c>
      <c r="L5" s="109">
        <f>defaultFit_Inclusive!$U5*fitSyst_Inclusive!L5</f>
        <v>88.285153440000002</v>
      </c>
      <c r="M5" s="110"/>
      <c r="N5" s="111">
        <f xml:space="preserve"> fitSyst_bFrac!E5*defaultFit_Inclusive!E5</f>
        <v>98.467745632000003</v>
      </c>
      <c r="O5" s="111">
        <f xml:space="preserve"> fitSyst_bFrac!E5*defaultFit_Inclusive!H5</f>
        <v>87.874303703999999</v>
      </c>
      <c r="P5" s="110"/>
      <c r="Q5" s="111">
        <f xml:space="preserve"> fitSyst_bFrac!F5*defaultFit_Inclusive!E5</f>
        <v>91.824333920000001</v>
      </c>
      <c r="R5" s="111">
        <f xml:space="preserve"> fitSyst_bFrac!F5*defaultFit_Inclusive!H5</f>
        <v>81.94560924000001</v>
      </c>
      <c r="S5" s="110"/>
      <c r="T5" s="111">
        <f>fitSyst_bFrac!$G5*defaultFit_Inclusive!$E5</f>
        <v>96.636539540000015</v>
      </c>
      <c r="U5" s="111">
        <f>fitSyst_bFrac!$G5*defaultFit_Inclusive!$H5</f>
        <v>86.240104005000006</v>
      </c>
      <c r="V5" s="110"/>
      <c r="W5" s="109">
        <f>defaultFit_Inclusive!$U5*trgBiassing!E5</f>
        <v>81.452145389999998</v>
      </c>
      <c r="X5" s="109">
        <f>defaultFit_Inclusive!$U5*trgBiassing!F5</f>
        <v>75.745799250000005</v>
      </c>
      <c r="Y5" s="110"/>
      <c r="Z5" s="109">
        <f>defaultFit_Inclusive!$U5*trgBiassing!L5</f>
        <v>46.036254660000004</v>
      </c>
      <c r="AA5" s="109">
        <f>defaultFit_Inclusive!$U5*trgBiassing!M5</f>
        <v>37.316687760000001</v>
      </c>
      <c r="AB5" s="110"/>
      <c r="AC5" s="109">
        <f>defaultFit_Inclusive!$U5*epSystematic!E5</f>
        <v>96.718111050000005</v>
      </c>
      <c r="AD5" s="109">
        <f>defaultFit_Inclusive!$U5*epSystematic!F5</f>
        <v>82.322520060000016</v>
      </c>
      <c r="AE5" s="112">
        <f t="shared" ref="AE5:AE7" si="0">SQRT(POWER(E5/$E$8-AH5,2)+POWER(H5/$H$8-AH5,2)+POWER(K5/$K$8-AH5,2)+POWER(N5/$N$8-AH5,2)+POWER(Q5/$Q$8-AH5,2)+POWER(T5/$T$8-AH5,2)+POWER(W5/$W$8-AH5,2)+POWER(Z5/$Z$8-AH5,2)+POWER(AC5/$AC$8-AH5,2))/SQRT(9*POWER(PI()/8,2))</f>
        <v>1.4095544173116804E-2</v>
      </c>
      <c r="AF5" s="112">
        <f t="shared" ref="AF5:AF7" si="1">SQRT(POWER(F5/$F$8-AI5,2)+POWER(I5/$I$8-AI5,2)+POWER(L5/$L$8-AI5,2)+POWER(O5/$O$8-AI5,2)+POWER(R5/$R$8-AI5,2)+POWER(U5/$U$8-AI5,2)+POWER(X5/$X$8-AI5,2)+POWER(AA5/$AA$8-AI5,2)+POWER(AD5/$AD$8-AI5,2))/SQRT(9*POWER(PI()/8,2))</f>
        <v>1.8413707402021764E-2</v>
      </c>
      <c r="AG5" s="112"/>
      <c r="AH5" s="112">
        <f xml:space="preserve"> defaultFit_NonPrompt!E5/defaultFit_NonPrompt!$E$8</f>
        <v>0.24869676143696745</v>
      </c>
      <c r="AI5" s="112">
        <f xml:space="preserve"> defaultFit_NonPrompt!H5/defaultFit_NonPrompt!$H$8</f>
        <v>0.24010776551972174</v>
      </c>
    </row>
    <row r="6" spans="1:35" ht="20.25" x14ac:dyDescent="0.35">
      <c r="A6" s="146"/>
      <c r="B6" s="146"/>
      <c r="C6" s="125"/>
      <c r="D6" s="28" t="s">
        <v>52</v>
      </c>
      <c r="E6" s="109">
        <f>defaultFit_Inclusive!$U6*fitSyst_Inclusive!E6</f>
        <v>87.393325626000006</v>
      </c>
      <c r="F6" s="109">
        <f>defaultFit_Inclusive!$U6*fitSyst_Inclusive!F6</f>
        <v>84.703501617000015</v>
      </c>
      <c r="G6" s="110"/>
      <c r="H6" s="109">
        <f>defaultFit_Inclusive!$U6*fitSyst_Inclusive!H6</f>
        <v>84.703501617000015</v>
      </c>
      <c r="I6" s="109">
        <f>defaultFit_Inclusive!$U6*fitSyst_Inclusive!I6</f>
        <v>84.146051637000014</v>
      </c>
      <c r="J6" s="110"/>
      <c r="K6" s="109">
        <f>defaultFit_Inclusive!$U6*fitSyst_Inclusive!K6</f>
        <v>88.368351669000006</v>
      </c>
      <c r="L6" s="109">
        <f>defaultFit_Inclusive!$U6*fitSyst_Inclusive!L6</f>
        <v>84.291039774000012</v>
      </c>
      <c r="M6" s="110"/>
      <c r="N6" s="111">
        <f xml:space="preserve"> fitSyst_bFrac!E6*defaultFit_Inclusive!E6</f>
        <v>93.018346823999991</v>
      </c>
      <c r="O6" s="111">
        <f xml:space="preserve"> fitSyst_bFrac!E6*defaultFit_Inclusive!H6</f>
        <v>89.954291007999998</v>
      </c>
      <c r="P6" s="110"/>
      <c r="Q6" s="111">
        <f xml:space="preserve"> fitSyst_bFrac!F6*defaultFit_Inclusive!E6</f>
        <v>87.016754369999987</v>
      </c>
      <c r="R6" s="111">
        <f xml:space="preserve"> fitSyst_bFrac!F6*defaultFit_Inclusive!H6</f>
        <v>84.150393039999997</v>
      </c>
      <c r="S6" s="110"/>
      <c r="T6" s="111">
        <f>fitSyst_bFrac!$G6*defaultFit_Inclusive!$E6</f>
        <v>89.002215275999987</v>
      </c>
      <c r="U6" s="111">
        <f>fitSyst_bFrac!$G6*defaultFit_Inclusive!$H6</f>
        <v>86.070452191999991</v>
      </c>
      <c r="V6" s="110"/>
      <c r="W6" s="109">
        <f>defaultFit_Inclusive!$U6*trgBiassing!E6</f>
        <v>80.499868488000004</v>
      </c>
      <c r="X6" s="109">
        <f>defaultFit_Inclusive!$U6*trgBiassing!F6</f>
        <v>74.006343354000009</v>
      </c>
      <c r="Y6" s="110"/>
      <c r="Z6" s="109">
        <f>defaultFit_Inclusive!$U6*trgBiassing!L6</f>
        <v>47.407796556000001</v>
      </c>
      <c r="AA6" s="109">
        <f>defaultFit_Inclusive!$U6*trgBiassing!M6</f>
        <v>42.526529277000002</v>
      </c>
      <c r="AB6" s="110"/>
      <c r="AC6" s="109">
        <f>defaultFit_Inclusive!$U6*epSystematic!E6</f>
        <v>87.297434001000013</v>
      </c>
      <c r="AD6" s="109">
        <f>defaultFit_Inclusive!$U6*epSystematic!F6</f>
        <v>87.183642606000021</v>
      </c>
      <c r="AE6" s="112">
        <f t="shared" si="0"/>
        <v>2.6966916061538195E-2</v>
      </c>
      <c r="AF6" s="112">
        <f t="shared" si="1"/>
        <v>1.6575014792596904E-2</v>
      </c>
      <c r="AG6" s="112"/>
      <c r="AH6" s="112">
        <f xml:space="preserve"> defaultFit_NonPrompt!E6/defaultFit_NonPrompt!$E$8</f>
        <v>0.22839551109574849</v>
      </c>
      <c r="AI6" s="112">
        <f xml:space="preserve"> defaultFit_NonPrompt!H6/defaultFit_NonPrompt!$H$8</f>
        <v>0.23895108497272288</v>
      </c>
    </row>
    <row r="7" spans="1:35" ht="20.25" x14ac:dyDescent="0.35">
      <c r="A7" s="146"/>
      <c r="B7" s="146"/>
      <c r="C7" s="125"/>
      <c r="D7" s="28" t="s">
        <v>53</v>
      </c>
      <c r="E7" s="109">
        <f>defaultFit_Inclusive!$U7*fitSyst_Inclusive!E7</f>
        <v>87.530872823999999</v>
      </c>
      <c r="F7" s="109">
        <f>defaultFit_Inclusive!$U7*fitSyst_Inclusive!F7</f>
        <v>80.176909056</v>
      </c>
      <c r="G7" s="110"/>
      <c r="H7" s="109">
        <f>defaultFit_Inclusive!$U7*fitSyst_Inclusive!H7</f>
        <v>80.176909056</v>
      </c>
      <c r="I7" s="109">
        <f>defaultFit_Inclusive!$U7*fitSyst_Inclusive!I7</f>
        <v>79.757013407999992</v>
      </c>
      <c r="J7" s="110"/>
      <c r="K7" s="109">
        <f>defaultFit_Inclusive!$U7*fitSyst_Inclusive!K7</f>
        <v>86.217566112000014</v>
      </c>
      <c r="L7" s="109">
        <f>defaultFit_Inclusive!$U7*fitSyst_Inclusive!L7</f>
        <v>85.991255448000004</v>
      </c>
      <c r="M7" s="110"/>
      <c r="N7" s="111">
        <f xml:space="preserve"> fitSyst_bFrac!E7*defaultFit_Inclusive!E7</f>
        <v>90.648677426999996</v>
      </c>
      <c r="O7" s="111">
        <f xml:space="preserve"> fitSyst_bFrac!E7*defaultFit_Inclusive!H7</f>
        <v>82.971009576</v>
      </c>
      <c r="P7" s="110"/>
      <c r="Q7" s="111">
        <f xml:space="preserve"> fitSyst_bFrac!F7*defaultFit_Inclusive!E7</f>
        <v>88.517695860000003</v>
      </c>
      <c r="R7" s="111">
        <f xml:space="preserve"> fitSyst_bFrac!F7*defaultFit_Inclusive!H7</f>
        <v>81.020515680000003</v>
      </c>
      <c r="S7" s="110"/>
      <c r="T7" s="111">
        <f>fitSyst_bFrac!$G7*defaultFit_Inclusive!$E7</f>
        <v>89.074542260000001</v>
      </c>
      <c r="U7" s="111">
        <f>fitSyst_bFrac!$G7*defaultFit_Inclusive!$H7</f>
        <v>81.53019888</v>
      </c>
      <c r="V7" s="110"/>
      <c r="W7" s="109">
        <f>defaultFit_Inclusive!$U7*trgBiassing!E7</f>
        <v>77.951311079999996</v>
      </c>
      <c r="X7" s="109">
        <f>defaultFit_Inclusive!$U7*trgBiassing!F7</f>
        <v>71.277789720000001</v>
      </c>
      <c r="Y7" s="110"/>
      <c r="Z7" s="109">
        <f>defaultFit_Inclusive!$U7*trgBiassing!L7</f>
        <v>44.030388552000005</v>
      </c>
      <c r="AA7" s="109">
        <f>defaultFit_Inclusive!$U7*trgBiassing!M7</f>
        <v>39.470190912</v>
      </c>
      <c r="AB7" s="110"/>
      <c r="AC7" s="109">
        <f>defaultFit_Inclusive!$U7*epSystematic!E7</f>
        <v>88.730646600000014</v>
      </c>
      <c r="AD7" s="109">
        <f>defaultFit_Inclusive!$U7*epSystematic!F7</f>
        <v>78.629991336000003</v>
      </c>
      <c r="AE7" s="112">
        <f t="shared" si="0"/>
        <v>1.0956252242024195E-2</v>
      </c>
      <c r="AF7" s="112">
        <f t="shared" si="1"/>
        <v>1.0433446569756056E-2</v>
      </c>
      <c r="AG7" s="112"/>
      <c r="AH7" s="112">
        <f xml:space="preserve"> defaultFit_NonPrompt!E7/defaultFit_NonPrompt!$E$8</f>
        <v>0.2284761512640186</v>
      </c>
      <c r="AI7" s="112">
        <f xml:space="preserve"> defaultFit_NonPrompt!H7/defaultFit_NonPrompt!$H$8</f>
        <v>0.22624237511435033</v>
      </c>
    </row>
    <row r="8" spans="1:35" ht="20.25" x14ac:dyDescent="0.35">
      <c r="A8" s="146"/>
      <c r="B8" s="146"/>
      <c r="C8" s="125"/>
      <c r="D8" s="72"/>
      <c r="E8" s="113">
        <f xml:space="preserve"> SUM(E4:E7)</f>
        <v>382.97110231800002</v>
      </c>
      <c r="F8" s="113">
        <f xml:space="preserve"> SUM(F4:F7)</f>
        <v>354.30397310100005</v>
      </c>
      <c r="G8" s="113"/>
      <c r="H8" s="113">
        <f xml:space="preserve"> SUM(H4:H7)</f>
        <v>354.30397310100005</v>
      </c>
      <c r="I8" s="113">
        <f xml:space="preserve"> SUM(I4:I7)</f>
        <v>352.47524090100001</v>
      </c>
      <c r="J8" s="113"/>
      <c r="K8" s="113">
        <f xml:space="preserve"> SUM(K4:K7)</f>
        <v>384.75881939400006</v>
      </c>
      <c r="L8" s="113">
        <f xml:space="preserve"> SUM(L4:L7)</f>
        <v>369.81049430700006</v>
      </c>
      <c r="M8" s="113"/>
      <c r="N8" s="113">
        <f xml:space="preserve"> SUM(N4:N7)</f>
        <v>398.29963140299998</v>
      </c>
      <c r="O8" s="113">
        <f xml:space="preserve"> SUM(O4:O7)</f>
        <v>368.27289587600001</v>
      </c>
      <c r="P8" s="113"/>
      <c r="Q8" s="113">
        <f xml:space="preserve"> SUM(Q4:Q7)</f>
        <v>379.77893490999998</v>
      </c>
      <c r="R8" s="113">
        <f xml:space="preserve"> SUM(R4:R7)</f>
        <v>351.12528175400001</v>
      </c>
      <c r="S8" s="113"/>
      <c r="T8" s="113">
        <f xml:space="preserve"> SUM(T4:T7)</f>
        <v>391.01515087599995</v>
      </c>
      <c r="U8" s="113">
        <f xml:space="preserve"> SUM(U4:U7)</f>
        <v>361.44078904700001</v>
      </c>
      <c r="V8" s="113"/>
      <c r="W8" s="113">
        <f xml:space="preserve"> SUM(W4:W7)</f>
        <v>343.23380015699996</v>
      </c>
      <c r="X8" s="113">
        <f xml:space="preserve"> SUM(X4:X7)</f>
        <v>312.02449245299999</v>
      </c>
      <c r="Y8" s="113"/>
      <c r="Z8" s="113">
        <f xml:space="preserve"> SUM(Z4:Z7)</f>
        <v>184.340590389</v>
      </c>
      <c r="AA8" s="113">
        <f xml:space="preserve"> SUM(AA4:AA7)</f>
        <v>168.493317144</v>
      </c>
      <c r="AB8" s="113"/>
      <c r="AC8" s="113">
        <f xml:space="preserve"> SUM(AC4:AC7)</f>
        <v>382.91143060500002</v>
      </c>
      <c r="AD8" s="113">
        <f xml:space="preserve"> SUM(AD4:AD7)</f>
        <v>354.72483322200003</v>
      </c>
      <c r="AE8" s="113"/>
      <c r="AF8" s="82"/>
      <c r="AG8" s="82"/>
      <c r="AH8" s="82"/>
      <c r="AI8" s="82"/>
    </row>
    <row r="9" spans="1:35" ht="20.25" x14ac:dyDescent="0.35">
      <c r="A9" s="146"/>
      <c r="B9" s="146"/>
      <c r="C9" s="147" t="s">
        <v>2</v>
      </c>
      <c r="D9" s="8"/>
      <c r="E9" s="36"/>
      <c r="F9" s="36"/>
      <c r="H9" s="36"/>
      <c r="I9" s="36"/>
      <c r="K9" s="36"/>
      <c r="L9" s="36"/>
      <c r="N9" s="41"/>
      <c r="O9" s="41"/>
      <c r="P9" s="40"/>
      <c r="Q9" s="41"/>
      <c r="R9" s="41"/>
      <c r="S9" s="40"/>
      <c r="T9" s="41"/>
      <c r="U9" s="41"/>
      <c r="V9" s="40"/>
      <c r="W9" s="36"/>
      <c r="X9" s="36"/>
      <c r="Y9" s="40"/>
      <c r="Z9" s="36"/>
      <c r="AA9" s="36"/>
      <c r="AB9" s="40"/>
      <c r="AC9" s="36"/>
      <c r="AD9" s="36"/>
    </row>
    <row r="10" spans="1:35" ht="20.25" x14ac:dyDescent="0.35">
      <c r="A10" s="146"/>
      <c r="B10" s="146"/>
      <c r="C10" s="147"/>
      <c r="D10" s="8" t="s">
        <v>49</v>
      </c>
      <c r="E10" s="36"/>
      <c r="F10" s="36"/>
      <c r="H10" s="36"/>
      <c r="I10" s="36"/>
      <c r="K10" s="36"/>
      <c r="L10" s="36"/>
      <c r="N10" s="41"/>
      <c r="O10" s="41"/>
      <c r="P10" s="40"/>
      <c r="Q10" s="41"/>
      <c r="R10" s="41"/>
      <c r="S10" s="40"/>
      <c r="T10" s="41"/>
      <c r="U10" s="41"/>
      <c r="V10" s="40"/>
      <c r="W10" s="36"/>
      <c r="X10" s="36"/>
      <c r="Y10" s="40"/>
      <c r="Z10" s="36"/>
      <c r="AA10" s="36"/>
      <c r="AB10" s="40"/>
      <c r="AC10" s="36"/>
      <c r="AD10" s="36"/>
    </row>
    <row r="11" spans="1:35" ht="20.25" x14ac:dyDescent="0.35">
      <c r="A11" s="146"/>
      <c r="B11" s="146"/>
      <c r="C11" s="147"/>
      <c r="D11" s="8" t="s">
        <v>50</v>
      </c>
      <c r="E11" s="36"/>
      <c r="F11" s="36"/>
      <c r="H11" s="36"/>
      <c r="I11" s="36"/>
      <c r="K11" s="36"/>
      <c r="L11" s="36"/>
      <c r="N11" s="41"/>
      <c r="O11" s="41"/>
      <c r="P11" s="40"/>
      <c r="Q11" s="41"/>
      <c r="R11" s="41"/>
      <c r="S11" s="40"/>
      <c r="T11" s="41"/>
      <c r="U11" s="41"/>
      <c r="V11" s="40"/>
      <c r="W11" s="36"/>
      <c r="X11" s="36"/>
      <c r="Y11" s="40"/>
      <c r="Z11" s="36"/>
      <c r="AA11" s="36"/>
      <c r="AB11" s="40"/>
      <c r="AC11" s="36"/>
      <c r="AD11" s="36"/>
    </row>
    <row r="12" spans="1:35" ht="20.25" x14ac:dyDescent="0.35">
      <c r="A12" s="146"/>
      <c r="B12" s="146"/>
      <c r="C12" s="147"/>
      <c r="D12" s="29" t="s">
        <v>52</v>
      </c>
      <c r="E12" s="36"/>
      <c r="F12" s="36"/>
      <c r="H12" s="36"/>
      <c r="I12" s="36"/>
      <c r="K12" s="36"/>
      <c r="L12" s="36"/>
      <c r="N12" s="41"/>
      <c r="O12" s="41"/>
      <c r="P12" s="40"/>
      <c r="Q12" s="41"/>
      <c r="R12" s="41"/>
      <c r="S12" s="40"/>
      <c r="T12" s="41"/>
      <c r="U12" s="41"/>
      <c r="V12" s="40"/>
      <c r="W12" s="36"/>
      <c r="X12" s="36"/>
      <c r="Y12" s="40"/>
      <c r="Z12" s="36"/>
      <c r="AA12" s="36"/>
      <c r="AB12" s="40"/>
      <c r="AC12" s="36"/>
      <c r="AD12" s="36"/>
    </row>
    <row r="13" spans="1:35" ht="20.25" x14ac:dyDescent="0.35">
      <c r="A13" s="146"/>
      <c r="B13" s="146"/>
      <c r="C13" s="147"/>
      <c r="D13" s="29" t="s">
        <v>53</v>
      </c>
      <c r="E13" s="36"/>
      <c r="F13" s="36"/>
      <c r="H13" s="36"/>
      <c r="I13" s="36"/>
      <c r="K13" s="36"/>
      <c r="L13" s="36"/>
      <c r="N13" s="41"/>
      <c r="O13" s="41"/>
      <c r="P13" s="40"/>
      <c r="Q13" s="41"/>
      <c r="R13" s="41"/>
      <c r="S13" s="40"/>
      <c r="T13" s="41"/>
      <c r="U13" s="41"/>
      <c r="V13" s="40"/>
      <c r="W13" s="36"/>
      <c r="X13" s="36"/>
      <c r="Y13" s="40"/>
      <c r="Z13" s="36"/>
      <c r="AA13" s="36"/>
      <c r="AB13" s="40"/>
      <c r="AC13" s="36"/>
      <c r="AD13" s="36"/>
    </row>
    <row r="14" spans="1:35" ht="20.25" x14ac:dyDescent="0.35">
      <c r="A14" s="146"/>
      <c r="B14" s="146"/>
      <c r="C14" s="147"/>
      <c r="D14" s="7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1"/>
      <c r="R14" s="81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>
        <f xml:space="preserve"> SUM(AC10:AC13)</f>
        <v>0</v>
      </c>
      <c r="AD14" s="82">
        <f xml:space="preserve"> SUM(AD10:AD13)</f>
        <v>0</v>
      </c>
      <c r="AE14" s="82"/>
      <c r="AF14" s="82"/>
      <c r="AG14" s="82"/>
      <c r="AH14" s="82"/>
      <c r="AI14" s="82"/>
    </row>
    <row r="15" spans="1:35" ht="20.25" x14ac:dyDescent="0.35">
      <c r="A15" s="146"/>
      <c r="B15" s="146"/>
      <c r="C15" s="148" t="s">
        <v>54</v>
      </c>
      <c r="D15" s="30"/>
      <c r="E15" s="36"/>
      <c r="F15" s="36"/>
      <c r="H15" s="36"/>
      <c r="I15" s="36"/>
      <c r="K15" s="36"/>
      <c r="L15" s="36"/>
      <c r="N15" s="41">
        <f xml:space="preserve"> fitSyst_bFrac!E15*defaultFit_Inclusive!E15</f>
        <v>296.01917127000002</v>
      </c>
      <c r="O15" s="41">
        <f xml:space="preserve"> fitSyst_bFrac!E15*defaultFit_Inclusive!H15</f>
        <v>290.30754779999995</v>
      </c>
      <c r="P15" s="40"/>
      <c r="Q15" s="41">
        <f xml:space="preserve"> fitSyst_bFrac!F15*defaultFit_Inclusive!E15</f>
        <v>278.09509545000003</v>
      </c>
      <c r="R15" s="41">
        <f xml:space="preserve"> fitSyst_bFrac!F15*defaultFit_Inclusive!H15</f>
        <v>272.72931299999999</v>
      </c>
      <c r="S15" s="40"/>
      <c r="T15" s="41"/>
      <c r="U15" s="41"/>
      <c r="V15" s="40"/>
      <c r="W15" s="36"/>
      <c r="X15" s="36"/>
      <c r="Y15" s="40"/>
      <c r="Z15" s="36"/>
      <c r="AA15" s="36"/>
      <c r="AB15" s="40"/>
      <c r="AC15" s="36"/>
      <c r="AD15" s="36"/>
    </row>
    <row r="16" spans="1:35" ht="20.25" x14ac:dyDescent="0.35">
      <c r="A16" s="146"/>
      <c r="B16" s="146"/>
      <c r="C16" s="148"/>
      <c r="D16" s="30" t="s">
        <v>49</v>
      </c>
      <c r="E16" s="109">
        <f>defaultFit_Inclusive!$U16*fitSyst_Inclusive!E16</f>
        <v>68.863930781999997</v>
      </c>
      <c r="F16" s="109">
        <f>defaultFit_Inclusive!$U16*fitSyst_Inclusive!F16</f>
        <v>79.879820914000007</v>
      </c>
      <c r="G16" s="110"/>
      <c r="H16" s="109">
        <f>defaultFit_Inclusive!$U16*fitSyst_Inclusive!H16</f>
        <v>79.879820914000007</v>
      </c>
      <c r="I16" s="109">
        <f>defaultFit_Inclusive!$U16*fitSyst_Inclusive!I16</f>
        <v>79.000591783999994</v>
      </c>
      <c r="J16" s="110"/>
      <c r="K16" s="109">
        <f>defaultFit_Inclusive!$U16*fitSyst_Inclusive!K16</f>
        <v>68.739573312000005</v>
      </c>
      <c r="L16" s="109">
        <f>defaultFit_Inclusive!$U16*fitSyst_Inclusive!L16</f>
        <v>82.799821577999992</v>
      </c>
      <c r="M16" s="110"/>
      <c r="N16" s="111">
        <f xml:space="preserve"> fitSyst_bFrac!E16*defaultFit_Inclusive!E16</f>
        <v>73.811627831999999</v>
      </c>
      <c r="O16" s="111">
        <f xml:space="preserve"> fitSyst_bFrac!E16*defaultFit_Inclusive!H16</f>
        <v>85.287947486999997</v>
      </c>
      <c r="P16" s="110"/>
      <c r="Q16" s="111">
        <f xml:space="preserve"> fitSyst_bFrac!F16*defaultFit_Inclusive!E16</f>
        <v>68.185611072</v>
      </c>
      <c r="R16" s="111">
        <f xml:space="preserve"> fitSyst_bFrac!F16*defaultFit_Inclusive!H16</f>
        <v>78.787190952000003</v>
      </c>
      <c r="S16" s="110"/>
      <c r="T16" s="111">
        <f>fitSyst_bFrac!$G16*defaultFit_Inclusive!$E16</f>
        <v>73.239039144000003</v>
      </c>
      <c r="U16" s="111">
        <f>fitSyst_bFrac!$G16*defaultFit_Inclusive!$H16</f>
        <v>84.626332029000011</v>
      </c>
      <c r="V16" s="110"/>
      <c r="W16" s="109">
        <f>defaultFit_Inclusive!$U16*trgBiassing!E16</f>
        <v>56.170742001999997</v>
      </c>
      <c r="X16" s="109">
        <f>defaultFit_Inclusive!$U16*trgBiassing!F16</f>
        <v>67.797510934000002</v>
      </c>
      <c r="Y16" s="110"/>
      <c r="Z16" s="109">
        <f>defaultFit_Inclusive!$U16*trgBiassing!L16</f>
        <v>31.002535442000003</v>
      </c>
      <c r="AA16" s="109">
        <f>defaultFit_Inclusive!$U16*trgBiassing!M16</f>
        <v>36.523134425999999</v>
      </c>
      <c r="AB16" s="110"/>
      <c r="AC16" s="109">
        <f>defaultFit_Inclusive!$U16*epSystematic!E16</f>
        <v>70.722093189000006</v>
      </c>
      <c r="AD16" s="109">
        <f>defaultFit_Inclusive!$U16*epSystematic!F16</f>
        <v>79.877639204000005</v>
      </c>
      <c r="AE16" s="112">
        <f>SQRT(POWER(E16/$E$20-AH16,2)+POWER(H16/$H$20-AH16,2)+POWER(K16/$K$20-AH16,2)+POWER(N16/$N$20-AH16,2)+POWER(Q16/$Q$20-AH16,2)+POWER(T16/$T$20-AH16,2)+POWER(W16/$W$20-AH16,2)+POWER(Z16/$Z$20-AH16,2)+POWER(AC16/$AC$20-AH16,2))/SQRT(9*POWER(PI()/8,2))</f>
        <v>4.4108232445020865E-2</v>
      </c>
      <c r="AF16" s="112">
        <f>SQRT(POWER(F16/$F$20-AI16,2)+POWER(I16/$I$20-AI16,2)+POWER(L16/$L$20-AI16,2)+POWER(O16/$O$20-AI16,2)+POWER(R16/$R$20-AI16,2)+POWER(U16/$U$20-AI16,2)+POWER(X16/$X$20-AI16,2)+POWER(AA16/$AA$20-AI16,2)+POWER(AD16/$AD$20-AI16,2))/SQRT(9*POWER(PI()/8,2))</f>
        <v>2.100478051982933E-2</v>
      </c>
      <c r="AG16" s="112"/>
      <c r="AH16" s="112">
        <f xml:space="preserve"> defaultFit_NonPrompt!E16/defaultFit_NonPrompt!$E$20</f>
        <v>0.24499391407494894</v>
      </c>
      <c r="AI16" s="112">
        <f xml:space="preserve"> defaultFit_NonPrompt!H16/defaultFit_NonPrompt!$H$20</f>
        <v>0.2893081608177564</v>
      </c>
    </row>
    <row r="17" spans="1:35" ht="20.25" x14ac:dyDescent="0.35">
      <c r="A17" s="146"/>
      <c r="B17" s="146"/>
      <c r="C17" s="148"/>
      <c r="D17" s="30" t="s">
        <v>50</v>
      </c>
      <c r="E17" s="109">
        <f>defaultFit_Inclusive!$U17*fitSyst_Inclusive!E17</f>
        <v>74.321112651999997</v>
      </c>
      <c r="F17" s="109">
        <f>defaultFit_Inclusive!$U17*fitSyst_Inclusive!F17</f>
        <v>66.698379189999997</v>
      </c>
      <c r="G17" s="110"/>
      <c r="H17" s="109">
        <f>defaultFit_Inclusive!$U17*fitSyst_Inclusive!H17</f>
        <v>66.698379189999997</v>
      </c>
      <c r="I17" s="109">
        <f>defaultFit_Inclusive!$U17*fitSyst_Inclusive!I17</f>
        <v>65.871301190999986</v>
      </c>
      <c r="J17" s="110"/>
      <c r="K17" s="109">
        <f>defaultFit_Inclusive!$U17*fitSyst_Inclusive!K17</f>
        <v>74.798099025999988</v>
      </c>
      <c r="L17" s="109">
        <f>defaultFit_Inclusive!$U17*fitSyst_Inclusive!L17</f>
        <v>68.907295763000008</v>
      </c>
      <c r="M17" s="110"/>
      <c r="N17" s="111">
        <f xml:space="preserve"> fitSyst_bFrac!E17*defaultFit_Inclusive!E17</f>
        <v>77.136448224000006</v>
      </c>
      <c r="O17" s="111">
        <f xml:space="preserve"> fitSyst_bFrac!E17*defaultFit_Inclusive!H17</f>
        <v>69.002995775999992</v>
      </c>
      <c r="P17" s="110"/>
      <c r="Q17" s="111">
        <f xml:space="preserve"> fitSyst_bFrac!F17*defaultFit_Inclusive!E17</f>
        <v>74.524798407999995</v>
      </c>
      <c r="R17" s="111">
        <f xml:space="preserve"> fitSyst_bFrac!F17*defaultFit_Inclusive!H17</f>
        <v>66.666724591999994</v>
      </c>
      <c r="S17" s="110"/>
      <c r="T17" s="111">
        <f>fitSyst_bFrac!$G17*defaultFit_Inclusive!$E17</f>
        <v>67.505816433000007</v>
      </c>
      <c r="U17" s="111">
        <f>fitSyst_bFrac!$G17*defaultFit_Inclusive!$H17</f>
        <v>60.387840941999997</v>
      </c>
      <c r="V17" s="110"/>
      <c r="W17" s="109">
        <f>defaultFit_Inclusive!$U17*trgBiassing!E17</f>
        <v>66.119920104999991</v>
      </c>
      <c r="X17" s="109">
        <f>defaultFit_Inclusive!$U17*trgBiassing!F17</f>
        <v>57.002456984999995</v>
      </c>
      <c r="Y17" s="110"/>
      <c r="Z17" s="109">
        <f>defaultFit_Inclusive!$U17*trgBiassing!L17</f>
        <v>33.887792094999995</v>
      </c>
      <c r="AA17" s="109">
        <f>defaultFit_Inclusive!$U17*trgBiassing!M17</f>
        <v>32.849366474999997</v>
      </c>
      <c r="AB17" s="110"/>
      <c r="AC17" s="109">
        <f>defaultFit_Inclusive!$U17*epSystematic!E17</f>
        <v>72.280455500000002</v>
      </c>
      <c r="AD17" s="109">
        <f>defaultFit_Inclusive!$U17*epSystematic!F17</f>
        <v>65.51862427399999</v>
      </c>
      <c r="AE17" s="112">
        <f t="shared" ref="AE17:AE19" si="2">SQRT(POWER(E17/$E$20-AH17,2)+POWER(H17/$H$20-AH17,2)+POWER(K17/$K$20-AH17,2)+POWER(N17/$N$20-AH17,2)+POWER(Q17/$Q$20-AH17,2)+POWER(T17/$T$20-AH17,2)+POWER(W17/$W$20-AH17,2)+POWER(Z17/$Z$20-AH17,2)+POWER(AC17/$AC$20-AH17,2))/SQRT(9*POWER(PI()/8,2))</f>
        <v>3.0118691198605961E-2</v>
      </c>
      <c r="AF17" s="112">
        <f t="shared" ref="AF17:AF19" si="3">SQRT(POWER(F17/$F$20-AI17,2)+POWER(I17/$I$20-AI17,2)+POWER(L17/$L$20-AI17,2)+POWER(O17/$O$20-AI17,2)+POWER(R17/$R$20-AI17,2)+POWER(U17/$U$20-AI17,2)+POWER(X17/$X$20-AI17,2)+POWER(AA17/$AA$20-AI17,2)+POWER(AD17/$AD$20-AI17,2))/SQRT(9*POWER(PI()/8,2))</f>
        <v>2.109244703426524E-2</v>
      </c>
      <c r="AG17" s="112"/>
      <c r="AH17" s="112">
        <f xml:space="preserve"> defaultFit_NonPrompt!E17/defaultFit_NonPrompt!$E$20</f>
        <v>0.26416475689299518</v>
      </c>
      <c r="AI17" s="112">
        <f xml:space="preserve"> defaultFit_NonPrompt!H17/defaultFit_NonPrompt!$H$20</f>
        <v>0.24150475914772418</v>
      </c>
    </row>
    <row r="18" spans="1:35" ht="20.25" x14ac:dyDescent="0.35">
      <c r="A18" s="146"/>
      <c r="B18" s="146"/>
      <c r="C18" s="148"/>
      <c r="D18" s="31" t="s">
        <v>52</v>
      </c>
      <c r="E18" s="109">
        <f>defaultFit_Inclusive!$U18*fitSyst_Inclusive!E18</f>
        <v>60.160368865999999</v>
      </c>
      <c r="F18" s="109">
        <f>defaultFit_Inclusive!$U18*fitSyst_Inclusive!F18</f>
        <v>56.690238383999997</v>
      </c>
      <c r="G18" s="110"/>
      <c r="H18" s="109">
        <f>defaultFit_Inclusive!$U18*fitSyst_Inclusive!H18</f>
        <v>56.690238383999997</v>
      </c>
      <c r="I18" s="109">
        <f>defaultFit_Inclusive!$U18*fitSyst_Inclusive!I18</f>
        <v>55.956082493999993</v>
      </c>
      <c r="J18" s="110"/>
      <c r="K18" s="109">
        <f>defaultFit_Inclusive!$U18*fitSyst_Inclusive!K18</f>
        <v>60.164836757999993</v>
      </c>
      <c r="L18" s="109">
        <f>defaultFit_Inclusive!$U18*fitSyst_Inclusive!L18</f>
        <v>56.981463707999993</v>
      </c>
      <c r="M18" s="110"/>
      <c r="N18" s="111">
        <f xml:space="preserve"> fitSyst_bFrac!E18*defaultFit_Inclusive!E18</f>
        <v>62.207501380000004</v>
      </c>
      <c r="O18" s="111">
        <f xml:space="preserve"> fitSyst_bFrac!E18*defaultFit_Inclusive!H18</f>
        <v>58.533320140000008</v>
      </c>
      <c r="P18" s="110"/>
      <c r="Q18" s="111">
        <f xml:space="preserve"> fitSyst_bFrac!F18*defaultFit_Inclusive!E18</f>
        <v>56.426659229999999</v>
      </c>
      <c r="R18" s="111">
        <f xml:space="preserve"> fitSyst_bFrac!F18*defaultFit_Inclusive!H18</f>
        <v>53.093913690000001</v>
      </c>
      <c r="S18" s="110"/>
      <c r="T18" s="111">
        <f>fitSyst_bFrac!$G18*defaultFit_Inclusive!$E18</f>
        <v>60.296780922000003</v>
      </c>
      <c r="U18" s="111">
        <f>fitSyst_bFrac!$G18*defaultFit_Inclusive!$H18</f>
        <v>56.735453166000006</v>
      </c>
      <c r="V18" s="110"/>
      <c r="W18" s="109">
        <f>defaultFit_Inclusive!$U18*trgBiassing!E18</f>
        <v>53.972135359999996</v>
      </c>
      <c r="X18" s="109">
        <f>defaultFit_Inclusive!$U18*trgBiassing!F18</f>
        <v>49.097868273999993</v>
      </c>
      <c r="Y18" s="110"/>
      <c r="Z18" s="109">
        <f>defaultFit_Inclusive!$U18*trgBiassing!L18</f>
        <v>27.896096045999997</v>
      </c>
      <c r="AA18" s="109">
        <f>defaultFit_Inclusive!$U18*trgBiassing!M18</f>
        <v>30.276467051999997</v>
      </c>
      <c r="AB18" s="110"/>
      <c r="AC18" s="109">
        <f>defaultFit_Inclusive!$U18*epSystematic!E18</f>
        <v>60.429660902000002</v>
      </c>
      <c r="AD18" s="109">
        <f>defaultFit_Inclusive!$U18*epSystematic!F18</f>
        <v>57.837065025999998</v>
      </c>
      <c r="AE18" s="112">
        <f t="shared" si="2"/>
        <v>1.0847623144588966E-2</v>
      </c>
      <c r="AF18" s="112">
        <f t="shared" si="3"/>
        <v>2.1092151324684508E-2</v>
      </c>
      <c r="AG18" s="112"/>
      <c r="AH18" s="112">
        <f xml:space="preserve"> defaultFit_NonPrompt!E18/defaultFit_NonPrompt!$E$20</f>
        <v>0.2135142603007478</v>
      </c>
      <c r="AI18" s="112">
        <f xml:space="preserve"> defaultFit_NonPrompt!H18/defaultFit_NonPrompt!$H$20</f>
        <v>0.20531930993705991</v>
      </c>
    </row>
    <row r="19" spans="1:35" ht="20.25" x14ac:dyDescent="0.35">
      <c r="A19" s="146"/>
      <c r="B19" s="146"/>
      <c r="C19" s="148"/>
      <c r="D19" s="31" t="s">
        <v>53</v>
      </c>
      <c r="E19" s="109">
        <f>defaultFit_Inclusive!$U19*fitSyst_Inclusive!E19</f>
        <v>77.893942479000003</v>
      </c>
      <c r="F19" s="109">
        <f>defaultFit_Inclusive!$U19*fitSyst_Inclusive!F19</f>
        <v>72.848415285000002</v>
      </c>
      <c r="G19" s="110"/>
      <c r="H19" s="109">
        <f>defaultFit_Inclusive!$U19*fitSyst_Inclusive!H19</f>
        <v>72.848415285000002</v>
      </c>
      <c r="I19" s="109">
        <f>defaultFit_Inclusive!$U19*fitSyst_Inclusive!I19</f>
        <v>71.890552260000007</v>
      </c>
      <c r="J19" s="110"/>
      <c r="K19" s="109">
        <f>defaultFit_Inclusive!$U19*fitSyst_Inclusive!K19</f>
        <v>78.131909538000002</v>
      </c>
      <c r="L19" s="109">
        <f>defaultFit_Inclusive!$U19*fitSyst_Inclusive!L19</f>
        <v>78.396462183000011</v>
      </c>
      <c r="M19" s="110"/>
      <c r="N19" s="111">
        <f xml:space="preserve"> fitSyst_bFrac!E19*defaultFit_Inclusive!E19</f>
        <v>81.287671309999993</v>
      </c>
      <c r="O19" s="111">
        <f xml:space="preserve"> fitSyst_bFrac!E19*defaultFit_Inclusive!H19</f>
        <v>75.679152380000005</v>
      </c>
      <c r="P19" s="110"/>
      <c r="Q19" s="111">
        <f xml:space="preserve"> fitSyst_bFrac!F19*defaultFit_Inclusive!E19</f>
        <v>75.300519940000001</v>
      </c>
      <c r="R19" s="111">
        <f xml:space="preserve"> fitSyst_bFrac!F19*defaultFit_Inclusive!H19</f>
        <v>70.10509012</v>
      </c>
      <c r="S19" s="110"/>
      <c r="T19" s="111">
        <f>fitSyst_bFrac!$G19*defaultFit_Inclusive!$E19</f>
        <v>79.626709949000002</v>
      </c>
      <c r="U19" s="111">
        <f>fitSyst_bFrac!$G19*defaultFit_Inclusive!$H19</f>
        <v>74.132790602</v>
      </c>
      <c r="V19" s="110"/>
      <c r="W19" s="109">
        <f>defaultFit_Inclusive!$U19*trgBiassing!E19</f>
        <v>70.925391231000006</v>
      </c>
      <c r="X19" s="109">
        <f>defaultFit_Inclusive!$U19*trgBiassing!F19</f>
        <v>64.841201682000005</v>
      </c>
      <c r="Y19" s="110"/>
      <c r="Z19" s="109">
        <f>defaultFit_Inclusive!$U19*trgBiassing!L19</f>
        <v>38.955702780000003</v>
      </c>
      <c r="AA19" s="109">
        <f>defaultFit_Inclusive!$U19*trgBiassing!M19</f>
        <v>33.470210201999997</v>
      </c>
      <c r="AB19" s="110"/>
      <c r="AC19" s="109">
        <f>defaultFit_Inclusive!$U19*epSystematic!E19</f>
        <v>79.051197399000003</v>
      </c>
      <c r="AD19" s="109">
        <f>defaultFit_Inclusive!$U19*epSystematic!F19</f>
        <v>73.050934896000001</v>
      </c>
      <c r="AE19" s="112">
        <f t="shared" si="2"/>
        <v>2.195727961995303E-2</v>
      </c>
      <c r="AF19" s="112">
        <f t="shared" si="3"/>
        <v>1.5513128956228908E-2</v>
      </c>
      <c r="AG19" s="112"/>
      <c r="AH19" s="112">
        <f xml:space="preserve"> defaultFit_NonPrompt!E19/defaultFit_NonPrompt!$E$20</f>
        <v>0.27732706873130819</v>
      </c>
      <c r="AI19" s="112">
        <f xml:space="preserve"> defaultFit_NonPrompt!H19/defaultFit_NonPrompt!$H$20</f>
        <v>0.26386777009745954</v>
      </c>
    </row>
    <row r="20" spans="1:35" ht="20.25" x14ac:dyDescent="0.35">
      <c r="A20" s="146"/>
      <c r="B20" s="146"/>
      <c r="C20" s="148"/>
      <c r="D20" s="80"/>
      <c r="E20" s="113">
        <f xml:space="preserve"> SUM(E16:E19)</f>
        <v>281.239354779</v>
      </c>
      <c r="F20" s="113">
        <f xml:space="preserve"> SUM(F16:F19)</f>
        <v>276.116853773</v>
      </c>
      <c r="G20" s="113"/>
      <c r="H20" s="113">
        <f xml:space="preserve"> SUM(H16:H19)</f>
        <v>276.116853773</v>
      </c>
      <c r="I20" s="113">
        <f xml:space="preserve"> SUM(I16:I19)</f>
        <v>272.71852772899996</v>
      </c>
      <c r="J20" s="113"/>
      <c r="K20" s="113">
        <f xml:space="preserve"> SUM(K16:K19)</f>
        <v>281.83441863399997</v>
      </c>
      <c r="L20" s="113">
        <f xml:space="preserve"> SUM(L16:L19)</f>
        <v>287.08504323199998</v>
      </c>
      <c r="M20" s="113"/>
      <c r="N20" s="113">
        <f xml:space="preserve"> SUM(N16:N19)</f>
        <v>294.44324874599999</v>
      </c>
      <c r="O20" s="113">
        <f xml:space="preserve"> SUM(O16:O19)</f>
        <v>288.50341578299998</v>
      </c>
      <c r="P20" s="113"/>
      <c r="Q20" s="113">
        <f xml:space="preserve"> SUM(Q16:Q19)</f>
        <v>274.43758865000001</v>
      </c>
      <c r="R20" s="113">
        <f xml:space="preserve"> SUM(R16:R19)</f>
        <v>268.65291935400001</v>
      </c>
      <c r="S20" s="113"/>
      <c r="T20" s="113">
        <f xml:space="preserve"> SUM(T16:T19)</f>
        <v>280.66834644800002</v>
      </c>
      <c r="U20" s="113">
        <f xml:space="preserve"> SUM(U16:U19)</f>
        <v>275.88241673900001</v>
      </c>
      <c r="V20" s="113"/>
      <c r="W20" s="113">
        <f xml:space="preserve"> SUM(W16:W19)</f>
        <v>247.18818869799998</v>
      </c>
      <c r="X20" s="113">
        <f xml:space="preserve"> SUM(X16:X19)</f>
        <v>238.73903787500001</v>
      </c>
      <c r="Y20" s="113"/>
      <c r="Z20" s="113">
        <f xml:space="preserve"> SUM(Z16:Z19)</f>
        <v>131.74212636299998</v>
      </c>
      <c r="AA20" s="113">
        <f xml:space="preserve"> SUM(AA16:AA19)</f>
        <v>133.11917815499999</v>
      </c>
      <c r="AB20" s="113"/>
      <c r="AC20" s="113">
        <f xml:space="preserve"> SUM(AC16:AC19)</f>
        <v>282.48340698999999</v>
      </c>
      <c r="AD20" s="113">
        <f xml:space="preserve"> SUM(AD16:AD19)</f>
        <v>276.28426339999999</v>
      </c>
      <c r="AE20" s="113"/>
      <c r="AF20" s="113"/>
      <c r="AG20" s="113"/>
      <c r="AH20" s="113"/>
      <c r="AI20" s="113"/>
    </row>
    <row r="21" spans="1:35" ht="20.25" x14ac:dyDescent="0.35">
      <c r="A21" s="146"/>
      <c r="B21" s="146"/>
      <c r="C21" s="152" t="s">
        <v>56</v>
      </c>
      <c r="D21" s="32"/>
      <c r="E21" s="109"/>
      <c r="F21" s="109"/>
      <c r="G21" s="110"/>
      <c r="H21" s="109"/>
      <c r="I21" s="109"/>
      <c r="J21" s="110"/>
      <c r="K21" s="109"/>
      <c r="L21" s="109"/>
      <c r="M21" s="110"/>
      <c r="N21" s="111">
        <f xml:space="preserve"> fitSyst_bFrac!E21*defaultFit_Inclusive!E21</f>
        <v>319.59020590000006</v>
      </c>
      <c r="O21" s="111">
        <f xml:space="preserve"> fitSyst_bFrac!E21*defaultFit_Inclusive!H21</f>
        <v>284.43929395000004</v>
      </c>
      <c r="P21" s="110"/>
      <c r="Q21" s="111">
        <f xml:space="preserve"> fitSyst_bFrac!F21*defaultFit_Inclusive!E21</f>
        <v>302.20899494000003</v>
      </c>
      <c r="R21" s="111">
        <f xml:space="preserve"> fitSyst_bFrac!F21*defaultFit_Inclusive!H21</f>
        <v>268.96979807000002</v>
      </c>
      <c r="S21" s="110"/>
      <c r="T21" s="111"/>
      <c r="U21" s="111"/>
      <c r="V21" s="110"/>
      <c r="W21" s="109"/>
      <c r="X21" s="109"/>
      <c r="Y21" s="110"/>
      <c r="Z21" s="109"/>
      <c r="AA21" s="109"/>
      <c r="AB21" s="110"/>
      <c r="AC21" s="109"/>
      <c r="AD21" s="109"/>
      <c r="AE21" s="112"/>
      <c r="AF21" s="112"/>
      <c r="AG21" s="112"/>
      <c r="AH21" s="112"/>
      <c r="AI21" s="112"/>
    </row>
    <row r="22" spans="1:35" ht="20.25" x14ac:dyDescent="0.35">
      <c r="A22" s="146"/>
      <c r="B22" s="146"/>
      <c r="C22" s="152"/>
      <c r="D22" s="32" t="s">
        <v>49</v>
      </c>
      <c r="E22" s="109">
        <f>defaultFit_Inclusive!$U22*fitSyst_Inclusive!E22</f>
        <v>88.236694025999995</v>
      </c>
      <c r="F22" s="109">
        <f>defaultFit_Inclusive!$U22*fitSyst_Inclusive!F22</f>
        <v>87.677535387000006</v>
      </c>
      <c r="G22" s="110"/>
      <c r="H22" s="109">
        <f>defaultFit_Inclusive!$U22*fitSyst_Inclusive!H22</f>
        <v>87.677535387000006</v>
      </c>
      <c r="I22" s="109">
        <f>defaultFit_Inclusive!$U22*fitSyst_Inclusive!I22</f>
        <v>86.567604136</v>
      </c>
      <c r="J22" s="110"/>
      <c r="K22" s="109">
        <f>defaultFit_Inclusive!$U22*fitSyst_Inclusive!K22</f>
        <v>88.503153271000002</v>
      </c>
      <c r="L22" s="109">
        <f>defaultFit_Inclusive!$U22*fitSyst_Inclusive!L22</f>
        <v>88.736609442000002</v>
      </c>
      <c r="M22" s="110"/>
      <c r="N22" s="111">
        <f xml:space="preserve"> fitSyst_bFrac!E22*defaultFit_Inclusive!E22</f>
        <v>90.105879408000007</v>
      </c>
      <c r="O22" s="111">
        <f xml:space="preserve"> fitSyst_bFrac!E22*defaultFit_Inclusive!H22</f>
        <v>89.424346524000001</v>
      </c>
      <c r="P22" s="110"/>
      <c r="Q22" s="111">
        <f xml:space="preserve"> fitSyst_bFrac!F22*defaultFit_Inclusive!E22</f>
        <v>86.754116703999998</v>
      </c>
      <c r="R22" s="111">
        <f xml:space="preserve"> fitSyst_bFrac!F22*defaultFit_Inclusive!H22</f>
        <v>86.097935512000006</v>
      </c>
      <c r="S22" s="110"/>
      <c r="T22" s="111">
        <f>fitSyst_bFrac!$G22*defaultFit_Inclusive!$E22</f>
        <v>89.323105064000003</v>
      </c>
      <c r="U22" s="111">
        <f>fitSyst_bFrac!$G22*defaultFit_Inclusive!$H22</f>
        <v>88.647492842000005</v>
      </c>
      <c r="V22" s="110"/>
      <c r="W22" s="109">
        <f>defaultFit_Inclusive!$U22*trgBiassing!E22</f>
        <v>74.627254273000005</v>
      </c>
      <c r="X22" s="109">
        <f>defaultFit_Inclusive!$U22*trgBiassing!F22</f>
        <v>73.309565965999994</v>
      </c>
      <c r="Y22" s="110"/>
      <c r="Z22" s="109">
        <f>defaultFit_Inclusive!$U22*trgBiassing!L22</f>
        <v>38.585192294999999</v>
      </c>
      <c r="AA22" s="109">
        <f>defaultFit_Inclusive!$U22*trgBiassing!M22</f>
        <v>36.560643067000001</v>
      </c>
      <c r="AB22" s="110"/>
      <c r="AC22" s="109">
        <f>defaultFit_Inclusive!$U22*epSystematic!E22</f>
        <v>87.022343213000013</v>
      </c>
      <c r="AD22" s="109">
        <f>defaultFit_Inclusive!$U22*epSystematic!F22</f>
        <v>86.32738504000001</v>
      </c>
      <c r="AE22" s="112">
        <f>SQRT(POWER(E22/$E$26-AH22,2)+POWER(H22/$H$26-AH22,2)+POWER(K22/$K$26-AH22,2)+POWER(N22/$N$26-AH22,2)+POWER(Q22/$Q$26-AH22,2)+POWER(T22/$T$26-AH22,2)+POWER(W22/$W$26-AH22,2)+POWER(Z22/$Z$26-AH22,2)+POWER(AC22/$AC$26-AH22,2))/SQRT(9*POWER(PI()/8,2))</f>
        <v>3.7200385870689932E-2</v>
      </c>
      <c r="AF22" s="112">
        <f>SQRT(POWER(F22/$F$26-AI22,2)+POWER(I22/$I$26-AI22,2)+POWER(L22/$L$26-AI22,2)+POWER(O22/$O$26-AI22,2)+POWER(R22/$R$26-AI22,2)+POWER(U22/$U$26-AI22,2)+POWER(X22/$X$26-AI22,2)+POWER(AA22/$AA$26-AI22,2)+POWER(AD22/$AD$26-AI22,2))/SQRT(9*POWER(PI()/8,2))</f>
        <v>3.9735747984361101E-2</v>
      </c>
      <c r="AG22" s="112"/>
      <c r="AH22" s="112">
        <f xml:space="preserve"> defaultFit_NonPrompt!E22/defaultFit_NonPrompt!$E$26</f>
        <v>0.29325377280943399</v>
      </c>
      <c r="AI22" s="112">
        <f xml:space="preserve"> defaultFit_NonPrompt!H22/defaultFit_NonPrompt!$H$26</f>
        <v>0.32409714671399409</v>
      </c>
    </row>
    <row r="23" spans="1:35" ht="20.25" x14ac:dyDescent="0.35">
      <c r="A23" s="146"/>
      <c r="B23" s="146"/>
      <c r="C23" s="152"/>
      <c r="D23" s="32" t="s">
        <v>50</v>
      </c>
      <c r="E23" s="109">
        <f>defaultFit_Inclusive!$U23*fitSyst_Inclusive!E23</f>
        <v>73.022804910000005</v>
      </c>
      <c r="F23" s="109">
        <f>defaultFit_Inclusive!$U23*fitSyst_Inclusive!F23</f>
        <v>58.968176274000001</v>
      </c>
      <c r="G23" s="110"/>
      <c r="H23" s="109">
        <f>defaultFit_Inclusive!$U23*fitSyst_Inclusive!H23</f>
        <v>58.968176274000001</v>
      </c>
      <c r="I23" s="109">
        <f>defaultFit_Inclusive!$U23*fitSyst_Inclusive!I23</f>
        <v>58.588547012999989</v>
      </c>
      <c r="J23" s="110"/>
      <c r="K23" s="109">
        <f>defaultFit_Inclusive!$U23*fitSyst_Inclusive!K23</f>
        <v>74.414102166000006</v>
      </c>
      <c r="L23" s="109">
        <f>defaultFit_Inclusive!$U23*fitSyst_Inclusive!L23</f>
        <v>58.78975277699999</v>
      </c>
      <c r="M23" s="110"/>
      <c r="N23" s="111">
        <f xml:space="preserve"> fitSyst_bFrac!E23*defaultFit_Inclusive!E23</f>
        <v>74.478650357999996</v>
      </c>
      <c r="O23" s="111">
        <f xml:space="preserve"> fitSyst_bFrac!E23*defaultFit_Inclusive!H23</f>
        <v>60.069745769000001</v>
      </c>
      <c r="P23" s="110"/>
      <c r="Q23" s="111">
        <f xml:space="preserve"> fitSyst_bFrac!F23*defaultFit_Inclusive!E23</f>
        <v>73.457221824000001</v>
      </c>
      <c r="R23" s="111">
        <f xml:space="preserve"> fitSyst_bFrac!F23*defaultFit_Inclusive!H23</f>
        <v>59.245926431999997</v>
      </c>
      <c r="S23" s="110"/>
      <c r="T23" s="111">
        <f>fitSyst_bFrac!$G23*defaultFit_Inclusive!$E23</f>
        <v>75.910401882000002</v>
      </c>
      <c r="U23" s="111">
        <f>fitSyst_bFrac!$G23*defaultFit_Inclusive!$H23</f>
        <v>61.224505551</v>
      </c>
      <c r="V23" s="110"/>
      <c r="W23" s="109">
        <f>defaultFit_Inclusive!$U23*trgBiassing!E23</f>
        <v>64.503816021000006</v>
      </c>
      <c r="X23" s="109">
        <f>defaultFit_Inclusive!$U23*trgBiassing!F23</f>
        <v>53.447649515999998</v>
      </c>
      <c r="Y23" s="110"/>
      <c r="Z23" s="109">
        <f>defaultFit_Inclusive!$U23*trgBiassing!L23</f>
        <v>37.140508818000001</v>
      </c>
      <c r="AA23" s="109">
        <f>defaultFit_Inclusive!$U23*trgBiassing!M23</f>
        <v>27.659476674</v>
      </c>
      <c r="AB23" s="110"/>
      <c r="AC23" s="109">
        <f>defaultFit_Inclusive!$U23*epSystematic!E23</f>
        <v>74.628616382999994</v>
      </c>
      <c r="AD23" s="109">
        <f>defaultFit_Inclusive!$U23*epSystematic!F23</f>
        <v>59.304496671000003</v>
      </c>
      <c r="AE23" s="112">
        <f t="shared" ref="AE23:AE25" si="4">SQRT(POWER(E23/$E$26-AH23,2)+POWER(H23/$H$26-AH23,2)+POWER(K23/$K$26-AH23,2)+POWER(N23/$N$26-AH23,2)+POWER(Q23/$Q$26-AH23,2)+POWER(T23/$T$26-AH23,2)+POWER(W23/$W$26-AH23,2)+POWER(Z23/$Z$26-AH23,2)+POWER(AC23/$AC$26-AH23,2))/SQRT(9*POWER(PI()/8,2))</f>
        <v>2.8487606690504333E-2</v>
      </c>
      <c r="AF23" s="112">
        <f t="shared" ref="AF23:AF25" si="5">SQRT(POWER(F23/$F$26-AI23,2)+POWER(I23/$I$26-AI23,2)+POWER(L23/$L$26-AI23,2)+POWER(O23/$O$26-AI23,2)+POWER(R23/$R$26-AI23,2)+POWER(U23/$U$26-AI23,2)+POWER(X23/$X$26-AI23,2)+POWER(AA23/$AA$26-AI23,2)+POWER(AD23/$AD$26-AI23,2))/SQRT(9*POWER(PI()/8,2))</f>
        <v>1.5655773399049135E-2</v>
      </c>
      <c r="AG23" s="112"/>
      <c r="AH23" s="112">
        <f xml:space="preserve"> defaultFit_NonPrompt!E23/defaultFit_NonPrompt!$E$26</f>
        <v>0.24298112041061135</v>
      </c>
      <c r="AI23" s="112">
        <f xml:space="preserve"> defaultFit_NonPrompt!H23/defaultFit_NonPrompt!$H$26</f>
        <v>0.218235541212877</v>
      </c>
    </row>
    <row r="24" spans="1:35" ht="20.25" x14ac:dyDescent="0.35">
      <c r="A24" s="146"/>
      <c r="B24" s="146"/>
      <c r="C24" s="152"/>
      <c r="D24" s="34" t="s">
        <v>52</v>
      </c>
      <c r="E24" s="109">
        <f>defaultFit_Inclusive!$U24*fitSyst_Inclusive!E24</f>
        <v>73.020255030000001</v>
      </c>
      <c r="F24" s="109">
        <f>defaultFit_Inclusive!$U24*fitSyst_Inclusive!F24</f>
        <v>58.710194442000002</v>
      </c>
      <c r="G24" s="110"/>
      <c r="H24" s="109">
        <f>defaultFit_Inclusive!$U24*fitSyst_Inclusive!H24</f>
        <v>58.710194442000002</v>
      </c>
      <c r="I24" s="109">
        <f>defaultFit_Inclusive!$U24*fitSyst_Inclusive!I24</f>
        <v>58.159880387999998</v>
      </c>
      <c r="J24" s="110"/>
      <c r="K24" s="109">
        <f>defaultFit_Inclusive!$U24*fitSyst_Inclusive!K24</f>
        <v>74.560802723999998</v>
      </c>
      <c r="L24" s="109">
        <f>defaultFit_Inclusive!$U24*fitSyst_Inclusive!L24</f>
        <v>59.872889825999998</v>
      </c>
      <c r="M24" s="110"/>
      <c r="N24" s="111">
        <f xml:space="preserve"> fitSyst_bFrac!E24*defaultFit_Inclusive!E24</f>
        <v>78.454257231000014</v>
      </c>
      <c r="O24" s="111">
        <f xml:space="preserve"> fitSyst_bFrac!E24*defaultFit_Inclusive!H24</f>
        <v>63.047250480000002</v>
      </c>
      <c r="P24" s="110"/>
      <c r="Q24" s="111">
        <f xml:space="preserve"> fitSyst_bFrac!F24*defaultFit_Inclusive!E24</f>
        <v>71.418064697000005</v>
      </c>
      <c r="R24" s="111">
        <f xml:space="preserve"> fitSyst_bFrac!F24*defaultFit_Inclusive!H24</f>
        <v>57.392839760000001</v>
      </c>
      <c r="S24" s="110"/>
      <c r="T24" s="111">
        <f>fitSyst_bFrac!$G24*defaultFit_Inclusive!$E24</f>
        <v>68.863127984000002</v>
      </c>
      <c r="U24" s="111">
        <f>fitSyst_bFrac!$G24*defaultFit_Inclusive!$H24</f>
        <v>55.339646719999998</v>
      </c>
      <c r="V24" s="110"/>
      <c r="W24" s="109">
        <f>defaultFit_Inclusive!$U24*trgBiassing!E24</f>
        <v>64.877123177999991</v>
      </c>
      <c r="X24" s="109">
        <f>defaultFit_Inclusive!$U24*trgBiassing!F24</f>
        <v>52.708857408</v>
      </c>
      <c r="Y24" s="110"/>
      <c r="Z24" s="109">
        <f>defaultFit_Inclusive!$U24*trgBiassing!L24</f>
        <v>32.318572752000001</v>
      </c>
      <c r="AA24" s="109">
        <f>defaultFit_Inclusive!$U24*trgBiassing!M24</f>
        <v>31.471188606000002</v>
      </c>
      <c r="AB24" s="110"/>
      <c r="AC24" s="109">
        <f>defaultFit_Inclusive!$U24*epSystematic!E24</f>
        <v>69.939870336000013</v>
      </c>
      <c r="AD24" s="109">
        <f>defaultFit_Inclusive!$U24*epSystematic!F24</f>
        <v>60.213786047999996</v>
      </c>
      <c r="AE24" s="112">
        <f t="shared" si="4"/>
        <v>3.0306521082848554E-2</v>
      </c>
      <c r="AF24" s="112">
        <f t="shared" si="5"/>
        <v>2.3869211935042042E-2</v>
      </c>
      <c r="AG24" s="112"/>
      <c r="AH24" s="112">
        <f xml:space="preserve"> defaultFit_NonPrompt!E24/defaultFit_NonPrompt!$E$26</f>
        <v>0.24302176004608039</v>
      </c>
      <c r="AI24" s="112">
        <f xml:space="preserve"> defaultFit_NonPrompt!H24/defaultFit_NonPrompt!$H$26</f>
        <v>0.2174822173353958</v>
      </c>
    </row>
    <row r="25" spans="1:35" ht="20.25" x14ac:dyDescent="0.35">
      <c r="A25" s="146"/>
      <c r="B25" s="146"/>
      <c r="C25" s="152"/>
      <c r="D25" s="34" t="s">
        <v>53</v>
      </c>
      <c r="E25" s="109">
        <f>defaultFit_Inclusive!$U25*fitSyst_Inclusive!E25</f>
        <v>66.302152704000008</v>
      </c>
      <c r="F25" s="109">
        <f>defaultFit_Inclusive!$U25*fitSyst_Inclusive!F25</f>
        <v>64.908309755999994</v>
      </c>
      <c r="G25" s="110"/>
      <c r="H25" s="109">
        <f>defaultFit_Inclusive!$U25*fitSyst_Inclusive!H25</f>
        <v>64.908309755999994</v>
      </c>
      <c r="I25" s="109">
        <f>defaultFit_Inclusive!$U25*fitSyst_Inclusive!I25</f>
        <v>64.279398984000011</v>
      </c>
      <c r="J25" s="110"/>
      <c r="K25" s="109">
        <f>defaultFit_Inclusive!$U25*fitSyst_Inclusive!K25</f>
        <v>67.748446709999996</v>
      </c>
      <c r="L25" s="109">
        <f>defaultFit_Inclusive!$U25*fitSyst_Inclusive!L25</f>
        <v>67.212642840000001</v>
      </c>
      <c r="M25" s="110"/>
      <c r="N25" s="111">
        <f xml:space="preserve"> fitSyst_bFrac!E25*defaultFit_Inclusive!E25</f>
        <v>72.678652983000006</v>
      </c>
      <c r="O25" s="111">
        <f xml:space="preserve"> fitSyst_bFrac!E25*defaultFit_Inclusive!H25</f>
        <v>71.012752370000001</v>
      </c>
      <c r="P25" s="110"/>
      <c r="Q25" s="111">
        <f xml:space="preserve"> fitSyst_bFrac!F25*defaultFit_Inclusive!E25</f>
        <v>65.813455863000002</v>
      </c>
      <c r="R25" s="111">
        <f xml:space="preserve"> fitSyst_bFrac!F25*defaultFit_Inclusive!H25</f>
        <v>64.304915570000006</v>
      </c>
      <c r="S25" s="110"/>
      <c r="T25" s="111">
        <f>fitSyst_bFrac!$G25*defaultFit_Inclusive!$E25</f>
        <v>60.990866775000001</v>
      </c>
      <c r="U25" s="111">
        <f>fitSyst_bFrac!$G25*defaultFit_Inclusive!$H25</f>
        <v>59.592867250000005</v>
      </c>
      <c r="V25" s="110"/>
      <c r="W25" s="109">
        <f>defaultFit_Inclusive!$U25*trgBiassing!E25</f>
        <v>60.185706840000002</v>
      </c>
      <c r="X25" s="109">
        <f>defaultFit_Inclusive!$U25*trgBiassing!F25</f>
        <v>56.275216956000001</v>
      </c>
      <c r="Y25" s="110"/>
      <c r="Z25" s="109">
        <f>defaultFit_Inclusive!$U25*trgBiassing!L25</f>
        <v>36.054204767999998</v>
      </c>
      <c r="AA25" s="109">
        <f>defaultFit_Inclusive!$U25*trgBiassing!M25</f>
        <v>34.126063721999998</v>
      </c>
      <c r="AB25" s="110"/>
      <c r="AC25" s="109">
        <f>defaultFit_Inclusive!$U25*epSystematic!E25</f>
        <v>69.710216664000001</v>
      </c>
      <c r="AD25" s="109">
        <f>defaultFit_Inclusive!$U25*epSystematic!F25</f>
        <v>64.398605934000017</v>
      </c>
      <c r="AE25" s="112">
        <f t="shared" si="4"/>
        <v>3.4964853873483373E-2</v>
      </c>
      <c r="AF25" s="112">
        <f t="shared" si="5"/>
        <v>2.512709964924292E-2</v>
      </c>
      <c r="AG25" s="112"/>
      <c r="AH25" s="112">
        <f xml:space="preserve"> defaultFit_NonPrompt!E25/defaultFit_NonPrompt!$E$26</f>
        <v>0.22074334673387422</v>
      </c>
      <c r="AI25" s="112">
        <f xml:space="preserve"> defaultFit_NonPrompt!H25/defaultFit_NonPrompt!$H$26</f>
        <v>0.24018509473773314</v>
      </c>
    </row>
    <row r="26" spans="1:35" ht="20.25" x14ac:dyDescent="0.35">
      <c r="A26" s="146"/>
      <c r="B26" s="146"/>
      <c r="C26" s="152"/>
      <c r="D26" s="80"/>
      <c r="E26" s="113">
        <f xml:space="preserve"> SUM(E22:E25)</f>
        <v>300.58190666999997</v>
      </c>
      <c r="F26" s="113">
        <f xml:space="preserve"> SUM(F22:F25)</f>
        <v>270.26421585899999</v>
      </c>
      <c r="G26" s="113"/>
      <c r="H26" s="113">
        <f xml:space="preserve"> SUM(H22:H25)</f>
        <v>270.26421585899999</v>
      </c>
      <c r="I26" s="113">
        <f xml:space="preserve"> SUM(I22:I25)</f>
        <v>267.59543052100003</v>
      </c>
      <c r="J26" s="113"/>
      <c r="K26" s="113">
        <f xml:space="preserve"> SUM(K22:K25)</f>
        <v>305.22650487099997</v>
      </c>
      <c r="L26" s="113">
        <f xml:space="preserve"> SUM(L22:L25)</f>
        <v>274.61189488499997</v>
      </c>
      <c r="M26" s="113"/>
      <c r="N26" s="113">
        <f xml:space="preserve"> SUM(N22:N25)</f>
        <v>315.71743997999999</v>
      </c>
      <c r="O26" s="113">
        <f xml:space="preserve"> SUM(O22:O25)</f>
        <v>283.55409514299998</v>
      </c>
      <c r="P26" s="113"/>
      <c r="Q26" s="113">
        <f xml:space="preserve"> SUM(Q22:Q25)</f>
        <v>297.44285908799998</v>
      </c>
      <c r="R26" s="113">
        <f xml:space="preserve"> SUM(R22:R25)</f>
        <v>267.04161727399998</v>
      </c>
      <c r="S26" s="113"/>
      <c r="T26" s="113">
        <f xml:space="preserve"> SUM(T22:T25)</f>
        <v>295.08750170500002</v>
      </c>
      <c r="U26" s="113">
        <f xml:space="preserve"> SUM(U22:U25)</f>
        <v>264.80451236300001</v>
      </c>
      <c r="V26" s="113"/>
      <c r="W26" s="113">
        <f xml:space="preserve"> SUM(W22:W25)</f>
        <v>264.19390031200004</v>
      </c>
      <c r="X26" s="113">
        <f xml:space="preserve"> SUM(X22:X25)</f>
        <v>235.741289846</v>
      </c>
      <c r="Y26" s="113"/>
      <c r="Z26" s="113">
        <f xml:space="preserve"> SUM(Z22:Z25)</f>
        <v>144.09847863300001</v>
      </c>
      <c r="AA26" s="113">
        <f xml:space="preserve"> SUM(AA22:AA25)</f>
        <v>129.81737206899999</v>
      </c>
      <c r="AB26" s="113"/>
      <c r="AC26" s="113">
        <f xml:space="preserve"> SUM(AC22:AC25)</f>
        <v>301.30104659599999</v>
      </c>
      <c r="AD26" s="113">
        <f xml:space="preserve"> SUM(AD22:AD25)</f>
        <v>270.24427369300003</v>
      </c>
      <c r="AE26" s="113"/>
      <c r="AF26" s="113"/>
      <c r="AG26" s="113"/>
      <c r="AH26" s="113"/>
      <c r="AI26" s="113"/>
    </row>
    <row r="27" spans="1:35" ht="20.25" x14ac:dyDescent="0.35">
      <c r="A27" s="146"/>
      <c r="B27" s="146"/>
      <c r="C27" s="149" t="s">
        <v>57</v>
      </c>
      <c r="D27" s="22"/>
      <c r="E27" s="109"/>
      <c r="F27" s="109"/>
      <c r="G27" s="110"/>
      <c r="H27" s="109"/>
      <c r="I27" s="109"/>
      <c r="J27" s="110"/>
      <c r="K27" s="109"/>
      <c r="L27" s="109"/>
      <c r="M27" s="110"/>
      <c r="N27" s="111">
        <f xml:space="preserve"> fitSyst_bFrac!E27*defaultFit_Inclusive!E27</f>
        <v>221.11648306799998</v>
      </c>
      <c r="O27" s="111">
        <f xml:space="preserve"> fitSyst_bFrac!E27*defaultFit_Inclusive!H27</f>
        <v>214.554506172</v>
      </c>
      <c r="P27" s="110"/>
      <c r="Q27" s="111">
        <f xml:space="preserve"> fitSyst_bFrac!F27*defaultFit_Inclusive!E27</f>
        <v>214.71279346400001</v>
      </c>
      <c r="R27" s="111">
        <f xml:space="preserve"> fitSyst_bFrac!F27*defaultFit_Inclusive!H27</f>
        <v>208.34085605600001</v>
      </c>
      <c r="S27" s="110"/>
      <c r="T27" s="111"/>
      <c r="U27" s="111"/>
      <c r="V27" s="110"/>
      <c r="W27" s="109"/>
      <c r="X27" s="109"/>
      <c r="Y27" s="110"/>
      <c r="Z27" s="109"/>
      <c r="AA27" s="109"/>
      <c r="AB27" s="110"/>
      <c r="AC27" s="109"/>
      <c r="AD27" s="109"/>
      <c r="AE27" s="112"/>
      <c r="AF27" s="112"/>
      <c r="AG27" s="112"/>
      <c r="AH27" s="112"/>
      <c r="AI27" s="112"/>
    </row>
    <row r="28" spans="1:35" ht="20.25" x14ac:dyDescent="0.35">
      <c r="A28" s="146"/>
      <c r="B28" s="146"/>
      <c r="C28" s="149"/>
      <c r="D28" s="22" t="s">
        <v>49</v>
      </c>
      <c r="E28" s="109">
        <f>defaultFit_Inclusive!$U28*fitSyst_Inclusive!E28</f>
        <v>47.605987926000005</v>
      </c>
      <c r="F28" s="109">
        <f>defaultFit_Inclusive!$U28*fitSyst_Inclusive!F28</f>
        <v>43.075597334000001</v>
      </c>
      <c r="G28" s="110"/>
      <c r="H28" s="109">
        <f>defaultFit_Inclusive!$U28*fitSyst_Inclusive!H28</f>
        <v>43.075597334000001</v>
      </c>
      <c r="I28" s="109">
        <f>defaultFit_Inclusive!$U28*fitSyst_Inclusive!I28</f>
        <v>42.267778385</v>
      </c>
      <c r="J28" s="110"/>
      <c r="K28" s="109">
        <f>defaultFit_Inclusive!$U28*fitSyst_Inclusive!K28</f>
        <v>47.664128407000007</v>
      </c>
      <c r="L28" s="109">
        <f>defaultFit_Inclusive!$U28*fitSyst_Inclusive!L28</f>
        <v>42.738874367000001</v>
      </c>
      <c r="M28" s="110"/>
      <c r="N28" s="111">
        <f xml:space="preserve"> fitSyst_bFrac!E28*defaultFit_Inclusive!E28</f>
        <v>51.764621208999998</v>
      </c>
      <c r="O28" s="111">
        <f xml:space="preserve"> fitSyst_bFrac!E28*defaultFit_Inclusive!H28</f>
        <v>46.812779687000003</v>
      </c>
      <c r="P28" s="110"/>
      <c r="Q28" s="111">
        <f xml:space="preserve"> fitSyst_bFrac!F28*defaultFit_Inclusive!E28</f>
        <v>46.108016472000003</v>
      </c>
      <c r="R28" s="111">
        <f xml:space="preserve"> fitSyst_bFrac!F28*defaultFit_Inclusive!H28</f>
        <v>41.697289896000001</v>
      </c>
      <c r="S28" s="110"/>
      <c r="T28" s="111">
        <f>fitSyst_bFrac!$G28*defaultFit_Inclusive!$E28</f>
        <v>49.183349326999995</v>
      </c>
      <c r="U28" s="111">
        <f>fitSyst_bFrac!$G28*defaultFit_Inclusive!$H28</f>
        <v>44.478434161000003</v>
      </c>
      <c r="V28" s="110"/>
      <c r="W28" s="109">
        <f>defaultFit_Inclusive!$U28*trgBiassing!E28</f>
        <v>39.534824475999997</v>
      </c>
      <c r="X28" s="109">
        <f>defaultFit_Inclusive!$U28*trgBiassing!F28</f>
        <v>35.216795943000001</v>
      </c>
      <c r="Y28" s="110"/>
      <c r="Z28" s="109">
        <f>defaultFit_Inclusive!$U28*trgBiassing!L28</f>
        <v>20.011918430000001</v>
      </c>
      <c r="AA28" s="109">
        <f>defaultFit_Inclusive!$U28*trgBiassing!M28</f>
        <v>19.458617780000001</v>
      </c>
      <c r="AB28" s="110"/>
      <c r="AC28" s="109">
        <f>defaultFit_Inclusive!$U28*epSystematic!E28</f>
        <v>47.569628169000005</v>
      </c>
      <c r="AD28" s="109">
        <f>defaultFit_Inclusive!$U28*epSystematic!F28</f>
        <v>43.674567244000002</v>
      </c>
      <c r="AE28" s="112">
        <f>SQRT(POWER(E28/$E$32-AH28,2)+POWER(H28/$H$32-AH28,2)+POWER(K28/$K$32-AH28,2)+POWER(N28/$N$32-AH28,2)+POWER(Q28/$Q$32-AH28,2)+POWER(T28/$T$32-AH28,2)+POWER(W28/$W$32-AH28,2)+POWER(Z28/$Z$32-AH28,2)+POWER(AC28/$AC$32-AH28,2))/SQRT(9*POWER(PI()/8,2))</f>
        <v>1.5648754840770437E-2</v>
      </c>
      <c r="AF28" s="112">
        <f>SQRT(POWER(F28/$F$32-AI28,2)+POWER(I28/$I$32-AI28,2)+POWER(L28/$L$32-AI28,2)+POWER(O28/$O$32-AI28,2)+POWER(R28/$R$32-AI28,2)+POWER(U28/$U$32-AI28,2)+POWER(X28/$X$32-AI28,2)+POWER(AA28/$AA$32-AI28,2)+POWER(AD28/$AD$32-AI28,2))/SQRT(9*POWER(PI()/8,2))</f>
        <v>1.6877767628985862E-2</v>
      </c>
      <c r="AG28" s="112"/>
      <c r="AH28" s="112">
        <f xml:space="preserve"> defaultFit_NonPrompt!E28/defaultFit_NonPrompt!$E$32</f>
        <v>0.23249129716615152</v>
      </c>
      <c r="AI28" s="112">
        <f xml:space="preserve"> defaultFit_NonPrompt!H28/defaultFit_NonPrompt!$H$32</f>
        <v>0.21572147995490604</v>
      </c>
    </row>
    <row r="29" spans="1:35" ht="20.25" x14ac:dyDescent="0.35">
      <c r="A29" s="146"/>
      <c r="B29" s="146"/>
      <c r="C29" s="149"/>
      <c r="D29" s="22" t="s">
        <v>50</v>
      </c>
      <c r="E29" s="109">
        <f>defaultFit_Inclusive!$U29*fitSyst_Inclusive!E29</f>
        <v>47.917702325999997</v>
      </c>
      <c r="F29" s="109">
        <f>defaultFit_Inclusive!$U29*fitSyst_Inclusive!F29</f>
        <v>53.890621776000003</v>
      </c>
      <c r="G29" s="110"/>
      <c r="H29" s="109">
        <f>defaultFit_Inclusive!$U29*fitSyst_Inclusive!H29</f>
        <v>53.890621776000003</v>
      </c>
      <c r="I29" s="109">
        <f>defaultFit_Inclusive!$U29*fitSyst_Inclusive!I29</f>
        <v>53.235066023999998</v>
      </c>
      <c r="J29" s="110"/>
      <c r="K29" s="109">
        <f>defaultFit_Inclusive!$U29*fitSyst_Inclusive!K29</f>
        <v>47.394148680000001</v>
      </c>
      <c r="L29" s="109">
        <f>defaultFit_Inclusive!$U29*fitSyst_Inclusive!L29</f>
        <v>53.725794990000004</v>
      </c>
      <c r="M29" s="110"/>
      <c r="N29" s="111">
        <f xml:space="preserve"> fitSyst_bFrac!E29*defaultFit_Inclusive!E29</f>
        <v>51.869484167000003</v>
      </c>
      <c r="O29" s="111">
        <f xml:space="preserve"> fitSyst_bFrac!E29*defaultFit_Inclusive!H29</f>
        <v>58.311755269000002</v>
      </c>
      <c r="P29" s="110"/>
      <c r="Q29" s="111">
        <f xml:space="preserve"> fitSyst_bFrac!F29*defaultFit_Inclusive!E29</f>
        <v>47.731474130000002</v>
      </c>
      <c r="R29" s="111">
        <f xml:space="preserve"> fitSyst_bFrac!F29*defaultFit_Inclusive!H29</f>
        <v>53.659797909999995</v>
      </c>
      <c r="S29" s="110"/>
      <c r="T29" s="111">
        <f>fitSyst_bFrac!$G29*defaultFit_Inclusive!$E29</f>
        <v>51.021747649999995</v>
      </c>
      <c r="U29" s="111">
        <f>fitSyst_bFrac!$G29*defaultFit_Inclusive!$H29</f>
        <v>57.358728549999995</v>
      </c>
      <c r="V29" s="110"/>
      <c r="W29" s="109">
        <f>defaultFit_Inclusive!$U29*trgBiassing!E29</f>
        <v>40.363102223999995</v>
      </c>
      <c r="X29" s="109">
        <f>defaultFit_Inclusive!$U29*trgBiassing!F29</f>
        <v>49.849200281999998</v>
      </c>
      <c r="Y29" s="110"/>
      <c r="Z29" s="109">
        <f>defaultFit_Inclusive!$U29*trgBiassing!L29</f>
        <v>17.922158049</v>
      </c>
      <c r="AA29" s="109">
        <f>defaultFit_Inclusive!$U29*trgBiassing!M29</f>
        <v>25.590120528</v>
      </c>
      <c r="AB29" s="110"/>
      <c r="AC29" s="109">
        <f>defaultFit_Inclusive!$U29*epSystematic!E29</f>
        <v>49.269141294000001</v>
      </c>
      <c r="AD29" s="109">
        <f>defaultFit_Inclusive!$U29*epSystematic!F29</f>
        <v>53.758385208</v>
      </c>
      <c r="AE29" s="112">
        <f t="shared" ref="AE29:AE31" si="6">SQRT(POWER(E29/$E$32-AH29,2)+POWER(H29/$H$32-AH29,2)+POWER(K29/$K$32-AH29,2)+POWER(N29/$N$32-AH29,2)+POWER(Q29/$Q$32-AH29,2)+POWER(T29/$T$32-AH29,2)+POWER(W29/$W$32-AH29,2)+POWER(Z29/$Z$32-AH29,2)+POWER(AC29/$AC$32-AH29,2))/SQRT(9*POWER(PI()/8,2))</f>
        <v>4.0785520967550684E-2</v>
      </c>
      <c r="AF29" s="112">
        <f t="shared" ref="AF29:AF31" si="7">SQRT(POWER(F29/$F$32-AI29,2)+POWER(I29/$I$32-AI29,2)+POWER(L29/$L$32-AI29,2)+POWER(O29/$O$32-AI29,2)+POWER(R29/$R$32-AI29,2)+POWER(U29/$U$32-AI29,2)+POWER(X29/$X$32-AI29,2)+POWER(AA29/$AA$32-AI29,2)+POWER(AD29/$AD$32-AI29,2))/SQRT(9*POWER(PI()/8,2))</f>
        <v>1.5338348046825106E-2</v>
      </c>
      <c r="AG29" s="112"/>
      <c r="AH29" s="112">
        <f xml:space="preserve"> defaultFit_NonPrompt!E29/defaultFit_NonPrompt!$E$32</f>
        <v>0.23404743913920226</v>
      </c>
      <c r="AI29" s="112">
        <f xml:space="preserve"> defaultFit_NonPrompt!H29/defaultFit_NonPrompt!$H$32</f>
        <v>0.26996246200770518</v>
      </c>
    </row>
    <row r="30" spans="1:35" ht="20.25" x14ac:dyDescent="0.35">
      <c r="A30" s="146"/>
      <c r="B30" s="146"/>
      <c r="C30" s="149"/>
      <c r="D30" s="13" t="s">
        <v>52</v>
      </c>
      <c r="E30" s="109">
        <f>defaultFit_Inclusive!$U30*fitSyst_Inclusive!E30</f>
        <v>65.165538116000008</v>
      </c>
      <c r="F30" s="109">
        <f>defaultFit_Inclusive!$U30*fitSyst_Inclusive!F30</f>
        <v>60.423217231999999</v>
      </c>
      <c r="G30" s="110"/>
      <c r="H30" s="109">
        <f>defaultFit_Inclusive!$U30*fitSyst_Inclusive!H30</f>
        <v>60.423217231999999</v>
      </c>
      <c r="I30" s="109">
        <f>defaultFit_Inclusive!$U30*fitSyst_Inclusive!I30</f>
        <v>59.901198504</v>
      </c>
      <c r="J30" s="110"/>
      <c r="K30" s="109">
        <f>defaultFit_Inclusive!$U30*fitSyst_Inclusive!K30</f>
        <v>64.478023231999998</v>
      </c>
      <c r="L30" s="109">
        <f>defaultFit_Inclusive!$U30*fitSyst_Inclusive!L30</f>
        <v>61.776921724000005</v>
      </c>
      <c r="M30" s="110"/>
      <c r="N30" s="111">
        <f xml:space="preserve"> fitSyst_bFrac!E30*defaultFit_Inclusive!E30</f>
        <v>65.154109580000011</v>
      </c>
      <c r="O30" s="111">
        <f xml:space="preserve"> fitSyst_bFrac!E30*defaultFit_Inclusive!H30</f>
        <v>60.409916140000007</v>
      </c>
      <c r="P30" s="110"/>
      <c r="Q30" s="111">
        <f xml:space="preserve"> fitSyst_bFrac!F30*defaultFit_Inclusive!E30</f>
        <v>60.277928296000006</v>
      </c>
      <c r="R30" s="111">
        <f xml:space="preserve"> fitSyst_bFrac!F30*defaultFit_Inclusive!H30</f>
        <v>55.888793767999999</v>
      </c>
      <c r="S30" s="110"/>
      <c r="T30" s="111">
        <f>fitSyst_bFrac!$G30*defaultFit_Inclusive!$E30</f>
        <v>67.81799362400001</v>
      </c>
      <c r="U30" s="111">
        <f>fitSyst_bFrac!$G30*defaultFit_Inclusive!$H30</f>
        <v>62.879829592</v>
      </c>
      <c r="V30" s="110"/>
      <c r="W30" s="109">
        <f>defaultFit_Inclusive!$U30*trgBiassing!E30</f>
        <v>54.660286660000004</v>
      </c>
      <c r="X30" s="109">
        <f>defaultFit_Inclusive!$U30*trgBiassing!F30</f>
        <v>53.723175940000004</v>
      </c>
      <c r="Y30" s="110"/>
      <c r="Z30" s="109">
        <f>defaultFit_Inclusive!$U30*trgBiassing!L30</f>
        <v>27.630799686</v>
      </c>
      <c r="AA30" s="109">
        <f>defaultFit_Inclusive!$U30*trgBiassing!M30</f>
        <v>30.272280528</v>
      </c>
      <c r="AB30" s="110"/>
      <c r="AC30" s="109">
        <f>defaultFit_Inclusive!$U30*epSystematic!E30</f>
        <v>64.418853100000007</v>
      </c>
      <c r="AD30" s="109">
        <f>defaultFit_Inclusive!$U30*epSystematic!F30</f>
        <v>60.413005128000002</v>
      </c>
      <c r="AE30" s="112">
        <f t="shared" si="6"/>
        <v>2.5142294243408712E-2</v>
      </c>
      <c r="AF30" s="112">
        <f t="shared" si="7"/>
        <v>2.4791934183035977E-2</v>
      </c>
      <c r="AG30" s="112"/>
      <c r="AH30" s="112">
        <f xml:space="preserve"> defaultFit_NonPrompt!E30/defaultFit_NonPrompt!$E$32</f>
        <v>0.31843256998636255</v>
      </c>
      <c r="AI30" s="112">
        <f xml:space="preserve"> defaultFit_NonPrompt!H30/defaultFit_NonPrompt!$H$32</f>
        <v>0.30292784960891656</v>
      </c>
    </row>
    <row r="31" spans="1:35" ht="20.25" x14ac:dyDescent="0.35">
      <c r="A31" s="146"/>
      <c r="B31" s="146"/>
      <c r="C31" s="149"/>
      <c r="D31" s="13" t="s">
        <v>53</v>
      </c>
      <c r="E31" s="109">
        <f>defaultFit_Inclusive!$U31*fitSyst_Inclusive!E31</f>
        <v>44.006460144000002</v>
      </c>
      <c r="F31" s="109">
        <f>defaultFit_Inclusive!$U31*fitSyst_Inclusive!F31</f>
        <v>42.209734116</v>
      </c>
      <c r="G31" s="110"/>
      <c r="H31" s="109">
        <f>defaultFit_Inclusive!$U31*fitSyst_Inclusive!H31</f>
        <v>42.209734116</v>
      </c>
      <c r="I31" s="109">
        <f>defaultFit_Inclusive!$U31*fitSyst_Inclusive!I31</f>
        <v>41.593633272000005</v>
      </c>
      <c r="J31" s="110"/>
      <c r="K31" s="109">
        <f>defaultFit_Inclusive!$U31*fitSyst_Inclusive!K31</f>
        <v>45.226092768000001</v>
      </c>
      <c r="L31" s="109">
        <f>defaultFit_Inclusive!$U31*fitSyst_Inclusive!L31</f>
        <v>43.928445264000004</v>
      </c>
      <c r="M31" s="110"/>
      <c r="N31" s="111">
        <f xml:space="preserve"> fitSyst_bFrac!E31*defaultFit_Inclusive!E31</f>
        <v>49.609790022999995</v>
      </c>
      <c r="O31" s="111">
        <f xml:space="preserve"> fitSyst_bFrac!E31*defaultFit_Inclusive!H31</f>
        <v>47.533131768999993</v>
      </c>
      <c r="P31" s="110"/>
      <c r="Q31" s="111">
        <f xml:space="preserve"> fitSyst_bFrac!F31*defaultFit_Inclusive!E31</f>
        <v>43.321895427999998</v>
      </c>
      <c r="R31" s="111">
        <f xml:space="preserve"> fitSyst_bFrac!F31*defaultFit_Inclusive!H31</f>
        <v>41.508447483999994</v>
      </c>
      <c r="S31" s="110"/>
      <c r="T31" s="111">
        <f>fitSyst_bFrac!$G31*defaultFit_Inclusive!$E31</f>
        <v>43.971532670000002</v>
      </c>
      <c r="U31" s="111">
        <f>fitSyst_bFrac!$G31*defaultFit_Inclusive!$H31</f>
        <v>42.130891009999999</v>
      </c>
      <c r="V31" s="110"/>
      <c r="W31" s="109">
        <f>defaultFit_Inclusive!$U31*trgBiassing!E31</f>
        <v>39.289810524000004</v>
      </c>
      <c r="X31" s="109">
        <f>defaultFit_Inclusive!$U31*trgBiassing!F31</f>
        <v>37.374761928000005</v>
      </c>
      <c r="Y31" s="110"/>
      <c r="Z31" s="109">
        <f>defaultFit_Inclusive!$U31*trgBiassing!L31</f>
        <v>21.907878552</v>
      </c>
      <c r="AA31" s="109">
        <f>defaultFit_Inclusive!$U31*trgBiassing!M31</f>
        <v>19.2545058</v>
      </c>
      <c r="AB31" s="110"/>
      <c r="AC31" s="109">
        <f>defaultFit_Inclusive!$U31*epSystematic!E31</f>
        <v>43.652359272000005</v>
      </c>
      <c r="AD31" s="109">
        <f>defaultFit_Inclusive!$U31*epSystematic!F31</f>
        <v>41.823993876000003</v>
      </c>
      <c r="AE31" s="112">
        <f t="shared" si="6"/>
        <v>3.448249720003501E-2</v>
      </c>
      <c r="AF31" s="112">
        <f t="shared" si="7"/>
        <v>1.4991696387745043E-2</v>
      </c>
      <c r="AG31" s="112"/>
      <c r="AH31" s="112">
        <f xml:space="preserve"> defaultFit_NonPrompt!E31/defaultFit_NonPrompt!$E$32</f>
        <v>0.2150286937082837</v>
      </c>
      <c r="AI31" s="112">
        <f xml:space="preserve"> defaultFit_NonPrompt!H31/defaultFit_NonPrompt!$H$32</f>
        <v>0.21138820842847228</v>
      </c>
    </row>
    <row r="32" spans="1:35" ht="20.25" x14ac:dyDescent="0.35">
      <c r="A32" s="146"/>
      <c r="B32" s="146"/>
      <c r="C32" s="149"/>
      <c r="D32" s="80"/>
      <c r="E32" s="113">
        <f xml:space="preserve"> SUM(E28:E31)</f>
        <v>204.695688512</v>
      </c>
      <c r="F32" s="113">
        <f xml:space="preserve"> SUM(F28:F31)</f>
        <v>199.599170458</v>
      </c>
      <c r="G32" s="113"/>
      <c r="H32" s="113">
        <f xml:space="preserve"> SUM(H28:H31)</f>
        <v>199.599170458</v>
      </c>
      <c r="I32" s="113">
        <f xml:space="preserve"> SUM(I28:I31)</f>
        <v>196.99767618500002</v>
      </c>
      <c r="J32" s="113"/>
      <c r="K32" s="113">
        <f xml:space="preserve"> SUM(K28:K31)</f>
        <v>204.76239308700002</v>
      </c>
      <c r="L32" s="113">
        <f xml:space="preserve"> SUM(L28:L31)</f>
        <v>202.17003634500003</v>
      </c>
      <c r="M32" s="113"/>
      <c r="N32" s="113">
        <f xml:space="preserve"> SUM(N28:N31)</f>
        <v>218.39800497900001</v>
      </c>
      <c r="O32" s="113">
        <f xml:space="preserve"> SUM(O28:O31)</f>
        <v>213.06758286499999</v>
      </c>
      <c r="P32" s="113"/>
      <c r="Q32" s="113">
        <f xml:space="preserve"> SUM(Q28:Q31)</f>
        <v>197.43931432600002</v>
      </c>
      <c r="R32" s="113">
        <f xml:space="preserve"> SUM(R28:R31)</f>
        <v>192.754329058</v>
      </c>
      <c r="S32" s="113"/>
      <c r="T32" s="113">
        <f xml:space="preserve"> SUM(T28:T31)</f>
        <v>211.99462327099997</v>
      </c>
      <c r="U32" s="113">
        <f xml:space="preserve"> SUM(U28:U31)</f>
        <v>206.84788331299998</v>
      </c>
      <c r="V32" s="113"/>
      <c r="W32" s="113">
        <f xml:space="preserve"> SUM(W28:W31)</f>
        <v>173.84802388399999</v>
      </c>
      <c r="X32" s="113">
        <f xml:space="preserve"> SUM(X28:X31)</f>
        <v>176.16393409299999</v>
      </c>
      <c r="Y32" s="113"/>
      <c r="Z32" s="113">
        <f xml:space="preserve"> SUM(Z28:Z31)</f>
        <v>87.472754717000001</v>
      </c>
      <c r="AA32" s="113">
        <f xml:space="preserve"> SUM(AA28:AA31)</f>
        <v>94.575524635999997</v>
      </c>
      <c r="AB32" s="113"/>
      <c r="AC32" s="113">
        <f xml:space="preserve"> SUM(AC28:AC31)</f>
        <v>204.90998183500002</v>
      </c>
      <c r="AD32" s="113">
        <f xml:space="preserve"> SUM(AD28:AD31)</f>
        <v>199.66995145600001</v>
      </c>
      <c r="AE32" s="113"/>
      <c r="AF32" s="113"/>
      <c r="AG32" s="113"/>
      <c r="AH32" s="113"/>
      <c r="AI32" s="113"/>
    </row>
    <row r="33" spans="1:35" ht="20.25" x14ac:dyDescent="0.35">
      <c r="A33" s="150" t="s">
        <v>55</v>
      </c>
      <c r="B33" s="132" t="s">
        <v>37</v>
      </c>
      <c r="C33" s="151" t="s">
        <v>17</v>
      </c>
      <c r="D33" s="48" t="s">
        <v>51</v>
      </c>
      <c r="E33" s="109">
        <f>defaultFit_Inclusive!$U33*fitSyst_Inclusive!E33</f>
        <v>209.47892010000001</v>
      </c>
      <c r="F33" s="109">
        <f>defaultFit_Inclusive!$U33*fitSyst_Inclusive!F33</f>
        <v>208.5762369</v>
      </c>
      <c r="G33" s="110"/>
      <c r="H33" s="109">
        <f>defaultFit_Inclusive!$U33*fitSyst_Inclusive!H33</f>
        <v>208.5762369</v>
      </c>
      <c r="I33" s="109">
        <f>defaultFit_Inclusive!$U33*fitSyst_Inclusive!I33</f>
        <v>206.19729055000002</v>
      </c>
      <c r="J33" s="110"/>
      <c r="K33" s="109">
        <f>defaultFit_Inclusive!$U33*fitSyst_Inclusive!K33</f>
        <v>209.15733921</v>
      </c>
      <c r="L33" s="109">
        <f>defaultFit_Inclusive!$U33*fitSyst_Inclusive!L33</f>
        <v>210.44178217999999</v>
      </c>
      <c r="M33" s="110"/>
      <c r="N33" s="111">
        <f xml:space="preserve"> fitSyst_bFrac!E33*defaultFit_Inclusive!E33</f>
        <v>229.39922849999999</v>
      </c>
      <c r="O33" s="111">
        <f xml:space="preserve"> fitSyst_bFrac!E33*defaultFit_Inclusive!H33</f>
        <v>229.29640499999999</v>
      </c>
      <c r="P33" s="110"/>
      <c r="Q33" s="111">
        <f xml:space="preserve"> fitSyst_bFrac!F33*defaultFit_Inclusive!E33</f>
        <v>202.35616200000001</v>
      </c>
      <c r="R33" s="111">
        <f xml:space="preserve"> fitSyst_bFrac!F33*defaultFit_Inclusive!H33</f>
        <v>202.26546000000002</v>
      </c>
      <c r="S33" s="110"/>
      <c r="T33" s="111">
        <f>fitSyst_bFrac!$G33*defaultFit_Inclusive!$E33</f>
        <v>213.33937499999999</v>
      </c>
      <c r="U33" s="111">
        <f>fitSyst_bFrac!$G33*defaultFit_Inclusive!$H33</f>
        <v>213.24375000000001</v>
      </c>
      <c r="V33" s="110"/>
      <c r="W33" s="109">
        <f>defaultFit_Inclusive!$U33*trgBiassing!E33</f>
        <v>169.685447641</v>
      </c>
      <c r="X33" s="109">
        <f>defaultFit_Inclusive!$U33*trgBiassing!F33</f>
        <v>166.10123116</v>
      </c>
      <c r="Y33" s="110"/>
      <c r="Z33" s="109">
        <f>defaultFit_Inclusive!$U33*trgBiassing!L33</f>
        <v>90.021962709999997</v>
      </c>
      <c r="AA33" s="109">
        <f>defaultFit_Inclusive!$U33*trgBiassing!M33</f>
        <v>88.373061398000004</v>
      </c>
      <c r="AB33" s="110"/>
      <c r="AC33" s="109">
        <f>defaultFit_Inclusive!$U33*epSystematic!E33</f>
        <v>209.77981450000001</v>
      </c>
      <c r="AD33" s="109">
        <f>defaultFit_Inclusive!$U33*epSystematic!F33</f>
        <v>209.68578500000001</v>
      </c>
      <c r="AE33" s="112"/>
      <c r="AF33" s="112"/>
      <c r="AG33" s="112"/>
      <c r="AH33" s="112"/>
      <c r="AI33" s="112"/>
    </row>
    <row r="34" spans="1:35" ht="20.25" x14ac:dyDescent="0.35">
      <c r="A34" s="150"/>
      <c r="B34" s="132"/>
      <c r="C34" s="151"/>
      <c r="D34" s="50" t="s">
        <v>49</v>
      </c>
      <c r="E34" s="109">
        <f>defaultFit_Inclusive!$U34*fitSyst_Inclusive!E34</f>
        <v>51.426678228</v>
      </c>
      <c r="F34" s="109">
        <f>defaultFit_Inclusive!$U34*fitSyst_Inclusive!F34</f>
        <v>52.956144346999999</v>
      </c>
      <c r="G34" s="110"/>
      <c r="H34" s="109">
        <f>defaultFit_Inclusive!$U34*fitSyst_Inclusive!H34</f>
        <v>52.956144346999999</v>
      </c>
      <c r="I34" s="109">
        <f>defaultFit_Inclusive!$U34*fitSyst_Inclusive!I34</f>
        <v>52.330610258</v>
      </c>
      <c r="J34" s="110"/>
      <c r="K34" s="109">
        <f>defaultFit_Inclusive!$U34*fitSyst_Inclusive!K34</f>
        <v>51.532984572000004</v>
      </c>
      <c r="L34" s="109">
        <f>defaultFit_Inclusive!$U34*fitSyst_Inclusive!L34</f>
        <v>53.318373371</v>
      </c>
      <c r="M34" s="110"/>
      <c r="N34" s="111">
        <f xml:space="preserve"> fitSyst_bFrac!E34*defaultFit_Inclusive!E34</f>
        <v>56.110014816000003</v>
      </c>
      <c r="O34" s="111">
        <f xml:space="preserve"> fitSyst_bFrac!E34*defaultFit_Inclusive!H34</f>
        <v>58.066242576</v>
      </c>
      <c r="P34" s="110"/>
      <c r="Q34" s="111">
        <f xml:space="preserve"> fitSyst_bFrac!F34*defaultFit_Inclusive!E34</f>
        <v>48.412201037999999</v>
      </c>
      <c r="R34" s="111">
        <f xml:space="preserve"> fitSyst_bFrac!F34*defaultFit_Inclusive!H34</f>
        <v>50.100051092999998</v>
      </c>
      <c r="S34" s="110"/>
      <c r="T34" s="111">
        <f>fitSyst_bFrac!$G34*defaultFit_Inclusive!$E34</f>
        <v>52.424674316000001</v>
      </c>
      <c r="U34" s="111">
        <f>fitSyst_bFrac!$G34*defaultFit_Inclusive!$H34</f>
        <v>54.252415825999996</v>
      </c>
      <c r="V34" s="110"/>
      <c r="W34" s="109">
        <f>defaultFit_Inclusive!$U34*trgBiassing!E34</f>
        <v>38.508652849000001</v>
      </c>
      <c r="X34" s="109">
        <f>defaultFit_Inclusive!$U34*trgBiassing!F34</f>
        <v>39.073487327999999</v>
      </c>
      <c r="Y34" s="110"/>
      <c r="Z34" s="109">
        <f>defaultFit_Inclusive!$U34*trgBiassing!L34</f>
        <v>18.673004619</v>
      </c>
      <c r="AA34" s="109">
        <f>defaultFit_Inclusive!$U34*trgBiassing!M34</f>
        <v>18.807856184999999</v>
      </c>
      <c r="AB34" s="110"/>
      <c r="AC34" s="109">
        <f>defaultFit_Inclusive!$U34*epSystematic!E34</f>
        <v>52.096014468</v>
      </c>
      <c r="AD34" s="109">
        <f>defaultFit_Inclusive!$U34*epSystematic!F34</f>
        <v>53.154156317999998</v>
      </c>
      <c r="AE34" s="112">
        <f>SQRT(POWER(E34/$E$38-AH34,2)+POWER(H34/$H$38-AH34,2)+POWER(K34/$K$38-AH34,2)+POWER(N34/$N$38-AH34,2)+POWER(Q34/$Q$38-AH34,2)+POWER(T34/$T$38-AH34,2)+POWER(W34/$W$38-AH34,2)+POWER(Z34/$Z$38-AH34,2)+POWER(AC34/$AC$38-AH34,2))/SQRT(9*POWER(PI()/8,2))</f>
        <v>3.9380565390817676E-2</v>
      </c>
      <c r="AF34" s="112">
        <f>SQRT(POWER(F34/$F$38-AI34,2)+POWER(I34/$I$38-AI34,2)+POWER(L34/$L$38-AI34,2)+POWER(O34/$O$38-AI34,2)+POWER(R34/$R$38-AI34,2)+POWER(U34/$U$38-AI34,2)+POWER(X34/$X$38-AI34,2)+POWER(AA34/$AA$38-AI34,2)+POWER(AD34/$AD$38-AI34,2))/SQRT(9*POWER(PI()/8,2))</f>
        <v>4.1142299327783786E-2</v>
      </c>
      <c r="AG34" s="112"/>
      <c r="AH34" s="112">
        <f xml:space="preserve"> defaultFit_NonPrompt!E34/defaultFit_NonPrompt!$E$38</f>
        <v>0.24366666239021409</v>
      </c>
      <c r="AI34" s="112">
        <f xml:space="preserve"> defaultFit_NonPrompt!H34/defaultFit_NonPrompt!$H$38</f>
        <v>0.25294134363568754</v>
      </c>
    </row>
    <row r="35" spans="1:35" ht="20.25" x14ac:dyDescent="0.35">
      <c r="A35" s="150"/>
      <c r="B35" s="132"/>
      <c r="C35" s="151"/>
      <c r="D35" s="50" t="s">
        <v>50</v>
      </c>
      <c r="E35" s="109">
        <f>defaultFit_Inclusive!$U35*fitSyst_Inclusive!E35</f>
        <v>45.508861853999996</v>
      </c>
      <c r="F35" s="109">
        <f>defaultFit_Inclusive!$U35*fitSyst_Inclusive!F35</f>
        <v>48.884737596000001</v>
      </c>
      <c r="G35" s="110"/>
      <c r="H35" s="109">
        <f>defaultFit_Inclusive!$U35*fitSyst_Inclusive!H35</f>
        <v>48.884737596000001</v>
      </c>
      <c r="I35" s="109">
        <f>defaultFit_Inclusive!$U35*fitSyst_Inclusive!I35</f>
        <v>48.331958663999998</v>
      </c>
      <c r="J35" s="110"/>
      <c r="K35" s="109">
        <f>defaultFit_Inclusive!$U35*fitSyst_Inclusive!K35</f>
        <v>45.247695798000002</v>
      </c>
      <c r="L35" s="109">
        <f>defaultFit_Inclusive!$U35*fitSyst_Inclusive!L35</f>
        <v>49.084840863000004</v>
      </c>
      <c r="M35" s="110"/>
      <c r="N35" s="111">
        <f xml:space="preserve"> fitSyst_bFrac!E35*defaultFit_Inclusive!E35</f>
        <v>48.121486300000001</v>
      </c>
      <c r="O35" s="111">
        <f xml:space="preserve"> fitSyst_bFrac!E35*defaultFit_Inclusive!H35</f>
        <v>51.865598822999992</v>
      </c>
      <c r="P35" s="110"/>
      <c r="Q35" s="111">
        <f xml:space="preserve"> fitSyst_bFrac!F35*defaultFit_Inclusive!E35</f>
        <v>45.609186600000008</v>
      </c>
      <c r="R35" s="111">
        <f xml:space="preserve"> fitSyst_bFrac!F35*defaultFit_Inclusive!H35</f>
        <v>49.157828586000001</v>
      </c>
      <c r="S35" s="110"/>
      <c r="T35" s="111">
        <f>fitSyst_bFrac!$G35*defaultFit_Inclusive!$E35</f>
        <v>49.066998600000005</v>
      </c>
      <c r="U35" s="111">
        <f>fitSyst_bFrac!$G35*defaultFit_Inclusive!$H35</f>
        <v>52.884677105999998</v>
      </c>
      <c r="V35" s="110"/>
      <c r="W35" s="109">
        <f>defaultFit_Inclusive!$U35*trgBiassing!E35</f>
        <v>36.979692677999999</v>
      </c>
      <c r="X35" s="109">
        <f>defaultFit_Inclusive!$U35*trgBiassing!F35</f>
        <v>39.811246937999996</v>
      </c>
      <c r="Y35" s="110"/>
      <c r="Z35" s="109">
        <f>defaultFit_Inclusive!$U35*trgBiassing!L35</f>
        <v>19.090325288999999</v>
      </c>
      <c r="AA35" s="109">
        <f>defaultFit_Inclusive!$U35*trgBiassing!M35</f>
        <v>19.485457353000001</v>
      </c>
      <c r="AB35" s="110"/>
      <c r="AC35" s="109">
        <f>defaultFit_Inclusive!$U35*epSystematic!E35</f>
        <v>43.798596314999998</v>
      </c>
      <c r="AD35" s="109">
        <f>defaultFit_Inclusive!$U35*epSystematic!F35</f>
        <v>48.284766092999995</v>
      </c>
      <c r="AE35" s="112">
        <f t="shared" ref="AE35:AE37" si="8">SQRT(POWER(E35/$E$38-AH35,2)+POWER(H35/$H$38-AH35,2)+POWER(K35/$K$38-AH35,2)+POWER(N35/$N$38-AH35,2)+POWER(Q35/$Q$38-AH35,2)+POWER(T35/$T$38-AH35,2)+POWER(W35/$W$38-AH35,2)+POWER(Z35/$Z$38-AH35,2)+POWER(AC35/$AC$38-AH35,2))/SQRT(9*POWER(PI()/8,2))</f>
        <v>2.3810343164891501E-2</v>
      </c>
      <c r="AF35" s="112">
        <f t="shared" ref="AF35:AF37" si="9">SQRT(POWER(F35/$F$38-AI35,2)+POWER(I35/$I$38-AI35,2)+POWER(L35/$L$38-AI35,2)+POWER(O35/$O$38-AI35,2)+POWER(R35/$R$38-AI35,2)+POWER(U35/$U$38-AI35,2)+POWER(X35/$X$38-AI35,2)+POWER(AA35/$AA$38-AI35,2)+POWER(AD35/$AD$38-AI35,2))/SQRT(9*POWER(PI()/8,2))</f>
        <v>2.2003857160509097E-2</v>
      </c>
      <c r="AG35" s="112"/>
      <c r="AH35" s="112">
        <f xml:space="preserve"> defaultFit_NonPrompt!E35/defaultFit_NonPrompt!$E$38</f>
        <v>0.21571382153035876</v>
      </c>
      <c r="AI35" s="112">
        <f xml:space="preserve"> defaultFit_NonPrompt!H35/defaultFit_NonPrompt!$H$38</f>
        <v>0.23321619341933522</v>
      </c>
    </row>
    <row r="36" spans="1:35" ht="20.25" x14ac:dyDescent="0.35">
      <c r="A36" s="150"/>
      <c r="B36" s="132"/>
      <c r="C36" s="151"/>
      <c r="D36" s="48" t="s">
        <v>52</v>
      </c>
      <c r="E36" s="109">
        <f>defaultFit_Inclusive!$U36*fitSyst_Inclusive!E36</f>
        <v>57.700943300000006</v>
      </c>
      <c r="F36" s="109">
        <f>defaultFit_Inclusive!$U36*fitSyst_Inclusive!F36</f>
        <v>50.597778660000003</v>
      </c>
      <c r="G36" s="110"/>
      <c r="H36" s="109">
        <f>defaultFit_Inclusive!$U36*fitSyst_Inclusive!H36</f>
        <v>50.597778660000003</v>
      </c>
      <c r="I36" s="109">
        <f>defaultFit_Inclusive!$U36*fitSyst_Inclusive!I36</f>
        <v>50.022957269999999</v>
      </c>
      <c r="J36" s="110"/>
      <c r="K36" s="109">
        <f>defaultFit_Inclusive!$U36*fitSyst_Inclusive!K36</f>
        <v>57.502383510000001</v>
      </c>
      <c r="L36" s="109">
        <f>defaultFit_Inclusive!$U36*fitSyst_Inclusive!L36</f>
        <v>51.127612250000006</v>
      </c>
      <c r="M36" s="110"/>
      <c r="N36" s="111">
        <f xml:space="preserve"> fitSyst_bFrac!E36*defaultFit_Inclusive!E36</f>
        <v>63.168206790000006</v>
      </c>
      <c r="O36" s="111">
        <f xml:space="preserve"> fitSyst_bFrac!E36*defaultFit_Inclusive!H36</f>
        <v>55.468801049999996</v>
      </c>
      <c r="P36" s="110"/>
      <c r="Q36" s="111">
        <f xml:space="preserve"> fitSyst_bFrac!F36*defaultFit_Inclusive!E36</f>
        <v>54.775588446000008</v>
      </c>
      <c r="R36" s="111">
        <f xml:space="preserve"> fitSyst_bFrac!F36*defaultFit_Inclusive!H36</f>
        <v>48.099136770000001</v>
      </c>
      <c r="S36" s="110"/>
      <c r="T36" s="111">
        <f>fitSyst_bFrac!$G36*defaultFit_Inclusive!$E36</f>
        <v>58.152898512000007</v>
      </c>
      <c r="U36" s="111">
        <f>fitSyst_bFrac!$G36*defaultFit_Inclusive!$H36</f>
        <v>51.064795439999997</v>
      </c>
      <c r="V36" s="110"/>
      <c r="W36" s="109">
        <f>defaultFit_Inclusive!$U36*trgBiassing!E36</f>
        <v>47.589117290000004</v>
      </c>
      <c r="X36" s="109">
        <f>defaultFit_Inclusive!$U36*trgBiassing!F36</f>
        <v>42.676040549999996</v>
      </c>
      <c r="Y36" s="110"/>
      <c r="Z36" s="109">
        <f>defaultFit_Inclusive!$U36*trgBiassing!L36</f>
        <v>23.486903439999999</v>
      </c>
      <c r="AA36" s="109">
        <f>defaultFit_Inclusive!$U36*trgBiassing!M36</f>
        <v>27.382437940000003</v>
      </c>
      <c r="AB36" s="110"/>
      <c r="AC36" s="109">
        <f>defaultFit_Inclusive!$U36*epSystematic!E36</f>
        <v>58.366558250000004</v>
      </c>
      <c r="AD36" s="109">
        <f>defaultFit_Inclusive!$U36*epSystematic!F36</f>
        <v>52.470907060000002</v>
      </c>
      <c r="AE36" s="112">
        <f t="shared" si="8"/>
        <v>3.2509362533970146E-2</v>
      </c>
      <c r="AF36" s="112">
        <f t="shared" si="9"/>
        <v>5.4875124243616617E-2</v>
      </c>
      <c r="AG36" s="112"/>
      <c r="AH36" s="112">
        <f xml:space="preserve"> defaultFit_NonPrompt!E36/defaultFit_NonPrompt!$E$38</f>
        <v>0.27404959246019694</v>
      </c>
      <c r="AI36" s="112">
        <f xml:space="preserve"> defaultFit_NonPrompt!H36/defaultFit_NonPrompt!$H$38</f>
        <v>0.24139026798676794</v>
      </c>
    </row>
    <row r="37" spans="1:35" ht="20.25" x14ac:dyDescent="0.35">
      <c r="A37" s="150"/>
      <c r="B37" s="132"/>
      <c r="C37" s="151"/>
      <c r="D37" s="48" t="s">
        <v>53</v>
      </c>
      <c r="E37" s="109">
        <f>defaultFit_Inclusive!$U37*fitSyst_Inclusive!E37</f>
        <v>56.22359822</v>
      </c>
      <c r="F37" s="109">
        <f>defaultFit_Inclusive!$U37*fitSyst_Inclusive!F37</f>
        <v>56.902364400000003</v>
      </c>
      <c r="G37" s="110"/>
      <c r="H37" s="109">
        <f>defaultFit_Inclusive!$U37*fitSyst_Inclusive!H37</f>
        <v>56.902364400000003</v>
      </c>
      <c r="I37" s="109">
        <f>defaultFit_Inclusive!$U37*fitSyst_Inclusive!I37</f>
        <v>56.238526100000001</v>
      </c>
      <c r="J37" s="110"/>
      <c r="K37" s="109">
        <f>defaultFit_Inclusive!$U37*fitSyst_Inclusive!K37</f>
        <v>60.19848554</v>
      </c>
      <c r="L37" s="109">
        <f>defaultFit_Inclusive!$U37*fitSyst_Inclusive!L37</f>
        <v>58.314858499999993</v>
      </c>
      <c r="M37" s="110"/>
      <c r="N37" s="111">
        <f xml:space="preserve"> fitSyst_bFrac!E37*defaultFit_Inclusive!E37</f>
        <v>63.445715856</v>
      </c>
      <c r="O37" s="111">
        <f xml:space="preserve"> fitSyst_bFrac!E37*defaultFit_Inclusive!H37</f>
        <v>64.645916880000001</v>
      </c>
      <c r="P37" s="110"/>
      <c r="Q37" s="111">
        <f xml:space="preserve"> fitSyst_bFrac!F37*defaultFit_Inclusive!E37</f>
        <v>53.145692334000003</v>
      </c>
      <c r="R37" s="111">
        <f xml:space="preserve"> fitSyst_bFrac!F37*defaultFit_Inclusive!H37</f>
        <v>54.151048070000002</v>
      </c>
      <c r="S37" s="110"/>
      <c r="T37" s="111">
        <f>fitSyst_bFrac!$G37*defaultFit_Inclusive!$E37</f>
        <v>55.540635705</v>
      </c>
      <c r="U37" s="111">
        <f>fitSyst_bFrac!$G37*defaultFit_Inclusive!$H37</f>
        <v>56.591296525000004</v>
      </c>
      <c r="V37" s="110"/>
      <c r="W37" s="109">
        <f>defaultFit_Inclusive!$U37*trgBiassing!E37</f>
        <v>48.686375899999994</v>
      </c>
      <c r="X37" s="109">
        <f>defaultFit_Inclusive!$U37*trgBiassing!F37</f>
        <v>45.760963779999997</v>
      </c>
      <c r="Y37" s="110"/>
      <c r="Z37" s="109">
        <f>defaultFit_Inclusive!$U37*trgBiassing!L37</f>
        <v>30.725422099999999</v>
      </c>
      <c r="AA37" s="109">
        <f>defaultFit_Inclusive!$U37*trgBiassing!M37</f>
        <v>24.41341684</v>
      </c>
      <c r="AB37" s="110"/>
      <c r="AC37" s="109">
        <f>defaultFit_Inclusive!$U37*epSystematic!E37</f>
        <v>57.193910419999995</v>
      </c>
      <c r="AD37" s="109">
        <f>defaultFit_Inclusive!$U37*epSystematic!F37</f>
        <v>56.793571819999997</v>
      </c>
      <c r="AE37" s="112">
        <f t="shared" si="8"/>
        <v>6.1404102201623616E-2</v>
      </c>
      <c r="AF37" s="112">
        <f t="shared" si="9"/>
        <v>1.1648139637306165E-2</v>
      </c>
      <c r="AG37" s="112"/>
      <c r="AH37" s="112">
        <f xml:space="preserve"> defaultFit_NonPrompt!E37/defaultFit_NonPrompt!$E$38</f>
        <v>0.26656992361923026</v>
      </c>
      <c r="AI37" s="112">
        <f xml:space="preserve"> defaultFit_NonPrompt!H37/defaultFit_NonPrompt!$H$38</f>
        <v>0.27245219495820933</v>
      </c>
    </row>
    <row r="38" spans="1:35" ht="20.25" x14ac:dyDescent="0.35">
      <c r="A38" s="150"/>
      <c r="B38" s="132"/>
      <c r="C38" s="151"/>
      <c r="D38" s="80"/>
      <c r="E38" s="113">
        <f xml:space="preserve"> SUM(E34:E37)</f>
        <v>210.86008160199998</v>
      </c>
      <c r="F38" s="113">
        <f xml:space="preserve"> SUM(F34:F37)</f>
        <v>209.34102500300003</v>
      </c>
      <c r="G38" s="113"/>
      <c r="H38" s="113">
        <f xml:space="preserve"> SUM(H34:H37)</f>
        <v>209.34102500300003</v>
      </c>
      <c r="I38" s="113">
        <f xml:space="preserve"> SUM(I34:I37)</f>
        <v>206.924052292</v>
      </c>
      <c r="J38" s="113"/>
      <c r="K38" s="113">
        <f xml:space="preserve"> SUM(K34:K37)</f>
        <v>214.48154941999999</v>
      </c>
      <c r="L38" s="113">
        <f xml:space="preserve"> SUM(L34:L37)</f>
        <v>211.845684984</v>
      </c>
      <c r="M38" s="113"/>
      <c r="N38" s="113">
        <f xml:space="preserve"> SUM(N34:N37)</f>
        <v>230.845423762</v>
      </c>
      <c r="O38" s="113">
        <f xml:space="preserve"> SUM(O34:O37)</f>
        <v>230.04655932899999</v>
      </c>
      <c r="P38" s="113"/>
      <c r="Q38" s="113">
        <f xml:space="preserve"> SUM(Q34:Q37)</f>
        <v>201.94266841800004</v>
      </c>
      <c r="R38" s="113">
        <f xml:space="preserve"> SUM(R34:R37)</f>
        <v>201.50806451900002</v>
      </c>
      <c r="S38" s="113"/>
      <c r="T38" s="113">
        <f xml:space="preserve"> SUM(T34:T37)</f>
        <v>215.18520713300001</v>
      </c>
      <c r="U38" s="113">
        <f xml:space="preserve"> SUM(U34:U37)</f>
        <v>214.793184897</v>
      </c>
      <c r="V38" s="113"/>
      <c r="W38" s="113">
        <f xml:space="preserve"> SUM(W34:W37)</f>
        <v>171.763838717</v>
      </c>
      <c r="X38" s="113">
        <f xml:space="preserve"> SUM(X34:X37)</f>
        <v>167.32173859599999</v>
      </c>
      <c r="Y38" s="113"/>
      <c r="Z38" s="113">
        <f xml:space="preserve"> SUM(Z34:Z37)</f>
        <v>91.975655447999998</v>
      </c>
      <c r="AA38" s="113">
        <f xml:space="preserve"> SUM(AA34:AA37)</f>
        <v>90.089168317999992</v>
      </c>
      <c r="AB38" s="113"/>
      <c r="AC38" s="113">
        <f xml:space="preserve"> SUM(AC34:AC37)</f>
        <v>211.455079453</v>
      </c>
      <c r="AD38" s="113">
        <f xml:space="preserve"> SUM(AD34:AD37)</f>
        <v>210.70340129099998</v>
      </c>
      <c r="AE38" s="113"/>
      <c r="AF38" s="113"/>
      <c r="AG38" s="113"/>
      <c r="AH38" s="113"/>
      <c r="AI38" s="113"/>
    </row>
    <row r="39" spans="1:35" ht="20.25" x14ac:dyDescent="0.35">
      <c r="A39" s="150"/>
      <c r="B39" s="150" t="s">
        <v>76</v>
      </c>
      <c r="C39" s="151"/>
      <c r="D39" s="51" t="s">
        <v>51</v>
      </c>
      <c r="E39" s="109">
        <f>defaultFit_Inclusive!$U39*fitSyst_Inclusive!E39</f>
        <v>251.16627440000002</v>
      </c>
      <c r="F39" s="109">
        <f>defaultFit_Inclusive!$U39*fitSyst_Inclusive!F39</f>
        <v>225.70162832</v>
      </c>
      <c r="G39" s="110"/>
      <c r="H39" s="109">
        <f>defaultFit_Inclusive!$U39*fitSyst_Inclusive!H39</f>
        <v>225.70162832</v>
      </c>
      <c r="I39" s="109">
        <f>defaultFit_Inclusive!$U39*fitSyst_Inclusive!I39</f>
        <v>222.74098080000002</v>
      </c>
      <c r="J39" s="110"/>
      <c r="K39" s="109">
        <f>defaultFit_Inclusive!$U39*fitSyst_Inclusive!K39</f>
        <v>251.99445920000002</v>
      </c>
      <c r="L39" s="109">
        <f>defaultFit_Inclusive!$U39*fitSyst_Inclusive!L39</f>
        <v>224.70395980000001</v>
      </c>
      <c r="M39" s="110"/>
      <c r="N39" s="111">
        <f xml:space="preserve"> fitSyst_bFrac!E39*defaultFit_Inclusive!E39</f>
        <v>266.86952578</v>
      </c>
      <c r="O39" s="111">
        <f xml:space="preserve"> fitSyst_bFrac!E39*defaultFit_Inclusive!H39</f>
        <v>240.47321196600004</v>
      </c>
      <c r="P39" s="110"/>
      <c r="Q39" s="111">
        <f xml:space="preserve"> fitSyst_bFrac!F39*defaultFit_Inclusive!E39</f>
        <v>245.66671238999996</v>
      </c>
      <c r="R39" s="111">
        <f xml:space="preserve"> fitSyst_bFrac!F39*defaultFit_Inclusive!H39</f>
        <v>221.367588633</v>
      </c>
      <c r="S39" s="110"/>
      <c r="T39" s="111">
        <f>fitSyst_bFrac!$G39*defaultFit_Inclusive!$E39</f>
        <v>251.27111195999998</v>
      </c>
      <c r="U39" s="111">
        <f>fitSyst_bFrac!$G39*defaultFit_Inclusive!$H39</f>
        <v>226.417651812</v>
      </c>
      <c r="V39" s="110"/>
      <c r="W39" s="109">
        <f>defaultFit_Inclusive!$U39*trgBiassing!E39</f>
        <v>222.29453036000001</v>
      </c>
      <c r="X39" s="109">
        <f>defaultFit_Inclusive!$U39*trgBiassing!F39</f>
        <v>199.76586728000001</v>
      </c>
      <c r="Y39" s="110"/>
      <c r="Z39" s="109">
        <f>defaultFit_Inclusive!$U39*trgBiassing!L39</f>
        <v>114.67214188000001</v>
      </c>
      <c r="AA39" s="109">
        <f>defaultFit_Inclusive!$U39*trgBiassing!M39</f>
        <v>109.49236640000001</v>
      </c>
      <c r="AB39" s="110"/>
      <c r="AC39" s="109">
        <f>defaultFit_Inclusive!$U39*epSystematic!E39</f>
        <v>250.57568359999999</v>
      </c>
      <c r="AD39" s="109">
        <f>defaultFit_Inclusive!$U39*epSystematic!F39</f>
        <v>225.79100892000002</v>
      </c>
      <c r="AE39" s="112"/>
      <c r="AF39" s="112"/>
      <c r="AG39" s="112"/>
      <c r="AH39" s="112"/>
      <c r="AI39" s="112"/>
    </row>
    <row r="40" spans="1:35" ht="20.25" x14ac:dyDescent="0.35">
      <c r="A40" s="150"/>
      <c r="B40" s="150"/>
      <c r="C40" s="151"/>
      <c r="D40" s="52" t="s">
        <v>49</v>
      </c>
      <c r="E40" s="109">
        <f>defaultFit_Inclusive!$U40*fitSyst_Inclusive!E40</f>
        <v>63.579560261000005</v>
      </c>
      <c r="F40" s="109">
        <f>defaultFit_Inclusive!$U40*fitSyst_Inclusive!F40</f>
        <v>58.672831476000006</v>
      </c>
      <c r="G40" s="110"/>
      <c r="H40" s="109">
        <f>defaultFit_Inclusive!$U40*fitSyst_Inclusive!H40</f>
        <v>58.672831476000006</v>
      </c>
      <c r="I40" s="109">
        <f>defaultFit_Inclusive!$U40*fitSyst_Inclusive!I40</f>
        <v>57.748500880000002</v>
      </c>
      <c r="J40" s="110"/>
      <c r="K40" s="109">
        <f>defaultFit_Inclusive!$U40*fitSyst_Inclusive!K40</f>
        <v>62.689680522000003</v>
      </c>
      <c r="L40" s="109">
        <f>defaultFit_Inclusive!$U40*fitSyst_Inclusive!L40</f>
        <v>58.077899424999998</v>
      </c>
      <c r="M40" s="110"/>
      <c r="N40" s="111">
        <f xml:space="preserve"> fitSyst_bFrac!E40*defaultFit_Inclusive!E40</f>
        <v>69.625061488</v>
      </c>
      <c r="O40" s="111">
        <f xml:space="preserve"> fitSyst_bFrac!E40*defaultFit_Inclusive!H40</f>
        <v>64.253813904000012</v>
      </c>
      <c r="P40" s="110"/>
      <c r="Q40" s="111">
        <f xml:space="preserve"> fitSyst_bFrac!F40*defaultFit_Inclusive!E40</f>
        <v>61.098661184000001</v>
      </c>
      <c r="R40" s="111">
        <f xml:space="preserve"> fitSyst_bFrac!F40*defaultFit_Inclusive!H40</f>
        <v>56.385185472000003</v>
      </c>
      <c r="S40" s="110"/>
      <c r="T40" s="111">
        <f>fitSyst_bFrac!$G40*defaultFit_Inclusive!$E40</f>
        <v>69.565085327999995</v>
      </c>
      <c r="U40" s="111">
        <f>fitSyst_bFrac!$G40*defaultFit_Inclusive!$H40</f>
        <v>64.198464623999996</v>
      </c>
      <c r="V40" s="110"/>
      <c r="W40" s="109">
        <f>defaultFit_Inclusive!$U40*trgBiassing!E40</f>
        <v>54.505889515000007</v>
      </c>
      <c r="X40" s="109">
        <f>defaultFit_Inclusive!$U40*trgBiassing!F40</f>
        <v>50.647192064000002</v>
      </c>
      <c r="Y40" s="110"/>
      <c r="Z40" s="109">
        <f>defaultFit_Inclusive!$U40*trgBiassing!L40</f>
        <v>28.514228911</v>
      </c>
      <c r="AA40" s="109">
        <f>defaultFit_Inclusive!$U40*trgBiassing!M40</f>
        <v>28.381663625000002</v>
      </c>
      <c r="AB40" s="110"/>
      <c r="AC40" s="109">
        <f>defaultFit_Inclusive!$U40*epSystematic!E40</f>
        <v>63.146809145000006</v>
      </c>
      <c r="AD40" s="109">
        <f>defaultFit_Inclusive!$U40*epSystematic!F40</f>
        <v>59.267360592999999</v>
      </c>
      <c r="AE40" s="112">
        <f>SQRT(POWER(E40/$E$44-AH40,2)+POWER(H40/$H$44-AH40,2)+POWER(K40/$K$44-AH40,2)+POWER(N40/$N$44-AH40,2)+POWER(Q40/$Q$44-AH40,2)+POWER(T40/$T$44-AH40,2)+POWER(W40/$W$44-AH40,2)+POWER(Z40/$Z$44-AH40,2)+POWER(AC40/$AC$44-AH40,2))/SQRT(9*POWER(PI()/8,2))</f>
        <v>2.3874737744687416E-2</v>
      </c>
      <c r="AF40" s="112">
        <f>SQRT(POWER(F40/$F$44-AI40,2)+POWER(I40/$I$44-AI40,2)+POWER(L40/$L$44-AI40,2)+POWER(O40/$O$44-AI40,2)+POWER(R40/$R$44-AI40,2)+POWER(U40/$U$44-AI40,2)+POWER(X40/$X$44-AI40,2)+POWER(AA40/$AA$44-AI40,2)+POWER(AD40/$AD$44-AI40,2))/SQRT(9*POWER(PI()/8,2))</f>
        <v>2.2739765715779944E-2</v>
      </c>
      <c r="AG40" s="112"/>
      <c r="AH40" s="112">
        <f xml:space="preserve"> defaultFit_NonPrompt!E40/defaultFit_NonPrompt!$E$44</f>
        <v>0.25161298995852893</v>
      </c>
      <c r="AI40" s="112">
        <f xml:space="preserve"> defaultFit_NonPrompt!H40/defaultFit_NonPrompt!$H$44</f>
        <v>0.25774272118097746</v>
      </c>
    </row>
    <row r="41" spans="1:35" ht="20.25" x14ac:dyDescent="0.35">
      <c r="A41" s="150"/>
      <c r="B41" s="150"/>
      <c r="C41" s="151"/>
      <c r="D41" s="52" t="s">
        <v>50</v>
      </c>
      <c r="E41" s="109">
        <f>defaultFit_Inclusive!$U41*fitSyst_Inclusive!E41</f>
        <v>68.306174832000011</v>
      </c>
      <c r="F41" s="109">
        <f>defaultFit_Inclusive!$U41*fitSyst_Inclusive!F41</f>
        <v>60.457823075999997</v>
      </c>
      <c r="G41" s="110"/>
      <c r="H41" s="109">
        <f>defaultFit_Inclusive!$U41*fitSyst_Inclusive!H41</f>
        <v>60.457823075999997</v>
      </c>
      <c r="I41" s="109">
        <f>defaultFit_Inclusive!$U41*fitSyst_Inclusive!I41</f>
        <v>60.060048131999999</v>
      </c>
      <c r="J41" s="110"/>
      <c r="K41" s="109">
        <f>defaultFit_Inclusive!$U41*fitSyst_Inclusive!K41</f>
        <v>70.405698216000005</v>
      </c>
      <c r="L41" s="109">
        <f>defaultFit_Inclusive!$U41*fitSyst_Inclusive!L41</f>
        <v>59.526880307999996</v>
      </c>
      <c r="M41" s="110"/>
      <c r="N41" s="111">
        <f xml:space="preserve"> fitSyst_bFrac!E41*defaultFit_Inclusive!E41</f>
        <v>73.304070686000003</v>
      </c>
      <c r="O41" s="111">
        <f xml:space="preserve"> fitSyst_bFrac!E41*defaultFit_Inclusive!H41</f>
        <v>64.744920239999999</v>
      </c>
      <c r="P41" s="110"/>
      <c r="Q41" s="111">
        <f xml:space="preserve"> fitSyst_bFrac!F41*defaultFit_Inclusive!E41</f>
        <v>68.246474186</v>
      </c>
      <c r="R41" s="111">
        <f xml:space="preserve"> fitSyst_bFrac!F41*defaultFit_Inclusive!H41</f>
        <v>60.277860239999995</v>
      </c>
      <c r="S41" s="110"/>
      <c r="T41" s="111">
        <f>fitSyst_bFrac!$G41*defaultFit_Inclusive!$E41</f>
        <v>66.155121384000012</v>
      </c>
      <c r="U41" s="111">
        <f>fitSyst_bFrac!$G41*defaultFit_Inclusive!$H41</f>
        <v>58.430698559999996</v>
      </c>
      <c r="V41" s="110"/>
      <c r="W41" s="109">
        <f>defaultFit_Inclusive!$U41*trgBiassing!E41</f>
        <v>61.397402976000009</v>
      </c>
      <c r="X41" s="109">
        <f>defaultFit_Inclusive!$U41*trgBiassing!F41</f>
        <v>55.017130223999999</v>
      </c>
      <c r="Y41" s="110"/>
      <c r="Z41" s="109">
        <f>defaultFit_Inclusive!$U41*trgBiassing!L41</f>
        <v>30.001895028</v>
      </c>
      <c r="AA41" s="109">
        <f>defaultFit_Inclusive!$U41*trgBiassing!M41</f>
        <v>28.710060204000001</v>
      </c>
      <c r="AB41" s="110"/>
      <c r="AC41" s="109">
        <f>defaultFit_Inclusive!$U41*epSystematic!E41</f>
        <v>69.975475668000001</v>
      </c>
      <c r="AD41" s="109">
        <f>defaultFit_Inclusive!$U41*epSystematic!F41</f>
        <v>59.473656900000002</v>
      </c>
      <c r="AE41" s="112">
        <f t="shared" ref="AE41:AE43" si="10">SQRT(POWER(E41/$E$44-AH41,2)+POWER(H41/$H$44-AH41,2)+POWER(K41/$K$44-AH41,2)+POWER(N41/$N$44-AH41,2)+POWER(Q41/$Q$44-AH41,2)+POWER(T41/$T$44-AH41,2)+POWER(W41/$W$44-AH41,2)+POWER(Z41/$Z$44-AH41,2)+POWER(AC41/$AC$44-AH41,2))/SQRT(9*POWER(PI()/8,2))</f>
        <v>1.4942370351458158E-2</v>
      </c>
      <c r="AF41" s="112">
        <f t="shared" ref="AF41:AF43" si="11">SQRT(POWER(F41/$F$44-AI41,2)+POWER(I41/$I$44-AI41,2)+POWER(L41/$L$44-AI41,2)+POWER(O41/$O$44-AI41,2)+POWER(R41/$R$44-AI41,2)+POWER(U41/$U$44-AI41,2)+POWER(X41/$X$44-AI41,2)+POWER(AA41/$AA$44-AI41,2)+POWER(AD41/$AD$44-AI41,2))/SQRT(9*POWER(PI()/8,2))</f>
        <v>1.2423072718163564E-2</v>
      </c>
      <c r="AG41" s="112"/>
      <c r="AH41" s="112">
        <f xml:space="preserve"> defaultFit_NonPrompt!E41/defaultFit_NonPrompt!$E$44</f>
        <v>0.27078649131803129</v>
      </c>
      <c r="AI41" s="112">
        <f xml:space="preserve"> defaultFit_NonPrompt!H41/defaultFit_NonPrompt!$H$44</f>
        <v>0.26547561419435817</v>
      </c>
    </row>
    <row r="42" spans="1:35" ht="20.25" x14ac:dyDescent="0.35">
      <c r="A42" s="150"/>
      <c r="B42" s="150"/>
      <c r="C42" s="151"/>
      <c r="D42" s="51" t="s">
        <v>52</v>
      </c>
      <c r="E42" s="109">
        <f>defaultFit_Inclusive!$U42*fitSyst_Inclusive!E42</f>
        <v>66.463975895999994</v>
      </c>
      <c r="F42" s="109">
        <f>defaultFit_Inclusive!$U42*fitSyst_Inclusive!F42</f>
        <v>51.977793200000001</v>
      </c>
      <c r="G42" s="110"/>
      <c r="H42" s="109">
        <f>defaultFit_Inclusive!$U42*fitSyst_Inclusive!H42</f>
        <v>51.977793200000001</v>
      </c>
      <c r="I42" s="109">
        <f>defaultFit_Inclusive!$U42*fitSyst_Inclusive!I42</f>
        <v>51.341867208000004</v>
      </c>
      <c r="J42" s="110"/>
      <c r="K42" s="109">
        <f>defaultFit_Inclusive!$U42*fitSyst_Inclusive!K42</f>
        <v>67.42855788</v>
      </c>
      <c r="L42" s="109">
        <f>defaultFit_Inclusive!$U42*fitSyst_Inclusive!L42</f>
        <v>52.232950207999998</v>
      </c>
      <c r="M42" s="110"/>
      <c r="N42" s="111">
        <f xml:space="preserve"> fitSyst_bFrac!E42*defaultFit_Inclusive!E42</f>
        <v>67.879097279999996</v>
      </c>
      <c r="O42" s="111">
        <f xml:space="preserve"> fitSyst_bFrac!E42*defaultFit_Inclusive!H42</f>
        <v>53.120578752</v>
      </c>
      <c r="P42" s="110"/>
      <c r="Q42" s="111">
        <f xml:space="preserve"> fitSyst_bFrac!F42*defaultFit_Inclusive!E42</f>
        <v>66.576393360000012</v>
      </c>
      <c r="R42" s="111">
        <f xml:space="preserve"> fitSyst_bFrac!F42*defaultFit_Inclusive!H42</f>
        <v>52.101113423999998</v>
      </c>
      <c r="S42" s="110"/>
      <c r="T42" s="111">
        <f>fitSyst_bFrac!$G42*defaultFit_Inclusive!$E42</f>
        <v>64.408646430000005</v>
      </c>
      <c r="U42" s="111">
        <f>fitSyst_bFrac!$G42*defaultFit_Inclusive!$H42</f>
        <v>50.404685861999994</v>
      </c>
      <c r="V42" s="110"/>
      <c r="W42" s="109">
        <f>defaultFit_Inclusive!$U42*trgBiassing!E42</f>
        <v>59.780976303999999</v>
      </c>
      <c r="X42" s="109">
        <f>defaultFit_Inclusive!$U42*trgBiassing!F42</f>
        <v>45.610421352000003</v>
      </c>
      <c r="Y42" s="110"/>
      <c r="Z42" s="109">
        <f>defaultFit_Inclusive!$U42*trgBiassing!L42</f>
        <v>28.283343144</v>
      </c>
      <c r="AA42" s="109">
        <f>defaultFit_Inclusive!$U42*trgBiassing!M42</f>
        <v>25.005140967999999</v>
      </c>
      <c r="AB42" s="110"/>
      <c r="AC42" s="109">
        <f>defaultFit_Inclusive!$U42*epSystematic!E42</f>
        <v>63.853409976000009</v>
      </c>
      <c r="AD42" s="109">
        <f>defaultFit_Inclusive!$U42*epSystematic!F42</f>
        <v>53.288484112000006</v>
      </c>
      <c r="AE42" s="112">
        <f t="shared" si="10"/>
        <v>3.612911639693292E-2</v>
      </c>
      <c r="AF42" s="112">
        <f t="shared" si="11"/>
        <v>1.2255493103937492E-2</v>
      </c>
      <c r="AG42" s="112"/>
      <c r="AH42" s="112">
        <f xml:space="preserve"> defaultFit_NonPrompt!E42/defaultFit_NonPrompt!$E$44</f>
        <v>0.2630713011047493</v>
      </c>
      <c r="AI42" s="112">
        <f xml:space="preserve"> defaultFit_NonPrompt!H42/defaultFit_NonPrompt!$H$44</f>
        <v>0.22851791041448571</v>
      </c>
    </row>
    <row r="43" spans="1:35" ht="20.25" x14ac:dyDescent="0.35">
      <c r="A43" s="150"/>
      <c r="B43" s="150"/>
      <c r="C43" s="151"/>
      <c r="D43" s="51" t="s">
        <v>53</v>
      </c>
      <c r="E43" s="109">
        <f>defaultFit_Inclusive!$U43*fitSyst_Inclusive!E43</f>
        <v>54.227907600000002</v>
      </c>
      <c r="F43" s="109">
        <f>defaultFit_Inclusive!$U43*fitSyst_Inclusive!F43</f>
        <v>56.522905819999998</v>
      </c>
      <c r="G43" s="110"/>
      <c r="H43" s="109">
        <f>defaultFit_Inclusive!$U43*fitSyst_Inclusive!H43</f>
        <v>56.522905819999998</v>
      </c>
      <c r="I43" s="109">
        <f>defaultFit_Inclusive!$U43*fitSyst_Inclusive!I43</f>
        <v>55.548343912</v>
      </c>
      <c r="J43" s="110"/>
      <c r="K43" s="109">
        <f>defaultFit_Inclusive!$U43*fitSyst_Inclusive!K43</f>
        <v>52.832375384000002</v>
      </c>
      <c r="L43" s="109">
        <f>defaultFit_Inclusive!$U43*fitSyst_Inclusive!L43</f>
        <v>57.242574899999994</v>
      </c>
      <c r="M43" s="110"/>
      <c r="N43" s="111">
        <f xml:space="preserve"> fitSyst_bFrac!E43*defaultFit_Inclusive!E43</f>
        <v>57.967440605999997</v>
      </c>
      <c r="O43" s="111">
        <f xml:space="preserve"> fitSyst_bFrac!E43*defaultFit_Inclusive!H43</f>
        <v>60.43533918</v>
      </c>
      <c r="P43" s="110"/>
      <c r="Q43" s="111">
        <f xml:space="preserve"> fitSyst_bFrac!F43*defaultFit_Inclusive!E43</f>
        <v>53.474025671999996</v>
      </c>
      <c r="R43" s="111">
        <f xml:space="preserve"> fitSyst_bFrac!F43*defaultFit_Inclusive!H43</f>
        <v>55.750622159999999</v>
      </c>
      <c r="S43" s="110"/>
      <c r="T43" s="111">
        <f>fitSyst_bFrac!$G43*defaultFit_Inclusive!$E43</f>
        <v>52.861266791999995</v>
      </c>
      <c r="U43" s="111">
        <f>fitSyst_bFrac!$G43*defaultFit_Inclusive!$H43</f>
        <v>55.11177576</v>
      </c>
      <c r="V43" s="110"/>
      <c r="W43" s="109">
        <f>defaultFit_Inclusive!$U43*trgBiassing!E43</f>
        <v>48.799340231999999</v>
      </c>
      <c r="X43" s="109">
        <f>defaultFit_Inclusive!$U43*trgBiassing!F43</f>
        <v>50.802379055999999</v>
      </c>
      <c r="Y43" s="110"/>
      <c r="Z43" s="109">
        <f>defaultFit_Inclusive!$U43*trgBiassing!L43</f>
        <v>28.007161812</v>
      </c>
      <c r="AA43" s="109">
        <f>defaultFit_Inclusive!$U43*trgBiassing!M43</f>
        <v>28.586507456</v>
      </c>
      <c r="AB43" s="110"/>
      <c r="AC43" s="109">
        <f>defaultFit_Inclusive!$U43*epSystematic!E43</f>
        <v>55.756783183999993</v>
      </c>
      <c r="AD43" s="109">
        <f>defaultFit_Inclusive!$U43*epSystematic!F43</f>
        <v>55.623921199999998</v>
      </c>
      <c r="AE43" s="112">
        <f t="shared" si="10"/>
        <v>3.9086686646438294E-2</v>
      </c>
      <c r="AF43" s="112">
        <f t="shared" si="11"/>
        <v>1.1602033122284605E-2</v>
      </c>
      <c r="AG43" s="112"/>
      <c r="AH43" s="112">
        <f xml:space="preserve"> defaultFit_NonPrompt!E43/defaultFit_NonPrompt!$E$44</f>
        <v>0.2145292176186904</v>
      </c>
      <c r="AI43" s="112">
        <f xml:space="preserve"> defaultFit_NonPrompt!H43/defaultFit_NonPrompt!$H$44</f>
        <v>0.24826375421017868</v>
      </c>
    </row>
    <row r="44" spans="1:35" ht="20.25" x14ac:dyDescent="0.35">
      <c r="A44" s="150"/>
      <c r="B44" s="150"/>
      <c r="C44" s="151"/>
      <c r="D44" s="80"/>
      <c r="E44" s="113">
        <f xml:space="preserve"> SUM(E40:E43)</f>
        <v>252.57761858900002</v>
      </c>
      <c r="F44" s="113">
        <f xml:space="preserve"> SUM(F40:F43)</f>
        <v>227.63135357200002</v>
      </c>
      <c r="G44" s="113"/>
      <c r="H44" s="113">
        <f xml:space="preserve"> SUM(H40:H43)</f>
        <v>227.63135357200002</v>
      </c>
      <c r="I44" s="113">
        <f xml:space="preserve"> SUM(I40:I43)</f>
        <v>224.69876013200002</v>
      </c>
      <c r="J44" s="113"/>
      <c r="K44" s="113">
        <f xml:space="preserve"> SUM(K40:K43)</f>
        <v>253.35631200200004</v>
      </c>
      <c r="L44" s="113">
        <f xml:space="preserve"> SUM(L40:L43)</f>
        <v>227.08030484099999</v>
      </c>
      <c r="M44" s="113"/>
      <c r="N44" s="113">
        <f xml:space="preserve"> SUM(N40:N43)</f>
        <v>268.77567006000004</v>
      </c>
      <c r="O44" s="113">
        <f xml:space="preserve"> SUM(O40:O43)</f>
        <v>242.55465207600002</v>
      </c>
      <c r="P44" s="113"/>
      <c r="Q44" s="113">
        <f xml:space="preserve"> SUM(Q40:Q43)</f>
        <v>249.39555440200002</v>
      </c>
      <c r="R44" s="113">
        <f xml:space="preserve"> SUM(R40:R43)</f>
        <v>224.514781296</v>
      </c>
      <c r="S44" s="113"/>
      <c r="T44" s="113">
        <f xml:space="preserve"> SUM(T40:T43)</f>
        <v>252.99011993400001</v>
      </c>
      <c r="U44" s="113">
        <f xml:space="preserve"> SUM(U40:U43)</f>
        <v>228.145624806</v>
      </c>
      <c r="V44" s="113"/>
      <c r="W44" s="113">
        <f xml:space="preserve"> SUM(W40:W43)</f>
        <v>224.483609027</v>
      </c>
      <c r="X44" s="113">
        <f xml:space="preserve"> SUM(X40:X43)</f>
        <v>202.077122696</v>
      </c>
      <c r="Y44" s="113"/>
      <c r="Z44" s="113">
        <f xml:space="preserve"> SUM(Z40:Z43)</f>
        <v>114.80662889499999</v>
      </c>
      <c r="AA44" s="113">
        <f xml:space="preserve"> SUM(AA40:AA43)</f>
        <v>110.68337225299999</v>
      </c>
      <c r="AB44" s="113"/>
      <c r="AC44" s="113">
        <f xml:space="preserve"> SUM(AC40:AC43)</f>
        <v>252.73247797300004</v>
      </c>
      <c r="AD44" s="113">
        <f xml:space="preserve"> SUM(AD40:AD43)</f>
        <v>227.65342280499999</v>
      </c>
      <c r="AE44" s="113"/>
      <c r="AF44" s="113"/>
      <c r="AG44" s="113"/>
      <c r="AH44" s="113"/>
      <c r="AI44" s="113"/>
    </row>
    <row r="45" spans="1:35" ht="20.25" x14ac:dyDescent="0.35">
      <c r="A45" s="150"/>
      <c r="B45" s="132" t="s">
        <v>77</v>
      </c>
      <c r="C45" s="151"/>
      <c r="D45" s="53" t="s">
        <v>51</v>
      </c>
      <c r="E45" s="109">
        <f>defaultFit_Inclusive!$U45*fitSyst_Inclusive!E45</f>
        <v>341.45562013999995</v>
      </c>
      <c r="F45" s="109">
        <f>defaultFit_Inclusive!$U45*fitSyst_Inclusive!F45</f>
        <v>317.14537956999999</v>
      </c>
      <c r="G45" s="110"/>
      <c r="H45" s="109">
        <f>defaultFit_Inclusive!$U45*fitSyst_Inclusive!H45</f>
        <v>317.14537956999999</v>
      </c>
      <c r="I45" s="109">
        <f>defaultFit_Inclusive!$U45*fitSyst_Inclusive!I45</f>
        <v>312.34010265999996</v>
      </c>
      <c r="J45" s="110"/>
      <c r="K45" s="109">
        <f>defaultFit_Inclusive!$U45*fitSyst_Inclusive!K45</f>
        <v>343.30068426999998</v>
      </c>
      <c r="L45" s="109">
        <f>defaultFit_Inclusive!$U45*fitSyst_Inclusive!L45</f>
        <v>1448.2449999999999</v>
      </c>
      <c r="M45" s="110"/>
      <c r="N45" s="111">
        <f xml:space="preserve"> fitSyst_bFrac!E45*defaultFit_Inclusive!E45</f>
        <v>338.34965408999994</v>
      </c>
      <c r="O45" s="111">
        <f xml:space="preserve"> fitSyst_bFrac!E45*defaultFit_Inclusive!H45</f>
        <v>308.18695130999993</v>
      </c>
      <c r="P45" s="110"/>
      <c r="Q45" s="111">
        <f xml:space="preserve"> fitSyst_bFrac!F45*defaultFit_Inclusive!E45</f>
        <v>327.80316620999997</v>
      </c>
      <c r="R45" s="111">
        <f xml:space="preserve"> fitSyst_bFrac!F45*defaultFit_Inclusive!H45</f>
        <v>298.58064638999997</v>
      </c>
      <c r="S45" s="110"/>
      <c r="T45" s="111">
        <f>fitSyst_bFrac!$G45*defaultFit_Inclusive!$E45</f>
        <v>331.02770798999995</v>
      </c>
      <c r="U45" s="111">
        <f>fitSyst_bFrac!$G45*defaultFit_Inclusive!$H45</f>
        <v>301.51773140999995</v>
      </c>
      <c r="V45" s="110"/>
      <c r="W45" s="109">
        <f>defaultFit_Inclusive!$U45*trgBiassing!E45</f>
        <v>302.31824725999996</v>
      </c>
      <c r="X45" s="109">
        <f>defaultFit_Inclusive!$U45*trgBiassing!F45</f>
        <v>293.97635606</v>
      </c>
      <c r="Y45" s="110"/>
      <c r="Z45" s="109">
        <f>defaultFit_Inclusive!$U45*trgBiassing!L45</f>
        <v>164.984360049</v>
      </c>
      <c r="AA45" s="109">
        <f>defaultFit_Inclusive!$U45*trgBiassing!M45</f>
        <v>167.06375021999997</v>
      </c>
      <c r="AB45" s="110"/>
      <c r="AC45" s="109">
        <f>defaultFit_Inclusive!$U45*epSystematic!E45</f>
        <v>348.24209621</v>
      </c>
      <c r="AD45" s="109">
        <f>defaultFit_Inclusive!$U45*epSystematic!F45</f>
        <v>317.19751638999998</v>
      </c>
      <c r="AE45" s="112"/>
      <c r="AF45" s="112"/>
      <c r="AG45" s="112"/>
      <c r="AH45" s="112"/>
      <c r="AI45" s="112"/>
    </row>
    <row r="46" spans="1:35" ht="20.25" x14ac:dyDescent="0.35">
      <c r="A46" s="150"/>
      <c r="B46" s="132"/>
      <c r="C46" s="151"/>
      <c r="D46" s="55" t="s">
        <v>49</v>
      </c>
      <c r="E46" s="109">
        <f>defaultFit_Inclusive!$U46*fitSyst_Inclusive!E46</f>
        <v>88.923064628999995</v>
      </c>
      <c r="F46" s="109">
        <f>defaultFit_Inclusive!$U46*fitSyst_Inclusive!F46</f>
        <v>99.158367545999994</v>
      </c>
      <c r="G46" s="110"/>
      <c r="H46" s="109">
        <f>defaultFit_Inclusive!$U46*fitSyst_Inclusive!H46</f>
        <v>99.158367545999994</v>
      </c>
      <c r="I46" s="109">
        <f>defaultFit_Inclusive!$U46*fitSyst_Inclusive!I46</f>
        <v>97.309966592999984</v>
      </c>
      <c r="J46" s="110"/>
      <c r="K46" s="109">
        <f>defaultFit_Inclusive!$U46*fitSyst_Inclusive!K46</f>
        <v>89.074377860999988</v>
      </c>
      <c r="L46" s="109">
        <f>defaultFit_Inclusive!$U46*fitSyst_Inclusive!L46</f>
        <v>97.672996322999992</v>
      </c>
      <c r="M46" s="110"/>
      <c r="N46" s="111">
        <f xml:space="preserve"> fitSyst_bFrac!E46*defaultFit_Inclusive!E46</f>
        <v>89.478023194999992</v>
      </c>
      <c r="O46" s="111">
        <f xml:space="preserve"> fitSyst_bFrac!E46*defaultFit_Inclusive!H46</f>
        <v>98.072568359999977</v>
      </c>
      <c r="P46" s="110"/>
      <c r="Q46" s="111">
        <f xml:space="preserve"> fitSyst_bFrac!F46*defaultFit_Inclusive!E46</f>
        <v>86.723348811000008</v>
      </c>
      <c r="R46" s="111">
        <f xml:space="preserve"> fitSyst_bFrac!F46*defaultFit_Inclusive!H46</f>
        <v>95.053301927999996</v>
      </c>
      <c r="S46" s="110"/>
      <c r="T46" s="111">
        <f>fitSyst_bFrac!$G46*defaultFit_Inclusive!$E46</f>
        <v>91.108129024000007</v>
      </c>
      <c r="U46" s="111">
        <f>fitSyst_bFrac!$G46*defaultFit_Inclusive!$H46</f>
        <v>99.85924915199999</v>
      </c>
      <c r="V46" s="110"/>
      <c r="W46" s="109">
        <f>defaultFit_Inclusive!$U46*trgBiassing!E46</f>
        <v>76.554123113999992</v>
      </c>
      <c r="X46" s="109">
        <f>defaultFit_Inclusive!$U46*trgBiassing!F46</f>
        <v>89.329413872999993</v>
      </c>
      <c r="Y46" s="110"/>
      <c r="Z46" s="109">
        <f>defaultFit_Inclusive!$U46*trgBiassing!L46</f>
        <v>41.867090012999995</v>
      </c>
      <c r="AA46" s="109">
        <f>defaultFit_Inclusive!$U46*trgBiassing!M46</f>
        <v>48.099608822999997</v>
      </c>
      <c r="AB46" s="110"/>
      <c r="AC46" s="109">
        <f>defaultFit_Inclusive!$U46*epSystematic!E46</f>
        <v>90.010018349999996</v>
      </c>
      <c r="AD46" s="109">
        <f>defaultFit_Inclusive!$U46*epSystematic!F46</f>
        <v>97.711434764999993</v>
      </c>
      <c r="AE46" s="112">
        <f>SQRT(POWER(E46/$E$50-AH46,2)+POWER(H46/$H$50-AH46,2)+POWER(K46/$K$50-AH46,2)+POWER(N46/$N$50-AH46,2)+POWER(Q46/$Q$50-AH46,2)+POWER(T46/$T$50-AH46,2)+POWER(W46/$W$50-AH46,2)+POWER(Z46/$Z$50-AH46,2)+POWER(AC46/$AC$50-AH46,2))/SQRT(9*POWER(PI()/8,2))</f>
        <v>4.6768709031252589E-2</v>
      </c>
      <c r="AF46" s="112">
        <f>SQRT(POWER(F46/$F$50-AI46,2)+POWER(I46/$I$50-AI46,2)+POWER(L46/$L$50-AI46,2)+POWER(O46/$O$50-AI46,2)+POWER(R46/$R$50-AI46,2)+POWER(U46/$U$50-AI46,2)+POWER(X46/$X$50-AI46,2)+POWER(AA46/$AA$50-AI46,2)+POWER(AD46/$AD$50-AI46,2))/SQRT(9*POWER(PI()/8,2))</f>
        <v>2.7319331848905389E-2</v>
      </c>
      <c r="AG46" s="112"/>
      <c r="AH46" s="112">
        <f xml:space="preserve"> defaultFit_NonPrompt!E46/defaultFit_NonPrompt!$E$50</f>
        <v>0.25921067430334011</v>
      </c>
      <c r="AI46" s="112">
        <f xml:space="preserve"> defaultFit_NonPrompt!H46/defaultFit_NonPrompt!$H$50</f>
        <v>0.31050707322213983</v>
      </c>
    </row>
    <row r="47" spans="1:35" ht="20.25" x14ac:dyDescent="0.35">
      <c r="A47" s="150"/>
      <c r="B47" s="132"/>
      <c r="C47" s="151"/>
      <c r="D47" s="55" t="s">
        <v>50</v>
      </c>
      <c r="E47" s="109">
        <f>defaultFit_Inclusive!$U47*fitSyst_Inclusive!E47</f>
        <v>85.480747640999994</v>
      </c>
      <c r="F47" s="109">
        <f>defaultFit_Inclusive!$U47*fitSyst_Inclusive!F47</f>
        <v>68.114658059999996</v>
      </c>
      <c r="G47" s="110"/>
      <c r="H47" s="109">
        <f>defaultFit_Inclusive!$U47*fitSyst_Inclusive!H47</f>
        <v>68.114658059999996</v>
      </c>
      <c r="I47" s="109">
        <f>defaultFit_Inclusive!$U47*fitSyst_Inclusive!I47</f>
        <v>67.199251302000008</v>
      </c>
      <c r="J47" s="110"/>
      <c r="K47" s="109">
        <f>defaultFit_Inclusive!$U47*fitSyst_Inclusive!K47</f>
        <v>85.727224005000011</v>
      </c>
      <c r="L47" s="109">
        <f>defaultFit_Inclusive!$U47*fitSyst_Inclusive!L47</f>
        <v>67.754361278999994</v>
      </c>
      <c r="M47" s="110"/>
      <c r="N47" s="111">
        <f xml:space="preserve"> fitSyst_bFrac!E47*defaultFit_Inclusive!E47</f>
        <v>85.069838879999992</v>
      </c>
      <c r="O47" s="111">
        <f xml:space="preserve"> fitSyst_bFrac!E47*defaultFit_Inclusive!H47</f>
        <v>66.430867814999999</v>
      </c>
      <c r="P47" s="110"/>
      <c r="Q47" s="111">
        <f xml:space="preserve"> fitSyst_bFrac!F47*defaultFit_Inclusive!E47</f>
        <v>81.769907071999995</v>
      </c>
      <c r="R47" s="111">
        <f xml:space="preserve"> fitSyst_bFrac!F47*defaultFit_Inclusive!H47</f>
        <v>63.853957635999997</v>
      </c>
      <c r="S47" s="110"/>
      <c r="T47" s="111">
        <f>fitSyst_bFrac!$G47*defaultFit_Inclusive!$E47</f>
        <v>76.029923616000005</v>
      </c>
      <c r="U47" s="111">
        <f>fitSyst_bFrac!$G47*defaultFit_Inclusive!$H47</f>
        <v>59.371615982999998</v>
      </c>
      <c r="V47" s="110"/>
      <c r="W47" s="109">
        <f>defaultFit_Inclusive!$U47*trgBiassing!E47</f>
        <v>75.330549603000009</v>
      </c>
      <c r="X47" s="109">
        <f>defaultFit_Inclusive!$U47*trgBiassing!F47</f>
        <v>65.406916082999999</v>
      </c>
      <c r="Y47" s="110"/>
      <c r="Z47" s="109">
        <f>defaultFit_Inclusive!$U47*trgBiassing!L47</f>
        <v>41.366321907</v>
      </c>
      <c r="AA47" s="109">
        <f>defaultFit_Inclusive!$U47*trgBiassing!M47</f>
        <v>38.802268116</v>
      </c>
      <c r="AB47" s="110"/>
      <c r="AC47" s="109">
        <f>defaultFit_Inclusive!$U47*epSystematic!E47</f>
        <v>88.779925259999999</v>
      </c>
      <c r="AD47" s="109">
        <f>defaultFit_Inclusive!$U47*epSystematic!F47</f>
        <v>69.049438506000001</v>
      </c>
      <c r="AE47" s="112">
        <f t="shared" ref="AE47:AE49" si="12">SQRT(POWER(E47/$E$50-AH47,2)+POWER(H47/$H$50-AH47,2)+POWER(K47/$K$50-AH47,2)+POWER(N47/$N$50-AH47,2)+POWER(Q47/$Q$50-AH47,2)+POWER(T47/$T$50-AH47,2)+POWER(W47/$W$50-AH47,2)+POWER(Z47/$Z$50-AH47,2)+POWER(AC47/$AC$50-AH47,2))/SQRT(9*POWER(PI()/8,2))</f>
        <v>3.5640013822455532E-2</v>
      </c>
      <c r="AF47" s="112">
        <f t="shared" ref="AF47:AF49" si="13">SQRT(POWER(F47/$F$50-AI47,2)+POWER(I47/$I$50-AI47,2)+POWER(L47/$L$50-AI47,2)+POWER(O47/$O$50-AI47,2)+POWER(R47/$R$50-AI47,2)+POWER(U47/$U$50-AI47,2)+POWER(X47/$X$50-AI47,2)+POWER(AA47/$AA$50-AI47,2)+POWER(AD47/$AD$50-AI47,2))/SQRT(9*POWER(PI()/8,2))</f>
        <v>2.2779079966384529E-2</v>
      </c>
      <c r="AG47" s="112"/>
      <c r="AH47" s="112">
        <f xml:space="preserve"> defaultFit_NonPrompt!E47/defaultFit_NonPrompt!$E$50</f>
        <v>0.24988299541442888</v>
      </c>
      <c r="AI47" s="112">
        <f xml:space="preserve"> defaultFit_NonPrompt!H47/defaultFit_NonPrompt!$H$50</f>
        <v>0.21326444983094073</v>
      </c>
    </row>
    <row r="48" spans="1:35" ht="20.25" x14ac:dyDescent="0.35">
      <c r="A48" s="150"/>
      <c r="B48" s="132"/>
      <c r="C48" s="151"/>
      <c r="D48" s="53" t="s">
        <v>52</v>
      </c>
      <c r="E48" s="109">
        <f>defaultFit_Inclusive!$U48*fitSyst_Inclusive!E48</f>
        <v>81.636624608000005</v>
      </c>
      <c r="F48" s="109">
        <f>defaultFit_Inclusive!$U48*fitSyst_Inclusive!F48</f>
        <v>80.186405727999997</v>
      </c>
      <c r="G48" s="110"/>
      <c r="H48" s="109">
        <f>defaultFit_Inclusive!$U48*fitSyst_Inclusive!H48</f>
        <v>80.186405727999997</v>
      </c>
      <c r="I48" s="109">
        <f>defaultFit_Inclusive!$U48*fitSyst_Inclusive!I48</f>
        <v>79.128161992000003</v>
      </c>
      <c r="J48" s="110"/>
      <c r="K48" s="109">
        <f>defaultFit_Inclusive!$U48*fitSyst_Inclusive!K48</f>
        <v>80.573923231999999</v>
      </c>
      <c r="L48" s="109">
        <f>defaultFit_Inclusive!$U48*fitSyst_Inclusive!L48</f>
        <v>80.321026455999998</v>
      </c>
      <c r="M48" s="110"/>
      <c r="N48" s="111">
        <f xml:space="preserve"> fitSyst_bFrac!E48*defaultFit_Inclusive!E48</f>
        <v>80.807005810999996</v>
      </c>
      <c r="O48" s="111">
        <f xml:space="preserve"> fitSyst_bFrac!E48*defaultFit_Inclusive!H48</f>
        <v>78.264400135000002</v>
      </c>
      <c r="P48" s="110"/>
      <c r="Q48" s="111">
        <f xml:space="preserve"> fitSyst_bFrac!F48*defaultFit_Inclusive!E48</f>
        <v>78.217680408000007</v>
      </c>
      <c r="R48" s="111">
        <f xml:space="preserve"> fitSyst_bFrac!F48*defaultFit_Inclusive!H48</f>
        <v>75.756548280000004</v>
      </c>
      <c r="S48" s="110"/>
      <c r="T48" s="111">
        <f>fitSyst_bFrac!$G48*defaultFit_Inclusive!$E48</f>
        <v>80.159325343999996</v>
      </c>
      <c r="U48" s="111">
        <f>fitSyst_bFrac!$G48*defaultFit_Inclusive!$H48</f>
        <v>77.637099039999995</v>
      </c>
      <c r="V48" s="110"/>
      <c r="W48" s="109">
        <f>defaultFit_Inclusive!$U48*trgBiassing!E48</f>
        <v>72.488952975999993</v>
      </c>
      <c r="X48" s="109">
        <f>defaultFit_Inclusive!$U48*trgBiassing!F48</f>
        <v>73.969186632000003</v>
      </c>
      <c r="Y48" s="110"/>
      <c r="Z48" s="109">
        <f>defaultFit_Inclusive!$U48*trgBiassing!L48</f>
        <v>38.878050199999997</v>
      </c>
      <c r="AA48" s="109">
        <f>defaultFit_Inclusive!$U48*trgBiassing!M48</f>
        <v>44.577885879999997</v>
      </c>
      <c r="AB48" s="110"/>
      <c r="AC48" s="109">
        <f>defaultFit_Inclusive!$U48*epSystematic!E48</f>
        <v>80.517162615999993</v>
      </c>
      <c r="AD48" s="109">
        <f>defaultFit_Inclusive!$U48*epSystematic!F48</f>
        <v>79.863969768000004</v>
      </c>
      <c r="AE48" s="112">
        <f t="shared" si="12"/>
        <v>1.4034350132876008E-2</v>
      </c>
      <c r="AF48" s="112">
        <f t="shared" si="13"/>
        <v>1.2163941175446499E-2</v>
      </c>
      <c r="AG48" s="112"/>
      <c r="AH48" s="112">
        <f xml:space="preserve"> defaultFit_NonPrompt!E48/defaultFit_NonPrompt!$E$50</f>
        <v>0.23798921631333717</v>
      </c>
      <c r="AI48" s="112">
        <f xml:space="preserve"> defaultFit_NonPrompt!H48/defaultFit_NonPrompt!$H$50</f>
        <v>0.25191844834234028</v>
      </c>
    </row>
    <row r="49" spans="1:35" ht="20.25" x14ac:dyDescent="0.35">
      <c r="A49" s="150"/>
      <c r="B49" s="132"/>
      <c r="C49" s="151"/>
      <c r="D49" s="53" t="s">
        <v>53</v>
      </c>
      <c r="E49" s="109">
        <f>defaultFit_Inclusive!$U49*fitSyst_Inclusive!E49</f>
        <v>85.405185669999995</v>
      </c>
      <c r="F49" s="109">
        <f>defaultFit_Inclusive!$U49*fitSyst_Inclusive!F49</f>
        <v>71.459199139999996</v>
      </c>
      <c r="G49" s="110"/>
      <c r="H49" s="109">
        <f>defaultFit_Inclusive!$U49*fitSyst_Inclusive!H49</f>
        <v>71.459199139999996</v>
      </c>
      <c r="I49" s="109">
        <f>defaultFit_Inclusive!$U49*fitSyst_Inclusive!I49</f>
        <v>70.548754639999999</v>
      </c>
      <c r="J49" s="110"/>
      <c r="K49" s="109">
        <f>defaultFit_Inclusive!$U49*fitSyst_Inclusive!K49</f>
        <v>87.829569310000011</v>
      </c>
      <c r="L49" s="109">
        <f>defaultFit_Inclusive!$U49*fitSyst_Inclusive!L49</f>
        <v>70.998774350000005</v>
      </c>
      <c r="M49" s="110"/>
      <c r="N49" s="111">
        <f xml:space="preserve"> fitSyst_bFrac!E49*defaultFit_Inclusive!E49</f>
        <v>84.852938965000007</v>
      </c>
      <c r="O49" s="111">
        <f xml:space="preserve"> fitSyst_bFrac!E49*defaultFit_Inclusive!H49</f>
        <v>68.857288159999996</v>
      </c>
      <c r="P49" s="110"/>
      <c r="Q49" s="111">
        <f xml:space="preserve"> fitSyst_bFrac!F49*defaultFit_Inclusive!E49</f>
        <v>81.479817584000003</v>
      </c>
      <c r="R49" s="111">
        <f xml:space="preserve"> fitSyst_bFrac!F49*defaultFit_Inclusive!H49</f>
        <v>66.120034816</v>
      </c>
      <c r="S49" s="110"/>
      <c r="T49" s="111">
        <f>fitSyst_bFrac!$G49*defaultFit_Inclusive!$E49</f>
        <v>82.768580055000001</v>
      </c>
      <c r="U49" s="111">
        <f>fitSyst_bFrac!$G49*defaultFit_Inclusive!$H49</f>
        <v>67.165852319999999</v>
      </c>
      <c r="V49" s="110"/>
      <c r="W49" s="109">
        <f>defaultFit_Inclusive!$U49*trgBiassing!E49</f>
        <v>78.046192840000003</v>
      </c>
      <c r="X49" s="109">
        <f>defaultFit_Inclusive!$U49*trgBiassing!F49</f>
        <v>66.763617760000002</v>
      </c>
      <c r="Y49" s="110"/>
      <c r="Z49" s="109">
        <f>defaultFit_Inclusive!$U49*trgBiassing!L49</f>
        <v>39.471381950000001</v>
      </c>
      <c r="AA49" s="109">
        <f>defaultFit_Inclusive!$U49*trgBiassing!M49</f>
        <v>36.40679686</v>
      </c>
      <c r="AB49" s="110"/>
      <c r="AC49" s="109">
        <f>defaultFit_Inclusive!$U49*epSystematic!E49</f>
        <v>89.078756970000001</v>
      </c>
      <c r="AD49" s="109">
        <f>defaultFit_Inclusive!$U49*epSystematic!F49</f>
        <v>72.340451610000002</v>
      </c>
      <c r="AE49" s="112">
        <f t="shared" si="12"/>
        <v>2.6794234048696266E-2</v>
      </c>
      <c r="AF49" s="112">
        <f t="shared" si="13"/>
        <v>8.8000235011575449E-3</v>
      </c>
      <c r="AG49" s="112"/>
      <c r="AH49" s="112">
        <f xml:space="preserve"> defaultFit_NonPrompt!E49/defaultFit_NonPrompt!$E$50</f>
        <v>0.25291711396889371</v>
      </c>
      <c r="AI49" s="112">
        <f xml:space="preserve"> defaultFit_NonPrompt!H49/defaultFit_NonPrompt!$H$50</f>
        <v>0.22431002860457921</v>
      </c>
    </row>
    <row r="50" spans="1:35" ht="20.25" x14ac:dyDescent="0.35">
      <c r="A50" s="150"/>
      <c r="B50" s="132"/>
      <c r="C50" s="151"/>
      <c r="D50" s="74"/>
      <c r="E50" s="113">
        <f xml:space="preserve"> SUM(E46:E49)</f>
        <v>341.44562254800002</v>
      </c>
      <c r="F50" s="113">
        <f xml:space="preserve"> SUM(F46:F49)</f>
        <v>318.918630474</v>
      </c>
      <c r="G50" s="113"/>
      <c r="H50" s="113">
        <f xml:space="preserve"> SUM(H46:H49)</f>
        <v>318.918630474</v>
      </c>
      <c r="I50" s="113">
        <f xml:space="preserve"> SUM(I46:I49)</f>
        <v>314.18613452700004</v>
      </c>
      <c r="J50" s="113"/>
      <c r="K50" s="113">
        <f xml:space="preserve"> SUM(K46:K49)</f>
        <v>343.20509440800004</v>
      </c>
      <c r="L50" s="113">
        <f xml:space="preserve"> SUM(L46:L49)</f>
        <v>316.74715840799996</v>
      </c>
      <c r="M50" s="113"/>
      <c r="N50" s="113">
        <f xml:space="preserve"> SUM(N46:N49)</f>
        <v>340.20780685099999</v>
      </c>
      <c r="O50" s="113">
        <f xml:space="preserve"> SUM(O46:O49)</f>
        <v>311.62512447</v>
      </c>
      <c r="P50" s="113"/>
      <c r="Q50" s="113">
        <f xml:space="preserve"> SUM(Q46:Q49)</f>
        <v>328.19075387500004</v>
      </c>
      <c r="R50" s="113">
        <f xml:space="preserve"> SUM(R46:R49)</f>
        <v>300.78384266</v>
      </c>
      <c r="S50" s="113"/>
      <c r="T50" s="113">
        <f xml:space="preserve"> SUM(T46:T49)</f>
        <v>330.06595803900001</v>
      </c>
      <c r="U50" s="113">
        <f xml:space="preserve"> SUM(U46:U49)</f>
        <v>304.033816495</v>
      </c>
      <c r="V50" s="113"/>
      <c r="W50" s="113">
        <f xml:space="preserve"> SUM(W46:W49)</f>
        <v>302.41981853300001</v>
      </c>
      <c r="X50" s="113">
        <f xml:space="preserve"> SUM(X46:X49)</f>
        <v>295.46913434800001</v>
      </c>
      <c r="Y50" s="113"/>
      <c r="Z50" s="113">
        <f xml:space="preserve"> SUM(Z46:Z49)</f>
        <v>161.58284406999999</v>
      </c>
      <c r="AA50" s="113">
        <f xml:space="preserve"> SUM(AA46:AA49)</f>
        <v>167.88655967900002</v>
      </c>
      <c r="AB50" s="113"/>
      <c r="AC50" s="113">
        <f xml:space="preserve"> SUM(AC46:AC49)</f>
        <v>348.38586319599995</v>
      </c>
      <c r="AD50" s="113">
        <f xml:space="preserve"> SUM(AD46:AD49)</f>
        <v>318.96529464899999</v>
      </c>
      <c r="AE50" s="113"/>
      <c r="AF50" s="113"/>
      <c r="AG50" s="113"/>
      <c r="AH50" s="113"/>
      <c r="AI50" s="113"/>
    </row>
    <row r="51" spans="1:35" ht="20.25" x14ac:dyDescent="0.35">
      <c r="A51" s="150"/>
      <c r="B51" s="132" t="s">
        <v>78</v>
      </c>
      <c r="C51" s="151"/>
      <c r="D51" s="56" t="s">
        <v>51</v>
      </c>
      <c r="E51" s="109"/>
      <c r="F51" s="109"/>
      <c r="G51" s="110"/>
      <c r="H51" s="109"/>
      <c r="I51" s="109"/>
      <c r="J51" s="110"/>
      <c r="K51" s="109"/>
      <c r="L51" s="109"/>
      <c r="M51" s="110"/>
      <c r="N51" s="111"/>
      <c r="O51" s="111"/>
      <c r="P51" s="110"/>
      <c r="Q51" s="111"/>
      <c r="R51" s="111"/>
      <c r="S51" s="110"/>
      <c r="T51" s="111"/>
      <c r="U51" s="111"/>
      <c r="V51" s="110"/>
      <c r="W51" s="109"/>
      <c r="X51" s="109"/>
      <c r="Y51" s="110"/>
      <c r="Z51" s="109"/>
      <c r="AA51" s="109"/>
      <c r="AB51" s="110"/>
      <c r="AC51" s="109"/>
      <c r="AD51" s="109"/>
      <c r="AE51" s="112"/>
      <c r="AF51" s="112"/>
      <c r="AG51" s="112"/>
      <c r="AH51" s="112"/>
      <c r="AI51" s="112"/>
    </row>
    <row r="52" spans="1:35" ht="20.25" x14ac:dyDescent="0.35">
      <c r="A52" s="150"/>
      <c r="B52" s="132"/>
      <c r="C52" s="151"/>
      <c r="D52" s="58" t="s">
        <v>49</v>
      </c>
      <c r="E52" s="109"/>
      <c r="F52" s="109"/>
      <c r="G52" s="110"/>
      <c r="H52" s="109"/>
      <c r="I52" s="109"/>
      <c r="J52" s="110"/>
      <c r="K52" s="109"/>
      <c r="L52" s="109"/>
      <c r="M52" s="110"/>
      <c r="N52" s="111"/>
      <c r="O52" s="111"/>
      <c r="P52" s="110"/>
      <c r="Q52" s="111"/>
      <c r="R52" s="111"/>
      <c r="S52" s="110"/>
      <c r="T52" s="111"/>
      <c r="U52" s="111"/>
      <c r="V52" s="110"/>
      <c r="W52" s="109"/>
      <c r="X52" s="109"/>
      <c r="Y52" s="110"/>
      <c r="Z52" s="109"/>
      <c r="AA52" s="109"/>
      <c r="AB52" s="110"/>
      <c r="AC52" s="109"/>
      <c r="AD52" s="109"/>
      <c r="AE52" s="112"/>
      <c r="AF52" s="112"/>
      <c r="AG52" s="112"/>
      <c r="AH52" s="112"/>
      <c r="AI52" s="112"/>
    </row>
    <row r="53" spans="1:35" ht="20.25" x14ac:dyDescent="0.35">
      <c r="A53" s="150"/>
      <c r="B53" s="132"/>
      <c r="C53" s="151"/>
      <c r="D53" s="58" t="s">
        <v>50</v>
      </c>
      <c r="E53" s="109"/>
      <c r="F53" s="109"/>
      <c r="G53" s="110"/>
      <c r="H53" s="109"/>
      <c r="I53" s="109"/>
      <c r="J53" s="110"/>
      <c r="K53" s="109"/>
      <c r="L53" s="109"/>
      <c r="M53" s="110"/>
      <c r="N53" s="111"/>
      <c r="O53" s="111"/>
      <c r="P53" s="110"/>
      <c r="Q53" s="111"/>
      <c r="R53" s="111"/>
      <c r="S53" s="110"/>
      <c r="T53" s="111"/>
      <c r="U53" s="111"/>
      <c r="V53" s="110"/>
      <c r="W53" s="109"/>
      <c r="X53" s="109"/>
      <c r="Y53" s="110"/>
      <c r="Z53" s="109"/>
      <c r="AA53" s="109"/>
      <c r="AB53" s="110"/>
      <c r="AC53" s="109"/>
      <c r="AD53" s="109"/>
      <c r="AE53" s="112"/>
      <c r="AF53" s="112"/>
      <c r="AG53" s="112"/>
      <c r="AH53" s="112"/>
      <c r="AI53" s="112"/>
    </row>
    <row r="54" spans="1:35" ht="20.25" x14ac:dyDescent="0.35">
      <c r="A54" s="150"/>
      <c r="B54" s="132"/>
      <c r="C54" s="151"/>
      <c r="D54" s="56" t="s">
        <v>52</v>
      </c>
      <c r="E54" s="109"/>
      <c r="F54" s="109"/>
      <c r="G54" s="110"/>
      <c r="H54" s="109"/>
      <c r="I54" s="109"/>
      <c r="J54" s="110"/>
      <c r="K54" s="109"/>
      <c r="L54" s="109"/>
      <c r="M54" s="110"/>
      <c r="N54" s="111"/>
      <c r="O54" s="111"/>
      <c r="P54" s="110"/>
      <c r="Q54" s="111"/>
      <c r="R54" s="111"/>
      <c r="S54" s="110"/>
      <c r="T54" s="111"/>
      <c r="U54" s="111"/>
      <c r="V54" s="110"/>
      <c r="W54" s="109"/>
      <c r="X54" s="109"/>
      <c r="Y54" s="110"/>
      <c r="Z54" s="109"/>
      <c r="AA54" s="109"/>
      <c r="AB54" s="110"/>
      <c r="AC54" s="109"/>
      <c r="AD54" s="109"/>
      <c r="AE54" s="112"/>
      <c r="AF54" s="112"/>
      <c r="AG54" s="112"/>
      <c r="AH54" s="112"/>
      <c r="AI54" s="112"/>
    </row>
    <row r="55" spans="1:35" ht="20.25" x14ac:dyDescent="0.35">
      <c r="A55" s="150"/>
      <c r="B55" s="132"/>
      <c r="C55" s="151"/>
      <c r="D55" s="56" t="s">
        <v>53</v>
      </c>
      <c r="E55" s="109"/>
      <c r="F55" s="109"/>
      <c r="G55" s="110"/>
      <c r="H55" s="109"/>
      <c r="I55" s="109"/>
      <c r="J55" s="110"/>
      <c r="K55" s="109"/>
      <c r="L55" s="109"/>
      <c r="M55" s="110"/>
      <c r="N55" s="111"/>
      <c r="O55" s="111"/>
      <c r="P55" s="110"/>
      <c r="Q55" s="111"/>
      <c r="R55" s="111"/>
      <c r="S55" s="110"/>
      <c r="T55" s="111"/>
      <c r="U55" s="111"/>
      <c r="V55" s="110"/>
      <c r="W55" s="109"/>
      <c r="X55" s="109"/>
      <c r="Y55" s="110"/>
      <c r="Z55" s="109"/>
      <c r="AA55" s="109"/>
      <c r="AB55" s="110"/>
      <c r="AC55" s="109"/>
      <c r="AD55" s="109"/>
      <c r="AE55" s="112"/>
      <c r="AF55" s="112"/>
      <c r="AG55" s="112"/>
      <c r="AH55" s="112"/>
      <c r="AI55" s="112"/>
    </row>
    <row r="56" spans="1:35" ht="20.25" x14ac:dyDescent="0.35">
      <c r="A56" s="150"/>
      <c r="B56" s="132"/>
      <c r="C56" s="151"/>
      <c r="D56" s="74"/>
      <c r="E56" s="113"/>
      <c r="F56" s="113"/>
      <c r="G56" s="113"/>
      <c r="H56" s="113"/>
      <c r="I56" s="113"/>
      <c r="J56" s="113"/>
      <c r="K56" s="113"/>
      <c r="L56" s="113"/>
      <c r="M56" s="113"/>
      <c r="N56" s="114"/>
      <c r="O56" s="114"/>
      <c r="P56" s="113"/>
      <c r="Q56" s="114"/>
      <c r="R56" s="114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</row>
    <row r="57" spans="1:35" ht="20.25" x14ac:dyDescent="0.35">
      <c r="A57" s="150"/>
      <c r="B57" s="132" t="s">
        <v>79</v>
      </c>
      <c r="C57" s="151"/>
      <c r="D57" s="59" t="s">
        <v>51</v>
      </c>
      <c r="E57" s="109"/>
      <c r="F57" s="109"/>
      <c r="G57" s="110"/>
      <c r="H57" s="109"/>
      <c r="I57" s="109"/>
      <c r="J57" s="110"/>
      <c r="K57" s="109"/>
      <c r="L57" s="109"/>
      <c r="M57" s="110"/>
      <c r="N57" s="111"/>
      <c r="O57" s="111"/>
      <c r="P57" s="110"/>
      <c r="Q57" s="111"/>
      <c r="R57" s="111"/>
      <c r="S57" s="110"/>
      <c r="T57" s="111"/>
      <c r="U57" s="111"/>
      <c r="V57" s="110"/>
      <c r="W57" s="109"/>
      <c r="X57" s="109"/>
      <c r="Y57" s="110"/>
      <c r="Z57" s="109"/>
      <c r="AA57" s="109"/>
      <c r="AB57" s="110"/>
      <c r="AC57" s="109"/>
      <c r="AD57" s="109"/>
      <c r="AE57" s="112"/>
      <c r="AF57" s="112"/>
      <c r="AG57" s="112"/>
      <c r="AH57" s="112"/>
      <c r="AI57" s="112"/>
    </row>
    <row r="58" spans="1:35" ht="20.25" x14ac:dyDescent="0.35">
      <c r="A58" s="150"/>
      <c r="B58" s="132"/>
      <c r="C58" s="151"/>
      <c r="D58" s="61" t="s">
        <v>49</v>
      </c>
      <c r="E58" s="109"/>
      <c r="F58" s="109"/>
      <c r="G58" s="110"/>
      <c r="H58" s="109"/>
      <c r="I58" s="109"/>
      <c r="J58" s="110"/>
      <c r="K58" s="109"/>
      <c r="L58" s="109"/>
      <c r="M58" s="110"/>
      <c r="N58" s="111"/>
      <c r="O58" s="111"/>
      <c r="P58" s="110"/>
      <c r="Q58" s="111"/>
      <c r="R58" s="111"/>
      <c r="S58" s="110"/>
      <c r="T58" s="111"/>
      <c r="U58" s="111"/>
      <c r="V58" s="110"/>
      <c r="W58" s="109"/>
      <c r="X58" s="109"/>
      <c r="Y58" s="110"/>
      <c r="Z58" s="109"/>
      <c r="AA58" s="109"/>
      <c r="AB58" s="110"/>
      <c r="AC58" s="109"/>
      <c r="AD58" s="109"/>
      <c r="AE58" s="112"/>
      <c r="AF58" s="112"/>
      <c r="AG58" s="112"/>
      <c r="AH58" s="112"/>
      <c r="AI58" s="112"/>
    </row>
    <row r="59" spans="1:35" ht="20.25" x14ac:dyDescent="0.35">
      <c r="A59" s="150"/>
      <c r="B59" s="132"/>
      <c r="C59" s="151"/>
      <c r="D59" s="61" t="s">
        <v>50</v>
      </c>
      <c r="E59" s="109"/>
      <c r="F59" s="109"/>
      <c r="G59" s="110"/>
      <c r="H59" s="109"/>
      <c r="I59" s="109"/>
      <c r="J59" s="110"/>
      <c r="K59" s="109"/>
      <c r="L59" s="109"/>
      <c r="M59" s="110"/>
      <c r="N59" s="111"/>
      <c r="O59" s="111"/>
      <c r="P59" s="110"/>
      <c r="Q59" s="111"/>
      <c r="R59" s="111"/>
      <c r="S59" s="110"/>
      <c r="T59" s="111"/>
      <c r="U59" s="111"/>
      <c r="V59" s="110"/>
      <c r="W59" s="109"/>
      <c r="X59" s="109"/>
      <c r="Y59" s="110"/>
      <c r="Z59" s="109"/>
      <c r="AA59" s="109"/>
      <c r="AB59" s="110"/>
      <c r="AC59" s="109"/>
      <c r="AD59" s="109"/>
      <c r="AE59" s="112"/>
      <c r="AF59" s="112"/>
      <c r="AG59" s="112"/>
      <c r="AH59" s="112"/>
      <c r="AI59" s="112"/>
    </row>
    <row r="60" spans="1:35" ht="20.25" x14ac:dyDescent="0.35">
      <c r="A60" s="150"/>
      <c r="B60" s="132"/>
      <c r="C60" s="151"/>
      <c r="D60" s="59" t="s">
        <v>52</v>
      </c>
      <c r="E60" s="109"/>
      <c r="F60" s="109"/>
      <c r="G60" s="110"/>
      <c r="H60" s="109"/>
      <c r="I60" s="109"/>
      <c r="J60" s="110"/>
      <c r="K60" s="109"/>
      <c r="L60" s="109"/>
      <c r="M60" s="110"/>
      <c r="N60" s="111"/>
      <c r="O60" s="111"/>
      <c r="P60" s="110"/>
      <c r="Q60" s="111"/>
      <c r="R60" s="111"/>
      <c r="S60" s="110"/>
      <c r="T60" s="111"/>
      <c r="U60" s="111"/>
      <c r="V60" s="110"/>
      <c r="W60" s="109"/>
      <c r="X60" s="109"/>
      <c r="Y60" s="110"/>
      <c r="Z60" s="109"/>
      <c r="AA60" s="109"/>
      <c r="AB60" s="110"/>
      <c r="AC60" s="109"/>
      <c r="AD60" s="109"/>
      <c r="AE60" s="112"/>
      <c r="AF60" s="112"/>
      <c r="AG60" s="112"/>
      <c r="AH60" s="112"/>
      <c r="AI60" s="112"/>
    </row>
    <row r="61" spans="1:35" ht="20.25" x14ac:dyDescent="0.35">
      <c r="A61" s="150"/>
      <c r="B61" s="132"/>
      <c r="C61" s="151"/>
      <c r="D61" s="59" t="s">
        <v>53</v>
      </c>
      <c r="E61" s="109"/>
      <c r="F61" s="109"/>
      <c r="G61" s="110"/>
      <c r="H61" s="109"/>
      <c r="I61" s="109"/>
      <c r="J61" s="110"/>
      <c r="K61" s="109"/>
      <c r="L61" s="109"/>
      <c r="M61" s="110"/>
      <c r="N61" s="111"/>
      <c r="O61" s="111"/>
      <c r="P61" s="110"/>
      <c r="Q61" s="111"/>
      <c r="R61" s="111"/>
      <c r="S61" s="110"/>
      <c r="T61" s="111"/>
      <c r="U61" s="111"/>
      <c r="V61" s="110"/>
      <c r="W61" s="109"/>
      <c r="X61" s="109"/>
      <c r="Y61" s="110"/>
      <c r="Z61" s="109"/>
      <c r="AA61" s="109"/>
      <c r="AB61" s="110"/>
      <c r="AC61" s="109"/>
      <c r="AD61" s="109"/>
      <c r="AE61" s="112"/>
      <c r="AF61" s="112"/>
      <c r="AG61" s="112"/>
      <c r="AH61" s="112"/>
      <c r="AI61" s="112"/>
    </row>
    <row r="62" spans="1:35" ht="20.25" x14ac:dyDescent="0.35">
      <c r="A62" s="150"/>
      <c r="B62" s="132"/>
      <c r="C62" s="151"/>
      <c r="D62" s="74"/>
      <c r="E62" s="113"/>
      <c r="F62" s="113"/>
      <c r="G62" s="113"/>
      <c r="H62" s="113"/>
      <c r="I62" s="113"/>
      <c r="J62" s="113"/>
      <c r="K62" s="113"/>
      <c r="L62" s="113"/>
      <c r="M62" s="113"/>
      <c r="N62" s="114"/>
      <c r="O62" s="114"/>
      <c r="P62" s="113"/>
      <c r="Q62" s="114"/>
      <c r="R62" s="114"/>
      <c r="S62" s="113"/>
      <c r="T62" s="114"/>
      <c r="U62" s="114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</row>
    <row r="63" spans="1:35" ht="20.25" x14ac:dyDescent="0.35">
      <c r="A63" s="132" t="s">
        <v>80</v>
      </c>
      <c r="B63" s="132" t="s">
        <v>79</v>
      </c>
      <c r="C63" s="132" t="s">
        <v>17</v>
      </c>
      <c r="D63" s="62" t="s">
        <v>51</v>
      </c>
      <c r="E63" s="109">
        <f>defaultFit_Inclusive!$U63*fitSyst_Inclusive!E63</f>
        <v>426.58996927999999</v>
      </c>
      <c r="F63" s="109">
        <f>defaultFit_Inclusive!$U63*fitSyst_Inclusive!F63</f>
        <v>400.46844279999993</v>
      </c>
      <c r="G63" s="110"/>
      <c r="H63" s="109">
        <f>defaultFit_Inclusive!$U63*fitSyst_Inclusive!H63</f>
        <v>400.46844279999993</v>
      </c>
      <c r="I63" s="109">
        <f>defaultFit_Inclusive!$U63*fitSyst_Inclusive!I63</f>
        <v>388.83862151999995</v>
      </c>
      <c r="J63" s="110"/>
      <c r="K63" s="109">
        <f>defaultFit_Inclusive!$U63*fitSyst_Inclusive!K63</f>
        <v>429.13155135999995</v>
      </c>
      <c r="L63" s="109">
        <f>defaultFit_Inclusive!$U63*fitSyst_Inclusive!L63</f>
        <v>386.76056567999996</v>
      </c>
      <c r="M63" s="110"/>
      <c r="N63" s="111">
        <f xml:space="preserve"> fitSyst_bFrac!E63*defaultFit_Inclusive!E63</f>
        <v>465.28653045000004</v>
      </c>
      <c r="O63" s="111">
        <f xml:space="preserve"> fitSyst_bFrac!E63*defaultFit_Inclusive!H63</f>
        <v>410.56599075000003</v>
      </c>
      <c r="P63" s="110"/>
      <c r="Q63" s="111">
        <f xml:space="preserve"> fitSyst_bFrac!F63*defaultFit_Inclusive!E63</f>
        <v>438.87136397999996</v>
      </c>
      <c r="R63" s="111">
        <f xml:space="preserve"> fitSyst_bFrac!F63*defaultFit_Inclusive!H63</f>
        <v>387.25740930000001</v>
      </c>
      <c r="S63" s="110"/>
      <c r="T63" s="111">
        <f>fitSyst_bFrac!$G63*defaultFit_Inclusive!$E63</f>
        <v>450.33523248000006</v>
      </c>
      <c r="U63" s="111">
        <f>fitSyst_bFrac!$G63*defaultFit_Inclusive!$H63</f>
        <v>397.37305680000003</v>
      </c>
      <c r="V63" s="110"/>
      <c r="W63" s="109">
        <f>defaultFit_Inclusive!$U63*trgBiassing!E63</f>
        <v>379.84152511999997</v>
      </c>
      <c r="X63" s="109">
        <f>defaultFit_Inclusive!$U63*trgBiassing!F63</f>
        <v>368.51898527999998</v>
      </c>
      <c r="Y63" s="110"/>
      <c r="Z63" s="109">
        <f>defaultFit_Inclusive!$U63*trgBiassing!L63</f>
        <v>194.70601996799999</v>
      </c>
      <c r="AA63" s="109">
        <f>defaultFit_Inclusive!$U63*trgBiassing!M63</f>
        <v>195.92603144799997</v>
      </c>
      <c r="AB63" s="110"/>
      <c r="AC63" s="109" t="e">
        <f>defaultFit_Inclusive!$U63*epSystematic!#REF!</f>
        <v>#REF!</v>
      </c>
      <c r="AD63" s="109">
        <f>defaultFit_Inclusive!$U63*epSystematic!F64</f>
        <v>115.44433496799999</v>
      </c>
      <c r="AE63" s="112"/>
      <c r="AF63" s="112"/>
      <c r="AG63" s="112"/>
      <c r="AH63" s="112"/>
      <c r="AI63" s="112"/>
    </row>
    <row r="64" spans="1:35" ht="20.25" x14ac:dyDescent="0.35">
      <c r="A64" s="132"/>
      <c r="B64" s="132"/>
      <c r="C64" s="132"/>
      <c r="D64" s="63" t="s">
        <v>49</v>
      </c>
      <c r="E64" s="109">
        <f>defaultFit_Inclusive!$U64*fitSyst_Inclusive!E64</f>
        <v>114.71376007800001</v>
      </c>
      <c r="F64" s="109">
        <f>defaultFit_Inclusive!$U64*fitSyst_Inclusive!F64</f>
        <v>117.82719463799999</v>
      </c>
      <c r="G64" s="110"/>
      <c r="H64" s="109">
        <f>defaultFit_Inclusive!$U64*fitSyst_Inclusive!H64</f>
        <v>117.82719463799999</v>
      </c>
      <c r="I64" s="109">
        <f>defaultFit_Inclusive!$U64*fitSyst_Inclusive!I64</f>
        <v>114.44054567699999</v>
      </c>
      <c r="J64" s="110"/>
      <c r="K64" s="109">
        <f>defaultFit_Inclusive!$U64*fitSyst_Inclusive!K64</f>
        <v>115.919427093</v>
      </c>
      <c r="L64" s="109">
        <f>defaultFit_Inclusive!$U64*fitSyst_Inclusive!L64</f>
        <v>114.24858560700001</v>
      </c>
      <c r="M64" s="110"/>
      <c r="N64" s="111">
        <f xml:space="preserve"> fitSyst_bFrac!E64*defaultFit_Inclusive!E64</f>
        <v>127.48558760500001</v>
      </c>
      <c r="O64" s="111">
        <f xml:space="preserve"> fitSyst_bFrac!E64*defaultFit_Inclusive!H64</f>
        <v>122.92190357000001</v>
      </c>
      <c r="P64" s="110"/>
      <c r="Q64" s="111">
        <f xml:space="preserve"> fitSyst_bFrac!F64*defaultFit_Inclusive!E64</f>
        <v>124.15158652599999</v>
      </c>
      <c r="R64" s="111">
        <f xml:space="preserve"> fitSyst_bFrac!F64*defaultFit_Inclusive!H64</f>
        <v>119.70725188399999</v>
      </c>
      <c r="S64" s="110"/>
      <c r="T64" s="111">
        <f>fitSyst_bFrac!$G64*defaultFit_Inclusive!$E64</f>
        <v>131.68129831499999</v>
      </c>
      <c r="U64" s="111">
        <f>fitSyst_bFrac!$G64*defaultFit_Inclusive!$H64</f>
        <v>126.96741770999999</v>
      </c>
      <c r="V64" s="110"/>
      <c r="W64" s="109">
        <f>defaultFit_Inclusive!$U64*trgBiassing!E64</f>
        <v>98.361128745000002</v>
      </c>
      <c r="X64" s="109">
        <f>defaultFit_Inclusive!$U64*trgBiassing!F64</f>
        <v>105.81706823099999</v>
      </c>
      <c r="Y64" s="110"/>
      <c r="Z64" s="109">
        <f>defaultFit_Inclusive!$U64*trgBiassing!L64</f>
        <v>50.725579976999995</v>
      </c>
      <c r="AA64" s="109">
        <f>defaultFit_Inclusive!$U64*trgBiassing!M64</f>
        <v>55.049940732000003</v>
      </c>
      <c r="AB64" s="110"/>
      <c r="AC64" s="109">
        <f>defaultFit_Inclusive!$U64*epSystematic!E63</f>
        <v>453.31239051</v>
      </c>
      <c r="AD64" s="109" t="e">
        <f>defaultFit_Inclusive!$U64*epSystematic!#REF!</f>
        <v>#REF!</v>
      </c>
      <c r="AE64" s="112">
        <f>SQRT(POWER(E64/$E$8-AH64,2)+POWER(H64/$H$8-AH64,2)+POWER(K64/$K$8-AH64,2)+POWER(N64/$N$8-AH64,2)+POWER(Q64/$Q$8-AH64,2)+POWER(T64/$T$8-AH64,2)+POWER(W64/$W$8-AH64,2)+POWER(Z64/$Z$8-AH64,2)+POWER(AC64/$AC$8-AH64,2))/SQRT(9*POWER(PI()/8,2))</f>
        <v>0.78595880144540775</v>
      </c>
      <c r="AF64" s="112" t="e">
        <f>SQRT(POWER(F64/$F$68-AI64,2)+POWER(I64/$I$68-AI64,2)+POWER(L64/$L$68-AI64,2)+POWER(O64/$O$68-AI64,2)+POWER(R64/$R$68-AI64,2)+POWER(U64/$U$68-AI64,2)+POWER(X64/$X$68-AI64,2)+POWER(AA64/$AA$68-AI64,2)+POWER(AD64/$AD$68-AI64,2))/SQRT(9*POWER(PI()/8,2))</f>
        <v>#REF!</v>
      </c>
      <c r="AG64" s="112"/>
      <c r="AH64" s="112">
        <f xml:space="preserve"> defaultFit_NonPrompt!E64/defaultFit_NonPrompt!$E$68</f>
        <v>0.26760624861197763</v>
      </c>
      <c r="AI64" s="112">
        <f xml:space="preserve"> defaultFit_NonPrompt!H64/defaultFit_NonPrompt!$H$68</f>
        <v>0.29202053919815452</v>
      </c>
    </row>
    <row r="65" spans="1:35" ht="20.25" x14ac:dyDescent="0.35">
      <c r="A65" s="132"/>
      <c r="B65" s="132"/>
      <c r="C65" s="132"/>
      <c r="D65" s="63" t="s">
        <v>50</v>
      </c>
      <c r="E65" s="109">
        <f>defaultFit_Inclusive!$U65*fitSyst_Inclusive!E65</f>
        <v>101.614128726</v>
      </c>
      <c r="F65" s="109">
        <f>defaultFit_Inclusive!$U65*fitSyst_Inclusive!F65</f>
        <v>93.117330933000005</v>
      </c>
      <c r="G65" s="110"/>
      <c r="H65" s="109">
        <f>defaultFit_Inclusive!$U65*fitSyst_Inclusive!H65</f>
        <v>93.117330933000005</v>
      </c>
      <c r="I65" s="109">
        <f>defaultFit_Inclusive!$U65*fitSyst_Inclusive!I65</f>
        <v>90.556166481000005</v>
      </c>
      <c r="J65" s="110"/>
      <c r="K65" s="109">
        <f>defaultFit_Inclusive!$U65*fitSyst_Inclusive!K65</f>
        <v>103.67492540900001</v>
      </c>
      <c r="L65" s="109">
        <f>defaultFit_Inclusive!$U65*fitSyst_Inclusive!L65</f>
        <v>89.863167757000014</v>
      </c>
      <c r="M65" s="110"/>
      <c r="N65" s="111">
        <f xml:space="preserve"> fitSyst_bFrac!E65*defaultFit_Inclusive!E65</f>
        <v>111.00959840300001</v>
      </c>
      <c r="O65" s="111">
        <f xml:space="preserve"> fitSyst_bFrac!E65*defaultFit_Inclusive!H65</f>
        <v>95.747709629000013</v>
      </c>
      <c r="P65" s="110"/>
      <c r="Q65" s="111">
        <f xml:space="preserve"> fitSyst_bFrac!F65*defaultFit_Inclusive!E65</f>
        <v>105.335654956</v>
      </c>
      <c r="R65" s="111">
        <f xml:space="preserve"> fitSyst_bFrac!F65*defaultFit_Inclusive!H65</f>
        <v>90.853834708000008</v>
      </c>
      <c r="S65" s="110"/>
      <c r="T65" s="111">
        <f>fitSyst_bFrac!$G65*defaultFit_Inclusive!$E65</f>
        <v>107.59881394900002</v>
      </c>
      <c r="U65" s="111">
        <f>fitSyst_bFrac!$G65*defaultFit_Inclusive!$H65</f>
        <v>92.80584870700001</v>
      </c>
      <c r="V65" s="110"/>
      <c r="W65" s="109">
        <f>defaultFit_Inclusive!$U65*trgBiassing!E65</f>
        <v>91.44061437500001</v>
      </c>
      <c r="X65" s="109">
        <f>defaultFit_Inclusive!$U65*trgBiassing!F65</f>
        <v>86.430555046000009</v>
      </c>
      <c r="Y65" s="110"/>
      <c r="Z65" s="109">
        <f>defaultFit_Inclusive!$U65*trgBiassing!L65</f>
        <v>46.992026026000005</v>
      </c>
      <c r="AA65" s="109">
        <f>defaultFit_Inclusive!$U65*trgBiassing!M65</f>
        <v>44.858431387000003</v>
      </c>
      <c r="AB65" s="110"/>
      <c r="AC65" s="109">
        <f>defaultFit_Inclusive!$U65*epSystematic!E65</f>
        <v>109.763954443</v>
      </c>
      <c r="AD65" s="109">
        <f>defaultFit_Inclusive!$U65*epSystematic!F65</f>
        <v>91.842421275000007</v>
      </c>
      <c r="AE65" s="112">
        <f t="shared" ref="AE65:AE67" si="14">SQRT(POWER(E65/$E$8-AH65,2)+POWER(H65/$H$8-AH65,2)+POWER(K65/$K$8-AH65,2)+POWER(N65/$N$8-AH65,2)+POWER(Q65/$Q$8-AH65,2)+POWER(T65/$T$8-AH65,2)+POWER(W65/$W$8-AH65,2)+POWER(Z65/$Z$8-AH65,2)+POWER(AC65/$AC$8-AH65,2))/SQRT(9*POWER(PI()/8,2))</f>
        <v>9.1334632632576726E-2</v>
      </c>
      <c r="AF65" s="112" t="e">
        <f t="shared" ref="AF65:AF67" si="15">SQRT(POWER(F65/$F$68-AI65,2)+POWER(I65/$I$68-AI65,2)+POWER(L65/$L$68-AI65,2)+POWER(O65/$O$68-AI65,2)+POWER(R65/$R$68-AI65,2)+POWER(U65/$U$68-AI65,2)+POWER(X65/$X$68-AI65,2)+POWER(AA65/$AA$68-AI65,2)+POWER(AD65/$AD$68-AI65,2))/SQRT(9*POWER(PI()/8,2))</f>
        <v>#REF!</v>
      </c>
      <c r="AG65" s="112"/>
      <c r="AH65" s="112">
        <f xml:space="preserve"> defaultFit_NonPrompt!E65/defaultFit_NonPrompt!$E$68</f>
        <v>0.2360624955825939</v>
      </c>
      <c r="AI65" s="112">
        <f xml:space="preserve"> defaultFit_NonPrompt!H65/defaultFit_NonPrompt!$H$68</f>
        <v>0.23043254586170442</v>
      </c>
    </row>
    <row r="66" spans="1:35" ht="20.25" x14ac:dyDescent="0.35">
      <c r="A66" s="132"/>
      <c r="B66" s="132"/>
      <c r="C66" s="132"/>
      <c r="D66" s="62" t="s">
        <v>52</v>
      </c>
      <c r="E66" s="109">
        <f>defaultFit_Inclusive!$U66*fitSyst_Inclusive!E66</f>
        <v>116.329059355</v>
      </c>
      <c r="F66" s="109">
        <f>defaultFit_Inclusive!$U66*fitSyst_Inclusive!F66</f>
        <v>105.395113935</v>
      </c>
      <c r="G66" s="110"/>
      <c r="H66" s="109">
        <f>defaultFit_Inclusive!$U66*fitSyst_Inclusive!H66</f>
        <v>105.395113935</v>
      </c>
      <c r="I66" s="109">
        <f>defaultFit_Inclusive!$U66*fitSyst_Inclusive!I66</f>
        <v>102.63547266</v>
      </c>
      <c r="J66" s="110"/>
      <c r="K66" s="109">
        <f>defaultFit_Inclusive!$U66*fitSyst_Inclusive!K66</f>
        <v>113.74507214499999</v>
      </c>
      <c r="L66" s="109">
        <f>defaultFit_Inclusive!$U66*fitSyst_Inclusive!L66</f>
        <v>102.03807051000001</v>
      </c>
      <c r="M66" s="110"/>
      <c r="N66" s="111">
        <f xml:space="preserve"> fitSyst_bFrac!E66*defaultFit_Inclusive!E66</f>
        <v>123.78332252400001</v>
      </c>
      <c r="O66" s="111">
        <f xml:space="preserve"> fitSyst_bFrac!E66*defaultFit_Inclusive!H66</f>
        <v>105.943972872</v>
      </c>
      <c r="P66" s="110"/>
      <c r="Q66" s="111">
        <f xml:space="preserve"> fitSyst_bFrac!F66*defaultFit_Inclusive!E66</f>
        <v>115.628669649</v>
      </c>
      <c r="R66" s="111">
        <f xml:space="preserve"> fitSyst_bFrac!F66*defaultFit_Inclusive!H66</f>
        <v>98.964548621999995</v>
      </c>
      <c r="S66" s="110"/>
      <c r="T66" s="111">
        <f>fitSyst_bFrac!$G66*defaultFit_Inclusive!$E66</f>
        <v>118.315294405</v>
      </c>
      <c r="U66" s="111">
        <f>fitSyst_bFrac!$G66*defaultFit_Inclusive!$H66</f>
        <v>101.26398359</v>
      </c>
      <c r="V66" s="110"/>
      <c r="W66" s="109">
        <f>defaultFit_Inclusive!$U66*trgBiassing!E66</f>
        <v>104.84378011000001</v>
      </c>
      <c r="X66" s="109">
        <f>defaultFit_Inclusive!$U66*trgBiassing!F66</f>
        <v>96.846021675000017</v>
      </c>
      <c r="Y66" s="110"/>
      <c r="Z66" s="109">
        <f>defaultFit_Inclusive!$U66*trgBiassing!L66</f>
        <v>49.317479379999995</v>
      </c>
      <c r="AA66" s="109">
        <f>defaultFit_Inclusive!$U66*trgBiassing!M66</f>
        <v>54.783560445000006</v>
      </c>
      <c r="AB66" s="110"/>
      <c r="AC66" s="109">
        <f>defaultFit_Inclusive!$U66*epSystematic!E66</f>
        <v>118.39321753</v>
      </c>
      <c r="AD66" s="109">
        <f>defaultFit_Inclusive!$U66*epSystematic!F66</f>
        <v>104.41965430500001</v>
      </c>
      <c r="AE66" s="112">
        <f t="shared" si="14"/>
        <v>8.2971878819869102E-2</v>
      </c>
      <c r="AF66" s="112" t="e">
        <f t="shared" si="15"/>
        <v>#REF!</v>
      </c>
      <c r="AG66" s="112"/>
      <c r="AH66" s="112">
        <f xml:space="preserve"> defaultFit_NonPrompt!E66/defaultFit_NonPrompt!$E$68</f>
        <v>0.26945740091704379</v>
      </c>
      <c r="AI66" s="112">
        <f xml:space="preserve"> defaultFit_NonPrompt!H66/defaultFit_NonPrompt!$H$68</f>
        <v>0.26100762633953684</v>
      </c>
    </row>
    <row r="67" spans="1:35" ht="20.25" x14ac:dyDescent="0.35">
      <c r="A67" s="132"/>
      <c r="B67" s="132"/>
      <c r="C67" s="132"/>
      <c r="D67" s="62" t="s">
        <v>53</v>
      </c>
      <c r="E67" s="109">
        <f>defaultFit_Inclusive!$U67*fitSyst_Inclusive!E67</f>
        <v>97.464997737000019</v>
      </c>
      <c r="F67" s="109">
        <f>defaultFit_Inclusive!$U67*fitSyst_Inclusive!F67</f>
        <v>87.560824053000005</v>
      </c>
      <c r="G67" s="110"/>
      <c r="H67" s="109">
        <f>defaultFit_Inclusive!$U67*fitSyst_Inclusive!H67</f>
        <v>87.560824053000005</v>
      </c>
      <c r="I67" s="109">
        <f>defaultFit_Inclusive!$U67*fitSyst_Inclusive!I67</f>
        <v>84.918699845999996</v>
      </c>
      <c r="J67" s="110"/>
      <c r="K67" s="109">
        <f>defaultFit_Inclusive!$U67*fitSyst_Inclusive!K67</f>
        <v>97.49790538500001</v>
      </c>
      <c r="L67" s="109">
        <f>defaultFit_Inclusive!$U67*fitSyst_Inclusive!L67</f>
        <v>85.040818071000004</v>
      </c>
      <c r="M67" s="110"/>
      <c r="N67" s="111">
        <f xml:space="preserve"> fitSyst_bFrac!E67*defaultFit_Inclusive!E67</f>
        <v>108.750720155</v>
      </c>
      <c r="O67" s="111">
        <f xml:space="preserve"> fitSyst_bFrac!E67*defaultFit_Inclusive!H67</f>
        <v>91.713957829999998</v>
      </c>
      <c r="P67" s="110"/>
      <c r="Q67" s="111">
        <f xml:space="preserve"> fitSyst_bFrac!F67*defaultFit_Inclusive!E67</f>
        <v>101.021693192</v>
      </c>
      <c r="R67" s="111">
        <f xml:space="preserve"> fitSyst_bFrac!F67*defaultFit_Inclusive!H67</f>
        <v>85.195751311999999</v>
      </c>
      <c r="S67" s="110"/>
      <c r="T67" s="111">
        <f>fitSyst_bFrac!$G67*defaultFit_Inclusive!$E67</f>
        <v>98.307168505000007</v>
      </c>
      <c r="U67" s="111">
        <f>fitSyst_bFrac!$G67*defaultFit_Inclusive!$H67</f>
        <v>82.906480930000001</v>
      </c>
      <c r="V67" s="110"/>
      <c r="W67" s="109">
        <f>defaultFit_Inclusive!$U67*trgBiassing!E67</f>
        <v>88.652175348</v>
      </c>
      <c r="X67" s="109">
        <f>defaultFit_Inclusive!$U67*trgBiassing!F67</f>
        <v>81.46930989900001</v>
      </c>
      <c r="Y67" s="110"/>
      <c r="Z67" s="109">
        <f>defaultFit_Inclusive!$U67*trgBiassing!L67</f>
        <v>47.738199426000001</v>
      </c>
      <c r="AA67" s="109">
        <f>defaultFit_Inclusive!$U67*trgBiassing!M67</f>
        <v>43.223681466000002</v>
      </c>
      <c r="AB67" s="110"/>
      <c r="AC67" s="109">
        <f>defaultFit_Inclusive!$U67*epSystematic!E67</f>
        <v>104.58461880000002</v>
      </c>
      <c r="AD67" s="109">
        <f>defaultFit_Inclusive!$U67*epSystematic!F67</f>
        <v>87.167731914000001</v>
      </c>
      <c r="AE67" s="112">
        <f t="shared" si="14"/>
        <v>8.6137238367224728E-2</v>
      </c>
      <c r="AF67" s="112" t="e">
        <f t="shared" si="15"/>
        <v>#REF!</v>
      </c>
      <c r="AG67" s="112"/>
      <c r="AH67" s="112">
        <f xml:space="preserve"> defaultFit_NonPrompt!E67/defaultFit_NonPrompt!$E$68</f>
        <v>0.22687385488838466</v>
      </c>
      <c r="AI67" s="112">
        <f xml:space="preserve"> defaultFit_NonPrompt!H67/defaultFit_NonPrompt!$H$68</f>
        <v>0.2165392886006042</v>
      </c>
    </row>
    <row r="68" spans="1:35" ht="20.25" x14ac:dyDescent="0.35">
      <c r="A68" s="132"/>
      <c r="B68" s="132"/>
      <c r="C68" s="132"/>
      <c r="D68" s="74"/>
      <c r="E68" s="113">
        <f xml:space="preserve"> SUM(E64:E67)</f>
        <v>430.121945896</v>
      </c>
      <c r="F68" s="113">
        <f xml:space="preserve"> SUM(F64:F67)</f>
        <v>403.90046355899995</v>
      </c>
      <c r="G68" s="113"/>
      <c r="H68" s="113">
        <f xml:space="preserve"> SUM(H64:H67)</f>
        <v>403.90046355899995</v>
      </c>
      <c r="I68" s="113">
        <f xml:space="preserve"> SUM(I64:I67)</f>
        <v>392.55088466399997</v>
      </c>
      <c r="J68" s="113"/>
      <c r="K68" s="113">
        <f xml:space="preserve"> SUM(K64:K67)</f>
        <v>430.83733003200001</v>
      </c>
      <c r="L68" s="113">
        <f xml:space="preserve"> SUM(L64:L67)</f>
        <v>391.19064194500004</v>
      </c>
      <c r="M68" s="113"/>
      <c r="N68" s="113">
        <f xml:space="preserve"> SUM(N64:N67)</f>
        <v>471.02922868700006</v>
      </c>
      <c r="O68" s="113">
        <f xml:space="preserve"> SUM(O64:O67)</f>
        <v>416.32754390100001</v>
      </c>
      <c r="P68" s="113"/>
      <c r="Q68" s="113">
        <f xml:space="preserve"> SUM(Q64:Q67)</f>
        <v>446.13760432300001</v>
      </c>
      <c r="R68" s="113">
        <f xml:space="preserve"> SUM(R64:R67)</f>
        <v>394.72138652599995</v>
      </c>
      <c r="S68" s="113"/>
      <c r="T68" s="113">
        <f xml:space="preserve"> SUM(T64:T67)</f>
        <v>455.90257517399999</v>
      </c>
      <c r="U68" s="113">
        <f xml:space="preserve"> SUM(U64:U67)</f>
        <v>403.943730937</v>
      </c>
      <c r="V68" s="113"/>
      <c r="W68" s="113">
        <f xml:space="preserve"> SUM(W64:W67)</f>
        <v>383.29769857800005</v>
      </c>
      <c r="X68" s="113">
        <f xml:space="preserve"> SUM(X64:X67)</f>
        <v>370.56295485100003</v>
      </c>
      <c r="Y68" s="113"/>
      <c r="Z68" s="113">
        <f xml:space="preserve"> SUM(Z64:Z67)</f>
        <v>194.77328480899999</v>
      </c>
      <c r="AA68" s="113">
        <f xml:space="preserve"> SUM(AA64:AA67)</f>
        <v>197.91561403000003</v>
      </c>
      <c r="AB68" s="113"/>
      <c r="AC68" s="113">
        <f xml:space="preserve"> SUM(AC64:AC67)</f>
        <v>786.05418128300005</v>
      </c>
      <c r="AD68" s="113" t="e">
        <f xml:space="preserve"> SUM(AD64:AD67)</f>
        <v>#REF!</v>
      </c>
      <c r="AE68" s="113"/>
      <c r="AF68" s="113"/>
      <c r="AG68" s="113"/>
      <c r="AH68" s="113"/>
      <c r="AI68" s="113"/>
    </row>
    <row r="69" spans="1:35" ht="20.25" x14ac:dyDescent="0.35">
      <c r="A69" s="132" t="s">
        <v>82</v>
      </c>
      <c r="B69" s="132" t="s">
        <v>79</v>
      </c>
      <c r="C69" s="132" t="s">
        <v>17</v>
      </c>
      <c r="D69" s="65" t="s">
        <v>51</v>
      </c>
      <c r="E69" s="109">
        <f>defaultFit_Inclusive!$U69*fitSyst_Inclusive!E69</f>
        <v>179.935803432</v>
      </c>
      <c r="F69" s="109">
        <f>defaultFit_Inclusive!$U69*fitSyst_Inclusive!F69</f>
        <v>170.74862342999998</v>
      </c>
      <c r="G69" s="110"/>
      <c r="H69" s="109">
        <f>defaultFit_Inclusive!$U69*fitSyst_Inclusive!H69</f>
        <v>170.74862342999998</v>
      </c>
      <c r="I69" s="109">
        <f>defaultFit_Inclusive!$U69*fitSyst_Inclusive!I69</f>
        <v>170.10908442000002</v>
      </c>
      <c r="J69" s="110"/>
      <c r="K69" s="109">
        <f>defaultFit_Inclusive!$U69*fitSyst_Inclusive!K69</f>
        <v>176.82082347599999</v>
      </c>
      <c r="L69" s="109">
        <f>defaultFit_Inclusive!$U69*fitSyst_Inclusive!L69</f>
        <v>352.42019999999997</v>
      </c>
      <c r="M69" s="110"/>
      <c r="N69" s="111">
        <f xml:space="preserve"> fitSyst_bFrac!E69*defaultFit_Inclusive!E69</f>
        <v>191.61352714999998</v>
      </c>
      <c r="O69" s="111">
        <f xml:space="preserve"> fitSyst_bFrac!E69*defaultFit_Inclusive!H69</f>
        <v>181.63414974999998</v>
      </c>
      <c r="P69" s="110"/>
      <c r="Q69" s="111">
        <f xml:space="preserve"> fitSyst_bFrac!F69*defaultFit_Inclusive!E69</f>
        <v>177.27705675499999</v>
      </c>
      <c r="R69" s="111">
        <f xml:space="preserve"> fitSyst_bFrac!F69*defaultFit_Inclusive!H69</f>
        <v>168.044333575</v>
      </c>
      <c r="S69" s="110"/>
      <c r="T69" s="111">
        <f>fitSyst_bFrac!$G69*defaultFit_Inclusive!$E69</f>
        <v>181.8890255</v>
      </c>
      <c r="U69" s="111">
        <f>fitSyst_bFrac!$G69*defaultFit_Inclusive!$H69</f>
        <v>172.41610750000001</v>
      </c>
      <c r="V69" s="110"/>
      <c r="W69" s="109">
        <f>defaultFit_Inclusive!$U69*trgBiassing!E69</f>
        <v>146.18327704200001</v>
      </c>
      <c r="X69" s="109">
        <f>defaultFit_Inclusive!$U69*trgBiassing!F69</f>
        <v>141.77325650399999</v>
      </c>
      <c r="Y69" s="110"/>
      <c r="Z69" s="109">
        <f>defaultFit_Inclusive!$U69*trgBiassing!L69</f>
        <v>84.468073536000006</v>
      </c>
      <c r="AA69" s="109">
        <f>defaultFit_Inclusive!$U69*trgBiassing!M69</f>
        <v>72.81436674599999</v>
      </c>
      <c r="AB69" s="110"/>
      <c r="AC69" s="109">
        <f>defaultFit_Inclusive!$U69*epSystematic!E69</f>
        <v>180.15616970999997</v>
      </c>
      <c r="AD69" s="109">
        <f>defaultFit_Inclusive!$U69*epSystematic!F69</f>
        <v>170.77350014999999</v>
      </c>
      <c r="AE69" s="112"/>
      <c r="AF69" s="112"/>
      <c r="AG69" s="112"/>
      <c r="AH69" s="112"/>
      <c r="AI69" s="112"/>
    </row>
    <row r="70" spans="1:35" ht="20.25" x14ac:dyDescent="0.35">
      <c r="A70" s="132"/>
      <c r="B70" s="132"/>
      <c r="C70" s="132"/>
      <c r="D70" s="66" t="s">
        <v>49</v>
      </c>
      <c r="E70" s="109">
        <f>defaultFit_Inclusive!$U70*fitSyst_Inclusive!E70</f>
        <v>39.443100444000002</v>
      </c>
      <c r="F70" s="109">
        <f>defaultFit_Inclusive!$U70*fitSyst_Inclusive!F70</f>
        <v>46.252473347999995</v>
      </c>
      <c r="G70" s="110"/>
      <c r="H70" s="109">
        <f>defaultFit_Inclusive!$U70*fitSyst_Inclusive!H70</f>
        <v>46.252473347999995</v>
      </c>
      <c r="I70" s="109">
        <f>defaultFit_Inclusive!$U70*fitSyst_Inclusive!I70</f>
        <v>46.058441131999999</v>
      </c>
      <c r="J70" s="110"/>
      <c r="K70" s="109">
        <f>defaultFit_Inclusive!$U70*fitSyst_Inclusive!K70</f>
        <v>39.163104588000003</v>
      </c>
      <c r="L70" s="109">
        <f>defaultFit_Inclusive!$U70*fitSyst_Inclusive!L70</f>
        <v>46.020196084000005</v>
      </c>
      <c r="M70" s="110"/>
      <c r="N70" s="111">
        <f xml:space="preserve"> fitSyst_bFrac!E70*defaultFit_Inclusive!E70</f>
        <v>41.414464540000004</v>
      </c>
      <c r="O70" s="111">
        <f xml:space="preserve"> fitSyst_bFrac!E70*defaultFit_Inclusive!H70</f>
        <v>48.498135246000004</v>
      </c>
      <c r="P70" s="110"/>
      <c r="Q70" s="111">
        <f xml:space="preserve"> fitSyst_bFrac!F70*defaultFit_Inclusive!E70</f>
        <v>40.021585229999999</v>
      </c>
      <c r="R70" s="111">
        <f xml:space="preserve"> fitSyst_bFrac!F70*defaultFit_Inclusive!H70</f>
        <v>46.867013127</v>
      </c>
      <c r="S70" s="110"/>
      <c r="T70" s="111">
        <f>fitSyst_bFrac!$G70*defaultFit_Inclusive!$E70</f>
        <v>36.824739229999999</v>
      </c>
      <c r="U70" s="111">
        <f>fitSyst_bFrac!$G70*defaultFit_Inclusive!$H70</f>
        <v>43.123367727000002</v>
      </c>
      <c r="V70" s="110"/>
      <c r="W70" s="109">
        <f>defaultFit_Inclusive!$U70*trgBiassing!E70</f>
        <v>30.890420008000003</v>
      </c>
      <c r="X70" s="109">
        <f>defaultFit_Inclusive!$U70*trgBiassing!F70</f>
        <v>36.422092524</v>
      </c>
      <c r="Y70" s="110"/>
      <c r="Z70" s="109">
        <f>defaultFit_Inclusive!$U70*trgBiassing!L70</f>
        <v>15.698715024</v>
      </c>
      <c r="AA70" s="109">
        <f>defaultFit_Inclusive!$U70*trgBiassing!M70</f>
        <v>19.021999172000001</v>
      </c>
      <c r="AB70" s="110"/>
      <c r="AC70" s="109">
        <f>defaultFit_Inclusive!$U70*epSystematic!E70</f>
        <v>40.020109447999999</v>
      </c>
      <c r="AD70" s="109">
        <f>defaultFit_Inclusive!$U70*epSystematic!F70</f>
        <v>45.310206592</v>
      </c>
      <c r="AE70" s="112">
        <f>SQRT(POWER(E70/$E$74-AH70,2)+POWER(H70/$H$74-AH70,2)+POWER(K70/$K$74-AH70,2)+POWER(N70/$N$74-AH70,2)+POWER(Q70/$Q$74-AH70,2)+POWER(T70/$T$74-AH70,2)+POWER(W70/$W$74-AH70,2)+POWER(Z70/$Z$74-AH70,2)+POWER(AC70/$AC$74-AH70,2))/SQRT(9*POWER(PI()/8,2))</f>
        <v>5.8371128733665366E-2</v>
      </c>
      <c r="AF70" s="112">
        <f>SQRT(POWER(F70/$F$74-AI70,2)+POWER(I70/$I$74-AI70,2)+POWER(L70/$L$74-AI70,2)+POWER(O70/$O$74-AI70,2)+POWER(R70/$R$74-AI70,2)+POWER(U70/$U$74-AI70,2)+POWER(X70/$X$74-AI70,2)+POWER(AA70/$AA$74-AI70,2)+POWER(AD70/$AD$74-AI70,2))/SQRT(9*POWER(PI()/8,2))</f>
        <v>2.8003581348869447E-2</v>
      </c>
      <c r="AG70" s="112"/>
      <c r="AH70" s="112">
        <f xml:space="preserve"> defaultFit_NonPrompt!E70/defaultFit_NonPrompt!$E$74</f>
        <v>0.22143816639025118</v>
      </c>
      <c r="AI70" s="112">
        <f xml:space="preserve"> defaultFit_NonPrompt!H70/defaultFit_NonPrompt!$H$74</f>
        <v>0.27497712223386761</v>
      </c>
    </row>
    <row r="71" spans="1:35" ht="20.25" x14ac:dyDescent="0.35">
      <c r="A71" s="132"/>
      <c r="B71" s="132"/>
      <c r="C71" s="132"/>
      <c r="D71" s="66" t="s">
        <v>50</v>
      </c>
      <c r="E71" s="109">
        <f>defaultFit_Inclusive!$U71*fitSyst_Inclusive!E71</f>
        <v>52.810954749000004</v>
      </c>
      <c r="F71" s="109">
        <f>defaultFit_Inclusive!$U71*fitSyst_Inclusive!F71</f>
        <v>43.066623291999996</v>
      </c>
      <c r="G71" s="110"/>
      <c r="H71" s="109">
        <f>defaultFit_Inclusive!$U71*fitSyst_Inclusive!H71</f>
        <v>43.066623291999996</v>
      </c>
      <c r="I71" s="109">
        <f>defaultFit_Inclusive!$U71*fitSyst_Inclusive!I71</f>
        <v>42.882337692</v>
      </c>
      <c r="J71" s="110"/>
      <c r="K71" s="109">
        <f>defaultFit_Inclusive!$U71*fitSyst_Inclusive!K71</f>
        <v>48.107986237000006</v>
      </c>
      <c r="L71" s="109">
        <f>defaultFit_Inclusive!$U71*fitSyst_Inclusive!L71</f>
        <v>42.144504220999998</v>
      </c>
      <c r="M71" s="110"/>
      <c r="N71" s="111">
        <f xml:space="preserve"> fitSyst_bFrac!E71*defaultFit_Inclusive!E71</f>
        <v>55.77427428</v>
      </c>
      <c r="O71" s="111">
        <f xml:space="preserve"> fitSyst_bFrac!E71*defaultFit_Inclusive!H71</f>
        <v>45.396382946999999</v>
      </c>
      <c r="P71" s="110"/>
      <c r="Q71" s="111">
        <f xml:space="preserve"> fitSyst_bFrac!F71*defaultFit_Inclusive!E71</f>
        <v>54.07011584</v>
      </c>
      <c r="R71" s="111">
        <f xml:space="preserve"> fitSyst_bFrac!F71*defaultFit_Inclusive!H71</f>
        <v>44.009316415999997</v>
      </c>
      <c r="S71" s="110"/>
      <c r="T71" s="111">
        <f>fitSyst_bFrac!$G71*defaultFit_Inclusive!$E71</f>
        <v>56.028485759999995</v>
      </c>
      <c r="U71" s="111">
        <f>fitSyst_bFrac!$G71*defaultFit_Inclusive!$H71</f>
        <v>45.603293424</v>
      </c>
      <c r="V71" s="110"/>
      <c r="W71" s="109">
        <f>defaultFit_Inclusive!$U71*trgBiassing!E71</f>
        <v>40.864180015000002</v>
      </c>
      <c r="X71" s="109">
        <f>defaultFit_Inclusive!$U71*trgBiassing!F71</f>
        <v>36.965387790000001</v>
      </c>
      <c r="Y71" s="110"/>
      <c r="Z71" s="109">
        <f>defaultFit_Inclusive!$U71*trgBiassing!L71</f>
        <v>22.725455192400002</v>
      </c>
      <c r="AA71" s="109">
        <f>defaultFit_Inclusive!$U71*trgBiassing!M71</f>
        <v>17.538736980400003</v>
      </c>
      <c r="AB71" s="110"/>
      <c r="AC71" s="109">
        <f>defaultFit_Inclusive!$U71*epSystematic!E71</f>
        <v>52.515406718000001</v>
      </c>
      <c r="AD71" s="109">
        <f>defaultFit_Inclusive!$U71*epSystematic!F71</f>
        <v>42.748960989000004</v>
      </c>
      <c r="AE71" s="112">
        <f t="shared" ref="AE71:AE73" si="16">SQRT(POWER(E71/$E$74-AH71,2)+POWER(H71/$H$74-AH71,2)+POWER(K71/$K$74-AH71,2)+POWER(N71/$N$74-AH71,2)+POWER(Q71/$Q$74-AH71,2)+POWER(T71/$T$74-AH71,2)+POWER(W71/$W$74-AH71,2)+POWER(Z71/$Z$74-AH71,2)+POWER(AC71/$AC$74-AH71,2))/SQRT(9*POWER(PI()/8,2))</f>
        <v>4.6418061713804019E-2</v>
      </c>
      <c r="AF71" s="112">
        <f t="shared" ref="AF71:AF73" si="17">SQRT(POWER(F71/$F$74-AI71,2)+POWER(I71/$I$74-AI71,2)+POWER(L71/$L$74-AI71,2)+POWER(O71/$O$74-AI71,2)+POWER(R71/$R$74-AI71,2)+POWER(U71/$U$74-AI71,2)+POWER(X71/$X$74-AI71,2)+POWER(AA71/$AA$74-AI71,2)+POWER(AD71/$AD$74-AI71,2))/SQRT(9*POWER(PI()/8,2))</f>
        <v>1.8852638049944068E-2</v>
      </c>
      <c r="AG71" s="112"/>
      <c r="AH71" s="112">
        <f xml:space="preserve"> defaultFit_NonPrompt!E71/defaultFit_NonPrompt!$E$74</f>
        <v>0.29658510805647703</v>
      </c>
      <c r="AI71" s="112">
        <f xml:space="preserve"> defaultFit_NonPrompt!H71/defaultFit_NonPrompt!$H$74</f>
        <v>0.25598101677880419</v>
      </c>
    </row>
    <row r="72" spans="1:35" ht="20.25" x14ac:dyDescent="0.35">
      <c r="A72" s="132"/>
      <c r="B72" s="132"/>
      <c r="C72" s="132"/>
      <c r="D72" s="65" t="s">
        <v>52</v>
      </c>
      <c r="E72" s="109">
        <f>defaultFit_Inclusive!$U72*fitSyst_Inclusive!E72</f>
        <v>41.118286571999995</v>
      </c>
      <c r="F72" s="109">
        <f>defaultFit_Inclusive!$U72*fitSyst_Inclusive!F72</f>
        <v>37.249519923000001</v>
      </c>
      <c r="G72" s="110"/>
      <c r="H72" s="109">
        <f>defaultFit_Inclusive!$U72*fitSyst_Inclusive!H72</f>
        <v>37.249519923000001</v>
      </c>
      <c r="I72" s="109">
        <f>defaultFit_Inclusive!$U72*fitSyst_Inclusive!I72</f>
        <v>37.145028194999995</v>
      </c>
      <c r="J72" s="110"/>
      <c r="K72" s="109">
        <f>defaultFit_Inclusive!$U72*fitSyst_Inclusive!K72</f>
        <v>40.830340616999997</v>
      </c>
      <c r="L72" s="109">
        <f>defaultFit_Inclusive!$U72*fitSyst_Inclusive!L72</f>
        <v>38.050227368999998</v>
      </c>
      <c r="M72" s="110"/>
      <c r="N72" s="111">
        <f xml:space="preserve"> fitSyst_bFrac!E72*defaultFit_Inclusive!E72</f>
        <v>46.107560480000004</v>
      </c>
      <c r="O72" s="111">
        <f xml:space="preserve"> fitSyst_bFrac!E72*defaultFit_Inclusive!H72</f>
        <v>41.624058080000005</v>
      </c>
      <c r="P72" s="110"/>
      <c r="Q72" s="111">
        <f xml:space="preserve"> fitSyst_bFrac!F72*defaultFit_Inclusive!E72</f>
        <v>39.448575956000006</v>
      </c>
      <c r="R72" s="111">
        <f xml:space="preserve"> fitSyst_bFrac!F72*defaultFit_Inclusive!H72</f>
        <v>35.612593676000003</v>
      </c>
      <c r="S72" s="110"/>
      <c r="T72" s="111">
        <f>fitSyst_bFrac!$G72*defaultFit_Inclusive!$E72</f>
        <v>43.015717780000003</v>
      </c>
      <c r="U72" s="111">
        <f>fitSyst_bFrac!$G72*defaultFit_Inclusive!$H72</f>
        <v>38.832866379999999</v>
      </c>
      <c r="V72" s="110"/>
      <c r="W72" s="109">
        <f>defaultFit_Inclusive!$U72*trgBiassing!E72</f>
        <v>35.309496419999995</v>
      </c>
      <c r="X72" s="109">
        <f>defaultFit_Inclusive!$U72*trgBiassing!F72</f>
        <v>32.004153918</v>
      </c>
      <c r="Y72" s="110"/>
      <c r="Z72" s="109">
        <f>defaultFit_Inclusive!$U72*trgBiassing!L72</f>
        <v>21.156210603000002</v>
      </c>
      <c r="AA72" s="109">
        <f>defaultFit_Inclusive!$U72*trgBiassing!M72</f>
        <v>17.8179373746</v>
      </c>
      <c r="AB72" s="110"/>
      <c r="AC72" s="109">
        <f>defaultFit_Inclusive!$U72*epSystematic!E72</f>
        <v>40.310652591</v>
      </c>
      <c r="AD72" s="109">
        <f>defaultFit_Inclusive!$U72*epSystematic!F72</f>
        <v>38.691426608999997</v>
      </c>
      <c r="AE72" s="112">
        <f t="shared" si="16"/>
        <v>2.5771243310188211E-2</v>
      </c>
      <c r="AF72" s="112">
        <f t="shared" si="17"/>
        <v>2.8397799945971938E-2</v>
      </c>
      <c r="AG72" s="112"/>
      <c r="AH72" s="112">
        <f xml:space="preserve"> defaultFit_NonPrompt!E72/defaultFit_NonPrompt!$E$74</f>
        <v>0.23140410878429127</v>
      </c>
      <c r="AI72" s="112">
        <f xml:space="preserve"> defaultFit_NonPrompt!H72/defaultFit_NonPrompt!$H$74</f>
        <v>0.22152076191352008</v>
      </c>
    </row>
    <row r="73" spans="1:35" ht="20.25" x14ac:dyDescent="0.35">
      <c r="A73" s="132"/>
      <c r="B73" s="132"/>
      <c r="C73" s="132"/>
      <c r="D73" s="65" t="s">
        <v>53</v>
      </c>
      <c r="E73" s="109">
        <f>defaultFit_Inclusive!$U73*fitSyst_Inclusive!E73</f>
        <v>44.638078525999994</v>
      </c>
      <c r="F73" s="109">
        <f>defaultFit_Inclusive!$U73*fitSyst_Inclusive!F73</f>
        <v>41.644283088000002</v>
      </c>
      <c r="G73" s="110"/>
      <c r="H73" s="109">
        <f>defaultFit_Inclusive!$U73*fitSyst_Inclusive!H73</f>
        <v>41.644283088000002</v>
      </c>
      <c r="I73" s="109">
        <f>defaultFit_Inclusive!$U73*fitSyst_Inclusive!I73</f>
        <v>41.473673617999999</v>
      </c>
      <c r="J73" s="110"/>
      <c r="K73" s="109">
        <f>defaultFit_Inclusive!$U73*fitSyst_Inclusive!K73</f>
        <v>42.893052805999993</v>
      </c>
      <c r="L73" s="109">
        <f>defaultFit_Inclusive!$U73*fitSyst_Inclusive!L73</f>
        <v>48.049122896</v>
      </c>
      <c r="M73" s="110"/>
      <c r="N73" s="111">
        <f xml:space="preserve"> fitSyst_bFrac!E73*defaultFit_Inclusive!E73</f>
        <v>47.395681563999993</v>
      </c>
      <c r="O73" s="111">
        <f xml:space="preserve"> fitSyst_bFrac!E73*defaultFit_Inclusive!H73</f>
        <v>44.151584400000004</v>
      </c>
      <c r="P73" s="110"/>
      <c r="Q73" s="111">
        <f xml:space="preserve"> fitSyst_bFrac!F73*defaultFit_Inclusive!E73</f>
        <v>45.456396517999998</v>
      </c>
      <c r="R73" s="111">
        <f xml:space="preserve"> fitSyst_bFrac!F73*defaultFit_Inclusive!H73</f>
        <v>42.3450378</v>
      </c>
      <c r="S73" s="110"/>
      <c r="T73" s="111">
        <f>fitSyst_bFrac!$G73*defaultFit_Inclusive!$E73</f>
        <v>47.707934363999996</v>
      </c>
      <c r="U73" s="111">
        <f>fitSyst_bFrac!$G73*defaultFit_Inclusive!$H73</f>
        <v>44.442464400000006</v>
      </c>
      <c r="V73" s="110"/>
      <c r="W73" s="109">
        <f>defaultFit_Inclusive!$U73*trgBiassing!E73</f>
        <v>38.194078691999998</v>
      </c>
      <c r="X73" s="109">
        <f>defaultFit_Inclusive!$U73*trgBiassing!F73</f>
        <v>34.887690063999997</v>
      </c>
      <c r="Y73" s="110"/>
      <c r="Z73" s="109">
        <f>defaultFit_Inclusive!$U73*trgBiassing!L73</f>
        <v>24.865013468000001</v>
      </c>
      <c r="AA73" s="109">
        <f>defaultFit_Inclusive!$U73*trgBiassing!M73</f>
        <v>17.154862360599999</v>
      </c>
      <c r="AB73" s="110"/>
      <c r="AC73" s="109">
        <f>defaultFit_Inclusive!$U73*epSystematic!E73</f>
        <v>45.431355309999994</v>
      </c>
      <c r="AD73" s="109">
        <f>defaultFit_Inclusive!$U73*epSystematic!F73</f>
        <v>41.454666119999999</v>
      </c>
      <c r="AE73" s="112">
        <f t="shared" si="16"/>
        <v>3.9882877014728653E-2</v>
      </c>
      <c r="AF73" s="112">
        <f t="shared" si="17"/>
        <v>2.6699703701971365E-2</v>
      </c>
      <c r="AG73" s="112"/>
      <c r="AH73" s="112">
        <f xml:space="preserve"> defaultFit_NonPrompt!E73/defaultFit_NonPrompt!$E$74</f>
        <v>0.25057261676898046</v>
      </c>
      <c r="AI73" s="112">
        <f xml:space="preserve"> defaultFit_NonPrompt!H73/defaultFit_NonPrompt!$H$74</f>
        <v>0.24752109907380812</v>
      </c>
    </row>
    <row r="74" spans="1:35" ht="20.25" x14ac:dyDescent="0.35">
      <c r="A74" s="132"/>
      <c r="B74" s="132"/>
      <c r="C74" s="132"/>
      <c r="D74" s="74"/>
      <c r="E74" s="113">
        <f xml:space="preserve"> SUM(E70:E73)</f>
        <v>178.01042029099997</v>
      </c>
      <c r="F74" s="113">
        <f xml:space="preserve"> SUM(F70:F73)</f>
        <v>168.21289965100001</v>
      </c>
      <c r="G74" s="113"/>
      <c r="H74" s="113">
        <f xml:space="preserve"> SUM(H70:H73)</f>
        <v>168.21289965100001</v>
      </c>
      <c r="I74" s="113">
        <f xml:space="preserve"> SUM(I70:I73)</f>
        <v>167.55948063700001</v>
      </c>
      <c r="J74" s="113"/>
      <c r="K74" s="113">
        <f xml:space="preserve"> SUM(K70:K73)</f>
        <v>170.99448424799999</v>
      </c>
      <c r="L74" s="113">
        <f xml:space="preserve"> SUM(L70:L73)</f>
        <v>174.26405056999999</v>
      </c>
      <c r="M74" s="113"/>
      <c r="N74" s="113">
        <f xml:space="preserve"> SUM(N70:N73)</f>
        <v>190.69198086399999</v>
      </c>
      <c r="O74" s="113">
        <f xml:space="preserve"> SUM(O70:O73)</f>
        <v>179.670160673</v>
      </c>
      <c r="P74" s="113"/>
      <c r="Q74" s="113">
        <f xml:space="preserve"> SUM(Q70:Q73)</f>
        <v>178.996673544</v>
      </c>
      <c r="R74" s="113">
        <f xml:space="preserve"> SUM(R70:R73)</f>
        <v>168.83396101900001</v>
      </c>
      <c r="S74" s="113"/>
      <c r="T74" s="113">
        <f xml:space="preserve"> SUM(T70:T73)</f>
        <v>183.57687713399997</v>
      </c>
      <c r="U74" s="113">
        <f xml:space="preserve"> SUM(U70:U73)</f>
        <v>172.00199193100002</v>
      </c>
      <c r="V74" s="113"/>
      <c r="W74" s="113">
        <f xml:space="preserve"> SUM(W70:W73)</f>
        <v>145.25817513500002</v>
      </c>
      <c r="X74" s="113">
        <f xml:space="preserve"> SUM(X70:X73)</f>
        <v>140.279324296</v>
      </c>
      <c r="Y74" s="113"/>
      <c r="Z74" s="113">
        <f xml:space="preserve"> SUM(Z70:Z73)</f>
        <v>84.445394287400006</v>
      </c>
      <c r="AA74" s="113">
        <f xml:space="preserve"> SUM(AA70:AA73)</f>
        <v>71.53353588760001</v>
      </c>
      <c r="AB74" s="113"/>
      <c r="AC74" s="113">
        <f xml:space="preserve"> SUM(AC70:AC73)</f>
        <v>178.277524067</v>
      </c>
      <c r="AD74" s="113">
        <f xml:space="preserve"> SUM(AD70:AD73)</f>
        <v>168.20526030999997</v>
      </c>
      <c r="AE74" s="113"/>
      <c r="AF74" s="113"/>
      <c r="AG74" s="113"/>
      <c r="AH74" s="113"/>
      <c r="AI74" s="113"/>
    </row>
    <row r="75" spans="1:35" ht="20.25" x14ac:dyDescent="0.35">
      <c r="A75" s="132" t="s">
        <v>81</v>
      </c>
      <c r="B75" s="132" t="s">
        <v>83</v>
      </c>
      <c r="C75" s="132" t="s">
        <v>17</v>
      </c>
      <c r="D75" s="68" t="s">
        <v>51</v>
      </c>
      <c r="E75" s="109">
        <f>defaultFit_Inclusive!$U75*fitSyst_Inclusive!E75</f>
        <v>197.64738474000001</v>
      </c>
      <c r="F75" s="109">
        <f>defaultFit_Inclusive!$U75*fitSyst_Inclusive!F75</f>
        <v>206.78537840999999</v>
      </c>
      <c r="G75" s="110"/>
      <c r="H75" s="109">
        <f>defaultFit_Inclusive!$U75*fitSyst_Inclusive!H75</f>
        <v>206.77448688000001</v>
      </c>
      <c r="I75" s="109">
        <f>defaultFit_Inclusive!$U75*fitSyst_Inclusive!I75</f>
        <v>213.83098815</v>
      </c>
      <c r="J75" s="110"/>
      <c r="K75" s="109">
        <f>defaultFit_Inclusive!$U75*fitSyst_Inclusive!K75</f>
        <v>208.16618238000001</v>
      </c>
      <c r="L75" s="109">
        <f>defaultFit_Inclusive!$U75*fitSyst_Inclusive!L75</f>
        <v>209.87252208000001</v>
      </c>
      <c r="M75" s="110"/>
      <c r="N75" s="111">
        <f xml:space="preserve"> fitSyst_bFrac!E75*defaultFit_Inclusive!E75</f>
        <v>236.45869524000003</v>
      </c>
      <c r="O75" s="111">
        <f xml:space="preserve"> fitSyst_bFrac!E75*defaultFit_Inclusive!H75</f>
        <v>238.81885775999999</v>
      </c>
      <c r="P75" s="110"/>
      <c r="Q75" s="111">
        <f xml:space="preserve"> fitSyst_bFrac!F75*defaultFit_Inclusive!E75</f>
        <v>187.90547721000002</v>
      </c>
      <c r="R75" s="111">
        <f xml:space="preserve"> fitSyst_bFrac!F75*defaultFit_Inclusive!H75</f>
        <v>189.78101604</v>
      </c>
      <c r="S75" s="110"/>
      <c r="T75" s="111">
        <f>fitSyst_bFrac!$G75*defaultFit_Inclusive!$E75</f>
        <v>193.74528120000002</v>
      </c>
      <c r="U75" s="111">
        <f>fitSyst_bFrac!$G75*defaultFit_Inclusive!$H75</f>
        <v>195.67910879999999</v>
      </c>
      <c r="V75" s="110"/>
      <c r="W75" s="109">
        <f>defaultFit_Inclusive!$U75*trgBiassing!E75</f>
        <v>170.22372236999999</v>
      </c>
      <c r="X75" s="109">
        <f>defaultFit_Inclusive!$U75*trgBiassing!F75</f>
        <v>175.34637198000001</v>
      </c>
      <c r="Y75" s="110"/>
      <c r="Z75" s="109">
        <f>defaultFit_Inclusive!$U75*trgBiassing!L75</f>
        <v>92.602450434000005</v>
      </c>
      <c r="AA75" s="109">
        <f>defaultFit_Inclusive!$U75*trgBiassing!M75</f>
        <v>101.213173035</v>
      </c>
      <c r="AB75" s="110"/>
      <c r="AC75" s="109">
        <f>defaultFit_Inclusive!$U75*epSystematic!E75</f>
        <v>205.02337089</v>
      </c>
      <c r="AD75" s="109">
        <f>defaultFit_Inclusive!$U75*epSystematic!F75</f>
        <v>207.06976835999998</v>
      </c>
      <c r="AE75" s="112"/>
      <c r="AF75" s="112"/>
      <c r="AG75" s="112"/>
      <c r="AH75" s="112"/>
      <c r="AI75" s="112"/>
    </row>
    <row r="76" spans="1:35" ht="20.25" x14ac:dyDescent="0.35">
      <c r="A76" s="132"/>
      <c r="B76" s="132"/>
      <c r="C76" s="132"/>
      <c r="D76" s="69" t="s">
        <v>49</v>
      </c>
      <c r="E76" s="109">
        <f>defaultFit_Inclusive!$U76*fitSyst_Inclusive!E76</f>
        <v>38.326885590000003</v>
      </c>
      <c r="F76" s="109">
        <f>defaultFit_Inclusive!$U76*fitSyst_Inclusive!F76</f>
        <v>42.070223737500001</v>
      </c>
      <c r="G76" s="110"/>
      <c r="H76" s="109">
        <f>defaultFit_Inclusive!$U76*fitSyst_Inclusive!H76</f>
        <v>42.070738132500004</v>
      </c>
      <c r="I76" s="109">
        <f>defaultFit_Inclusive!$U76*fitSyst_Inclusive!I76</f>
        <v>43.6320984225</v>
      </c>
      <c r="J76" s="110"/>
      <c r="K76" s="109">
        <f>defaultFit_Inclusive!$U76*fitSyst_Inclusive!K76</f>
        <v>38.900607480000005</v>
      </c>
      <c r="L76" s="109">
        <f>defaultFit_Inclusive!$U76*fitSyst_Inclusive!L76</f>
        <v>41.843289810000002</v>
      </c>
      <c r="M76" s="110"/>
      <c r="N76" s="111">
        <f xml:space="preserve"> fitSyst_bFrac!E76*defaultFit_Inclusive!E76</f>
        <v>50.126652872999998</v>
      </c>
      <c r="O76" s="111">
        <f xml:space="preserve"> fitSyst_bFrac!E76*defaultFit_Inclusive!H76</f>
        <v>53.072922374999997</v>
      </c>
      <c r="P76" s="110"/>
      <c r="Q76" s="111">
        <f xml:space="preserve"> fitSyst_bFrac!F76*defaultFit_Inclusive!E76</f>
        <v>36.563464457699993</v>
      </c>
      <c r="R76" s="111">
        <f xml:space="preserve"> fitSyst_bFrac!F76*defaultFit_Inclusive!H76</f>
        <v>38.7125371375</v>
      </c>
      <c r="S76" s="110"/>
      <c r="T76" s="111">
        <f>fitSyst_bFrac!$G76*defaultFit_Inclusive!$E76</f>
        <v>44.171777856299997</v>
      </c>
      <c r="U76" s="111">
        <f>fitSyst_bFrac!$G76*defaultFit_Inclusive!$H76</f>
        <v>46.768040612499995</v>
      </c>
      <c r="V76" s="110"/>
      <c r="W76" s="109">
        <f>defaultFit_Inclusive!$U76*trgBiassing!E76</f>
        <v>33.397009642500002</v>
      </c>
      <c r="X76" s="109">
        <f>defaultFit_Inclusive!$U76*trgBiassing!F76</f>
        <v>36.591316859999999</v>
      </c>
      <c r="Y76" s="110"/>
      <c r="Z76" s="109">
        <f>defaultFit_Inclusive!$U76*trgBiassing!L76</f>
        <v>18.334323787500001</v>
      </c>
      <c r="AA76" s="109">
        <f>defaultFit_Inclusive!$U76*trgBiassing!M76</f>
        <v>20.154681960000001</v>
      </c>
      <c r="AB76" s="110"/>
      <c r="AC76" s="109">
        <f>defaultFit_Inclusive!$U76*epSystematic!E76</f>
        <v>39.580980600000004</v>
      </c>
      <c r="AD76" s="109">
        <f>defaultFit_Inclusive!$U76*epSystematic!F76</f>
        <v>42.053934562499997</v>
      </c>
      <c r="AE76" s="112">
        <f>SQRT(POWER(E76/$E$80-AH76,2)+POWER(H76/$H$80-AH76,2)+POWER(K76/$K$80-AH76,2)+POWER(N76/$N$80-AH76,2)+POWER(Q76/$Q$80-AH76,2)+POWER(T76/$T$80-AH76,2)+POWER(W76/$W$80-AH76,2)+POWER(Z76/$Z$80-AH76,2)+POWER(AC76/$AC$80-AH76,2))/SQRT(9*POWER(PI()/8,2))</f>
        <v>2.8937319882214048E-2</v>
      </c>
      <c r="AF76" s="112">
        <f>SQRT(POWER(F76/$F$80-AI76,2)+POWER(I76/$I$80-AI76,2)+POWER(L76/$L$80-AI76,2)+POWER(O76/$O$80-AI76,2)+POWER(R76/$R$80-AI76,2)+POWER(U76/$U$80-AI76,2)+POWER(X76/$X$80-AI76,2)+POWER(AA76/$AA$80-AI76,2)+POWER(AD76/$AD$80-AI76,2))/SQRT(9*POWER(PI()/8,2))</f>
        <v>2.8464114355038182E-2</v>
      </c>
      <c r="AG76" s="112"/>
      <c r="AH76" s="112">
        <f xml:space="preserve"> defaultFit_NonPrompt!E76/defaultFit_NonPrompt!$E$80</f>
        <v>0.20002801335791262</v>
      </c>
      <c r="AI76" s="112">
        <f xml:space="preserve"> defaultFit_NonPrompt!H76/defaultFit_NonPrompt!$H$80</f>
        <v>0.20987360385684492</v>
      </c>
    </row>
    <row r="77" spans="1:35" ht="20.25" x14ac:dyDescent="0.35">
      <c r="A77" s="132"/>
      <c r="B77" s="132"/>
      <c r="C77" s="132"/>
      <c r="D77" s="69" t="s">
        <v>50</v>
      </c>
      <c r="E77" s="109">
        <f>defaultFit_Inclusive!$U77*fitSyst_Inclusive!E77</f>
        <v>67.002864322999997</v>
      </c>
      <c r="F77" s="109">
        <f>defaultFit_Inclusive!$U77*fitSyst_Inclusive!F77</f>
        <v>70.576609970999996</v>
      </c>
      <c r="G77" s="110"/>
      <c r="H77" s="109">
        <f>defaultFit_Inclusive!$U77*fitSyst_Inclusive!H77</f>
        <v>70.568722759999986</v>
      </c>
      <c r="I77" s="109">
        <f>defaultFit_Inclusive!$U77*fitSyst_Inclusive!I77</f>
        <v>72.929012604999997</v>
      </c>
      <c r="J77" s="110"/>
      <c r="K77" s="109">
        <f>defaultFit_Inclusive!$U77*fitSyst_Inclusive!K77</f>
        <v>71.055883898999994</v>
      </c>
      <c r="L77" s="109">
        <f>defaultFit_Inclusive!$U77*fitSyst_Inclusive!L77</f>
        <v>72.247859637999994</v>
      </c>
      <c r="M77" s="110"/>
      <c r="N77" s="111">
        <f xml:space="preserve"> fitSyst_bFrac!E77*defaultFit_Inclusive!E77</f>
        <v>80.993403161000003</v>
      </c>
      <c r="O77" s="111">
        <f xml:space="preserve"> fitSyst_bFrac!E77*defaultFit_Inclusive!H77</f>
        <v>82.239161355999997</v>
      </c>
      <c r="P77" s="110"/>
      <c r="Q77" s="111">
        <f xml:space="preserve"> fitSyst_bFrac!F77*defaultFit_Inclusive!E77</f>
        <v>68.905851646999992</v>
      </c>
      <c r="R77" s="111">
        <f xml:space="preserve"> fitSyst_bFrac!F77*defaultFit_Inclusive!H77</f>
        <v>69.965691411999998</v>
      </c>
      <c r="S77" s="110"/>
      <c r="T77" s="111">
        <f>fitSyst_bFrac!$G77*defaultFit_Inclusive!$E77</f>
        <v>63.935583967999996</v>
      </c>
      <c r="U77" s="111">
        <f>fitSyst_bFrac!$G77*defaultFit_Inclusive!$H77</f>
        <v>64.918976127999997</v>
      </c>
      <c r="V77" s="110"/>
      <c r="W77" s="109">
        <f>defaultFit_Inclusive!$U77*trgBiassing!E77</f>
        <v>59.173045368999993</v>
      </c>
      <c r="X77" s="109">
        <f>defaultFit_Inclusive!$U77*trgBiassing!F77</f>
        <v>60.635871289999997</v>
      </c>
      <c r="Y77" s="110"/>
      <c r="Z77" s="109">
        <f>defaultFit_Inclusive!$U77*trgBiassing!L77</f>
        <v>31.927765753999999</v>
      </c>
      <c r="AA77" s="109">
        <f>defaultFit_Inclusive!$U77*trgBiassing!M77</f>
        <v>37.241228772999996</v>
      </c>
      <c r="AB77" s="110"/>
      <c r="AC77" s="109">
        <f>defaultFit_Inclusive!$U77*epSystematic!E77</f>
        <v>69.059077012000003</v>
      </c>
      <c r="AD77" s="109">
        <f>defaultFit_Inclusive!$U77*epSystematic!F77</f>
        <v>71.067798621999998</v>
      </c>
      <c r="AE77" s="112">
        <f t="shared" ref="AE77:AE79" si="18">SQRT(POWER(E77/$E$80-AH77,2)+POWER(H77/$H$80-AH77,2)+POWER(K77/$K$80-AH77,2)+POWER(N77/$N$80-AH77,2)+POWER(Q77/$Q$80-AH77,2)+POWER(T77/$T$80-AH77,2)+POWER(W77/$W$80-AH77,2)+POWER(Z77/$Z$80-AH77,2)+POWER(AC77/$AC$80-AH77,2))/SQRT(9*POWER(PI()/8,2))</f>
        <v>2.8589871635834305E-2</v>
      </c>
      <c r="AF77" s="112">
        <f t="shared" ref="AF77:AF79" si="19">SQRT(POWER(F77/$F$80-AI77,2)+POWER(I77/$I$80-AI77,2)+POWER(L77/$L$80-AI77,2)+POWER(O77/$O$80-AI77,2)+POWER(R77/$R$80-AI77,2)+POWER(U77/$U$80-AI77,2)+POWER(X77/$X$80-AI77,2)+POWER(AA77/$AA$80-AI77,2)+POWER(AD77/$AD$80-AI77,2))/SQRT(9*POWER(PI()/8,2))</f>
        <v>3.5077751015445698E-2</v>
      </c>
      <c r="AG77" s="112"/>
      <c r="AH77" s="112">
        <f xml:space="preserve"> defaultFit_NonPrompt!E77/defaultFit_NonPrompt!$E$80</f>
        <v>0.35021840841877455</v>
      </c>
      <c r="AI77" s="112">
        <f xml:space="preserve"> defaultFit_NonPrompt!H77/defaultFit_NonPrompt!$H$80</f>
        <v>0.35239577934298622</v>
      </c>
    </row>
    <row r="78" spans="1:35" ht="20.25" x14ac:dyDescent="0.35">
      <c r="A78" s="132"/>
      <c r="B78" s="132"/>
      <c r="C78" s="132"/>
      <c r="D78" s="68" t="s">
        <v>52</v>
      </c>
      <c r="E78" s="109">
        <f>defaultFit_Inclusive!$U78*fitSyst_Inclusive!E78</f>
        <v>43.947656180000003</v>
      </c>
      <c r="F78" s="109">
        <f>defaultFit_Inclusive!$U78*fitSyst_Inclusive!F78</f>
        <v>47.003137869999996</v>
      </c>
      <c r="G78" s="110"/>
      <c r="H78" s="109">
        <f>defaultFit_Inclusive!$U78*fitSyst_Inclusive!H78</f>
        <v>46.992591220000001</v>
      </c>
      <c r="I78" s="109">
        <f>defaultFit_Inclusive!$U78*fitSyst_Inclusive!I78</f>
        <v>48.42224822</v>
      </c>
      <c r="J78" s="110"/>
      <c r="K78" s="109">
        <f>defaultFit_Inclusive!$U78*fitSyst_Inclusive!K78</f>
        <v>45.709532654999997</v>
      </c>
      <c r="L78" s="109">
        <f>defaultFit_Inclusive!$U78*fitSyst_Inclusive!L78</f>
        <v>46.74603398</v>
      </c>
      <c r="M78" s="110"/>
      <c r="N78" s="111">
        <f xml:space="preserve"> fitSyst_bFrac!E78*defaultFit_Inclusive!E78</f>
        <v>55.498851590000001</v>
      </c>
      <c r="O78" s="111">
        <f xml:space="preserve"> fitSyst_bFrac!E78*defaultFit_Inclusive!H78</f>
        <v>57.382306799999995</v>
      </c>
      <c r="P78" s="110"/>
      <c r="Q78" s="111">
        <f xml:space="preserve"> fitSyst_bFrac!F78*defaultFit_Inclusive!E78</f>
        <v>37.310984084399998</v>
      </c>
      <c r="R78" s="111">
        <f xml:space="preserve"> fitSyst_bFrac!F78*defaultFit_Inclusive!H78</f>
        <v>38.577200687999998</v>
      </c>
      <c r="S78" s="110"/>
      <c r="T78" s="111">
        <f>fitSyst_bFrac!$G78*defaultFit_Inclusive!$E78</f>
        <v>48.996858323999994</v>
      </c>
      <c r="U78" s="111">
        <f>fitSyst_bFrac!$G78*defaultFit_Inclusive!$H78</f>
        <v>50.659656479999995</v>
      </c>
      <c r="V78" s="110"/>
      <c r="W78" s="109">
        <f>defaultFit_Inclusive!$U78*trgBiassing!E78</f>
        <v>37.349789125000001</v>
      </c>
      <c r="X78" s="109">
        <f>defaultFit_Inclusive!$U78*trgBiassing!F78</f>
        <v>37.851926849999998</v>
      </c>
      <c r="Y78" s="110"/>
      <c r="Z78" s="109">
        <f>defaultFit_Inclusive!$U78*trgBiassing!L78</f>
        <v>18.773388555</v>
      </c>
      <c r="AA78" s="109">
        <f>defaultFit_Inclusive!$U78*trgBiassing!M78</f>
        <v>20.914241320000002</v>
      </c>
      <c r="AB78" s="110"/>
      <c r="AC78" s="109">
        <f>defaultFit_Inclusive!$U78*epSystematic!E78</f>
        <v>46.8880622</v>
      </c>
      <c r="AD78" s="109">
        <f>defaultFit_Inclusive!$U78*epSystematic!F78</f>
        <v>47.501174119999995</v>
      </c>
      <c r="AE78" s="112">
        <f t="shared" si="18"/>
        <v>3.6299712878681813E-2</v>
      </c>
      <c r="AF78" s="112">
        <f t="shared" si="19"/>
        <v>3.8419326914421237E-2</v>
      </c>
      <c r="AG78" s="112"/>
      <c r="AH78" s="112">
        <f xml:space="preserve"> defaultFit_NonPrompt!E78/defaultFit_NonPrompt!$E$80</f>
        <v>0.22885033295791077</v>
      </c>
      <c r="AI78" s="112">
        <f xml:space="preserve"> defaultFit_NonPrompt!H78/defaultFit_NonPrompt!$H$80</f>
        <v>0.23448132411222058</v>
      </c>
    </row>
    <row r="79" spans="1:35" ht="20.25" x14ac:dyDescent="0.35">
      <c r="A79" s="132"/>
      <c r="B79" s="132"/>
      <c r="C79" s="132"/>
      <c r="D79" s="68" t="s">
        <v>53</v>
      </c>
      <c r="E79" s="109">
        <f>defaultFit_Inclusive!$U79*fitSyst_Inclusive!E79</f>
        <v>42.282008611999998</v>
      </c>
      <c r="F79" s="109">
        <f>defaultFit_Inclusive!$U79*fitSyst_Inclusive!F79</f>
        <v>40.734081272999994</v>
      </c>
      <c r="G79" s="110"/>
      <c r="H79" s="109">
        <f>defaultFit_Inclusive!$U79*fitSyst_Inclusive!H79</f>
        <v>40.735313780999995</v>
      </c>
      <c r="I79" s="109">
        <f>defaultFit_Inclusive!$U79*fitSyst_Inclusive!I79</f>
        <v>42.207544586999994</v>
      </c>
      <c r="J79" s="110"/>
      <c r="K79" s="109">
        <f>defaultFit_Inclusive!$U79*fitSyst_Inclusive!K79</f>
        <v>44.558861723999996</v>
      </c>
      <c r="L79" s="109">
        <f>defaultFit_Inclusive!$U79*fitSyst_Inclusive!L79</f>
        <v>43.322142655</v>
      </c>
      <c r="M79" s="110"/>
      <c r="N79" s="111">
        <f xml:space="preserve"> fitSyst_bFrac!E79*defaultFit_Inclusive!E79</f>
        <v>50.064739584000002</v>
      </c>
      <c r="O79" s="111">
        <f xml:space="preserve"> fitSyst_bFrac!E79*defaultFit_Inclusive!H79</f>
        <v>46.483220064000001</v>
      </c>
      <c r="P79" s="110"/>
      <c r="Q79" s="111">
        <f xml:space="preserve"> fitSyst_bFrac!F79*defaultFit_Inclusive!E79</f>
        <v>40.852748782399999</v>
      </c>
      <c r="R79" s="111">
        <f xml:space="preserve"> fitSyst_bFrac!F79*defaultFit_Inclusive!H79</f>
        <v>37.9302344854</v>
      </c>
      <c r="S79" s="110"/>
      <c r="T79" s="111">
        <f>fitSyst_bFrac!$G79*defaultFit_Inclusive!$E79</f>
        <v>35.363184996800001</v>
      </c>
      <c r="U79" s="111">
        <f>fitSyst_bFrac!$G79*defaultFit_Inclusive!$H79</f>
        <v>32.833381817800003</v>
      </c>
      <c r="V79" s="110"/>
      <c r="W79" s="109">
        <f>defaultFit_Inclusive!$U79*trgBiassing!E79</f>
        <v>35.587435991999996</v>
      </c>
      <c r="X79" s="109">
        <f>defaultFit_Inclusive!$U79*trgBiassing!F79</f>
        <v>34.766380246000004</v>
      </c>
      <c r="Y79" s="110"/>
      <c r="Z79" s="109">
        <f>defaultFit_Inclusive!$U79*trgBiassing!L79</f>
        <v>20.696274335999998</v>
      </c>
      <c r="AA79" s="109">
        <f>defaultFit_Inclusive!$U79*trgBiassing!M79</f>
        <v>20.655498862999998</v>
      </c>
      <c r="AB79" s="110"/>
      <c r="AC79" s="109">
        <f>defaultFit_Inclusive!$U79*epSystematic!E79</f>
        <v>43.332413554999995</v>
      </c>
      <c r="AD79" s="109">
        <f>defaultFit_Inclusive!$U79*epSystematic!F79</f>
        <v>40.289762138999997</v>
      </c>
      <c r="AE79" s="112">
        <f t="shared" si="18"/>
        <v>3.7220908982877894E-2</v>
      </c>
      <c r="AF79" s="112">
        <f t="shared" si="19"/>
        <v>3.2080015805507192E-2</v>
      </c>
      <c r="AG79" s="112"/>
      <c r="AH79" s="112">
        <f xml:space="preserve"> defaultFit_NonPrompt!E79/defaultFit_NonPrompt!$E$80</f>
        <v>0.220903245265402</v>
      </c>
      <c r="AI79" s="112">
        <f xml:space="preserve"> defaultFit_NonPrompt!H79/defaultFit_NonPrompt!$H$80</f>
        <v>0.20324929268794817</v>
      </c>
    </row>
    <row r="80" spans="1:35" ht="20.25" x14ac:dyDescent="0.35">
      <c r="A80" s="132"/>
      <c r="B80" s="132"/>
      <c r="C80" s="132"/>
      <c r="D80" s="74"/>
      <c r="E80" s="113">
        <f xml:space="preserve"> SUM(E76:E79)</f>
        <v>191.55941470499999</v>
      </c>
      <c r="F80" s="113">
        <f xml:space="preserve"> SUM(F76:F79)</f>
        <v>200.38405285149997</v>
      </c>
      <c r="G80" s="113"/>
      <c r="H80" s="113">
        <f xml:space="preserve"> SUM(H76:H79)</f>
        <v>200.36736589349999</v>
      </c>
      <c r="I80" s="113">
        <f xml:space="preserve"> SUM(I76:I79)</f>
        <v>207.19090383450001</v>
      </c>
      <c r="J80" s="113"/>
      <c r="K80" s="113">
        <f xml:space="preserve"> SUM(K76:K79)</f>
        <v>200.224885758</v>
      </c>
      <c r="L80" s="113">
        <f xml:space="preserve"> SUM(L76:L79)</f>
        <v>204.159326083</v>
      </c>
      <c r="M80" s="113"/>
      <c r="N80" s="113">
        <f xml:space="preserve"> SUM(N76:N79)</f>
        <v>236.68364720800002</v>
      </c>
      <c r="O80" s="113">
        <f xml:space="preserve"> SUM(O76:O79)</f>
        <v>239.177610595</v>
      </c>
      <c r="P80" s="113"/>
      <c r="Q80" s="113">
        <f xml:space="preserve"> SUM(Q76:Q79)</f>
        <v>183.63304897149999</v>
      </c>
      <c r="R80" s="113">
        <f xml:space="preserve"> SUM(R76:R79)</f>
        <v>185.18566372290002</v>
      </c>
      <c r="S80" s="113"/>
      <c r="T80" s="113">
        <f xml:space="preserve"> SUM(T76:T79)</f>
        <v>192.46740514509997</v>
      </c>
      <c r="U80" s="113">
        <f xml:space="preserve"> SUM(U76:U79)</f>
        <v>195.1800550383</v>
      </c>
      <c r="V80" s="113"/>
      <c r="W80" s="113">
        <f xml:space="preserve"> SUM(W76:W79)</f>
        <v>165.50728012849999</v>
      </c>
      <c r="X80" s="113">
        <f xml:space="preserve"> SUM(X76:X79)</f>
        <v>169.84549524600001</v>
      </c>
      <c r="Y80" s="113"/>
      <c r="Z80" s="113">
        <f xml:space="preserve"> SUM(Z76:Z79)</f>
        <v>89.731752432500002</v>
      </c>
      <c r="AA80" s="113">
        <f xml:space="preserve"> SUM(AA76:AA79)</f>
        <v>98.965650915999987</v>
      </c>
      <c r="AB80" s="113"/>
      <c r="AC80" s="113">
        <f xml:space="preserve"> SUM(AC76:AC79)</f>
        <v>198.86053336699999</v>
      </c>
      <c r="AD80" s="113">
        <f xml:space="preserve"> SUM(AD76:AD79)</f>
        <v>200.91266944349999</v>
      </c>
      <c r="AE80" s="113"/>
      <c r="AF80" s="113"/>
      <c r="AG80" s="113"/>
      <c r="AH80" s="113"/>
      <c r="AI80" s="113"/>
    </row>
    <row r="81" spans="1:35" ht="20.25" x14ac:dyDescent="0.35">
      <c r="A81" s="132"/>
      <c r="B81" s="132" t="s">
        <v>79</v>
      </c>
      <c r="C81" s="132" t="s">
        <v>17</v>
      </c>
      <c r="D81" s="70" t="s">
        <v>51</v>
      </c>
      <c r="E81" s="109">
        <f>defaultFit_Inclusive!$U81*fitSyst_Inclusive!E81</f>
        <v>190.78605970199999</v>
      </c>
      <c r="F81" s="109">
        <f>defaultFit_Inclusive!$U81*fitSyst_Inclusive!F81</f>
        <v>177.72586238400001</v>
      </c>
      <c r="G81" s="110"/>
      <c r="H81" s="109">
        <f>defaultFit_Inclusive!$U81*fitSyst_Inclusive!H81</f>
        <v>177.72586238400001</v>
      </c>
      <c r="I81" s="109">
        <f>defaultFit_Inclusive!$U81*fitSyst_Inclusive!I81</f>
        <v>176.86636726500001</v>
      </c>
      <c r="J81" s="110"/>
      <c r="K81" s="109">
        <f>defaultFit_Inclusive!$U81*fitSyst_Inclusive!K81</f>
        <v>190.778369376</v>
      </c>
      <c r="L81" s="109">
        <f>defaultFit_Inclusive!$U81*fitSyst_Inclusive!L81</f>
        <v>177.02928075</v>
      </c>
      <c r="M81" s="110"/>
      <c r="N81" s="111">
        <f xml:space="preserve"> fitSyst_bFrac!E81*defaultFit_Inclusive!E81</f>
        <v>209.87203514200002</v>
      </c>
      <c r="O81" s="111">
        <f xml:space="preserve"> fitSyst_bFrac!E81*defaultFit_Inclusive!H81</f>
        <v>193.91986960900002</v>
      </c>
      <c r="P81" s="110"/>
      <c r="Q81" s="111">
        <f xml:space="preserve"> fitSyst_bFrac!F81*defaultFit_Inclusive!E81</f>
        <v>185.188990448</v>
      </c>
      <c r="R81" s="111">
        <f xml:space="preserve"> fitSyst_bFrac!F81*defaultFit_Inclusive!H81</f>
        <v>171.11295869600002</v>
      </c>
      <c r="S81" s="110"/>
      <c r="T81" s="111">
        <f>fitSyst_bFrac!$G81*defaultFit_Inclusive!$E81</f>
        <v>189.04883951800002</v>
      </c>
      <c r="U81" s="111">
        <f>fitSyst_bFrac!$G81*defaultFit_Inclusive!$H81</f>
        <v>174.679424461</v>
      </c>
      <c r="V81" s="110"/>
      <c r="W81" s="109">
        <f>defaultFit_Inclusive!$U81*trgBiassing!E81</f>
        <v>161.01053406899999</v>
      </c>
      <c r="X81" s="109">
        <f>defaultFit_Inclusive!$U81*trgBiassing!F81</f>
        <v>157.486948122</v>
      </c>
      <c r="Y81" s="110"/>
      <c r="Z81" s="109">
        <f>defaultFit_Inclusive!$U81*trgBiassing!L81</f>
        <v>98.882616462000001</v>
      </c>
      <c r="AA81" s="109">
        <f>defaultFit_Inclusive!$U81*trgBiassing!M81</f>
        <v>92.41606418100001</v>
      </c>
      <c r="AB81" s="110"/>
      <c r="AC81" s="109">
        <f>defaultFit_Inclusive!$U81*epSystematic!E81</f>
        <v>192.637404498</v>
      </c>
      <c r="AD81" s="109">
        <f>defaultFit_Inclusive!$U81*epSystematic!F81</f>
        <v>177.99522617100001</v>
      </c>
      <c r="AE81" s="112"/>
      <c r="AF81" s="112"/>
      <c r="AG81" s="112"/>
      <c r="AH81" s="112"/>
      <c r="AI81" s="112"/>
    </row>
    <row r="82" spans="1:35" ht="20.25" x14ac:dyDescent="0.35">
      <c r="A82" s="132"/>
      <c r="B82" s="132"/>
      <c r="C82" s="132"/>
      <c r="D82" s="71" t="s">
        <v>49</v>
      </c>
      <c r="E82" s="109">
        <f>defaultFit_Inclusive!$U82*fitSyst_Inclusive!E82</f>
        <v>54.313594124999995</v>
      </c>
      <c r="F82" s="109">
        <f>defaultFit_Inclusive!$U82*fitSyst_Inclusive!F82</f>
        <v>47.434768219999995</v>
      </c>
      <c r="G82" s="110"/>
      <c r="H82" s="109">
        <f>defaultFit_Inclusive!$U82*fitSyst_Inclusive!H82</f>
        <v>47.434768219999995</v>
      </c>
      <c r="I82" s="109">
        <f>defaultFit_Inclusive!$U82*fitSyst_Inclusive!I82</f>
        <v>47.174325799999991</v>
      </c>
      <c r="J82" s="110"/>
      <c r="K82" s="109">
        <f>defaultFit_Inclusive!$U82*fitSyst_Inclusive!K82</f>
        <v>53.721027884999991</v>
      </c>
      <c r="L82" s="109">
        <f>defaultFit_Inclusive!$U82*fitSyst_Inclusive!L82</f>
        <v>46.966250624999994</v>
      </c>
      <c r="M82" s="110"/>
      <c r="N82" s="111">
        <f xml:space="preserve"> fitSyst_bFrac!E82*defaultFit_Inclusive!E82</f>
        <v>57.782473125000003</v>
      </c>
      <c r="O82" s="111">
        <f xml:space="preserve"> fitSyst_bFrac!E82*defaultFit_Inclusive!H82</f>
        <v>50.233562535000004</v>
      </c>
      <c r="P82" s="110"/>
      <c r="Q82" s="111">
        <f xml:space="preserve"> fitSyst_bFrac!F82*defaultFit_Inclusive!E82</f>
        <v>50.475251125</v>
      </c>
      <c r="R82" s="111">
        <f xml:space="preserve"> fitSyst_bFrac!F82*defaultFit_Inclusive!H82</f>
        <v>43.880982359000001</v>
      </c>
      <c r="S82" s="110"/>
      <c r="T82" s="111">
        <f>fitSyst_bFrac!$G82*defaultFit_Inclusive!$E82</f>
        <v>55.595634250000003</v>
      </c>
      <c r="U82" s="111">
        <f>fitSyst_bFrac!$G82*defaultFit_Inclusive!$H82</f>
        <v>48.332420174000006</v>
      </c>
      <c r="V82" s="110"/>
      <c r="W82" s="109">
        <f>defaultFit_Inclusive!$U82*trgBiassing!E82</f>
        <v>42.993906375000002</v>
      </c>
      <c r="X82" s="109">
        <f>defaultFit_Inclusive!$U82*trgBiassing!F82</f>
        <v>39.617911549999995</v>
      </c>
      <c r="Y82" s="110"/>
      <c r="Z82" s="109">
        <f>defaultFit_Inclusive!$U82*trgBiassing!L82</f>
        <v>27.658467304999999</v>
      </c>
      <c r="AA82" s="109">
        <f>defaultFit_Inclusive!$U82*trgBiassing!M82</f>
        <v>21.177274054999998</v>
      </c>
      <c r="AB82" s="110"/>
      <c r="AC82" s="109">
        <f>defaultFit_Inclusive!$U82*epSystematic!E82</f>
        <v>56.387974194999991</v>
      </c>
      <c r="AD82" s="109">
        <f>defaultFit_Inclusive!$U82*epSystematic!F82</f>
        <v>48.334768019999991</v>
      </c>
      <c r="AE82" s="112">
        <f>SQRT(POWER(E82/$E$86-AH82,2)+POWER(H82/$H$86-AH82,2)+POWER(K82/$K$86-AH82,2)+POWER(N82/$N$86-AH82,2)+POWER(Q82/$Q$86-AH82,2)+POWER(T82/$T$86-AH82,2)+POWER(W82/$W$86-AH82,2)+POWER(Z82/$Z$86-AH82,2)+POWER(AC82/$AC$86-AH82,2))/SQRT(9*POWER(PI()/8,2))</f>
        <v>2.708180495710932E-2</v>
      </c>
      <c r="AF82" s="112">
        <f>SQRT(POWER(F82/$F$86-AI82,2)+POWER(I82/$I$86-AI82,2)+POWER(L82/$L$86-AI82,2)+POWER(O82/$O$86-AI82,2)+POWER(R82/$R$86-AI82,2)+POWER(U82/$U$86-AI82,2)+POWER(X82/$X$86-AI82,2)+POWER(AA82/$AA$86-AI82,2)+POWER(AD82/$AD$86-AI82,2))/SQRT(9*POWER(PI()/8,2))</f>
        <v>3.8515293417632879E-2</v>
      </c>
      <c r="AG82" s="112"/>
      <c r="AH82" s="112">
        <f xml:space="preserve"> defaultFit_NonPrompt!E82/defaultFit_NonPrompt!$E$86</f>
        <v>0.2847115916004116</v>
      </c>
      <c r="AI82" s="112">
        <f xml:space="preserve"> defaultFit_NonPrompt!H82/defaultFit_NonPrompt!$H$86</f>
        <v>0.26729875883567883</v>
      </c>
    </row>
    <row r="83" spans="1:35" ht="20.25" x14ac:dyDescent="0.35">
      <c r="A83" s="132"/>
      <c r="B83" s="132"/>
      <c r="C83" s="132"/>
      <c r="D83" s="71" t="s">
        <v>50</v>
      </c>
      <c r="E83" s="109">
        <f>defaultFit_Inclusive!$U83*fitSyst_Inclusive!E83</f>
        <v>38.591037</v>
      </c>
      <c r="F83" s="109">
        <f>defaultFit_Inclusive!$U83*fitSyst_Inclusive!F83</f>
        <v>38.995796374999998</v>
      </c>
      <c r="G83" s="110"/>
      <c r="H83" s="109">
        <f>defaultFit_Inclusive!$U83*fitSyst_Inclusive!H83</f>
        <v>38.995796374999998</v>
      </c>
      <c r="I83" s="109">
        <f>defaultFit_Inclusive!$U83*fitSyst_Inclusive!I83</f>
        <v>38.826393924999998</v>
      </c>
      <c r="J83" s="110"/>
      <c r="K83" s="109">
        <f>defaultFit_Inclusive!$U83*fitSyst_Inclusive!K83</f>
        <v>38.898142849999999</v>
      </c>
      <c r="L83" s="109">
        <f>defaultFit_Inclusive!$U83*fitSyst_Inclusive!L83</f>
        <v>38.868829749999996</v>
      </c>
      <c r="M83" s="110"/>
      <c r="N83" s="111">
        <f xml:space="preserve"> fitSyst_bFrac!E83*defaultFit_Inclusive!E83</f>
        <v>42.503493771999999</v>
      </c>
      <c r="O83" s="111">
        <f xml:space="preserve"> fitSyst_bFrac!E83*defaultFit_Inclusive!H83</f>
        <v>42.217465338000004</v>
      </c>
      <c r="P83" s="110"/>
      <c r="Q83" s="111">
        <f xml:space="preserve"> fitSyst_bFrac!F83*defaultFit_Inclusive!E83</f>
        <v>40.04851996</v>
      </c>
      <c r="R83" s="111">
        <f xml:space="preserve"> fitSyst_bFrac!F83*defaultFit_Inclusive!H83</f>
        <v>39.779012340000001</v>
      </c>
      <c r="S83" s="110"/>
      <c r="T83" s="111">
        <f>fitSyst_bFrac!$G83*defaultFit_Inclusive!$E83</f>
        <v>34.130782277999998</v>
      </c>
      <c r="U83" s="111">
        <f>fitSyst_bFrac!$G83*defaultFit_Inclusive!$H83</f>
        <v>33.901098236999999</v>
      </c>
      <c r="V83" s="110"/>
      <c r="W83" s="109">
        <f>defaultFit_Inclusive!$U83*trgBiassing!E83</f>
        <v>34.164247625000002</v>
      </c>
      <c r="X83" s="109">
        <f>defaultFit_Inclusive!$U83*trgBiassing!F83</f>
        <v>35.929339349999999</v>
      </c>
      <c r="Y83" s="110"/>
      <c r="Z83" s="109">
        <f>defaultFit_Inclusive!$U83*trgBiassing!L83</f>
        <v>20.342098425</v>
      </c>
      <c r="AA83" s="109">
        <f>defaultFit_Inclusive!$U83*trgBiassing!M83</f>
        <v>21.048850899999998</v>
      </c>
      <c r="AB83" s="110"/>
      <c r="AC83" s="109">
        <f>defaultFit_Inclusive!$U83*epSystematic!E83</f>
        <v>37.063347299999997</v>
      </c>
      <c r="AD83" s="109">
        <f>defaultFit_Inclusive!$U83*epSystematic!F83</f>
        <v>38.668069099999997</v>
      </c>
      <c r="AE83" s="112">
        <f t="shared" ref="AE83:AE85" si="20">SQRT(POWER(E83/$E$86-AH83,2)+POWER(H83/$H$86-AH83,2)+POWER(K83/$K$86-AH83,2)+POWER(N83/$N$86-AH83,2)+POWER(Q83/$Q$86-AH83,2)+POWER(T83/$T$86-AH83,2)+POWER(W83/$W$86-AH83,2)+POWER(Z83/$Z$86-AH83,2)+POWER(AC83/$AC$86-AH83,2))/SQRT(9*POWER(PI()/8,2))</f>
        <v>2.8494810825876439E-2</v>
      </c>
      <c r="AF83" s="112">
        <f t="shared" ref="AF83:AF85" si="21">SQRT(POWER(F83/$F$86-AI83,2)+POWER(I83/$I$86-AI83,2)+POWER(L83/$L$86-AI83,2)+POWER(O83/$O$86-AI83,2)+POWER(R83/$R$86-AI83,2)+POWER(U83/$U$86-AI83,2)+POWER(X83/$X$86-AI83,2)+POWER(AA83/$AA$86-AI83,2)+POWER(AD83/$AD$86-AI83,2))/SQRT(9*POWER(PI()/8,2))</f>
        <v>2.5678458587801052E-2</v>
      </c>
      <c r="AG83" s="112"/>
      <c r="AH83" s="112">
        <f xml:space="preserve"> defaultFit_NonPrompt!E83/defaultFit_NonPrompt!$E$86</f>
        <v>0.20477704962814339</v>
      </c>
      <c r="AI83" s="112">
        <f xml:space="preserve"> defaultFit_NonPrompt!H83/defaultFit_NonPrompt!$H$86</f>
        <v>0.2196558360041066</v>
      </c>
    </row>
    <row r="84" spans="1:35" ht="20.25" x14ac:dyDescent="0.35">
      <c r="A84" s="132"/>
      <c r="B84" s="132"/>
      <c r="C84" s="132"/>
      <c r="D84" s="70" t="s">
        <v>52</v>
      </c>
      <c r="E84" s="109">
        <f>defaultFit_Inclusive!$U84*fitSyst_Inclusive!E84</f>
        <v>48.930862588000004</v>
      </c>
      <c r="F84" s="109">
        <f>defaultFit_Inclusive!$U84*fitSyst_Inclusive!F84</f>
        <v>39.777328880000006</v>
      </c>
      <c r="G84" s="110"/>
      <c r="H84" s="109">
        <f>defaultFit_Inclusive!$U84*fitSyst_Inclusive!H84</f>
        <v>39.777328880000006</v>
      </c>
      <c r="I84" s="109">
        <f>defaultFit_Inclusive!$U84*fitSyst_Inclusive!I84</f>
        <v>39.557526188000004</v>
      </c>
      <c r="J84" s="110"/>
      <c r="K84" s="109">
        <f>defaultFit_Inclusive!$U84*fitSyst_Inclusive!K84</f>
        <v>49.416311364000002</v>
      </c>
      <c r="L84" s="109">
        <f>defaultFit_Inclusive!$U84*fitSyst_Inclusive!L84</f>
        <v>39.891323386000003</v>
      </c>
      <c r="M84" s="110"/>
      <c r="N84" s="111">
        <f xml:space="preserve"> fitSyst_bFrac!E84*defaultFit_Inclusive!E84</f>
        <v>51.790574576000004</v>
      </c>
      <c r="O84" s="111">
        <f xml:space="preserve"> fitSyst_bFrac!E84*defaultFit_Inclusive!H84</f>
        <v>41.907999232000002</v>
      </c>
      <c r="P84" s="110"/>
      <c r="Q84" s="111">
        <f xml:space="preserve"> fitSyst_bFrac!F84*defaultFit_Inclusive!E84</f>
        <v>48.233503135999996</v>
      </c>
      <c r="R84" s="111">
        <f xml:space="preserve"> fitSyst_bFrac!F84*defaultFit_Inclusive!H84</f>
        <v>39.029681152000002</v>
      </c>
      <c r="S84" s="110"/>
      <c r="T84" s="111">
        <f>fitSyst_bFrac!$G84*defaultFit_Inclusive!$E84</f>
        <v>48.903948444000001</v>
      </c>
      <c r="U84" s="111">
        <f>fitSyst_bFrac!$G84*defaultFit_Inclusive!$H84</f>
        <v>39.572193408000004</v>
      </c>
      <c r="V84" s="110"/>
      <c r="W84" s="109">
        <f>defaultFit_Inclusive!$U84*trgBiassing!E84</f>
        <v>40.274033846000002</v>
      </c>
      <c r="X84" s="109">
        <f>defaultFit_Inclusive!$U84*trgBiassing!F84</f>
        <v>35.598417177999998</v>
      </c>
      <c r="Y84" s="110"/>
      <c r="Z84" s="109">
        <f>defaultFit_Inclusive!$U84*trgBiassing!L84</f>
        <v>23.359868778000003</v>
      </c>
      <c r="AA84" s="109">
        <f>defaultFit_Inclusive!$U84*trgBiassing!M84</f>
        <v>23.649459847999999</v>
      </c>
      <c r="AB84" s="110"/>
      <c r="AC84" s="109">
        <f>defaultFit_Inclusive!$U84*epSystematic!E84</f>
        <v>49.699762694</v>
      </c>
      <c r="AD84" s="109">
        <f>defaultFit_Inclusive!$U84*epSystematic!F84</f>
        <v>40.474189369999998</v>
      </c>
      <c r="AE84" s="112">
        <f t="shared" si="20"/>
        <v>3.4003411257564065E-2</v>
      </c>
      <c r="AF84" s="112">
        <f t="shared" si="21"/>
        <v>2.6755832054378106E-2</v>
      </c>
      <c r="AG84" s="112"/>
      <c r="AH84" s="112">
        <f xml:space="preserve"> defaultFit_NonPrompt!E84/defaultFit_NonPrompt!$E$86</f>
        <v>0.25680061350558536</v>
      </c>
      <c r="AI84" s="112">
        <f xml:space="preserve"> defaultFit_NonPrompt!H84/defaultFit_NonPrompt!$H$86</f>
        <v>0.22440689406015818</v>
      </c>
    </row>
    <row r="85" spans="1:35" ht="20.25" x14ac:dyDescent="0.35">
      <c r="A85" s="132"/>
      <c r="B85" s="132"/>
      <c r="C85" s="132"/>
      <c r="D85" s="70" t="s">
        <v>53</v>
      </c>
      <c r="E85" s="109">
        <f>defaultFit_Inclusive!$U85*fitSyst_Inclusive!E85</f>
        <v>48.171569714</v>
      </c>
      <c r="F85" s="109">
        <f>defaultFit_Inclusive!$U85*fitSyst_Inclusive!F85</f>
        <v>51.310374073999995</v>
      </c>
      <c r="G85" s="110"/>
      <c r="H85" s="109">
        <f>defaultFit_Inclusive!$U85*fitSyst_Inclusive!H85</f>
        <v>51.310374073999995</v>
      </c>
      <c r="I85" s="109">
        <f>defaultFit_Inclusive!$U85*fitSyst_Inclusive!I85</f>
        <v>51.163466564000004</v>
      </c>
      <c r="J85" s="110"/>
      <c r="K85" s="109">
        <f>defaultFit_Inclusive!$U85*fitSyst_Inclusive!K85</f>
        <v>48.981352573999999</v>
      </c>
      <c r="L85" s="109">
        <f>defaultFit_Inclusive!$U85*fitSyst_Inclusive!L85</f>
        <v>50.780790416000002</v>
      </c>
      <c r="M85" s="110"/>
      <c r="N85" s="111">
        <f xml:space="preserve"> fitSyst_bFrac!E85*defaultFit_Inclusive!E85</f>
        <v>54.305605829999998</v>
      </c>
      <c r="O85" s="111">
        <f xml:space="preserve"> fitSyst_bFrac!E85*defaultFit_Inclusive!H85</f>
        <v>57.209234648999995</v>
      </c>
      <c r="P85" s="110"/>
      <c r="Q85" s="111">
        <f xml:space="preserve"> fitSyst_bFrac!F85*defaultFit_Inclusive!E85</f>
        <v>47.82259964</v>
      </c>
      <c r="R85" s="111">
        <f xml:space="preserve"> fitSyst_bFrac!F85*defaultFit_Inclusive!H85</f>
        <v>50.379593092</v>
      </c>
      <c r="S85" s="110"/>
      <c r="T85" s="111">
        <f>fitSyst_bFrac!$G85*defaultFit_Inclusive!$E85</f>
        <v>50.439179370000005</v>
      </c>
      <c r="U85" s="111">
        <f>fitSyst_bFrac!$G85*defaultFit_Inclusive!$H85</f>
        <v>53.136076911000004</v>
      </c>
      <c r="V85" s="110"/>
      <c r="W85" s="109">
        <f>defaultFit_Inclusive!$U85*trgBiassing!E85</f>
        <v>43.101707938000004</v>
      </c>
      <c r="X85" s="109">
        <f>defaultFit_Inclusive!$U85*trgBiassing!F85</f>
        <v>45.938097814000002</v>
      </c>
      <c r="Y85" s="110"/>
      <c r="Z85" s="109">
        <f>defaultFit_Inclusive!$U85*trgBiassing!L85</f>
        <v>27.813533064000001</v>
      </c>
      <c r="AA85" s="109">
        <f>defaultFit_Inclusive!$U85*trgBiassing!M85</f>
        <v>26.848004356000001</v>
      </c>
      <c r="AB85" s="110"/>
      <c r="AC85" s="109">
        <f>defaultFit_Inclusive!$U85*epSystematic!E85</f>
        <v>49.317209417999997</v>
      </c>
      <c r="AD85" s="109">
        <f>defaultFit_Inclusive!$U85*epSystematic!F85</f>
        <v>50.355355822</v>
      </c>
      <c r="AE85" s="112">
        <f t="shared" si="20"/>
        <v>4.2116197380495643E-2</v>
      </c>
      <c r="AF85" s="112">
        <f t="shared" si="21"/>
        <v>1.6569078039435785E-2</v>
      </c>
      <c r="AG85" s="112"/>
      <c r="AH85" s="112">
        <f xml:space="preserve"> defaultFit_NonPrompt!E85/defaultFit_NonPrompt!$E$86</f>
        <v>0.25371074526585974</v>
      </c>
      <c r="AI85" s="112">
        <f xml:space="preserve"> defaultFit_NonPrompt!H85/defaultFit_NonPrompt!$H$86</f>
        <v>0.28863851110005639</v>
      </c>
    </row>
    <row r="86" spans="1:35" ht="20.25" x14ac:dyDescent="0.35">
      <c r="A86" s="132"/>
      <c r="B86" s="132"/>
      <c r="C86" s="132"/>
      <c r="D86" s="74"/>
      <c r="E86" s="113">
        <f xml:space="preserve"> SUM(E82:E85)</f>
        <v>190.00706342699999</v>
      </c>
      <c r="F86" s="113">
        <f xml:space="preserve"> SUM(F82:F85)</f>
        <v>177.51826754899997</v>
      </c>
      <c r="G86" s="113"/>
      <c r="H86" s="113">
        <f xml:space="preserve"> SUM(H82:H85)</f>
        <v>177.51826754899997</v>
      </c>
      <c r="I86" s="113">
        <f xml:space="preserve"> SUM(I82:I85)</f>
        <v>176.72171247699998</v>
      </c>
      <c r="J86" s="113"/>
      <c r="K86" s="113">
        <f xml:space="preserve"> SUM(K82:K85)</f>
        <v>191.01683467299998</v>
      </c>
      <c r="L86" s="113">
        <f xml:space="preserve"> SUM(L82:L85)</f>
        <v>176.507194177</v>
      </c>
      <c r="M86" s="113"/>
      <c r="N86" s="113">
        <f xml:space="preserve"> SUM(N82:N85)</f>
        <v>206.38214730300001</v>
      </c>
      <c r="O86" s="113">
        <f xml:space="preserve"> SUM(O82:O85)</f>
        <v>191.56826175400002</v>
      </c>
      <c r="P86" s="113"/>
      <c r="Q86" s="113">
        <f xml:space="preserve"> SUM(Q82:Q85)</f>
        <v>186.57987386099998</v>
      </c>
      <c r="R86" s="113">
        <f xml:space="preserve"> SUM(R82:R85)</f>
        <v>173.069268943</v>
      </c>
      <c r="S86" s="113"/>
      <c r="T86" s="113">
        <f xml:space="preserve"> SUM(T82:T85)</f>
        <v>189.069544342</v>
      </c>
      <c r="U86" s="113">
        <f xml:space="preserve"> SUM(U82:U85)</f>
        <v>174.94178873000001</v>
      </c>
      <c r="V86" s="113"/>
      <c r="W86" s="113">
        <f xml:space="preserve"> SUM(W82:W85)</f>
        <v>160.53389578400001</v>
      </c>
      <c r="X86" s="113">
        <f xml:space="preserve"> SUM(X82:X85)</f>
        <v>157.083765892</v>
      </c>
      <c r="Y86" s="113"/>
      <c r="Z86" s="113">
        <f xml:space="preserve"> SUM(Z82:Z85)</f>
        <v>99.173967571999995</v>
      </c>
      <c r="AA86" s="113">
        <f xml:space="preserve"> SUM(AA82:AA85)</f>
        <v>92.723589158999999</v>
      </c>
      <c r="AB86" s="113"/>
      <c r="AC86" s="113">
        <f xml:space="preserve"> SUM(AC82:AC85)</f>
        <v>192.46829360699999</v>
      </c>
      <c r="AD86" s="113">
        <f xml:space="preserve"> SUM(AD82:AD85)</f>
        <v>177.83238231199999</v>
      </c>
      <c r="AE86" s="113"/>
      <c r="AF86" s="113"/>
      <c r="AG86" s="113"/>
      <c r="AH86" s="113"/>
      <c r="AI86" s="113"/>
    </row>
    <row r="87" spans="1:35" x14ac:dyDescent="0.3">
      <c r="D87" s="83"/>
      <c r="E87" s="83"/>
      <c r="F87" s="83"/>
      <c r="G87" s="83"/>
      <c r="H87" s="83"/>
      <c r="I87" s="83"/>
      <c r="J87" s="83"/>
      <c r="K87" s="83"/>
      <c r="L87" s="83"/>
      <c r="M87" s="83"/>
    </row>
    <row r="88" spans="1:35" x14ac:dyDescent="0.3">
      <c r="D88" s="83"/>
      <c r="E88" s="83"/>
      <c r="F88" s="83"/>
      <c r="G88" s="83"/>
      <c r="H88" s="83"/>
      <c r="I88" s="83"/>
      <c r="J88" s="83"/>
      <c r="K88" s="83"/>
      <c r="L88" s="83"/>
      <c r="M88" s="83"/>
    </row>
    <row r="89" spans="1:35" x14ac:dyDescent="0.3">
      <c r="D89" s="83"/>
      <c r="E89" s="83"/>
      <c r="F89" s="83"/>
      <c r="G89" s="83"/>
      <c r="H89" s="83"/>
      <c r="I89" s="83"/>
      <c r="J89" s="83"/>
      <c r="K89" s="83"/>
      <c r="L89" s="83"/>
      <c r="M89" s="83"/>
    </row>
    <row r="90" spans="1:35" x14ac:dyDescent="0.3">
      <c r="D90" s="83"/>
      <c r="E90" s="83"/>
      <c r="F90" s="83"/>
      <c r="G90" s="83"/>
      <c r="H90" s="83"/>
      <c r="I90" s="83"/>
      <c r="J90" s="83"/>
      <c r="K90" s="83"/>
      <c r="L90" s="83"/>
      <c r="M90" s="83"/>
    </row>
    <row r="91" spans="1:35" x14ac:dyDescent="0.3">
      <c r="D91" s="83"/>
      <c r="E91" s="83"/>
      <c r="F91" s="83"/>
      <c r="G91" s="83"/>
      <c r="H91" s="83"/>
      <c r="I91" s="83"/>
      <c r="J91" s="83"/>
      <c r="K91" s="83"/>
      <c r="L91" s="83"/>
      <c r="M91" s="83"/>
    </row>
    <row r="92" spans="1:35" x14ac:dyDescent="0.3">
      <c r="D92" s="83"/>
      <c r="E92" s="83"/>
      <c r="F92" s="83"/>
      <c r="G92" s="83"/>
      <c r="H92" s="83"/>
      <c r="I92" s="83"/>
      <c r="J92" s="83"/>
      <c r="K92" s="83"/>
      <c r="L92" s="83"/>
      <c r="M92" s="83"/>
    </row>
    <row r="93" spans="1:35" x14ac:dyDescent="0.3">
      <c r="D93" s="83"/>
      <c r="E93" s="83"/>
      <c r="F93" s="83"/>
      <c r="G93" s="83"/>
      <c r="H93" s="83"/>
      <c r="I93" s="83"/>
      <c r="J93" s="83"/>
      <c r="K93" s="83"/>
      <c r="L93" s="83"/>
      <c r="M93" s="83"/>
    </row>
    <row r="94" spans="1:35" x14ac:dyDescent="0.3">
      <c r="D94" s="83"/>
      <c r="E94" s="83"/>
      <c r="F94" s="83"/>
      <c r="G94" s="83"/>
      <c r="H94" s="83"/>
      <c r="I94" s="83"/>
      <c r="J94" s="83"/>
      <c r="K94" s="83"/>
      <c r="L94" s="83"/>
      <c r="M94" s="83"/>
    </row>
    <row r="95" spans="1:35" x14ac:dyDescent="0.3">
      <c r="D95" s="83"/>
      <c r="E95" s="83"/>
      <c r="F95" s="83"/>
      <c r="G95" s="83"/>
      <c r="H95" s="83"/>
      <c r="I95" s="83"/>
      <c r="J95" s="83"/>
      <c r="K95" s="83"/>
      <c r="L95" s="83"/>
      <c r="M95" s="83"/>
    </row>
    <row r="96" spans="1:35" x14ac:dyDescent="0.3">
      <c r="D96" s="83"/>
      <c r="E96" s="83"/>
      <c r="F96" s="83"/>
      <c r="G96" s="83"/>
      <c r="H96" s="83"/>
      <c r="I96" s="83"/>
      <c r="J96" s="83"/>
      <c r="K96" s="83"/>
      <c r="L96" s="83"/>
      <c r="M96" s="83"/>
    </row>
    <row r="97" spans="4:13" x14ac:dyDescent="0.3">
      <c r="D97" s="83"/>
      <c r="E97" s="83"/>
      <c r="F97" s="83"/>
      <c r="G97" s="83"/>
      <c r="H97" s="83"/>
      <c r="I97" s="83"/>
      <c r="J97" s="83"/>
      <c r="K97" s="83"/>
      <c r="L97" s="83"/>
      <c r="M97" s="83"/>
    </row>
    <row r="98" spans="4:13" x14ac:dyDescent="0.3">
      <c r="D98" s="83"/>
      <c r="E98" s="83"/>
      <c r="F98" s="83"/>
      <c r="G98" s="83"/>
      <c r="H98" s="83"/>
      <c r="I98" s="83"/>
      <c r="J98" s="83"/>
      <c r="K98" s="83"/>
      <c r="L98" s="83"/>
      <c r="M98" s="83"/>
    </row>
    <row r="99" spans="4:13" x14ac:dyDescent="0.3">
      <c r="D99" s="83"/>
      <c r="E99" s="83"/>
      <c r="F99" s="83"/>
      <c r="G99" s="83"/>
      <c r="H99" s="83"/>
      <c r="I99" s="83"/>
      <c r="J99" s="83"/>
      <c r="K99" s="83"/>
      <c r="L99" s="83"/>
      <c r="M99" s="83"/>
    </row>
    <row r="100" spans="4:13" x14ac:dyDescent="0.3">
      <c r="D100" s="83"/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4:13" x14ac:dyDescent="0.3">
      <c r="D101" s="83"/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4:13" x14ac:dyDescent="0.3">
      <c r="D102" s="83"/>
      <c r="E102" s="83"/>
      <c r="F102" s="83"/>
      <c r="G102" s="83"/>
      <c r="H102" s="83"/>
      <c r="I102" s="83"/>
      <c r="J102" s="83"/>
      <c r="K102" s="83"/>
      <c r="L102" s="83"/>
      <c r="M102" s="83"/>
    </row>
    <row r="103" spans="4:13" x14ac:dyDescent="0.3">
      <c r="D103" s="83"/>
      <c r="E103" s="83"/>
      <c r="F103" s="83"/>
      <c r="G103" s="83"/>
      <c r="H103" s="83"/>
      <c r="I103" s="83"/>
      <c r="J103" s="83"/>
      <c r="K103" s="83"/>
      <c r="L103" s="83"/>
      <c r="M103" s="83"/>
    </row>
    <row r="104" spans="4:13" x14ac:dyDescent="0.3">
      <c r="D104" s="83"/>
      <c r="E104" s="83"/>
      <c r="F104" s="83"/>
      <c r="G104" s="83"/>
      <c r="H104" s="83"/>
      <c r="I104" s="83"/>
      <c r="J104" s="83"/>
      <c r="K104" s="83"/>
      <c r="L104" s="83"/>
      <c r="M104" s="83"/>
    </row>
    <row r="105" spans="4:13" x14ac:dyDescent="0.3">
      <c r="D105" s="83"/>
      <c r="E105" s="83"/>
      <c r="F105" s="83"/>
      <c r="G105" s="83"/>
      <c r="H105" s="83"/>
      <c r="I105" s="83"/>
      <c r="J105" s="83"/>
      <c r="K105" s="83"/>
      <c r="L105" s="83"/>
      <c r="M105" s="83"/>
    </row>
    <row r="106" spans="4:13" x14ac:dyDescent="0.3">
      <c r="D106" s="83"/>
      <c r="E106" s="83"/>
      <c r="F106" s="83"/>
      <c r="G106" s="83"/>
      <c r="H106" s="83"/>
      <c r="I106" s="83"/>
      <c r="J106" s="83"/>
      <c r="K106" s="83"/>
      <c r="L106" s="83"/>
      <c r="M106" s="83"/>
    </row>
    <row r="107" spans="4:13" x14ac:dyDescent="0.3">
      <c r="D107" s="83"/>
      <c r="E107" s="83"/>
      <c r="F107" s="83"/>
      <c r="G107" s="83"/>
      <c r="H107" s="83"/>
      <c r="I107" s="83"/>
      <c r="J107" s="83"/>
      <c r="K107" s="83"/>
      <c r="L107" s="83"/>
      <c r="M107" s="83"/>
    </row>
    <row r="108" spans="4:13" x14ac:dyDescent="0.3">
      <c r="D108" s="83"/>
      <c r="E108" s="83"/>
      <c r="F108" s="83"/>
      <c r="G108" s="83"/>
      <c r="H108" s="83"/>
      <c r="I108" s="83"/>
      <c r="J108" s="83"/>
      <c r="K108" s="83"/>
      <c r="L108" s="83"/>
      <c r="M108" s="83"/>
    </row>
    <row r="109" spans="4:13" x14ac:dyDescent="0.3">
      <c r="D109" s="83"/>
      <c r="E109" s="83"/>
      <c r="F109" s="83"/>
      <c r="G109" s="83"/>
      <c r="H109" s="83"/>
      <c r="I109" s="83"/>
      <c r="J109" s="83"/>
      <c r="K109" s="83"/>
      <c r="L109" s="83"/>
      <c r="M109" s="83"/>
    </row>
    <row r="110" spans="4:13" x14ac:dyDescent="0.3">
      <c r="D110" s="83"/>
      <c r="E110" s="83"/>
      <c r="F110" s="83"/>
      <c r="G110" s="83"/>
      <c r="H110" s="83"/>
      <c r="I110" s="83"/>
      <c r="J110" s="83"/>
      <c r="K110" s="83"/>
      <c r="L110" s="83"/>
      <c r="M110" s="83"/>
    </row>
    <row r="111" spans="4:13" x14ac:dyDescent="0.3">
      <c r="D111" s="83"/>
      <c r="E111" s="83"/>
      <c r="F111" s="83"/>
      <c r="G111" s="83"/>
      <c r="H111" s="83"/>
      <c r="I111" s="83"/>
      <c r="J111" s="83"/>
      <c r="K111" s="83"/>
      <c r="L111" s="83"/>
      <c r="M111" s="83"/>
    </row>
    <row r="112" spans="4:13" x14ac:dyDescent="0.3">
      <c r="D112" s="83"/>
      <c r="E112" s="83"/>
      <c r="F112" s="83"/>
      <c r="G112" s="83"/>
      <c r="H112" s="83"/>
      <c r="I112" s="83"/>
      <c r="J112" s="83"/>
      <c r="K112" s="83"/>
      <c r="L112" s="83"/>
      <c r="M112" s="83"/>
    </row>
    <row r="113" spans="4:13" x14ac:dyDescent="0.3">
      <c r="D113" s="83"/>
      <c r="E113" s="83"/>
      <c r="F113" s="83"/>
      <c r="G113" s="83"/>
      <c r="H113" s="83"/>
      <c r="I113" s="83"/>
      <c r="J113" s="83"/>
      <c r="K113" s="83"/>
      <c r="L113" s="83"/>
      <c r="M113" s="83"/>
    </row>
    <row r="114" spans="4:13" x14ac:dyDescent="0.3">
      <c r="D114" s="83"/>
      <c r="E114" s="83"/>
      <c r="F114" s="83"/>
      <c r="G114" s="83"/>
      <c r="H114" s="83"/>
      <c r="I114" s="83"/>
      <c r="J114" s="83"/>
      <c r="K114" s="83"/>
      <c r="L114" s="83"/>
      <c r="M114" s="83"/>
    </row>
    <row r="115" spans="4:13" x14ac:dyDescent="0.3">
      <c r="D115" s="83"/>
      <c r="E115" s="83"/>
      <c r="F115" s="83"/>
      <c r="G115" s="83"/>
      <c r="H115" s="83"/>
      <c r="I115" s="83"/>
      <c r="J115" s="83"/>
      <c r="K115" s="83"/>
      <c r="L115" s="83"/>
      <c r="M115" s="83"/>
    </row>
    <row r="116" spans="4:13" x14ac:dyDescent="0.3">
      <c r="D116" s="83"/>
      <c r="E116" s="83"/>
      <c r="F116" s="83"/>
      <c r="G116" s="83"/>
      <c r="H116" s="83"/>
      <c r="I116" s="83"/>
      <c r="J116" s="83"/>
      <c r="K116" s="83"/>
      <c r="L116" s="83"/>
      <c r="M116" s="83"/>
    </row>
    <row r="117" spans="4:13" x14ac:dyDescent="0.3">
      <c r="D117" s="83"/>
      <c r="E117" s="83"/>
      <c r="F117" s="83"/>
      <c r="G117" s="83"/>
      <c r="H117" s="83"/>
      <c r="I117" s="83"/>
      <c r="J117" s="83"/>
      <c r="K117" s="83"/>
      <c r="L117" s="83"/>
      <c r="M117" s="83"/>
    </row>
    <row r="118" spans="4:13" x14ac:dyDescent="0.3">
      <c r="D118" s="83"/>
      <c r="E118" s="83"/>
      <c r="F118" s="83"/>
      <c r="G118" s="83"/>
      <c r="H118" s="83"/>
      <c r="I118" s="83"/>
      <c r="J118" s="83"/>
      <c r="K118" s="83"/>
      <c r="L118" s="83"/>
      <c r="M118" s="83"/>
    </row>
    <row r="119" spans="4:13" x14ac:dyDescent="0.3">
      <c r="D119" s="83"/>
      <c r="E119" s="83"/>
      <c r="F119" s="83"/>
      <c r="G119" s="83"/>
      <c r="H119" s="83"/>
      <c r="I119" s="83"/>
      <c r="J119" s="83"/>
      <c r="K119" s="83"/>
      <c r="L119" s="83"/>
      <c r="M119" s="83"/>
    </row>
    <row r="120" spans="4:13" x14ac:dyDescent="0.3">
      <c r="D120" s="83"/>
      <c r="E120" s="83"/>
      <c r="F120" s="83"/>
      <c r="G120" s="83"/>
      <c r="H120" s="83"/>
      <c r="I120" s="83"/>
      <c r="J120" s="83"/>
      <c r="K120" s="83"/>
      <c r="L120" s="83"/>
      <c r="M120" s="83"/>
    </row>
    <row r="121" spans="4:13" x14ac:dyDescent="0.3">
      <c r="D121" s="83"/>
      <c r="E121" s="83"/>
      <c r="F121" s="83"/>
      <c r="G121" s="83"/>
      <c r="H121" s="83"/>
      <c r="I121" s="83"/>
      <c r="J121" s="83"/>
      <c r="K121" s="83"/>
      <c r="L121" s="83"/>
      <c r="M121" s="83"/>
    </row>
    <row r="122" spans="4:13" x14ac:dyDescent="0.3">
      <c r="D122" s="83"/>
      <c r="E122" s="83"/>
      <c r="F122" s="83"/>
      <c r="G122" s="83"/>
      <c r="H122" s="83"/>
      <c r="I122" s="83"/>
      <c r="J122" s="83"/>
      <c r="K122" s="83"/>
      <c r="L122" s="83"/>
      <c r="M122" s="83"/>
    </row>
    <row r="123" spans="4:13" x14ac:dyDescent="0.3">
      <c r="D123" s="83"/>
      <c r="E123" s="83"/>
      <c r="F123" s="83"/>
      <c r="G123" s="83"/>
      <c r="H123" s="83"/>
      <c r="I123" s="83"/>
      <c r="J123" s="83"/>
      <c r="K123" s="83"/>
      <c r="L123" s="83"/>
      <c r="M123" s="83"/>
    </row>
    <row r="124" spans="4:13" x14ac:dyDescent="0.3">
      <c r="D124" s="83"/>
      <c r="E124" s="83"/>
      <c r="F124" s="83"/>
      <c r="G124" s="83"/>
      <c r="H124" s="83"/>
      <c r="I124" s="83"/>
      <c r="J124" s="83"/>
      <c r="K124" s="83"/>
      <c r="L124" s="83"/>
      <c r="M124" s="83"/>
    </row>
    <row r="125" spans="4:13" x14ac:dyDescent="0.3">
      <c r="D125" s="83"/>
      <c r="E125" s="83"/>
      <c r="F125" s="83"/>
      <c r="G125" s="83"/>
      <c r="H125" s="83"/>
      <c r="I125" s="83"/>
      <c r="J125" s="83"/>
      <c r="K125" s="83"/>
      <c r="L125" s="83"/>
      <c r="M125" s="83"/>
    </row>
    <row r="126" spans="4:13" x14ac:dyDescent="0.3">
      <c r="D126" s="83"/>
      <c r="E126" s="83"/>
      <c r="F126" s="83"/>
      <c r="G126" s="83"/>
      <c r="H126" s="83"/>
      <c r="I126" s="83"/>
      <c r="J126" s="83"/>
      <c r="K126" s="83"/>
      <c r="L126" s="83"/>
      <c r="M126" s="83"/>
    </row>
    <row r="127" spans="4:13" x14ac:dyDescent="0.3">
      <c r="D127" s="83"/>
      <c r="E127" s="83"/>
      <c r="F127" s="83"/>
      <c r="G127" s="83"/>
      <c r="H127" s="83"/>
      <c r="I127" s="83"/>
      <c r="J127" s="83"/>
      <c r="K127" s="83"/>
      <c r="L127" s="83"/>
      <c r="M127" s="83"/>
    </row>
    <row r="128" spans="4:13" x14ac:dyDescent="0.3">
      <c r="D128" s="83"/>
      <c r="E128" s="83"/>
      <c r="F128" s="83"/>
      <c r="G128" s="83"/>
      <c r="H128" s="83"/>
      <c r="I128" s="83"/>
      <c r="J128" s="83"/>
      <c r="K128" s="83"/>
      <c r="L128" s="83"/>
      <c r="M128" s="83"/>
    </row>
    <row r="129" spans="4:13" x14ac:dyDescent="0.3">
      <c r="D129" s="83"/>
      <c r="E129" s="83"/>
      <c r="F129" s="83"/>
      <c r="G129" s="83"/>
      <c r="H129" s="83"/>
      <c r="I129" s="83"/>
      <c r="J129" s="83"/>
      <c r="K129" s="83"/>
      <c r="L129" s="83"/>
      <c r="M129" s="83"/>
    </row>
    <row r="130" spans="4:13" x14ac:dyDescent="0.3">
      <c r="D130" s="83"/>
      <c r="E130" s="83"/>
      <c r="F130" s="83"/>
      <c r="G130" s="83"/>
      <c r="H130" s="83"/>
      <c r="I130" s="83"/>
      <c r="J130" s="83"/>
      <c r="K130" s="83"/>
      <c r="L130" s="83"/>
      <c r="M130" s="83"/>
    </row>
    <row r="131" spans="4:13" x14ac:dyDescent="0.3">
      <c r="D131" s="83"/>
      <c r="E131" s="83"/>
      <c r="F131" s="83"/>
      <c r="G131" s="83"/>
      <c r="H131" s="83"/>
      <c r="I131" s="83"/>
      <c r="J131" s="83"/>
      <c r="K131" s="83"/>
      <c r="L131" s="83"/>
      <c r="M131" s="83"/>
    </row>
    <row r="132" spans="4:13" x14ac:dyDescent="0.3">
      <c r="D132" s="83"/>
      <c r="E132" s="83"/>
      <c r="F132" s="83"/>
      <c r="G132" s="83"/>
      <c r="H132" s="83"/>
      <c r="I132" s="83"/>
      <c r="J132" s="83"/>
      <c r="K132" s="83"/>
      <c r="L132" s="83"/>
      <c r="M132" s="83"/>
    </row>
    <row r="133" spans="4:13" x14ac:dyDescent="0.3">
      <c r="D133" s="83"/>
      <c r="E133" s="83"/>
      <c r="F133" s="83"/>
      <c r="G133" s="83"/>
      <c r="H133" s="83"/>
      <c r="I133" s="83"/>
      <c r="J133" s="83"/>
      <c r="K133" s="83"/>
      <c r="L133" s="83"/>
      <c r="M133" s="83"/>
    </row>
    <row r="134" spans="4:13" x14ac:dyDescent="0.3">
      <c r="D134" s="83"/>
      <c r="E134" s="83"/>
      <c r="F134" s="83"/>
      <c r="G134" s="83"/>
      <c r="H134" s="83"/>
      <c r="I134" s="83"/>
      <c r="J134" s="83"/>
      <c r="K134" s="83"/>
      <c r="L134" s="83"/>
      <c r="M134" s="83"/>
    </row>
    <row r="135" spans="4:13" x14ac:dyDescent="0.3">
      <c r="D135" s="83"/>
      <c r="E135" s="83"/>
      <c r="F135" s="83"/>
      <c r="G135" s="83"/>
      <c r="H135" s="83"/>
      <c r="I135" s="83"/>
      <c r="J135" s="83"/>
      <c r="K135" s="83"/>
      <c r="L135" s="83"/>
      <c r="M135" s="83"/>
    </row>
    <row r="136" spans="4:13" x14ac:dyDescent="0.3">
      <c r="D136" s="83"/>
      <c r="E136" s="83"/>
      <c r="F136" s="83"/>
      <c r="G136" s="83"/>
      <c r="H136" s="83"/>
      <c r="I136" s="83"/>
      <c r="J136" s="83"/>
      <c r="K136" s="83"/>
      <c r="L136" s="83"/>
      <c r="M136" s="83"/>
    </row>
    <row r="137" spans="4:13" x14ac:dyDescent="0.3">
      <c r="D137" s="83"/>
      <c r="E137" s="83"/>
      <c r="F137" s="83"/>
      <c r="G137" s="83"/>
      <c r="H137" s="83"/>
      <c r="I137" s="83"/>
      <c r="J137" s="83"/>
      <c r="K137" s="83"/>
      <c r="L137" s="83"/>
      <c r="M137" s="83"/>
    </row>
    <row r="138" spans="4:13" x14ac:dyDescent="0.3">
      <c r="D138" s="83"/>
      <c r="E138" s="83"/>
      <c r="F138" s="83"/>
      <c r="G138" s="83"/>
      <c r="H138" s="83"/>
      <c r="I138" s="83"/>
      <c r="J138" s="83"/>
      <c r="K138" s="83"/>
      <c r="L138" s="83"/>
      <c r="M138" s="83"/>
    </row>
    <row r="139" spans="4:13" x14ac:dyDescent="0.3">
      <c r="D139" s="83"/>
      <c r="E139" s="83"/>
      <c r="F139" s="83"/>
      <c r="G139" s="83"/>
      <c r="H139" s="83"/>
      <c r="I139" s="83"/>
      <c r="J139" s="83"/>
      <c r="K139" s="83"/>
      <c r="L139" s="83"/>
      <c r="M139" s="83"/>
    </row>
    <row r="140" spans="4:13" x14ac:dyDescent="0.3">
      <c r="D140" s="83"/>
      <c r="E140" s="83"/>
      <c r="F140" s="83"/>
      <c r="G140" s="83"/>
      <c r="H140" s="83"/>
      <c r="I140" s="83"/>
      <c r="J140" s="83"/>
      <c r="K140" s="83"/>
      <c r="L140" s="83"/>
      <c r="M140" s="83"/>
    </row>
    <row r="141" spans="4:13" x14ac:dyDescent="0.3">
      <c r="D141" s="83"/>
      <c r="E141" s="83"/>
      <c r="F141" s="83"/>
      <c r="G141" s="83"/>
      <c r="H141" s="83"/>
      <c r="I141" s="83"/>
      <c r="J141" s="83"/>
      <c r="K141" s="83"/>
      <c r="L141" s="83"/>
      <c r="M141" s="83"/>
    </row>
    <row r="142" spans="4:13" x14ac:dyDescent="0.3">
      <c r="D142" s="83"/>
      <c r="E142" s="83"/>
      <c r="F142" s="83"/>
      <c r="G142" s="83"/>
      <c r="H142" s="83"/>
      <c r="I142" s="83"/>
      <c r="J142" s="83"/>
      <c r="K142" s="83"/>
      <c r="L142" s="83"/>
      <c r="M142" s="83"/>
    </row>
    <row r="143" spans="4:13" x14ac:dyDescent="0.3">
      <c r="D143" s="83"/>
      <c r="E143" s="83"/>
      <c r="F143" s="83"/>
      <c r="G143" s="83"/>
      <c r="H143" s="83"/>
      <c r="I143" s="83"/>
      <c r="J143" s="83"/>
      <c r="K143" s="83"/>
      <c r="L143" s="83"/>
      <c r="M143" s="83"/>
    </row>
    <row r="144" spans="4:13" x14ac:dyDescent="0.3">
      <c r="D144" s="83"/>
      <c r="E144" s="83"/>
      <c r="F144" s="83"/>
      <c r="G144" s="83"/>
      <c r="H144" s="83"/>
      <c r="I144" s="83"/>
      <c r="J144" s="83"/>
      <c r="K144" s="83"/>
      <c r="L144" s="83"/>
      <c r="M144" s="83"/>
    </row>
    <row r="145" spans="4:13" x14ac:dyDescent="0.3">
      <c r="D145" s="83"/>
      <c r="E145" s="83"/>
      <c r="F145" s="83"/>
      <c r="G145" s="83"/>
      <c r="H145" s="83"/>
      <c r="I145" s="83"/>
      <c r="J145" s="83"/>
      <c r="K145" s="83"/>
      <c r="L145" s="83"/>
      <c r="M145" s="83"/>
    </row>
    <row r="146" spans="4:13" x14ac:dyDescent="0.3">
      <c r="D146" s="83"/>
      <c r="E146" s="83"/>
      <c r="F146" s="83"/>
      <c r="G146" s="83"/>
      <c r="H146" s="83"/>
      <c r="I146" s="83"/>
      <c r="J146" s="83"/>
      <c r="K146" s="83"/>
      <c r="L146" s="83"/>
      <c r="M146" s="83"/>
    </row>
    <row r="147" spans="4:13" x14ac:dyDescent="0.3">
      <c r="D147" s="83"/>
      <c r="E147" s="83"/>
      <c r="F147" s="83"/>
      <c r="G147" s="83"/>
      <c r="H147" s="83"/>
      <c r="I147" s="83"/>
      <c r="J147" s="83"/>
      <c r="K147" s="83"/>
      <c r="L147" s="83"/>
      <c r="M147" s="83"/>
    </row>
    <row r="148" spans="4:13" x14ac:dyDescent="0.3">
      <c r="D148" s="83"/>
      <c r="E148" s="83"/>
      <c r="F148" s="83"/>
      <c r="G148" s="83"/>
      <c r="H148" s="83"/>
      <c r="I148" s="83"/>
      <c r="J148" s="83"/>
      <c r="K148" s="83"/>
      <c r="L148" s="83"/>
      <c r="M148" s="83"/>
    </row>
    <row r="149" spans="4:13" x14ac:dyDescent="0.3">
      <c r="D149" s="83"/>
      <c r="E149" s="83"/>
      <c r="F149" s="83"/>
      <c r="G149" s="83"/>
      <c r="H149" s="83"/>
      <c r="I149" s="83"/>
      <c r="J149" s="83"/>
      <c r="K149" s="83"/>
      <c r="L149" s="83"/>
      <c r="M149" s="83"/>
    </row>
    <row r="150" spans="4:13" x14ac:dyDescent="0.3">
      <c r="D150" s="83"/>
      <c r="E150" s="83"/>
      <c r="F150" s="83"/>
      <c r="G150" s="83"/>
      <c r="H150" s="83"/>
      <c r="I150" s="83"/>
      <c r="J150" s="83"/>
      <c r="K150" s="83"/>
      <c r="L150" s="83"/>
      <c r="M150" s="83"/>
    </row>
    <row r="151" spans="4:13" x14ac:dyDescent="0.3">
      <c r="D151" s="83"/>
      <c r="E151" s="83"/>
      <c r="F151" s="83"/>
      <c r="G151" s="83"/>
      <c r="H151" s="83"/>
      <c r="I151" s="83"/>
      <c r="J151" s="83"/>
      <c r="K151" s="83"/>
      <c r="L151" s="83"/>
      <c r="M151" s="83"/>
    </row>
    <row r="152" spans="4:13" x14ac:dyDescent="0.3">
      <c r="D152" s="83"/>
      <c r="E152" s="83"/>
      <c r="F152" s="83"/>
      <c r="G152" s="83"/>
      <c r="H152" s="83"/>
      <c r="I152" s="83"/>
      <c r="J152" s="83"/>
      <c r="K152" s="83"/>
      <c r="L152" s="83"/>
      <c r="M152" s="83"/>
    </row>
    <row r="153" spans="4:13" x14ac:dyDescent="0.3">
      <c r="D153" s="83"/>
      <c r="E153" s="83"/>
      <c r="F153" s="83"/>
      <c r="G153" s="83"/>
      <c r="H153" s="83"/>
      <c r="I153" s="83"/>
      <c r="J153" s="83"/>
      <c r="K153" s="83"/>
      <c r="L153" s="83"/>
      <c r="M153" s="83"/>
    </row>
    <row r="154" spans="4:13" x14ac:dyDescent="0.3">
      <c r="D154" s="83"/>
      <c r="E154" s="83"/>
      <c r="F154" s="83"/>
      <c r="G154" s="83"/>
      <c r="H154" s="83"/>
      <c r="I154" s="83"/>
      <c r="J154" s="83"/>
      <c r="K154" s="83"/>
      <c r="L154" s="83"/>
      <c r="M154" s="83"/>
    </row>
    <row r="155" spans="4:13" x14ac:dyDescent="0.3">
      <c r="D155" s="83"/>
      <c r="E155" s="83"/>
      <c r="F155" s="83"/>
      <c r="G155" s="83"/>
      <c r="H155" s="83"/>
      <c r="I155" s="83"/>
      <c r="J155" s="83"/>
      <c r="K155" s="83"/>
      <c r="L155" s="83"/>
      <c r="M155" s="83"/>
    </row>
    <row r="156" spans="4:13" x14ac:dyDescent="0.3">
      <c r="D156" s="83"/>
      <c r="E156" s="83"/>
      <c r="F156" s="83"/>
      <c r="G156" s="83"/>
      <c r="H156" s="83"/>
      <c r="I156" s="83"/>
      <c r="J156" s="83"/>
      <c r="K156" s="83"/>
      <c r="L156" s="83"/>
      <c r="M156" s="83"/>
    </row>
    <row r="157" spans="4:13" x14ac:dyDescent="0.3">
      <c r="D157" s="83"/>
      <c r="E157" s="83"/>
      <c r="F157" s="83"/>
      <c r="G157" s="83"/>
      <c r="H157" s="83"/>
      <c r="I157" s="83"/>
      <c r="J157" s="83"/>
      <c r="K157" s="83"/>
      <c r="L157" s="83"/>
      <c r="M157" s="83"/>
    </row>
    <row r="158" spans="4:13" x14ac:dyDescent="0.3">
      <c r="D158" s="83"/>
      <c r="E158" s="83"/>
      <c r="F158" s="83"/>
      <c r="G158" s="83"/>
      <c r="H158" s="83"/>
      <c r="I158" s="83"/>
      <c r="J158" s="83"/>
      <c r="K158" s="83"/>
      <c r="L158" s="83"/>
      <c r="M158" s="83"/>
    </row>
    <row r="159" spans="4:13" x14ac:dyDescent="0.3">
      <c r="D159" s="83"/>
      <c r="E159" s="83"/>
      <c r="F159" s="83"/>
      <c r="G159" s="83"/>
      <c r="H159" s="83"/>
      <c r="I159" s="83"/>
      <c r="J159" s="83"/>
      <c r="K159" s="83"/>
      <c r="L159" s="83"/>
      <c r="M159" s="83"/>
    </row>
    <row r="160" spans="4:13" x14ac:dyDescent="0.3">
      <c r="D160" s="83"/>
      <c r="E160" s="83"/>
      <c r="F160" s="83"/>
      <c r="G160" s="83"/>
      <c r="H160" s="83"/>
      <c r="I160" s="83"/>
      <c r="J160" s="83"/>
      <c r="K160" s="83"/>
      <c r="L160" s="83"/>
      <c r="M160" s="83"/>
    </row>
    <row r="161" spans="4:13" x14ac:dyDescent="0.3">
      <c r="D161" s="83"/>
      <c r="E161" s="83"/>
      <c r="F161" s="83"/>
      <c r="G161" s="83"/>
      <c r="H161" s="83"/>
      <c r="I161" s="83"/>
      <c r="J161" s="83"/>
      <c r="K161" s="83"/>
      <c r="L161" s="83"/>
      <c r="M161" s="83"/>
    </row>
    <row r="162" spans="4:13" x14ac:dyDescent="0.3">
      <c r="D162" s="83"/>
      <c r="E162" s="83"/>
      <c r="F162" s="83"/>
      <c r="G162" s="83"/>
      <c r="H162" s="83"/>
      <c r="I162" s="83"/>
      <c r="J162" s="83"/>
      <c r="K162" s="83"/>
      <c r="L162" s="83"/>
      <c r="M162" s="83"/>
    </row>
    <row r="163" spans="4:13" x14ac:dyDescent="0.3">
      <c r="D163" s="83"/>
      <c r="E163" s="83"/>
      <c r="F163" s="83"/>
      <c r="G163" s="83"/>
      <c r="H163" s="83"/>
      <c r="I163" s="83"/>
      <c r="J163" s="83"/>
      <c r="K163" s="83"/>
      <c r="L163" s="83"/>
      <c r="M163" s="83"/>
    </row>
    <row r="164" spans="4:13" x14ac:dyDescent="0.3">
      <c r="D164" s="83"/>
      <c r="E164" s="83"/>
      <c r="F164" s="83"/>
      <c r="G164" s="83"/>
      <c r="H164" s="83"/>
      <c r="I164" s="83"/>
      <c r="J164" s="83"/>
      <c r="K164" s="83"/>
      <c r="L164" s="83"/>
      <c r="M164" s="83"/>
    </row>
    <row r="165" spans="4:13" x14ac:dyDescent="0.3">
      <c r="D165" s="83"/>
      <c r="E165" s="83"/>
      <c r="F165" s="83"/>
      <c r="G165" s="83"/>
      <c r="H165" s="83"/>
      <c r="I165" s="83"/>
      <c r="J165" s="83"/>
      <c r="K165" s="83"/>
      <c r="L165" s="83"/>
      <c r="M165" s="83"/>
    </row>
    <row r="166" spans="4:13" x14ac:dyDescent="0.3">
      <c r="D166" s="83"/>
      <c r="E166" s="83"/>
      <c r="F166" s="83"/>
      <c r="G166" s="83"/>
      <c r="H166" s="83"/>
      <c r="I166" s="83"/>
      <c r="J166" s="83"/>
      <c r="K166" s="83"/>
      <c r="L166" s="83"/>
      <c r="M166" s="83"/>
    </row>
    <row r="167" spans="4:13" x14ac:dyDescent="0.3">
      <c r="D167" s="83"/>
      <c r="E167" s="83"/>
      <c r="F167" s="83"/>
      <c r="G167" s="83"/>
      <c r="H167" s="83"/>
      <c r="I167" s="83"/>
      <c r="J167" s="83"/>
      <c r="K167" s="83"/>
      <c r="L167" s="83"/>
      <c r="M167" s="83"/>
    </row>
    <row r="168" spans="4:13" x14ac:dyDescent="0.3">
      <c r="D168" s="83"/>
      <c r="E168" s="83"/>
      <c r="F168" s="83"/>
      <c r="G168" s="83"/>
      <c r="H168" s="83"/>
      <c r="I168" s="83"/>
      <c r="J168" s="83"/>
      <c r="K168" s="83"/>
      <c r="L168" s="83"/>
      <c r="M168" s="83"/>
    </row>
    <row r="169" spans="4:13" x14ac:dyDescent="0.3">
      <c r="D169" s="83"/>
      <c r="E169" s="83"/>
      <c r="F169" s="83"/>
      <c r="G169" s="83"/>
      <c r="H169" s="83"/>
      <c r="I169" s="83"/>
      <c r="J169" s="83"/>
      <c r="K169" s="83"/>
      <c r="L169" s="83"/>
      <c r="M169" s="83"/>
    </row>
    <row r="170" spans="4:13" x14ac:dyDescent="0.3">
      <c r="D170" s="83"/>
      <c r="E170" s="83"/>
      <c r="F170" s="83"/>
      <c r="G170" s="83"/>
      <c r="H170" s="83"/>
      <c r="I170" s="83"/>
      <c r="J170" s="83"/>
      <c r="K170" s="83"/>
      <c r="L170" s="83"/>
      <c r="M170" s="83"/>
    </row>
    <row r="171" spans="4:13" x14ac:dyDescent="0.3">
      <c r="D171" s="83"/>
      <c r="E171" s="83"/>
      <c r="F171" s="83"/>
      <c r="G171" s="83"/>
      <c r="H171" s="83"/>
      <c r="I171" s="83"/>
      <c r="J171" s="83"/>
      <c r="K171" s="83"/>
      <c r="L171" s="83"/>
      <c r="M171" s="83"/>
    </row>
    <row r="172" spans="4:13" x14ac:dyDescent="0.3">
      <c r="D172" s="83"/>
      <c r="E172" s="83"/>
      <c r="F172" s="83"/>
      <c r="G172" s="83"/>
      <c r="H172" s="83"/>
      <c r="I172" s="83"/>
      <c r="J172" s="83"/>
      <c r="K172" s="83"/>
      <c r="L172" s="83"/>
      <c r="M172" s="83"/>
    </row>
    <row r="173" spans="4:13" x14ac:dyDescent="0.3">
      <c r="D173" s="83"/>
      <c r="E173" s="83"/>
      <c r="F173" s="83"/>
      <c r="G173" s="83"/>
      <c r="H173" s="83"/>
      <c r="I173" s="83"/>
      <c r="J173" s="83"/>
      <c r="K173" s="83"/>
      <c r="L173" s="83"/>
      <c r="M173" s="83"/>
    </row>
    <row r="174" spans="4:13" x14ac:dyDescent="0.3">
      <c r="D174" s="83"/>
      <c r="E174" s="83"/>
      <c r="F174" s="83"/>
      <c r="G174" s="83"/>
      <c r="H174" s="83"/>
      <c r="I174" s="83"/>
      <c r="J174" s="83"/>
      <c r="K174" s="83"/>
      <c r="L174" s="83"/>
      <c r="M174" s="83"/>
    </row>
    <row r="175" spans="4:13" x14ac:dyDescent="0.3">
      <c r="D175" s="83"/>
      <c r="E175" s="83"/>
      <c r="F175" s="83"/>
      <c r="G175" s="83"/>
      <c r="H175" s="83"/>
      <c r="I175" s="83"/>
      <c r="J175" s="83"/>
      <c r="K175" s="83"/>
      <c r="L175" s="83"/>
      <c r="M175" s="83"/>
    </row>
    <row r="176" spans="4:13" x14ac:dyDescent="0.3">
      <c r="D176" s="83"/>
      <c r="E176" s="83"/>
      <c r="F176" s="83"/>
      <c r="G176" s="83"/>
      <c r="H176" s="83"/>
      <c r="I176" s="83"/>
      <c r="J176" s="83"/>
      <c r="K176" s="83"/>
      <c r="L176" s="83"/>
      <c r="M176" s="83"/>
    </row>
    <row r="177" spans="4:13" x14ac:dyDescent="0.3">
      <c r="D177" s="83"/>
      <c r="E177" s="83"/>
      <c r="F177" s="83"/>
      <c r="G177" s="83"/>
      <c r="H177" s="83"/>
      <c r="I177" s="83"/>
      <c r="J177" s="83"/>
      <c r="K177" s="83"/>
      <c r="L177" s="83"/>
      <c r="M177" s="83"/>
    </row>
    <row r="178" spans="4:13" x14ac:dyDescent="0.3">
      <c r="D178" s="83"/>
      <c r="E178" s="83"/>
      <c r="F178" s="83"/>
      <c r="G178" s="83"/>
      <c r="H178" s="83"/>
      <c r="I178" s="83"/>
      <c r="J178" s="83"/>
      <c r="K178" s="83"/>
      <c r="L178" s="83"/>
      <c r="M178" s="83"/>
    </row>
    <row r="179" spans="4:13" x14ac:dyDescent="0.3">
      <c r="D179" s="83"/>
      <c r="E179" s="83"/>
      <c r="F179" s="83"/>
      <c r="G179" s="83"/>
      <c r="H179" s="83"/>
      <c r="I179" s="83"/>
      <c r="J179" s="83"/>
      <c r="K179" s="83"/>
      <c r="L179" s="83"/>
      <c r="M179" s="83"/>
    </row>
    <row r="180" spans="4:13" x14ac:dyDescent="0.3">
      <c r="D180" s="83"/>
      <c r="E180" s="83"/>
      <c r="F180" s="83"/>
      <c r="G180" s="83"/>
      <c r="H180" s="83"/>
      <c r="I180" s="83"/>
      <c r="J180" s="83"/>
      <c r="K180" s="83"/>
      <c r="L180" s="83"/>
      <c r="M180" s="83"/>
    </row>
    <row r="181" spans="4:13" x14ac:dyDescent="0.3">
      <c r="D181" s="83"/>
      <c r="E181" s="83"/>
      <c r="F181" s="83"/>
      <c r="G181" s="83"/>
      <c r="H181" s="83"/>
      <c r="I181" s="83"/>
      <c r="J181" s="83"/>
      <c r="K181" s="83"/>
      <c r="L181" s="83"/>
      <c r="M181" s="83"/>
    </row>
    <row r="182" spans="4:13" x14ac:dyDescent="0.3">
      <c r="D182" s="83"/>
      <c r="E182" s="83"/>
      <c r="F182" s="83"/>
      <c r="G182" s="83"/>
      <c r="H182" s="83"/>
      <c r="I182" s="83"/>
      <c r="J182" s="83"/>
      <c r="K182" s="83"/>
      <c r="L182" s="83"/>
      <c r="M182" s="83"/>
    </row>
    <row r="183" spans="4:13" x14ac:dyDescent="0.3">
      <c r="D183" s="83"/>
      <c r="E183" s="83"/>
      <c r="F183" s="83"/>
      <c r="G183" s="83"/>
      <c r="H183" s="83"/>
      <c r="I183" s="83"/>
      <c r="J183" s="83"/>
      <c r="K183" s="83"/>
      <c r="L183" s="83"/>
      <c r="M183" s="83"/>
    </row>
    <row r="184" spans="4:13" x14ac:dyDescent="0.3">
      <c r="D184" s="83"/>
      <c r="E184" s="83"/>
      <c r="F184" s="83"/>
      <c r="G184" s="83"/>
      <c r="H184" s="83"/>
      <c r="I184" s="83"/>
      <c r="J184" s="83"/>
      <c r="K184" s="83"/>
      <c r="L184" s="83"/>
      <c r="M184" s="83"/>
    </row>
    <row r="185" spans="4:13" x14ac:dyDescent="0.3">
      <c r="D185" s="83"/>
      <c r="E185" s="83"/>
      <c r="F185" s="83"/>
      <c r="G185" s="83"/>
      <c r="H185" s="83"/>
      <c r="I185" s="83"/>
      <c r="J185" s="83"/>
      <c r="K185" s="83"/>
      <c r="L185" s="83"/>
      <c r="M185" s="83"/>
    </row>
    <row r="186" spans="4:13" x14ac:dyDescent="0.3">
      <c r="D186" s="83"/>
      <c r="E186" s="83"/>
      <c r="F186" s="83"/>
      <c r="G186" s="83"/>
      <c r="H186" s="83"/>
      <c r="I186" s="83"/>
      <c r="J186" s="83"/>
      <c r="K186" s="83"/>
      <c r="L186" s="83"/>
      <c r="M186" s="83"/>
    </row>
    <row r="187" spans="4:13" x14ac:dyDescent="0.3">
      <c r="D187" s="83"/>
      <c r="E187" s="83"/>
      <c r="F187" s="83"/>
      <c r="G187" s="83"/>
      <c r="H187" s="83"/>
      <c r="I187" s="83"/>
      <c r="J187" s="83"/>
      <c r="K187" s="83"/>
      <c r="L187" s="83"/>
      <c r="M187" s="83"/>
    </row>
    <row r="188" spans="4:13" x14ac:dyDescent="0.3">
      <c r="D188" s="83"/>
      <c r="E188" s="83"/>
      <c r="F188" s="83"/>
      <c r="G188" s="83"/>
      <c r="H188" s="83"/>
      <c r="I188" s="83"/>
      <c r="J188" s="83"/>
      <c r="K188" s="83"/>
      <c r="L188" s="83"/>
      <c r="M188" s="83"/>
    </row>
    <row r="189" spans="4:13" x14ac:dyDescent="0.3">
      <c r="D189" s="83"/>
      <c r="E189" s="83"/>
      <c r="F189" s="83"/>
      <c r="G189" s="83"/>
      <c r="H189" s="83"/>
      <c r="I189" s="83"/>
      <c r="J189" s="83"/>
      <c r="K189" s="83"/>
      <c r="L189" s="83"/>
      <c r="M189" s="83"/>
    </row>
    <row r="190" spans="4:13" x14ac:dyDescent="0.3">
      <c r="D190" s="83"/>
      <c r="E190" s="83"/>
      <c r="F190" s="83"/>
      <c r="G190" s="83"/>
      <c r="H190" s="83"/>
      <c r="I190" s="83"/>
      <c r="J190" s="83"/>
      <c r="K190" s="83"/>
      <c r="L190" s="83"/>
      <c r="M190" s="83"/>
    </row>
    <row r="191" spans="4:13" x14ac:dyDescent="0.3">
      <c r="D191" s="83"/>
      <c r="E191" s="83"/>
      <c r="F191" s="83"/>
      <c r="G191" s="83"/>
      <c r="H191" s="83"/>
      <c r="I191" s="83"/>
      <c r="J191" s="83"/>
      <c r="K191" s="83"/>
      <c r="L191" s="83"/>
      <c r="M191" s="83"/>
    </row>
    <row r="192" spans="4:13" x14ac:dyDescent="0.3">
      <c r="D192" s="83"/>
      <c r="E192" s="83"/>
      <c r="F192" s="83"/>
      <c r="G192" s="83"/>
      <c r="H192" s="83"/>
      <c r="I192" s="83"/>
      <c r="J192" s="83"/>
      <c r="K192" s="83"/>
      <c r="L192" s="83"/>
      <c r="M192" s="83"/>
    </row>
    <row r="193" spans="4:13" x14ac:dyDescent="0.3">
      <c r="D193" s="83"/>
      <c r="E193" s="83"/>
      <c r="F193" s="83"/>
      <c r="G193" s="83"/>
      <c r="H193" s="83"/>
      <c r="I193" s="83"/>
      <c r="J193" s="83"/>
      <c r="K193" s="83"/>
      <c r="L193" s="83"/>
      <c r="M193" s="83"/>
    </row>
  </sheetData>
  <mergeCells count="25">
    <mergeCell ref="A3:A32"/>
    <mergeCell ref="B3:B32"/>
    <mergeCell ref="C3:C8"/>
    <mergeCell ref="C9:C14"/>
    <mergeCell ref="C15:C20"/>
    <mergeCell ref="C21:C26"/>
    <mergeCell ref="C27:C32"/>
    <mergeCell ref="A33:A62"/>
    <mergeCell ref="B33:B38"/>
    <mergeCell ref="C33:C62"/>
    <mergeCell ref="B39:B44"/>
    <mergeCell ref="B45:B50"/>
    <mergeCell ref="B51:B56"/>
    <mergeCell ref="B57:B62"/>
    <mergeCell ref="A63:A68"/>
    <mergeCell ref="B63:B68"/>
    <mergeCell ref="C63:C68"/>
    <mergeCell ref="A69:A74"/>
    <mergeCell ref="B69:B74"/>
    <mergeCell ref="C69:C74"/>
    <mergeCell ref="A75:A86"/>
    <mergeCell ref="B75:B80"/>
    <mergeCell ref="C75:C80"/>
    <mergeCell ref="B81:B86"/>
    <mergeCell ref="C81:C86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showRuler="0" topLeftCell="A61" zoomScale="50" zoomScaleNormal="50" workbookViewId="0">
      <pane xSplit="4" topLeftCell="E1" activePane="topRight" state="frozen"/>
      <selection activeCell="F3" sqref="F3"/>
      <selection pane="topRight" activeCell="M83" sqref="M83:M85"/>
    </sheetView>
  </sheetViews>
  <sheetFormatPr defaultColWidth="10.77734375" defaultRowHeight="20.25" x14ac:dyDescent="0.35"/>
  <cols>
    <col min="1" max="16384" width="10.77734375" style="46"/>
  </cols>
  <sheetData>
    <row r="1" spans="1:24" x14ac:dyDescent="0.35">
      <c r="E1" s="46" t="s">
        <v>61</v>
      </c>
      <c r="L1" s="46" t="s">
        <v>71</v>
      </c>
    </row>
    <row r="2" spans="1:24" s="3" customFormat="1" x14ac:dyDescent="0.35">
      <c r="A2" s="3" t="s">
        <v>18</v>
      </c>
      <c r="B2" s="3" t="s">
        <v>19</v>
      </c>
      <c r="C2" s="3" t="s">
        <v>20</v>
      </c>
      <c r="D2" s="3" t="s">
        <v>48</v>
      </c>
      <c r="E2" s="3" t="s">
        <v>63</v>
      </c>
      <c r="F2" s="3" t="s">
        <v>64</v>
      </c>
      <c r="G2" s="85"/>
      <c r="H2" s="85"/>
      <c r="I2" s="85"/>
      <c r="J2" s="85"/>
      <c r="L2" s="3" t="s">
        <v>63</v>
      </c>
      <c r="M2" s="3" t="s">
        <v>64</v>
      </c>
      <c r="N2" s="85"/>
      <c r="O2" s="85"/>
      <c r="P2" s="85"/>
      <c r="Q2" s="85"/>
      <c r="U2" s="85"/>
      <c r="V2" s="85"/>
      <c r="W2" s="85"/>
      <c r="X2" s="85"/>
    </row>
    <row r="3" spans="1:24" s="3" customFormat="1" x14ac:dyDescent="0.35">
      <c r="A3" s="125" t="s">
        <v>55</v>
      </c>
      <c r="B3" s="125" t="s">
        <v>25</v>
      </c>
      <c r="C3" s="125" t="s">
        <v>35</v>
      </c>
      <c r="D3" s="3" t="s">
        <v>51</v>
      </c>
      <c r="E3" s="67">
        <v>1293.3399999999999</v>
      </c>
      <c r="F3" s="67">
        <v>1168.25</v>
      </c>
      <c r="G3" s="83"/>
      <c r="H3" s="83"/>
      <c r="I3" s="83"/>
      <c r="J3" s="83"/>
      <c r="L3" s="67">
        <v>696.971</v>
      </c>
      <c r="M3" s="67">
        <v>630.25099999999998</v>
      </c>
      <c r="N3" s="83"/>
      <c r="O3" s="83"/>
      <c r="P3" s="83"/>
      <c r="Q3" s="83"/>
      <c r="S3" s="83"/>
      <c r="T3" s="83"/>
      <c r="U3" s="83"/>
      <c r="V3" s="83"/>
      <c r="W3" s="83"/>
      <c r="X3" s="83"/>
    </row>
    <row r="4" spans="1:24" s="3" customFormat="1" x14ac:dyDescent="0.35">
      <c r="A4" s="125"/>
      <c r="B4" s="125"/>
      <c r="C4" s="125"/>
      <c r="D4" s="3" t="s">
        <v>49</v>
      </c>
      <c r="E4" s="67">
        <v>350.21699999999998</v>
      </c>
      <c r="F4" s="67">
        <v>308.40699999999998</v>
      </c>
      <c r="G4" s="83"/>
      <c r="H4" s="83"/>
      <c r="I4" s="83"/>
      <c r="J4" s="83"/>
      <c r="L4" s="67">
        <v>158.84299999999999</v>
      </c>
      <c r="M4" s="67">
        <v>166.685</v>
      </c>
      <c r="N4" s="83"/>
      <c r="O4" s="83"/>
      <c r="P4" s="83"/>
      <c r="Q4" s="83"/>
      <c r="S4" s="83"/>
      <c r="T4" s="83"/>
      <c r="U4" s="83"/>
      <c r="V4" s="83"/>
      <c r="W4" s="83"/>
      <c r="X4" s="83"/>
    </row>
    <row r="5" spans="1:24" s="3" customFormat="1" x14ac:dyDescent="0.35">
      <c r="A5" s="125"/>
      <c r="B5" s="125"/>
      <c r="C5" s="125"/>
      <c r="D5" s="3" t="s">
        <v>50</v>
      </c>
      <c r="E5" s="67">
        <v>308.91699999999997</v>
      </c>
      <c r="F5" s="67">
        <v>287.27499999999998</v>
      </c>
      <c r="G5" s="83"/>
      <c r="H5" s="83"/>
      <c r="I5" s="83"/>
      <c r="J5" s="83"/>
      <c r="L5" s="67">
        <v>174.59800000000001</v>
      </c>
      <c r="M5" s="67">
        <v>141.52799999999999</v>
      </c>
      <c r="N5" s="83"/>
      <c r="O5" s="83"/>
      <c r="P5" s="83"/>
      <c r="Q5" s="83"/>
      <c r="S5" s="83"/>
      <c r="T5" s="83"/>
      <c r="U5" s="83"/>
      <c r="V5" s="83"/>
      <c r="W5" s="83"/>
      <c r="X5" s="83"/>
    </row>
    <row r="6" spans="1:24" x14ac:dyDescent="0.35">
      <c r="A6" s="125"/>
      <c r="B6" s="125"/>
      <c r="C6" s="125"/>
      <c r="D6" s="46" t="s">
        <v>52</v>
      </c>
      <c r="E6" s="67">
        <v>314.80799999999999</v>
      </c>
      <c r="F6" s="67">
        <v>289.41399999999999</v>
      </c>
      <c r="G6" s="83"/>
      <c r="H6" s="83"/>
      <c r="I6" s="83"/>
      <c r="J6" s="83"/>
      <c r="L6" s="67">
        <v>185.39599999999999</v>
      </c>
      <c r="M6" s="67">
        <v>166.30699999999999</v>
      </c>
      <c r="N6" s="83"/>
      <c r="O6" s="83"/>
      <c r="P6" s="83"/>
      <c r="Q6" s="83"/>
      <c r="S6" s="83"/>
      <c r="T6" s="83"/>
      <c r="U6" s="83"/>
      <c r="V6" s="83"/>
      <c r="W6" s="83"/>
      <c r="X6" s="83"/>
    </row>
    <row r="7" spans="1:24" x14ac:dyDescent="0.35">
      <c r="A7" s="125"/>
      <c r="B7" s="125"/>
      <c r="C7" s="125"/>
      <c r="D7" s="46" t="s">
        <v>53</v>
      </c>
      <c r="E7" s="67">
        <v>309.65499999999997</v>
      </c>
      <c r="F7" s="67">
        <v>283.14499999999998</v>
      </c>
      <c r="G7" s="83"/>
      <c r="H7" s="83"/>
      <c r="I7" s="83"/>
      <c r="J7" s="83"/>
      <c r="L7" s="67">
        <v>174.90700000000001</v>
      </c>
      <c r="M7" s="67">
        <v>156.792</v>
      </c>
      <c r="N7" s="83"/>
      <c r="O7" s="83"/>
      <c r="P7" s="83"/>
      <c r="Q7" s="83"/>
      <c r="S7" s="83"/>
      <c r="T7" s="83"/>
      <c r="U7" s="83"/>
      <c r="V7" s="83"/>
      <c r="W7" s="83"/>
      <c r="X7" s="83"/>
    </row>
    <row r="8" spans="1:24" x14ac:dyDescent="0.35">
      <c r="A8" s="125"/>
      <c r="B8" s="125"/>
      <c r="C8" s="125"/>
      <c r="D8" s="80"/>
      <c r="E8" s="80">
        <f xml:space="preserve"> SUM(E4:E7)</f>
        <v>1283.597</v>
      </c>
      <c r="F8" s="80">
        <f xml:space="preserve"> SUM(F4:F7)</f>
        <v>1168.241</v>
      </c>
      <c r="G8" s="80"/>
      <c r="H8" s="80"/>
      <c r="I8" s="94"/>
      <c r="J8" s="80"/>
      <c r="K8" s="80"/>
      <c r="L8" s="80">
        <f xml:space="preserve"> SUM(L4:L7)</f>
        <v>693.74400000000003</v>
      </c>
      <c r="M8" s="80">
        <f xml:space="preserve"> SUM(M4:M7)</f>
        <v>631.31200000000001</v>
      </c>
      <c r="N8" s="94"/>
      <c r="O8" s="84"/>
      <c r="P8" s="84"/>
      <c r="Q8" s="84"/>
      <c r="R8" s="84"/>
      <c r="S8" s="83"/>
      <c r="T8" s="83"/>
      <c r="U8" s="83"/>
      <c r="V8" s="83"/>
      <c r="W8" s="83"/>
      <c r="X8" s="83"/>
    </row>
    <row r="9" spans="1:24" x14ac:dyDescent="0.35">
      <c r="A9" s="125"/>
      <c r="B9" s="125"/>
      <c r="C9" s="128" t="s">
        <v>2</v>
      </c>
      <c r="D9" s="3" t="s">
        <v>51</v>
      </c>
      <c r="E9" s="83"/>
      <c r="F9" s="83"/>
      <c r="G9" s="83"/>
      <c r="H9" s="83"/>
      <c r="I9" s="83"/>
      <c r="J9" s="83"/>
      <c r="L9" s="83"/>
      <c r="M9" s="83"/>
      <c r="N9" s="83"/>
      <c r="O9" s="83"/>
      <c r="P9" s="83"/>
      <c r="Q9" s="83"/>
      <c r="S9" s="83"/>
      <c r="T9" s="83"/>
      <c r="U9" s="83"/>
      <c r="V9" s="83"/>
      <c r="W9" s="83"/>
      <c r="X9" s="83"/>
    </row>
    <row r="10" spans="1:24" x14ac:dyDescent="0.35">
      <c r="A10" s="125"/>
      <c r="B10" s="125"/>
      <c r="C10" s="128"/>
      <c r="D10" s="3" t="s">
        <v>49</v>
      </c>
      <c r="E10" s="83"/>
      <c r="F10" s="83"/>
      <c r="G10" s="83"/>
      <c r="H10" s="83"/>
      <c r="I10" s="83"/>
      <c r="J10" s="83"/>
      <c r="L10" s="83"/>
      <c r="M10" s="83"/>
      <c r="N10" s="83"/>
      <c r="O10" s="83"/>
      <c r="P10" s="83"/>
      <c r="Q10" s="83"/>
      <c r="S10" s="83"/>
      <c r="T10" s="83"/>
      <c r="U10" s="83"/>
      <c r="V10" s="83"/>
      <c r="W10" s="83"/>
      <c r="X10" s="83"/>
    </row>
    <row r="11" spans="1:24" x14ac:dyDescent="0.35">
      <c r="A11" s="125"/>
      <c r="B11" s="125"/>
      <c r="C11" s="128"/>
      <c r="D11" s="3" t="s">
        <v>50</v>
      </c>
      <c r="E11" s="83"/>
      <c r="F11" s="83"/>
      <c r="G11" s="83"/>
      <c r="H11" s="83"/>
      <c r="I11" s="83"/>
      <c r="J11" s="83"/>
      <c r="L11" s="83"/>
      <c r="M11" s="83"/>
      <c r="N11" s="83"/>
      <c r="O11" s="83"/>
      <c r="P11" s="83"/>
      <c r="Q11" s="83"/>
      <c r="S11" s="83"/>
      <c r="T11" s="83"/>
      <c r="U11" s="83"/>
      <c r="V11" s="83"/>
      <c r="W11" s="83"/>
      <c r="X11" s="83"/>
    </row>
    <row r="12" spans="1:24" x14ac:dyDescent="0.35">
      <c r="A12" s="125"/>
      <c r="B12" s="125"/>
      <c r="C12" s="128"/>
      <c r="D12" s="46" t="s">
        <v>52</v>
      </c>
      <c r="E12" s="83"/>
      <c r="F12" s="83"/>
      <c r="G12" s="83"/>
      <c r="H12" s="83"/>
      <c r="I12" s="83"/>
      <c r="J12" s="83"/>
      <c r="L12" s="83"/>
      <c r="M12" s="83"/>
      <c r="N12" s="83"/>
      <c r="O12" s="83"/>
      <c r="P12" s="83"/>
      <c r="Q12" s="83"/>
      <c r="S12" s="83"/>
      <c r="T12" s="83"/>
      <c r="U12" s="83"/>
      <c r="V12" s="83"/>
      <c r="W12" s="83"/>
      <c r="X12" s="83"/>
    </row>
    <row r="13" spans="1:24" x14ac:dyDescent="0.35">
      <c r="A13" s="125"/>
      <c r="B13" s="125"/>
      <c r="C13" s="128"/>
      <c r="D13" s="46" t="s">
        <v>53</v>
      </c>
      <c r="E13" s="83"/>
      <c r="F13" s="83"/>
      <c r="G13" s="83"/>
      <c r="H13" s="83"/>
      <c r="I13" s="83"/>
      <c r="J13" s="83"/>
      <c r="L13" s="83"/>
      <c r="M13" s="83"/>
      <c r="N13" s="83"/>
      <c r="O13" s="83"/>
      <c r="P13" s="83"/>
      <c r="Q13" s="83"/>
      <c r="S13" s="83"/>
      <c r="T13" s="83"/>
      <c r="U13" s="83"/>
      <c r="V13" s="83"/>
      <c r="W13" s="83"/>
      <c r="X13" s="83"/>
    </row>
    <row r="14" spans="1:24" x14ac:dyDescent="0.35">
      <c r="A14" s="125"/>
      <c r="B14" s="125"/>
      <c r="C14" s="128"/>
      <c r="D14" s="80"/>
      <c r="E14" s="80"/>
      <c r="F14" s="80"/>
      <c r="G14" s="80"/>
      <c r="H14" s="80"/>
      <c r="I14" s="94"/>
      <c r="J14" s="80"/>
      <c r="K14" s="80"/>
      <c r="L14" s="80"/>
      <c r="M14" s="80"/>
      <c r="N14" s="94"/>
      <c r="O14" s="84"/>
      <c r="P14" s="84"/>
      <c r="Q14" s="84"/>
      <c r="R14" s="84"/>
      <c r="S14" s="83"/>
      <c r="T14" s="83"/>
      <c r="U14" s="83"/>
      <c r="V14" s="83"/>
      <c r="W14" s="83"/>
      <c r="X14" s="83"/>
    </row>
    <row r="15" spans="1:24" x14ac:dyDescent="0.35">
      <c r="A15" s="125"/>
      <c r="B15" s="125"/>
      <c r="C15" s="126" t="s">
        <v>54</v>
      </c>
      <c r="D15" s="85" t="s">
        <v>51</v>
      </c>
      <c r="E15" s="67">
        <v>1101.07</v>
      </c>
      <c r="F15" s="67">
        <v>1065.0899999999999</v>
      </c>
      <c r="G15" s="83"/>
      <c r="H15" s="83"/>
      <c r="I15" s="83"/>
      <c r="J15" s="83"/>
      <c r="L15" s="67">
        <v>585.45799999999997</v>
      </c>
      <c r="M15" s="67">
        <v>596.79200000000003</v>
      </c>
      <c r="N15" s="83"/>
      <c r="O15" s="83"/>
      <c r="P15" s="83"/>
      <c r="Q15" s="83"/>
      <c r="S15" s="83"/>
      <c r="T15" s="83"/>
      <c r="U15" s="83"/>
      <c r="V15" s="83"/>
      <c r="W15" s="83"/>
      <c r="X15" s="83"/>
    </row>
    <row r="16" spans="1:24" x14ac:dyDescent="0.35">
      <c r="A16" s="125"/>
      <c r="B16" s="125"/>
      <c r="C16" s="126"/>
      <c r="D16" s="85" t="s">
        <v>49</v>
      </c>
      <c r="E16" s="67">
        <v>257.46199999999999</v>
      </c>
      <c r="F16" s="67">
        <v>310.75400000000002</v>
      </c>
      <c r="G16" s="83"/>
      <c r="H16" s="83"/>
      <c r="I16" s="83"/>
      <c r="J16" s="83"/>
      <c r="L16" s="67">
        <v>142.102</v>
      </c>
      <c r="M16" s="67">
        <v>167.40600000000001</v>
      </c>
      <c r="N16" s="83"/>
      <c r="O16" s="83"/>
      <c r="P16" s="83"/>
      <c r="Q16" s="83"/>
      <c r="S16" s="83"/>
      <c r="T16" s="83"/>
      <c r="U16" s="83"/>
      <c r="V16" s="83"/>
      <c r="W16" s="83"/>
      <c r="X16" s="83"/>
    </row>
    <row r="17" spans="1:24" x14ac:dyDescent="0.35">
      <c r="A17" s="125"/>
      <c r="B17" s="125"/>
      <c r="C17" s="126"/>
      <c r="D17" s="85" t="s">
        <v>50</v>
      </c>
      <c r="E17" s="67">
        <v>306.90499999999997</v>
      </c>
      <c r="F17" s="67">
        <v>264.58499999999998</v>
      </c>
      <c r="G17" s="83"/>
      <c r="H17" s="83"/>
      <c r="I17" s="83"/>
      <c r="J17" s="83"/>
      <c r="L17" s="67">
        <v>157.29499999999999</v>
      </c>
      <c r="M17" s="67">
        <v>152.47499999999999</v>
      </c>
      <c r="N17" s="83"/>
      <c r="O17" s="83"/>
      <c r="P17" s="83"/>
      <c r="Q17" s="83"/>
      <c r="S17" s="83"/>
      <c r="T17" s="83"/>
      <c r="U17" s="83"/>
      <c r="V17" s="83"/>
      <c r="W17" s="83"/>
      <c r="X17" s="83"/>
    </row>
    <row r="18" spans="1:24" x14ac:dyDescent="0.35">
      <c r="A18" s="125"/>
      <c r="B18" s="125"/>
      <c r="C18" s="126"/>
      <c r="D18" s="84" t="s">
        <v>52</v>
      </c>
      <c r="E18" s="67">
        <v>265.76</v>
      </c>
      <c r="F18" s="67">
        <v>241.75899999999999</v>
      </c>
      <c r="G18" s="83"/>
      <c r="H18" s="83"/>
      <c r="I18" s="83"/>
      <c r="J18" s="83"/>
      <c r="L18" s="67">
        <v>137.36099999999999</v>
      </c>
      <c r="M18" s="67">
        <v>149.08199999999999</v>
      </c>
      <c r="N18" s="83"/>
      <c r="O18" s="83"/>
      <c r="P18" s="83"/>
      <c r="Q18" s="83"/>
      <c r="S18" s="83"/>
      <c r="T18" s="83"/>
      <c r="U18" s="83"/>
      <c r="V18" s="83"/>
      <c r="W18" s="83"/>
      <c r="X18" s="83"/>
    </row>
    <row r="19" spans="1:24" x14ac:dyDescent="0.35">
      <c r="A19" s="125"/>
      <c r="B19" s="125"/>
      <c r="C19" s="126"/>
      <c r="D19" s="84" t="s">
        <v>53</v>
      </c>
      <c r="E19" s="67">
        <v>272.11700000000002</v>
      </c>
      <c r="F19" s="67">
        <v>248.774</v>
      </c>
      <c r="G19" s="83"/>
      <c r="H19" s="83"/>
      <c r="I19" s="83"/>
      <c r="J19" s="83"/>
      <c r="L19" s="67">
        <v>149.46</v>
      </c>
      <c r="M19" s="67">
        <v>128.41399999999999</v>
      </c>
      <c r="N19" s="83"/>
      <c r="O19" s="83"/>
      <c r="P19" s="83"/>
      <c r="Q19" s="83"/>
      <c r="S19" s="83"/>
      <c r="T19" s="83"/>
      <c r="U19" s="83"/>
      <c r="V19" s="83"/>
      <c r="W19" s="83"/>
      <c r="X19" s="83"/>
    </row>
    <row r="20" spans="1:24" x14ac:dyDescent="0.35">
      <c r="A20" s="125"/>
      <c r="B20" s="125"/>
      <c r="C20" s="126"/>
      <c r="D20" s="80"/>
      <c r="E20" s="80">
        <f xml:space="preserve"> SUM(E16:E19)</f>
        <v>1102.2439999999999</v>
      </c>
      <c r="F20" s="80">
        <f xml:space="preserve"> SUM(F16:F19)</f>
        <v>1065.8719999999998</v>
      </c>
      <c r="G20" s="80"/>
      <c r="H20" s="80"/>
      <c r="I20" s="94"/>
      <c r="J20" s="80"/>
      <c r="K20" s="80"/>
      <c r="L20" s="80">
        <f xml:space="preserve"> SUM(L16:L19)</f>
        <v>586.21799999999996</v>
      </c>
      <c r="M20" s="80">
        <f xml:space="preserve"> SUM(M16:M19)</f>
        <v>597.37699999999995</v>
      </c>
      <c r="N20" s="94"/>
      <c r="O20" s="84"/>
      <c r="P20" s="84"/>
      <c r="Q20" s="84"/>
      <c r="R20" s="84"/>
      <c r="S20" s="83"/>
      <c r="T20" s="83"/>
      <c r="U20" s="83"/>
      <c r="V20" s="83"/>
      <c r="W20" s="83"/>
      <c r="X20" s="83"/>
    </row>
    <row r="21" spans="1:24" x14ac:dyDescent="0.35">
      <c r="A21" s="125"/>
      <c r="B21" s="125"/>
      <c r="C21" s="129" t="s">
        <v>56</v>
      </c>
      <c r="D21" s="85" t="s">
        <v>51</v>
      </c>
      <c r="E21" s="67">
        <v>1077.51</v>
      </c>
      <c r="F21" s="67">
        <v>954.18899999999996</v>
      </c>
      <c r="L21" s="67">
        <v>589.82899999999995</v>
      </c>
      <c r="M21" s="67">
        <v>526.02599999999995</v>
      </c>
    </row>
    <row r="22" spans="1:24" x14ac:dyDescent="0.35">
      <c r="A22" s="125"/>
      <c r="B22" s="125"/>
      <c r="C22" s="129"/>
      <c r="D22" s="85" t="s">
        <v>49</v>
      </c>
      <c r="E22" s="67">
        <v>275.86900000000003</v>
      </c>
      <c r="F22" s="67">
        <v>270.99799999999999</v>
      </c>
      <c r="L22" s="67">
        <v>142.63499999999999</v>
      </c>
      <c r="M22" s="67">
        <v>135.15100000000001</v>
      </c>
    </row>
    <row r="23" spans="1:24" x14ac:dyDescent="0.35">
      <c r="A23" s="125"/>
      <c r="B23" s="125"/>
      <c r="C23" s="129"/>
      <c r="D23" s="85" t="s">
        <v>50</v>
      </c>
      <c r="E23" s="67">
        <v>285.96300000000002</v>
      </c>
      <c r="F23" s="67">
        <v>236.94800000000001</v>
      </c>
      <c r="L23" s="67">
        <v>164.654</v>
      </c>
      <c r="M23" s="67">
        <v>122.622</v>
      </c>
    </row>
    <row r="24" spans="1:24" x14ac:dyDescent="0.35">
      <c r="A24" s="125"/>
      <c r="B24" s="125"/>
      <c r="C24" s="129"/>
      <c r="D24" s="84" t="s">
        <v>52</v>
      </c>
      <c r="E24" s="67">
        <v>273.86099999999999</v>
      </c>
      <c r="F24" s="67">
        <v>222.49600000000001</v>
      </c>
      <c r="L24" s="67">
        <v>136.42400000000001</v>
      </c>
      <c r="M24" s="67">
        <v>132.84700000000001</v>
      </c>
    </row>
    <row r="25" spans="1:24" x14ac:dyDescent="0.35">
      <c r="A25" s="125"/>
      <c r="B25" s="125"/>
      <c r="C25" s="129"/>
      <c r="D25" s="84" t="s">
        <v>53</v>
      </c>
      <c r="E25" s="67">
        <v>239.82</v>
      </c>
      <c r="F25" s="67">
        <v>224.238</v>
      </c>
      <c r="L25" s="67">
        <v>143.66399999999999</v>
      </c>
      <c r="M25" s="67">
        <v>135.98099999999999</v>
      </c>
    </row>
    <row r="26" spans="1:24" x14ac:dyDescent="0.35">
      <c r="A26" s="125"/>
      <c r="B26" s="125"/>
      <c r="C26" s="129"/>
      <c r="D26" s="80"/>
      <c r="E26" s="80">
        <f xml:space="preserve"> SUM(E22:E25)</f>
        <v>1075.5130000000001</v>
      </c>
      <c r="F26" s="80">
        <f xml:space="preserve"> SUM(F22:F25)</f>
        <v>954.68000000000006</v>
      </c>
      <c r="G26" s="80"/>
      <c r="H26" s="80"/>
      <c r="I26" s="94"/>
      <c r="J26" s="80"/>
      <c r="K26" s="80"/>
      <c r="L26" s="80">
        <f xml:space="preserve"> SUM(L22:L25)</f>
        <v>587.37699999999995</v>
      </c>
      <c r="M26" s="80">
        <f xml:space="preserve"> SUM(M22:M25)</f>
        <v>526.601</v>
      </c>
      <c r="N26" s="94"/>
      <c r="O26" s="84"/>
      <c r="P26" s="84"/>
      <c r="Q26" s="84"/>
      <c r="R26" s="84"/>
    </row>
    <row r="27" spans="1:24" x14ac:dyDescent="0.35">
      <c r="A27" s="125"/>
      <c r="B27" s="125"/>
      <c r="C27" s="130" t="s">
        <v>57</v>
      </c>
      <c r="D27" s="85" t="s">
        <v>51</v>
      </c>
      <c r="E27" s="67">
        <v>763.78899999999999</v>
      </c>
      <c r="F27" s="67">
        <v>767.36699999999996</v>
      </c>
      <c r="L27" s="77">
        <v>384.548</v>
      </c>
      <c r="M27" s="67">
        <v>410.83199999999999</v>
      </c>
    </row>
    <row r="28" spans="1:24" x14ac:dyDescent="0.35">
      <c r="A28" s="125"/>
      <c r="B28" s="125"/>
      <c r="C28" s="130"/>
      <c r="D28" s="85" t="s">
        <v>49</v>
      </c>
      <c r="E28" s="67">
        <v>225.07599999999999</v>
      </c>
      <c r="F28" s="67">
        <v>200.49299999999999</v>
      </c>
      <c r="L28" s="67">
        <v>113.93</v>
      </c>
      <c r="M28" s="67">
        <v>110.78</v>
      </c>
    </row>
    <row r="29" spans="1:24" x14ac:dyDescent="0.35">
      <c r="A29" s="125"/>
      <c r="B29" s="125"/>
      <c r="C29" s="130"/>
      <c r="D29" s="85" t="s">
        <v>50</v>
      </c>
      <c r="E29" s="67">
        <v>172.15199999999999</v>
      </c>
      <c r="F29" s="67">
        <v>212.61099999999999</v>
      </c>
      <c r="L29" s="67">
        <v>76.439499999999995</v>
      </c>
      <c r="M29" s="67">
        <v>109.14400000000001</v>
      </c>
    </row>
    <row r="30" spans="1:24" x14ac:dyDescent="0.35">
      <c r="A30" s="125"/>
      <c r="B30" s="125"/>
      <c r="C30" s="130"/>
      <c r="D30" s="84" t="s">
        <v>52</v>
      </c>
      <c r="E30" s="67">
        <v>181.98500000000001</v>
      </c>
      <c r="F30" s="67">
        <v>178.86500000000001</v>
      </c>
      <c r="L30" s="67">
        <v>91.993499999999997</v>
      </c>
      <c r="M30" s="67">
        <v>100.788</v>
      </c>
    </row>
    <row r="31" spans="1:24" x14ac:dyDescent="0.35">
      <c r="A31" s="125"/>
      <c r="B31" s="125"/>
      <c r="C31" s="130"/>
      <c r="D31" s="84" t="s">
        <v>53</v>
      </c>
      <c r="E31" s="67">
        <v>181.303</v>
      </c>
      <c r="F31" s="67">
        <v>172.46600000000001</v>
      </c>
      <c r="L31" s="67">
        <v>101.09399999999999</v>
      </c>
      <c r="M31" s="67">
        <v>88.85</v>
      </c>
    </row>
    <row r="32" spans="1:24" x14ac:dyDescent="0.35">
      <c r="A32" s="125"/>
      <c r="B32" s="125"/>
      <c r="C32" s="130"/>
      <c r="D32" s="80"/>
      <c r="E32" s="80">
        <f xml:space="preserve"> SUM(E28:E31)</f>
        <v>760.51599999999996</v>
      </c>
      <c r="F32" s="80">
        <f xml:space="preserve"> SUM(F28:F31)</f>
        <v>764.43500000000006</v>
      </c>
      <c r="G32" s="72"/>
      <c r="H32" s="72"/>
      <c r="I32" s="72"/>
      <c r="J32" s="72"/>
      <c r="K32" s="72"/>
      <c r="L32" s="80">
        <f xml:space="preserve"> SUM(L28:L31)</f>
        <v>383.45699999999999</v>
      </c>
      <c r="M32" s="80">
        <f xml:space="preserve"> SUM(M28:M31)</f>
        <v>409.56200000000001</v>
      </c>
      <c r="N32" s="72"/>
      <c r="P32" s="46">
        <f xml:space="preserve"> SUM(P28:P31)</f>
        <v>0</v>
      </c>
    </row>
    <row r="33" spans="1:18" x14ac:dyDescent="0.35">
      <c r="A33" s="132" t="s">
        <v>55</v>
      </c>
      <c r="B33" s="132" t="s">
        <v>37</v>
      </c>
      <c r="C33" s="133" t="s">
        <v>17</v>
      </c>
      <c r="D33" s="84" t="s">
        <v>51</v>
      </c>
      <c r="E33" s="124">
        <v>902.29899999999998</v>
      </c>
      <c r="F33" s="124">
        <v>883.24</v>
      </c>
      <c r="L33" s="93">
        <v>478.69</v>
      </c>
      <c r="M33" s="124">
        <v>469.92200000000003</v>
      </c>
    </row>
    <row r="34" spans="1:18" x14ac:dyDescent="0.35">
      <c r="A34" s="132"/>
      <c r="B34" s="132"/>
      <c r="C34" s="133"/>
      <c r="D34" s="85" t="s">
        <v>49</v>
      </c>
      <c r="E34" s="124">
        <v>234.733</v>
      </c>
      <c r="F34" s="124">
        <v>238.17599999999999</v>
      </c>
      <c r="L34" s="93">
        <v>113.82299999999999</v>
      </c>
      <c r="M34" s="124">
        <v>114.645</v>
      </c>
    </row>
    <row r="35" spans="1:18" x14ac:dyDescent="0.35">
      <c r="A35" s="132"/>
      <c r="B35" s="132"/>
      <c r="C35" s="133"/>
      <c r="D35" s="85" t="s">
        <v>50</v>
      </c>
      <c r="E35" s="124">
        <v>218.62200000000001</v>
      </c>
      <c r="F35" s="124">
        <v>235.36199999999999</v>
      </c>
      <c r="L35" s="93">
        <v>112.861</v>
      </c>
      <c r="M35" s="124">
        <v>115.197</v>
      </c>
    </row>
    <row r="36" spans="1:18" x14ac:dyDescent="0.35">
      <c r="A36" s="132"/>
      <c r="B36" s="132"/>
      <c r="C36" s="133"/>
      <c r="D36" s="84" t="s">
        <v>52</v>
      </c>
      <c r="E36" s="124">
        <v>232.721</v>
      </c>
      <c r="F36" s="124">
        <v>208.69499999999999</v>
      </c>
      <c r="L36" s="93">
        <v>114.85599999999999</v>
      </c>
      <c r="M36" s="124">
        <v>133.90600000000001</v>
      </c>
    </row>
    <row r="37" spans="1:18" x14ac:dyDescent="0.35">
      <c r="A37" s="132"/>
      <c r="B37" s="132"/>
      <c r="C37" s="133"/>
      <c r="D37" s="84" t="s">
        <v>53</v>
      </c>
      <c r="E37" s="124">
        <v>215.255</v>
      </c>
      <c r="F37" s="124">
        <v>202.321</v>
      </c>
      <c r="L37" s="93">
        <v>135.845</v>
      </c>
      <c r="M37" s="124">
        <v>107.938</v>
      </c>
    </row>
    <row r="38" spans="1:18" x14ac:dyDescent="0.35">
      <c r="A38" s="132"/>
      <c r="B38" s="132"/>
      <c r="C38" s="133"/>
      <c r="D38" s="80"/>
      <c r="E38" s="80">
        <f xml:space="preserve"> SUM(E34:E37)</f>
        <v>901.33100000000002</v>
      </c>
      <c r="F38" s="80">
        <f xml:space="preserve"> SUM(F34:F37)</f>
        <v>884.55399999999997</v>
      </c>
      <c r="G38" s="80"/>
      <c r="H38" s="80"/>
      <c r="I38" s="94"/>
      <c r="J38" s="80"/>
      <c r="K38" s="80"/>
      <c r="L38" s="80">
        <f xml:space="preserve"> SUM(L34:L37)</f>
        <v>477.38499999999999</v>
      </c>
      <c r="M38" s="80">
        <f xml:space="preserve"> SUM(M34:M37)</f>
        <v>471.68599999999998</v>
      </c>
      <c r="N38" s="94"/>
      <c r="O38" s="84"/>
      <c r="P38" s="84"/>
      <c r="Q38" s="84"/>
      <c r="R38" s="84"/>
    </row>
    <row r="39" spans="1:18" x14ac:dyDescent="0.35">
      <c r="A39" s="132"/>
      <c r="B39" s="132" t="s">
        <v>76</v>
      </c>
      <c r="C39" s="133"/>
      <c r="D39" s="84" t="s">
        <v>51</v>
      </c>
      <c r="E39" s="124">
        <v>982.38699999999994</v>
      </c>
      <c r="F39" s="124">
        <v>882.82600000000002</v>
      </c>
      <c r="L39" s="93">
        <v>506.77100000000002</v>
      </c>
      <c r="M39" s="124">
        <v>483.88</v>
      </c>
    </row>
    <row r="40" spans="1:18" x14ac:dyDescent="0.35">
      <c r="A40" s="132"/>
      <c r="B40" s="132"/>
      <c r="C40" s="133"/>
      <c r="D40" s="85" t="s">
        <v>49</v>
      </c>
      <c r="E40" s="124">
        <v>270.54500000000002</v>
      </c>
      <c r="F40" s="124">
        <v>251.392</v>
      </c>
      <c r="L40" s="93">
        <v>141.53299999999999</v>
      </c>
      <c r="M40" s="124">
        <v>140.875</v>
      </c>
    </row>
    <row r="41" spans="1:18" x14ac:dyDescent="0.35">
      <c r="A41" s="132"/>
      <c r="B41" s="132"/>
      <c r="C41" s="133"/>
      <c r="D41" s="85" t="s">
        <v>50</v>
      </c>
      <c r="E41" s="124">
        <v>263.01600000000002</v>
      </c>
      <c r="F41" s="124">
        <v>235.684</v>
      </c>
      <c r="L41" s="93">
        <v>128.523</v>
      </c>
      <c r="M41" s="124">
        <v>122.989</v>
      </c>
    </row>
    <row r="42" spans="1:18" x14ac:dyDescent="0.35">
      <c r="A42" s="132"/>
      <c r="B42" s="132"/>
      <c r="C42" s="133"/>
      <c r="D42" s="84" t="s">
        <v>52</v>
      </c>
      <c r="E42" s="124">
        <v>243.19399999999999</v>
      </c>
      <c r="F42" s="124">
        <v>185.547</v>
      </c>
      <c r="L42" s="93">
        <v>115.059</v>
      </c>
      <c r="M42" s="124">
        <v>101.723</v>
      </c>
    </row>
    <row r="43" spans="1:18" x14ac:dyDescent="0.35">
      <c r="A43" s="132"/>
      <c r="B43" s="132"/>
      <c r="C43" s="133"/>
      <c r="D43" s="84" t="s">
        <v>53</v>
      </c>
      <c r="E43" s="124">
        <v>202.74600000000001</v>
      </c>
      <c r="F43" s="124">
        <v>211.06800000000001</v>
      </c>
      <c r="L43" s="93">
        <v>116.361</v>
      </c>
      <c r="M43" s="124">
        <v>118.768</v>
      </c>
    </row>
    <row r="44" spans="1:18" x14ac:dyDescent="0.35">
      <c r="A44" s="132"/>
      <c r="B44" s="132"/>
      <c r="C44" s="133"/>
      <c r="D44" s="80"/>
      <c r="E44" s="80">
        <f xml:space="preserve"> SUM(E40:E43)</f>
        <v>979.50099999999998</v>
      </c>
      <c r="F44" s="80">
        <f xml:space="preserve"> SUM(F40:F43)</f>
        <v>883.69100000000003</v>
      </c>
      <c r="G44" s="80"/>
      <c r="H44" s="80"/>
      <c r="I44" s="94"/>
      <c r="J44" s="80"/>
      <c r="K44" s="80"/>
      <c r="L44" s="80">
        <f xml:space="preserve"> SUM(L40:L43)</f>
        <v>501.476</v>
      </c>
      <c r="M44" s="80">
        <f xml:space="preserve"> SUM(M40:M43)</f>
        <v>484.35500000000002</v>
      </c>
      <c r="N44" s="94"/>
      <c r="O44" s="84"/>
      <c r="P44" s="84"/>
      <c r="Q44" s="84"/>
      <c r="R44" s="84"/>
    </row>
    <row r="45" spans="1:18" x14ac:dyDescent="0.35">
      <c r="A45" s="132"/>
      <c r="B45" s="132" t="s">
        <v>77</v>
      </c>
      <c r="C45" s="133"/>
      <c r="D45" s="84" t="s">
        <v>51</v>
      </c>
      <c r="E45" s="124">
        <v>1043.74</v>
      </c>
      <c r="F45" s="124">
        <v>1014.94</v>
      </c>
      <c r="L45" s="93">
        <v>569.601</v>
      </c>
      <c r="M45" s="124">
        <v>576.78</v>
      </c>
    </row>
    <row r="46" spans="1:18" x14ac:dyDescent="0.35">
      <c r="A46" s="132"/>
      <c r="B46" s="132"/>
      <c r="C46" s="133"/>
      <c r="D46" s="85" t="s">
        <v>49</v>
      </c>
      <c r="E46" s="124">
        <v>250.94200000000001</v>
      </c>
      <c r="F46" s="124">
        <v>292.81900000000002</v>
      </c>
      <c r="L46" s="93">
        <v>137.239</v>
      </c>
      <c r="M46" s="124">
        <v>157.66900000000001</v>
      </c>
    </row>
    <row r="47" spans="1:18" x14ac:dyDescent="0.35">
      <c r="A47" s="132"/>
      <c r="B47" s="132"/>
      <c r="C47" s="133"/>
      <c r="D47" s="85" t="s">
        <v>50</v>
      </c>
      <c r="E47" s="124">
        <v>279.95699999999999</v>
      </c>
      <c r="F47" s="124">
        <v>243.077</v>
      </c>
      <c r="L47" s="93">
        <v>153.733</v>
      </c>
      <c r="M47" s="124">
        <v>144.20400000000001</v>
      </c>
    </row>
    <row r="48" spans="1:18" x14ac:dyDescent="0.35">
      <c r="A48" s="132"/>
      <c r="B48" s="132"/>
      <c r="C48" s="133"/>
      <c r="D48" s="84" t="s">
        <v>52</v>
      </c>
      <c r="E48" s="124">
        <v>243.92599999999999</v>
      </c>
      <c r="F48" s="124">
        <v>248.90700000000001</v>
      </c>
      <c r="L48" s="93">
        <v>130.82499999999999</v>
      </c>
      <c r="M48" s="124">
        <v>150.005</v>
      </c>
    </row>
    <row r="49" spans="1:18" x14ac:dyDescent="0.35">
      <c r="A49" s="132"/>
      <c r="B49" s="132"/>
      <c r="C49" s="133"/>
      <c r="D49" s="84" t="s">
        <v>53</v>
      </c>
      <c r="E49" s="124">
        <v>270.02800000000002</v>
      </c>
      <c r="F49" s="124">
        <v>230.99199999999999</v>
      </c>
      <c r="L49" s="93">
        <v>136.565</v>
      </c>
      <c r="M49" s="124">
        <v>125.962</v>
      </c>
    </row>
    <row r="50" spans="1:18" x14ac:dyDescent="0.35">
      <c r="A50" s="132"/>
      <c r="B50" s="132"/>
      <c r="C50" s="133"/>
      <c r="D50" s="80"/>
      <c r="E50" s="80">
        <f xml:space="preserve"> SUM(E46:E49)</f>
        <v>1044.8530000000001</v>
      </c>
      <c r="F50" s="80">
        <f xml:space="preserve"> SUM(F46:F49)</f>
        <v>1015.795</v>
      </c>
      <c r="G50" s="80"/>
      <c r="H50" s="80"/>
      <c r="I50" s="94"/>
      <c r="J50" s="80"/>
      <c r="K50" s="80"/>
      <c r="L50" s="80">
        <f xml:space="preserve"> SUM(L46:L49)</f>
        <v>558.36199999999997</v>
      </c>
      <c r="M50" s="80">
        <f xml:space="preserve"> SUM(M46:M49)</f>
        <v>577.84</v>
      </c>
      <c r="N50" s="94"/>
      <c r="O50" s="84"/>
      <c r="P50" s="84"/>
      <c r="Q50" s="84"/>
      <c r="R50" s="84"/>
    </row>
    <row r="51" spans="1:18" x14ac:dyDescent="0.35">
      <c r="A51" s="132"/>
      <c r="B51" s="132" t="s">
        <v>78</v>
      </c>
      <c r="C51" s="133"/>
      <c r="D51" s="84" t="s">
        <v>51</v>
      </c>
    </row>
    <row r="52" spans="1:18" x14ac:dyDescent="0.35">
      <c r="A52" s="132"/>
      <c r="B52" s="132"/>
      <c r="C52" s="133"/>
      <c r="D52" s="85" t="s">
        <v>49</v>
      </c>
    </row>
    <row r="53" spans="1:18" x14ac:dyDescent="0.35">
      <c r="A53" s="132"/>
      <c r="B53" s="132"/>
      <c r="C53" s="133"/>
      <c r="D53" s="85" t="s">
        <v>50</v>
      </c>
    </row>
    <row r="54" spans="1:18" x14ac:dyDescent="0.35">
      <c r="A54" s="132"/>
      <c r="B54" s="132"/>
      <c r="C54" s="133"/>
      <c r="D54" s="84" t="s">
        <v>52</v>
      </c>
    </row>
    <row r="55" spans="1:18" x14ac:dyDescent="0.35">
      <c r="A55" s="132"/>
      <c r="B55" s="132"/>
      <c r="C55" s="133"/>
      <c r="D55" s="84" t="s">
        <v>53</v>
      </c>
    </row>
    <row r="56" spans="1:18" x14ac:dyDescent="0.35">
      <c r="A56" s="132"/>
      <c r="B56" s="132"/>
      <c r="C56" s="133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>
        <f xml:space="preserve"> SUM(L52:L55)</f>
        <v>0</v>
      </c>
      <c r="M56" s="80">
        <f xml:space="preserve"> SUM(M52:M55)</f>
        <v>0</v>
      </c>
      <c r="N56" s="94"/>
      <c r="O56" s="84"/>
      <c r="P56" s="84"/>
      <c r="Q56" s="84"/>
      <c r="R56" s="84"/>
    </row>
    <row r="57" spans="1:18" x14ac:dyDescent="0.35">
      <c r="A57" s="132"/>
      <c r="B57" s="132" t="s">
        <v>79</v>
      </c>
      <c r="C57" s="133"/>
      <c r="D57" s="84" t="s">
        <v>51</v>
      </c>
    </row>
    <row r="58" spans="1:18" x14ac:dyDescent="0.35">
      <c r="A58" s="132"/>
      <c r="B58" s="132"/>
      <c r="C58" s="133"/>
      <c r="D58" s="85" t="s">
        <v>49</v>
      </c>
    </row>
    <row r="59" spans="1:18" x14ac:dyDescent="0.35">
      <c r="A59" s="132"/>
      <c r="B59" s="132"/>
      <c r="C59" s="133"/>
      <c r="D59" s="85" t="s">
        <v>50</v>
      </c>
    </row>
    <row r="60" spans="1:18" x14ac:dyDescent="0.35">
      <c r="A60" s="132"/>
      <c r="B60" s="132"/>
      <c r="C60" s="133"/>
      <c r="D60" s="84" t="s">
        <v>52</v>
      </c>
    </row>
    <row r="61" spans="1:18" x14ac:dyDescent="0.35">
      <c r="A61" s="132"/>
      <c r="B61" s="132"/>
      <c r="C61" s="133"/>
      <c r="D61" s="84" t="s">
        <v>53</v>
      </c>
    </row>
    <row r="62" spans="1:18" x14ac:dyDescent="0.35">
      <c r="A62" s="132"/>
      <c r="B62" s="132"/>
      <c r="C62" s="133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>
        <f xml:space="preserve"> SUM(L58:L61)</f>
        <v>0</v>
      </c>
      <c r="M62" s="80">
        <f xml:space="preserve"> SUM(M58:M61)</f>
        <v>0</v>
      </c>
      <c r="N62" s="94"/>
      <c r="O62" s="84"/>
      <c r="P62" s="84"/>
      <c r="Q62" s="84"/>
      <c r="R62" s="84"/>
    </row>
    <row r="63" spans="1:18" x14ac:dyDescent="0.35">
      <c r="A63" s="132" t="s">
        <v>80</v>
      </c>
      <c r="B63" s="132" t="s">
        <v>79</v>
      </c>
      <c r="C63" s="132" t="s">
        <v>17</v>
      </c>
      <c r="D63" s="84" t="s">
        <v>51</v>
      </c>
      <c r="E63" s="122">
        <v>1458.64</v>
      </c>
      <c r="F63" s="64">
        <v>1415.16</v>
      </c>
      <c r="L63" s="64">
        <v>747.69600000000003</v>
      </c>
      <c r="M63" s="122">
        <v>752.38099999999997</v>
      </c>
    </row>
    <row r="64" spans="1:18" x14ac:dyDescent="0.35">
      <c r="A64" s="132"/>
      <c r="B64" s="132"/>
      <c r="C64" s="132"/>
      <c r="D64" s="85" t="s">
        <v>49</v>
      </c>
      <c r="E64" s="122">
        <v>374.05500000000001</v>
      </c>
      <c r="F64" s="64">
        <v>402.40899999999999</v>
      </c>
      <c r="L64" s="64">
        <v>192.90299999999999</v>
      </c>
      <c r="M64" s="122">
        <v>209.34800000000001</v>
      </c>
    </row>
    <row r="65" spans="1:18" x14ac:dyDescent="0.35">
      <c r="A65" s="132"/>
      <c r="B65" s="132"/>
      <c r="C65" s="132"/>
      <c r="D65" s="85" t="s">
        <v>50</v>
      </c>
      <c r="E65" s="122">
        <v>386.875</v>
      </c>
      <c r="F65" s="64">
        <v>365.678</v>
      </c>
      <c r="L65" s="64">
        <v>198.81800000000001</v>
      </c>
      <c r="M65" s="122">
        <v>189.791</v>
      </c>
    </row>
    <row r="66" spans="1:18" x14ac:dyDescent="0.35">
      <c r="A66" s="132"/>
      <c r="B66" s="132"/>
      <c r="C66" s="132"/>
      <c r="D66" s="84" t="s">
        <v>52</v>
      </c>
      <c r="E66" s="122">
        <v>352.75400000000002</v>
      </c>
      <c r="F66" s="64">
        <v>325.84500000000003</v>
      </c>
      <c r="L66" s="64">
        <v>165.93199999999999</v>
      </c>
      <c r="M66" s="122">
        <v>184.32300000000001</v>
      </c>
    </row>
    <row r="67" spans="1:18" x14ac:dyDescent="0.35">
      <c r="A67" s="132"/>
      <c r="B67" s="132"/>
      <c r="C67" s="132"/>
      <c r="D67" s="84" t="s">
        <v>53</v>
      </c>
      <c r="E67" s="122">
        <v>344.82799999999997</v>
      </c>
      <c r="F67" s="64">
        <v>316.88900000000001</v>
      </c>
      <c r="L67" s="64">
        <v>185.68600000000001</v>
      </c>
      <c r="M67" s="122">
        <v>168.126</v>
      </c>
    </row>
    <row r="68" spans="1:18" x14ac:dyDescent="0.35">
      <c r="A68" s="132"/>
      <c r="B68" s="132"/>
      <c r="C68" s="132"/>
      <c r="D68" s="80"/>
      <c r="E68" s="80">
        <f xml:space="preserve"> SUM(E64:E67)</f>
        <v>1458.5120000000002</v>
      </c>
      <c r="F68" s="80">
        <f xml:space="preserve"> SUM(F64:F67)</f>
        <v>1410.8209999999999</v>
      </c>
      <c r="G68" s="80"/>
      <c r="H68" s="80"/>
      <c r="I68" s="94"/>
      <c r="J68" s="80"/>
      <c r="K68" s="80"/>
      <c r="L68" s="80">
        <f xml:space="preserve"> SUM(L64:L67)</f>
        <v>743.33900000000006</v>
      </c>
      <c r="M68" s="80">
        <f xml:space="preserve"> SUM(M64:M67)</f>
        <v>751.58799999999997</v>
      </c>
      <c r="N68" s="94"/>
      <c r="O68" s="84"/>
      <c r="P68" s="84"/>
      <c r="Q68" s="84"/>
      <c r="R68" s="84"/>
    </row>
    <row r="69" spans="1:18" x14ac:dyDescent="0.35">
      <c r="A69" s="132" t="s">
        <v>82</v>
      </c>
      <c r="B69" s="132" t="s">
        <v>79</v>
      </c>
      <c r="C69" s="132" t="s">
        <v>17</v>
      </c>
      <c r="D69" s="84" t="s">
        <v>51</v>
      </c>
      <c r="E69" s="122">
        <v>705.15700000000004</v>
      </c>
      <c r="F69" s="122">
        <v>683.88400000000001</v>
      </c>
      <c r="L69" s="64">
        <v>407.45600000000002</v>
      </c>
      <c r="M69" s="122">
        <v>351.24099999999999</v>
      </c>
    </row>
    <row r="70" spans="1:18" x14ac:dyDescent="0.35">
      <c r="A70" s="132"/>
      <c r="B70" s="132"/>
      <c r="C70" s="132"/>
      <c r="D70" s="85" t="s">
        <v>49</v>
      </c>
      <c r="E70" s="122">
        <v>176.078</v>
      </c>
      <c r="F70" s="122">
        <v>207.60900000000001</v>
      </c>
      <c r="L70" s="64">
        <v>89.483999999999995</v>
      </c>
      <c r="M70" s="122">
        <v>108.42700000000001</v>
      </c>
    </row>
    <row r="71" spans="1:18" x14ac:dyDescent="0.35">
      <c r="A71" s="132"/>
      <c r="B71" s="132"/>
      <c r="C71" s="132"/>
      <c r="D71" s="85" t="s">
        <v>50</v>
      </c>
      <c r="E71" s="122">
        <v>177.39500000000001</v>
      </c>
      <c r="F71" s="122">
        <v>160.47</v>
      </c>
      <c r="L71" s="64">
        <v>98.653199999999998</v>
      </c>
      <c r="M71" s="122">
        <v>76.137200000000007</v>
      </c>
    </row>
    <row r="72" spans="1:18" x14ac:dyDescent="0.35">
      <c r="A72" s="132"/>
      <c r="B72" s="132"/>
      <c r="C72" s="132"/>
      <c r="D72" s="84" t="s">
        <v>52</v>
      </c>
      <c r="E72" s="122">
        <v>178.42</v>
      </c>
      <c r="F72" s="122">
        <v>161.71799999999999</v>
      </c>
      <c r="L72" s="64">
        <v>106.90300000000001</v>
      </c>
      <c r="M72" s="122">
        <v>90.034599999999998</v>
      </c>
    </row>
    <row r="73" spans="1:18" x14ac:dyDescent="0.35">
      <c r="A73" s="132"/>
      <c r="B73" s="132"/>
      <c r="C73" s="132"/>
      <c r="D73" s="84" t="s">
        <v>53</v>
      </c>
      <c r="E73" s="122">
        <v>166.78200000000001</v>
      </c>
      <c r="F73" s="122">
        <v>152.34399999999999</v>
      </c>
      <c r="L73" s="64">
        <v>108.578</v>
      </c>
      <c r="M73" s="122">
        <v>74.9101</v>
      </c>
    </row>
    <row r="74" spans="1:18" x14ac:dyDescent="0.35">
      <c r="A74" s="132"/>
      <c r="B74" s="132"/>
      <c r="C74" s="132"/>
      <c r="D74" s="80"/>
      <c r="E74" s="80">
        <f xml:space="preserve"> SUM(E70:E73)</f>
        <v>698.67500000000007</v>
      </c>
      <c r="F74" s="80">
        <f xml:space="preserve"> SUM(F70:F73)</f>
        <v>682.14100000000008</v>
      </c>
      <c r="G74" s="80"/>
      <c r="H74" s="80"/>
      <c r="I74" s="94"/>
      <c r="J74" s="80"/>
      <c r="K74" s="80"/>
      <c r="L74" s="80">
        <f xml:space="preserve"> SUM(L70:L73)</f>
        <v>403.6182</v>
      </c>
      <c r="M74" s="80">
        <f xml:space="preserve"> SUM(M70:M73)</f>
        <v>349.50890000000004</v>
      </c>
      <c r="N74" s="94"/>
      <c r="O74" s="84"/>
      <c r="P74" s="84"/>
      <c r="Q74" s="84"/>
      <c r="R74" s="84"/>
    </row>
    <row r="75" spans="1:18" x14ac:dyDescent="0.35">
      <c r="A75" s="132" t="s">
        <v>81</v>
      </c>
      <c r="B75" s="132" t="s">
        <v>83</v>
      </c>
      <c r="C75" s="132" t="s">
        <v>17</v>
      </c>
      <c r="D75" s="84" t="s">
        <v>51</v>
      </c>
      <c r="E75" s="122">
        <v>1406.61</v>
      </c>
      <c r="F75" s="122">
        <v>1448.94</v>
      </c>
      <c r="L75" s="122">
        <v>765.202</v>
      </c>
      <c r="M75" s="122">
        <v>836.35500000000002</v>
      </c>
    </row>
    <row r="76" spans="1:18" x14ac:dyDescent="0.35">
      <c r="A76" s="132"/>
      <c r="B76" s="132"/>
      <c r="C76" s="132"/>
      <c r="D76" s="85" t="s">
        <v>49</v>
      </c>
      <c r="E76" s="122">
        <v>389.54899999999998</v>
      </c>
      <c r="F76" s="122">
        <v>426.80799999999999</v>
      </c>
      <c r="L76" s="122">
        <v>213.85499999999999</v>
      </c>
      <c r="M76" s="122">
        <v>235.08799999999999</v>
      </c>
    </row>
    <row r="77" spans="1:18" x14ac:dyDescent="0.35">
      <c r="A77" s="132"/>
      <c r="B77" s="132"/>
      <c r="C77" s="132"/>
      <c r="D77" s="85" t="s">
        <v>50</v>
      </c>
      <c r="E77" s="122">
        <v>352.613</v>
      </c>
      <c r="F77" s="122">
        <v>361.33</v>
      </c>
      <c r="L77" s="122">
        <v>190.25800000000001</v>
      </c>
      <c r="M77" s="122">
        <v>221.92099999999999</v>
      </c>
    </row>
    <row r="78" spans="1:18" x14ac:dyDescent="0.35">
      <c r="A78" s="132"/>
      <c r="B78" s="132"/>
      <c r="C78" s="132"/>
      <c r="D78" s="84" t="s">
        <v>52</v>
      </c>
      <c r="E78" s="122">
        <v>318.72500000000002</v>
      </c>
      <c r="F78" s="122">
        <v>323.01</v>
      </c>
      <c r="L78" s="122">
        <v>160.203</v>
      </c>
      <c r="M78" s="122">
        <v>178.47200000000001</v>
      </c>
    </row>
    <row r="79" spans="1:18" x14ac:dyDescent="0.35">
      <c r="A79" s="132"/>
      <c r="B79" s="132"/>
      <c r="C79" s="132"/>
      <c r="D79" s="84" t="s">
        <v>53</v>
      </c>
      <c r="E79" s="122">
        <v>346.488</v>
      </c>
      <c r="F79" s="122">
        <v>338.49400000000003</v>
      </c>
      <c r="L79" s="122">
        <v>201.50399999999999</v>
      </c>
      <c r="M79" s="122">
        <v>201.107</v>
      </c>
    </row>
    <row r="80" spans="1:18" x14ac:dyDescent="0.35">
      <c r="A80" s="132"/>
      <c r="B80" s="132"/>
      <c r="C80" s="132"/>
      <c r="D80" s="80"/>
      <c r="E80" s="80">
        <f xml:space="preserve"> SUM(E76:E79)</f>
        <v>1407.3750000000002</v>
      </c>
      <c r="F80" s="80">
        <f xml:space="preserve"> SUM(F76:F79)</f>
        <v>1449.6419999999998</v>
      </c>
      <c r="G80" s="80"/>
      <c r="H80" s="80"/>
      <c r="I80" s="94"/>
      <c r="J80" s="80"/>
      <c r="K80" s="80"/>
      <c r="L80" s="80">
        <f xml:space="preserve"> SUM(L76:L79)</f>
        <v>765.82</v>
      </c>
      <c r="M80" s="80">
        <f xml:space="preserve"> SUM(M76:M79)</f>
        <v>836.58799999999997</v>
      </c>
      <c r="N80" s="94"/>
      <c r="O80" s="84"/>
      <c r="P80" s="84"/>
      <c r="Q80" s="84"/>
      <c r="R80" s="84"/>
    </row>
    <row r="81" spans="1:18" x14ac:dyDescent="0.35">
      <c r="A81" s="132"/>
      <c r="B81" s="132" t="s">
        <v>79</v>
      </c>
      <c r="C81" s="132" t="s">
        <v>17</v>
      </c>
      <c r="D81" s="84" t="s">
        <v>51</v>
      </c>
      <c r="E81" s="122">
        <v>795.59699999999998</v>
      </c>
      <c r="F81" s="122">
        <v>778.18600000000004</v>
      </c>
      <c r="L81" s="122">
        <v>488.60599999999999</v>
      </c>
      <c r="M81" s="122">
        <v>456.65300000000002</v>
      </c>
    </row>
    <row r="82" spans="1:18" x14ac:dyDescent="0.35">
      <c r="A82" s="132"/>
      <c r="B82" s="132"/>
      <c r="C82" s="132"/>
      <c r="D82" s="85" t="s">
        <v>49</v>
      </c>
      <c r="E82" s="122">
        <v>215.92500000000001</v>
      </c>
      <c r="F82" s="122">
        <v>198.97</v>
      </c>
      <c r="L82" s="122">
        <v>138.90700000000001</v>
      </c>
      <c r="M82" s="122">
        <v>106.357</v>
      </c>
    </row>
    <row r="83" spans="1:18" x14ac:dyDescent="0.35">
      <c r="A83" s="132"/>
      <c r="B83" s="132"/>
      <c r="C83" s="132"/>
      <c r="D83" s="85" t="s">
        <v>50</v>
      </c>
      <c r="E83" s="122">
        <v>200.465</v>
      </c>
      <c r="F83" s="122">
        <v>210.822</v>
      </c>
      <c r="L83" s="122">
        <v>119.361</v>
      </c>
      <c r="M83" s="122">
        <v>123.508</v>
      </c>
    </row>
    <row r="84" spans="1:18" x14ac:dyDescent="0.35">
      <c r="A84" s="132"/>
      <c r="B84" s="132"/>
      <c r="C84" s="132"/>
      <c r="D84" s="84" t="s">
        <v>52</v>
      </c>
      <c r="E84" s="122">
        <v>196.78700000000001</v>
      </c>
      <c r="F84" s="122">
        <v>173.941</v>
      </c>
      <c r="L84" s="122">
        <v>114.14100000000001</v>
      </c>
      <c r="M84" s="122">
        <v>115.556</v>
      </c>
    </row>
    <row r="85" spans="1:18" x14ac:dyDescent="0.35">
      <c r="A85" s="132"/>
      <c r="B85" s="132"/>
      <c r="C85" s="132"/>
      <c r="D85" s="84" t="s">
        <v>53</v>
      </c>
      <c r="E85" s="122">
        <v>180.43700000000001</v>
      </c>
      <c r="F85" s="122">
        <v>192.31100000000001</v>
      </c>
      <c r="L85" s="122">
        <v>116.43600000000001</v>
      </c>
      <c r="M85" s="122">
        <v>112.39400000000001</v>
      </c>
    </row>
    <row r="86" spans="1:18" x14ac:dyDescent="0.35">
      <c r="A86" s="132"/>
      <c r="B86" s="132"/>
      <c r="C86" s="132"/>
      <c r="D86" s="80"/>
      <c r="E86" s="80">
        <f xml:space="preserve"> SUM(E82:E85)</f>
        <v>793.61400000000003</v>
      </c>
      <c r="F86" s="80">
        <f xml:space="preserve"> SUM(F82:F85)</f>
        <v>776.0440000000001</v>
      </c>
      <c r="G86" s="80"/>
      <c r="H86" s="80"/>
      <c r="I86" s="94"/>
      <c r="J86" s="80"/>
      <c r="K86" s="80"/>
      <c r="L86" s="80">
        <f xml:space="preserve"> SUM(L82:L85)</f>
        <v>488.84500000000003</v>
      </c>
      <c r="M86" s="80">
        <f xml:space="preserve"> SUM(M82:M85)</f>
        <v>457.815</v>
      </c>
      <c r="N86" s="94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C21:C26"/>
    <mergeCell ref="C27:C32"/>
    <mergeCell ref="C3:C8"/>
    <mergeCell ref="C9:C14"/>
    <mergeCell ref="A3:A32"/>
    <mergeCell ref="B3:B32"/>
    <mergeCell ref="C15:C20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showRuler="0" zoomScale="50" zoomScaleNormal="50" workbookViewId="0">
      <pane xSplit="3" topLeftCell="D1" activePane="topRight" state="frozen"/>
      <selection activeCell="F3" sqref="F3"/>
      <selection pane="topRight" activeCell="F14" sqref="F14"/>
    </sheetView>
  </sheetViews>
  <sheetFormatPr defaultColWidth="10.77734375" defaultRowHeight="20.25" x14ac:dyDescent="0.35"/>
  <cols>
    <col min="1" max="16384" width="10.77734375" style="46"/>
  </cols>
  <sheetData>
    <row r="1" spans="1:18" x14ac:dyDescent="0.35">
      <c r="E1" s="46" t="s">
        <v>62</v>
      </c>
    </row>
    <row r="2" spans="1:18" x14ac:dyDescent="0.35">
      <c r="A2" s="3" t="s">
        <v>18</v>
      </c>
      <c r="B2" s="3" t="s">
        <v>19</v>
      </c>
      <c r="C2" s="3" t="s">
        <v>20</v>
      </c>
      <c r="D2" s="3" t="s">
        <v>48</v>
      </c>
      <c r="E2" s="85" t="s">
        <v>63</v>
      </c>
      <c r="F2" s="85" t="s">
        <v>64</v>
      </c>
      <c r="G2" s="85"/>
      <c r="H2" s="85"/>
      <c r="I2" s="85"/>
      <c r="J2" s="85"/>
    </row>
    <row r="3" spans="1:18" x14ac:dyDescent="0.35">
      <c r="A3" s="125" t="s">
        <v>55</v>
      </c>
      <c r="B3" s="125" t="s">
        <v>25</v>
      </c>
      <c r="C3" s="125" t="s">
        <v>35</v>
      </c>
      <c r="D3" s="3" t="s">
        <v>51</v>
      </c>
      <c r="E3" s="67">
        <v>1453.04</v>
      </c>
      <c r="F3" s="67">
        <v>1326.7</v>
      </c>
      <c r="G3" s="83"/>
      <c r="H3" s="83"/>
      <c r="I3" s="83"/>
      <c r="J3" s="83"/>
    </row>
    <row r="4" spans="1:18" x14ac:dyDescent="0.35">
      <c r="A4" s="125"/>
      <c r="B4" s="125"/>
      <c r="C4" s="125"/>
      <c r="D4" s="3" t="s">
        <v>49</v>
      </c>
      <c r="E4" s="67">
        <v>373.38200000000001</v>
      </c>
      <c r="F4" s="67">
        <v>361.26</v>
      </c>
      <c r="G4" s="83"/>
      <c r="H4" s="83"/>
      <c r="I4" s="83"/>
      <c r="J4" s="83"/>
    </row>
    <row r="5" spans="1:18" x14ac:dyDescent="0.35">
      <c r="A5" s="125"/>
      <c r="B5" s="125"/>
      <c r="C5" s="125"/>
      <c r="D5" s="3" t="s">
        <v>50</v>
      </c>
      <c r="E5" s="67">
        <v>366.815</v>
      </c>
      <c r="F5" s="67">
        <v>312.21800000000002</v>
      </c>
      <c r="G5" s="83"/>
      <c r="H5" s="83"/>
      <c r="I5" s="83"/>
      <c r="J5" s="83"/>
    </row>
    <row r="6" spans="1:18" x14ac:dyDescent="0.35">
      <c r="A6" s="125"/>
      <c r="B6" s="125"/>
      <c r="C6" s="125"/>
      <c r="D6" s="46" t="s">
        <v>52</v>
      </c>
      <c r="E6" s="67">
        <v>341.39100000000002</v>
      </c>
      <c r="F6" s="67">
        <v>340.94600000000003</v>
      </c>
      <c r="G6" s="83"/>
      <c r="H6" s="83"/>
      <c r="I6" s="83"/>
      <c r="J6" s="83"/>
    </row>
    <row r="7" spans="1:18" x14ac:dyDescent="0.35">
      <c r="A7" s="125"/>
      <c r="B7" s="125"/>
      <c r="C7" s="125"/>
      <c r="D7" s="46" t="s">
        <v>53</v>
      </c>
      <c r="E7" s="67">
        <v>352.47500000000002</v>
      </c>
      <c r="F7" s="67">
        <v>312.351</v>
      </c>
      <c r="G7" s="83"/>
      <c r="H7" s="83"/>
      <c r="I7" s="83"/>
      <c r="J7" s="83"/>
    </row>
    <row r="8" spans="1:18" x14ac:dyDescent="0.35">
      <c r="A8" s="125"/>
      <c r="B8" s="125"/>
      <c r="C8" s="125"/>
      <c r="D8" s="80"/>
      <c r="E8" s="80">
        <f xml:space="preserve"> SUM(E4:E7)</f>
        <v>1434.0630000000001</v>
      </c>
      <c r="F8" s="80">
        <f xml:space="preserve"> SUM(F4:F7)</f>
        <v>1326.7750000000001</v>
      </c>
      <c r="G8" s="80"/>
      <c r="H8" s="80"/>
      <c r="I8" s="94"/>
      <c r="J8" s="80"/>
      <c r="K8" s="80"/>
      <c r="L8" s="80"/>
      <c r="M8" s="80"/>
      <c r="N8" s="94"/>
      <c r="O8" s="84"/>
      <c r="P8" s="84"/>
      <c r="Q8" s="84"/>
      <c r="R8" s="84"/>
    </row>
    <row r="9" spans="1:18" x14ac:dyDescent="0.35">
      <c r="A9" s="125"/>
      <c r="B9" s="125"/>
      <c r="C9" s="128" t="s">
        <v>2</v>
      </c>
      <c r="D9" s="3" t="s">
        <v>51</v>
      </c>
      <c r="E9" s="83"/>
      <c r="F9" s="83"/>
      <c r="G9" s="83"/>
      <c r="H9" s="83"/>
      <c r="I9" s="83"/>
      <c r="J9" s="83"/>
    </row>
    <row r="10" spans="1:18" x14ac:dyDescent="0.35">
      <c r="A10" s="125"/>
      <c r="B10" s="125"/>
      <c r="C10" s="128"/>
      <c r="D10" s="3" t="s">
        <v>49</v>
      </c>
      <c r="E10" s="83"/>
      <c r="F10" s="83"/>
      <c r="G10" s="83"/>
      <c r="H10" s="83"/>
      <c r="I10" s="83"/>
      <c r="J10" s="83"/>
    </row>
    <row r="11" spans="1:18" x14ac:dyDescent="0.35">
      <c r="A11" s="125"/>
      <c r="B11" s="125"/>
      <c r="C11" s="128"/>
      <c r="D11" s="3" t="s">
        <v>50</v>
      </c>
      <c r="E11" s="83"/>
      <c r="F11" s="83"/>
      <c r="G11" s="83"/>
      <c r="H11" s="83"/>
      <c r="I11" s="83"/>
      <c r="J11" s="83"/>
    </row>
    <row r="12" spans="1:18" x14ac:dyDescent="0.35">
      <c r="A12" s="125"/>
      <c r="B12" s="125"/>
      <c r="C12" s="128"/>
      <c r="D12" s="46" t="s">
        <v>52</v>
      </c>
      <c r="E12" s="83"/>
      <c r="F12" s="83"/>
      <c r="G12" s="83"/>
      <c r="H12" s="83"/>
      <c r="I12" s="83"/>
      <c r="J12" s="83"/>
    </row>
    <row r="13" spans="1:18" x14ac:dyDescent="0.35">
      <c r="A13" s="125"/>
      <c r="B13" s="125"/>
      <c r="C13" s="128"/>
      <c r="D13" s="46" t="s">
        <v>53</v>
      </c>
      <c r="E13" s="83"/>
      <c r="F13" s="83"/>
      <c r="G13" s="83"/>
      <c r="H13" s="83"/>
      <c r="I13" s="83"/>
      <c r="J13" s="83"/>
    </row>
    <row r="14" spans="1:18" x14ac:dyDescent="0.35">
      <c r="A14" s="125"/>
      <c r="B14" s="125"/>
      <c r="C14" s="128"/>
      <c r="D14" s="80"/>
      <c r="E14" s="80"/>
      <c r="F14" s="80"/>
      <c r="G14" s="80"/>
      <c r="H14" s="80"/>
      <c r="I14" s="94"/>
      <c r="J14" s="80"/>
      <c r="K14" s="80"/>
      <c r="L14" s="80"/>
      <c r="M14" s="80"/>
      <c r="N14" s="94"/>
      <c r="O14" s="84"/>
      <c r="P14" s="84"/>
      <c r="Q14" s="84"/>
      <c r="R14" s="84"/>
    </row>
    <row r="15" spans="1:18" x14ac:dyDescent="0.35">
      <c r="A15" s="125"/>
      <c r="B15" s="125"/>
      <c r="C15" s="126" t="s">
        <v>54</v>
      </c>
      <c r="D15" s="85" t="s">
        <v>51</v>
      </c>
      <c r="E15" s="67">
        <v>1258.8900000000001</v>
      </c>
      <c r="F15" s="67">
        <v>1234.5999999999999</v>
      </c>
      <c r="G15" s="83"/>
      <c r="H15" s="83"/>
      <c r="I15" s="83"/>
      <c r="J15" s="83"/>
    </row>
    <row r="16" spans="1:18" x14ac:dyDescent="0.35">
      <c r="A16" s="125"/>
      <c r="B16" s="125"/>
      <c r="C16" s="126"/>
      <c r="D16" s="85" t="s">
        <v>49</v>
      </c>
      <c r="E16" s="67">
        <v>324.15899999999999</v>
      </c>
      <c r="F16" s="67">
        <v>366.12400000000002</v>
      </c>
      <c r="G16" s="83"/>
      <c r="H16" s="83"/>
      <c r="I16" s="83"/>
      <c r="J16" s="83"/>
    </row>
    <row r="17" spans="1:18" x14ac:dyDescent="0.35">
      <c r="A17" s="125"/>
      <c r="B17" s="125"/>
      <c r="C17" s="126"/>
      <c r="D17" s="85" t="s">
        <v>50</v>
      </c>
      <c r="E17" s="67">
        <v>335.5</v>
      </c>
      <c r="F17" s="67">
        <v>304.11399999999998</v>
      </c>
      <c r="G17" s="83"/>
      <c r="H17" s="83"/>
      <c r="I17" s="83"/>
      <c r="J17" s="83"/>
    </row>
    <row r="18" spans="1:18" x14ac:dyDescent="0.35">
      <c r="A18" s="125"/>
      <c r="B18" s="125"/>
      <c r="C18" s="126"/>
      <c r="D18" s="84" t="s">
        <v>52</v>
      </c>
      <c r="E18" s="67">
        <v>297.55700000000002</v>
      </c>
      <c r="F18" s="67">
        <v>284.791</v>
      </c>
      <c r="G18" s="83"/>
      <c r="H18" s="83"/>
      <c r="I18" s="83"/>
      <c r="J18" s="83"/>
    </row>
    <row r="19" spans="1:18" x14ac:dyDescent="0.35">
      <c r="A19" s="125"/>
      <c r="B19" s="125"/>
      <c r="C19" s="126"/>
      <c r="D19" s="84" t="s">
        <v>53</v>
      </c>
      <c r="E19" s="67">
        <v>303.29300000000001</v>
      </c>
      <c r="F19" s="67">
        <v>280.27199999999999</v>
      </c>
      <c r="G19" s="83"/>
      <c r="H19" s="83"/>
      <c r="I19" s="83"/>
      <c r="J19" s="83"/>
    </row>
    <row r="20" spans="1:18" x14ac:dyDescent="0.35">
      <c r="A20" s="125"/>
      <c r="B20" s="125"/>
      <c r="C20" s="126"/>
      <c r="D20" s="80"/>
      <c r="E20" s="80">
        <f xml:space="preserve"> SUM(E16:E19)</f>
        <v>1260.509</v>
      </c>
      <c r="F20" s="80">
        <f xml:space="preserve"> SUM(F16:F19)</f>
        <v>1235.3009999999999</v>
      </c>
      <c r="G20" s="80"/>
      <c r="H20" s="80"/>
      <c r="I20" s="94"/>
      <c r="J20" s="80"/>
      <c r="K20" s="80"/>
      <c r="L20" s="80"/>
      <c r="M20" s="80"/>
      <c r="N20" s="94"/>
      <c r="O20" s="84"/>
      <c r="P20" s="84"/>
      <c r="Q20" s="84"/>
      <c r="R20" s="84"/>
    </row>
    <row r="21" spans="1:18" x14ac:dyDescent="0.35">
      <c r="A21" s="125"/>
      <c r="B21" s="125"/>
      <c r="C21" s="129" t="s">
        <v>56</v>
      </c>
      <c r="D21" s="85" t="s">
        <v>51</v>
      </c>
      <c r="E21" s="67">
        <v>1227.1400000000001</v>
      </c>
      <c r="F21" s="67">
        <v>1092.17</v>
      </c>
    </row>
    <row r="22" spans="1:18" x14ac:dyDescent="0.35">
      <c r="A22" s="125"/>
      <c r="B22" s="125"/>
      <c r="C22" s="129"/>
      <c r="D22" s="85" t="s">
        <v>49</v>
      </c>
      <c r="E22" s="67">
        <v>321.68900000000002</v>
      </c>
      <c r="F22" s="67">
        <v>319.12</v>
      </c>
    </row>
    <row r="23" spans="1:18" x14ac:dyDescent="0.35">
      <c r="A23" s="125"/>
      <c r="B23" s="125"/>
      <c r="C23" s="129"/>
      <c r="D23" s="85" t="s">
        <v>50</v>
      </c>
      <c r="E23" s="67">
        <v>330.84899999999999</v>
      </c>
      <c r="F23" s="67">
        <v>262.91300000000001</v>
      </c>
    </row>
    <row r="24" spans="1:18" x14ac:dyDescent="0.35">
      <c r="A24" s="125"/>
      <c r="B24" s="125"/>
      <c r="C24" s="129"/>
      <c r="D24" s="84" t="s">
        <v>52</v>
      </c>
      <c r="E24" s="67">
        <v>295.23200000000003</v>
      </c>
      <c r="F24" s="67">
        <v>254.17599999999999</v>
      </c>
    </row>
    <row r="25" spans="1:18" x14ac:dyDescent="0.35">
      <c r="A25" s="125"/>
      <c r="B25" s="125"/>
      <c r="C25" s="129"/>
      <c r="D25" s="84" t="s">
        <v>53</v>
      </c>
      <c r="E25" s="67">
        <v>277.77199999999999</v>
      </c>
      <c r="F25" s="67">
        <v>256.60700000000003</v>
      </c>
    </row>
    <row r="26" spans="1:18" x14ac:dyDescent="0.35">
      <c r="A26" s="125"/>
      <c r="B26" s="125"/>
      <c r="C26" s="129"/>
      <c r="D26" s="80"/>
      <c r="E26" s="80">
        <f xml:space="preserve"> SUM(E22:E25)</f>
        <v>1225.5419999999999</v>
      </c>
      <c r="F26" s="80">
        <f xml:space="preserve"> SUM(F22:F25)</f>
        <v>1092.816</v>
      </c>
      <c r="G26" s="80"/>
      <c r="H26" s="80"/>
      <c r="I26" s="94"/>
      <c r="J26" s="80"/>
      <c r="K26" s="80"/>
      <c r="L26" s="80"/>
      <c r="M26" s="80"/>
      <c r="N26" s="94"/>
      <c r="O26" s="84"/>
      <c r="P26" s="84"/>
      <c r="Q26" s="84"/>
      <c r="R26" s="84"/>
    </row>
    <row r="27" spans="1:18" x14ac:dyDescent="0.35">
      <c r="A27" s="125"/>
      <c r="B27" s="125"/>
      <c r="C27" s="130" t="s">
        <v>57</v>
      </c>
      <c r="D27" s="85" t="s">
        <v>51</v>
      </c>
      <c r="E27" s="67">
        <v>900.91300000000001</v>
      </c>
      <c r="F27" s="67">
        <v>874.17700000000002</v>
      </c>
    </row>
    <row r="28" spans="1:18" x14ac:dyDescent="0.35">
      <c r="A28" s="125"/>
      <c r="B28" s="125"/>
      <c r="C28" s="130"/>
      <c r="D28" s="85" t="s">
        <v>49</v>
      </c>
      <c r="E28" s="67">
        <v>270.81900000000002</v>
      </c>
      <c r="F28" s="67">
        <v>248.64400000000001</v>
      </c>
    </row>
    <row r="29" spans="1:18" x14ac:dyDescent="0.35">
      <c r="A29" s="125"/>
      <c r="B29" s="125"/>
      <c r="C29" s="130"/>
      <c r="D29" s="85" t="s">
        <v>50</v>
      </c>
      <c r="E29" s="67">
        <v>210.137</v>
      </c>
      <c r="F29" s="67">
        <v>229.28399999999999</v>
      </c>
    </row>
    <row r="30" spans="1:18" x14ac:dyDescent="0.35">
      <c r="A30" s="125"/>
      <c r="B30" s="125"/>
      <c r="C30" s="130"/>
      <c r="D30" s="84" t="s">
        <v>52</v>
      </c>
      <c r="E30" s="67">
        <v>214.47499999999999</v>
      </c>
      <c r="F30" s="67">
        <v>201.13800000000001</v>
      </c>
    </row>
    <row r="31" spans="1:18" x14ac:dyDescent="0.35">
      <c r="A31" s="125"/>
      <c r="B31" s="125"/>
      <c r="C31" s="130"/>
      <c r="D31" s="84" t="s">
        <v>53</v>
      </c>
      <c r="E31" s="67">
        <v>201.434</v>
      </c>
      <c r="F31" s="67">
        <v>192.99700000000001</v>
      </c>
    </row>
    <row r="32" spans="1:18" x14ac:dyDescent="0.35">
      <c r="A32" s="125"/>
      <c r="B32" s="125"/>
      <c r="C32" s="130"/>
      <c r="D32" s="80"/>
      <c r="E32" s="80">
        <f xml:space="preserve"> SUM(E28:E31)</f>
        <v>896.86500000000001</v>
      </c>
      <c r="F32" s="80">
        <f xml:space="preserve"> SUM(F28:F31)</f>
        <v>872.0630000000001</v>
      </c>
      <c r="G32" s="80"/>
      <c r="H32" s="80"/>
      <c r="I32" s="94"/>
      <c r="J32" s="80"/>
      <c r="K32" s="80"/>
      <c r="L32" s="80"/>
      <c r="M32" s="80"/>
      <c r="N32" s="94"/>
      <c r="O32" s="84"/>
      <c r="P32" s="84"/>
      <c r="Q32" s="84"/>
      <c r="R32" s="84"/>
    </row>
    <row r="33" spans="1:18" x14ac:dyDescent="0.35">
      <c r="A33" s="144" t="s">
        <v>55</v>
      </c>
      <c r="B33" s="144" t="s">
        <v>37</v>
      </c>
      <c r="C33" s="145" t="s">
        <v>17</v>
      </c>
      <c r="D33" s="84" t="s">
        <v>51</v>
      </c>
      <c r="E33" s="124">
        <v>1115.5</v>
      </c>
      <c r="F33" s="124">
        <v>1115</v>
      </c>
    </row>
    <row r="34" spans="1:18" x14ac:dyDescent="0.35">
      <c r="A34" s="144"/>
      <c r="B34" s="144"/>
      <c r="C34" s="145"/>
      <c r="D34" s="85" t="s">
        <v>49</v>
      </c>
      <c r="E34" s="124">
        <v>317.55599999999998</v>
      </c>
      <c r="F34" s="124">
        <v>324.00599999999997</v>
      </c>
    </row>
    <row r="35" spans="1:18" x14ac:dyDescent="0.35">
      <c r="A35" s="144"/>
      <c r="B35" s="144"/>
      <c r="C35" s="145"/>
      <c r="D35" s="85" t="s">
        <v>50</v>
      </c>
      <c r="E35" s="124">
        <v>258.935</v>
      </c>
      <c r="F35" s="124">
        <v>285.45699999999999</v>
      </c>
    </row>
    <row r="36" spans="1:18" x14ac:dyDescent="0.35">
      <c r="A36" s="144"/>
      <c r="B36" s="144"/>
      <c r="C36" s="145"/>
      <c r="D36" s="84" t="s">
        <v>52</v>
      </c>
      <c r="E36" s="124">
        <v>285.42500000000001</v>
      </c>
      <c r="F36" s="124">
        <v>256.59399999999999</v>
      </c>
    </row>
    <row r="37" spans="1:18" x14ac:dyDescent="0.35">
      <c r="A37" s="144"/>
      <c r="B37" s="144"/>
      <c r="C37" s="145"/>
      <c r="D37" s="84" t="s">
        <v>53</v>
      </c>
      <c r="E37" s="124">
        <v>252.869</v>
      </c>
      <c r="F37" s="124">
        <v>251.09899999999999</v>
      </c>
    </row>
    <row r="38" spans="1:18" x14ac:dyDescent="0.35">
      <c r="A38" s="144"/>
      <c r="B38" s="144"/>
      <c r="C38" s="145"/>
      <c r="D38" s="80"/>
      <c r="E38" s="80">
        <f xml:space="preserve"> SUM(E34:E37)</f>
        <v>1114.7849999999999</v>
      </c>
      <c r="F38" s="80">
        <f xml:space="preserve"> SUM(F34:F37)</f>
        <v>1117.1559999999999</v>
      </c>
      <c r="G38" s="80"/>
      <c r="H38" s="80"/>
      <c r="I38" s="94"/>
      <c r="J38" s="80"/>
      <c r="K38" s="80"/>
      <c r="L38" s="80"/>
      <c r="M38" s="80"/>
      <c r="N38" s="94"/>
      <c r="O38" s="84"/>
      <c r="P38" s="84"/>
      <c r="Q38" s="84"/>
      <c r="R38" s="84"/>
    </row>
    <row r="39" spans="1:18" x14ac:dyDescent="0.35">
      <c r="A39" s="144"/>
      <c r="B39" s="144" t="s">
        <v>76</v>
      </c>
      <c r="C39" s="145"/>
      <c r="D39" s="84" t="s">
        <v>51</v>
      </c>
      <c r="E39" s="124">
        <v>1107.3699999999999</v>
      </c>
      <c r="F39" s="124">
        <v>997.83900000000006</v>
      </c>
    </row>
    <row r="40" spans="1:18" x14ac:dyDescent="0.35">
      <c r="A40" s="144"/>
      <c r="B40" s="144"/>
      <c r="C40" s="145"/>
      <c r="D40" s="85" t="s">
        <v>49</v>
      </c>
      <c r="E40" s="124">
        <v>313.435</v>
      </c>
      <c r="F40" s="124">
        <v>294.17899999999997</v>
      </c>
    </row>
    <row r="41" spans="1:18" x14ac:dyDescent="0.35">
      <c r="A41" s="144"/>
      <c r="B41" s="144"/>
      <c r="C41" s="145"/>
      <c r="D41" s="85" t="s">
        <v>50</v>
      </c>
      <c r="E41" s="124">
        <v>299.76299999999998</v>
      </c>
      <c r="F41" s="124">
        <v>254.77500000000001</v>
      </c>
    </row>
    <row r="42" spans="1:18" x14ac:dyDescent="0.35">
      <c r="A42" s="144"/>
      <c r="B42" s="144"/>
      <c r="C42" s="145"/>
      <c r="D42" s="84" t="s">
        <v>52</v>
      </c>
      <c r="E42" s="124">
        <v>259.76100000000002</v>
      </c>
      <c r="F42" s="124">
        <v>216.78200000000001</v>
      </c>
    </row>
    <row r="43" spans="1:18" x14ac:dyDescent="0.35">
      <c r="A43" s="144"/>
      <c r="B43" s="144"/>
      <c r="C43" s="145"/>
      <c r="D43" s="84" t="s">
        <v>53</v>
      </c>
      <c r="E43" s="124">
        <v>231.65199999999999</v>
      </c>
      <c r="F43" s="124">
        <v>231.1</v>
      </c>
    </row>
    <row r="44" spans="1:18" x14ac:dyDescent="0.35">
      <c r="A44" s="144"/>
      <c r="B44" s="144"/>
      <c r="C44" s="145"/>
      <c r="D44" s="80"/>
      <c r="E44" s="80">
        <f xml:space="preserve"> SUM(E40:E43)</f>
        <v>1104.6110000000001</v>
      </c>
      <c r="F44" s="80">
        <f xml:space="preserve"> SUM(F40:F43)</f>
        <v>996.83600000000001</v>
      </c>
      <c r="G44" s="80"/>
      <c r="H44" s="80"/>
      <c r="I44" s="94"/>
      <c r="J44" s="80"/>
      <c r="K44" s="80"/>
      <c r="L44" s="80"/>
      <c r="M44" s="80"/>
      <c r="N44" s="94"/>
      <c r="O44" s="84"/>
      <c r="P44" s="84"/>
      <c r="Q44" s="84"/>
      <c r="R44" s="84"/>
    </row>
    <row r="45" spans="1:18" x14ac:dyDescent="0.35">
      <c r="A45" s="144"/>
      <c r="B45" s="144" t="s">
        <v>77</v>
      </c>
      <c r="C45" s="145"/>
      <c r="D45" s="84" t="s">
        <v>51</v>
      </c>
      <c r="E45" s="124">
        <v>1202.29</v>
      </c>
      <c r="F45" s="124">
        <v>1095.1099999999999</v>
      </c>
    </row>
    <row r="46" spans="1:18" x14ac:dyDescent="0.35">
      <c r="A46" s="144"/>
      <c r="B46" s="144"/>
      <c r="C46" s="145"/>
      <c r="D46" s="85" t="s">
        <v>49</v>
      </c>
      <c r="E46" s="124">
        <v>295.05</v>
      </c>
      <c r="F46" s="124">
        <v>320.29500000000002</v>
      </c>
    </row>
    <row r="47" spans="1:18" x14ac:dyDescent="0.35">
      <c r="A47" s="144"/>
      <c r="B47" s="144"/>
      <c r="C47" s="145"/>
      <c r="D47" s="85" t="s">
        <v>50</v>
      </c>
      <c r="E47" s="124">
        <v>329.94</v>
      </c>
      <c r="F47" s="124">
        <v>256.61399999999998</v>
      </c>
    </row>
    <row r="48" spans="1:18" x14ac:dyDescent="0.35">
      <c r="A48" s="144"/>
      <c r="B48" s="144"/>
      <c r="C48" s="145"/>
      <c r="D48" s="84" t="s">
        <v>52</v>
      </c>
      <c r="E48" s="124">
        <v>270.94099999999997</v>
      </c>
      <c r="F48" s="124">
        <v>268.74299999999999</v>
      </c>
    </row>
    <row r="49" spans="1:18" x14ac:dyDescent="0.35">
      <c r="A49" s="144"/>
      <c r="B49" s="144"/>
      <c r="C49" s="145"/>
      <c r="D49" s="84" t="s">
        <v>53</v>
      </c>
      <c r="E49" s="124">
        <v>308.19900000000001</v>
      </c>
      <c r="F49" s="124">
        <v>250.28700000000001</v>
      </c>
    </row>
    <row r="50" spans="1:18" x14ac:dyDescent="0.35">
      <c r="A50" s="144"/>
      <c r="B50" s="144"/>
      <c r="C50" s="145"/>
      <c r="D50" s="80"/>
      <c r="E50" s="80">
        <f xml:space="preserve"> SUM(E46:E49)</f>
        <v>1204.1300000000001</v>
      </c>
      <c r="F50" s="80">
        <f xml:space="preserve"> SUM(F46:F49)</f>
        <v>1095.9390000000001</v>
      </c>
      <c r="G50" s="80"/>
      <c r="H50" s="80"/>
      <c r="I50" s="94"/>
      <c r="J50" s="80"/>
      <c r="K50" s="80"/>
      <c r="L50" s="80"/>
      <c r="M50" s="80"/>
      <c r="N50" s="94"/>
      <c r="O50" s="84"/>
      <c r="P50" s="84"/>
      <c r="Q50" s="84"/>
      <c r="R50" s="84"/>
    </row>
    <row r="51" spans="1:18" x14ac:dyDescent="0.35">
      <c r="A51" s="144"/>
      <c r="B51" s="144" t="s">
        <v>78</v>
      </c>
      <c r="C51" s="145"/>
      <c r="D51" s="84" t="s">
        <v>51</v>
      </c>
    </row>
    <row r="52" spans="1:18" x14ac:dyDescent="0.35">
      <c r="A52" s="144"/>
      <c r="B52" s="144"/>
      <c r="C52" s="145"/>
      <c r="D52" s="85" t="s">
        <v>49</v>
      </c>
    </row>
    <row r="53" spans="1:18" x14ac:dyDescent="0.35">
      <c r="A53" s="144"/>
      <c r="B53" s="144"/>
      <c r="C53" s="145"/>
      <c r="D53" s="85" t="s">
        <v>50</v>
      </c>
    </row>
    <row r="54" spans="1:18" x14ac:dyDescent="0.35">
      <c r="A54" s="144"/>
      <c r="B54" s="144"/>
      <c r="C54" s="145"/>
      <c r="D54" s="84" t="s">
        <v>52</v>
      </c>
    </row>
    <row r="55" spans="1:18" x14ac:dyDescent="0.35">
      <c r="A55" s="144"/>
      <c r="B55" s="144"/>
      <c r="C55" s="145"/>
      <c r="D55" s="84" t="s">
        <v>53</v>
      </c>
    </row>
    <row r="56" spans="1:18" x14ac:dyDescent="0.35">
      <c r="A56" s="144"/>
      <c r="B56" s="144"/>
      <c r="C56" s="145"/>
      <c r="D56" s="80"/>
      <c r="E56" s="80">
        <f xml:space="preserve"> SUM(E52:E55)</f>
        <v>0</v>
      </c>
      <c r="F56" s="80">
        <f xml:space="preserve"> SUM(F52:F55)</f>
        <v>0</v>
      </c>
      <c r="G56" s="80"/>
      <c r="H56" s="80"/>
      <c r="I56" s="94"/>
      <c r="J56" s="80"/>
      <c r="K56" s="80"/>
      <c r="L56" s="80"/>
      <c r="M56" s="80"/>
      <c r="N56" s="94"/>
      <c r="O56" s="84"/>
      <c r="P56" s="84"/>
      <c r="Q56" s="84"/>
      <c r="R56" s="84"/>
    </row>
    <row r="57" spans="1:18" x14ac:dyDescent="0.35">
      <c r="A57" s="144"/>
      <c r="B57" s="144" t="s">
        <v>79</v>
      </c>
      <c r="C57" s="145"/>
      <c r="D57" s="84" t="s">
        <v>51</v>
      </c>
    </row>
    <row r="58" spans="1:18" x14ac:dyDescent="0.35">
      <c r="A58" s="144"/>
      <c r="B58" s="144"/>
      <c r="C58" s="145"/>
      <c r="D58" s="85" t="s">
        <v>49</v>
      </c>
    </row>
    <row r="59" spans="1:18" x14ac:dyDescent="0.35">
      <c r="A59" s="144"/>
      <c r="B59" s="144"/>
      <c r="C59" s="145"/>
      <c r="D59" s="85" t="s">
        <v>50</v>
      </c>
    </row>
    <row r="60" spans="1:18" x14ac:dyDescent="0.35">
      <c r="A60" s="144"/>
      <c r="B60" s="144"/>
      <c r="C60" s="145"/>
      <c r="D60" s="84" t="s">
        <v>52</v>
      </c>
    </row>
    <row r="61" spans="1:18" x14ac:dyDescent="0.35">
      <c r="A61" s="144"/>
      <c r="B61" s="144"/>
      <c r="C61" s="145"/>
      <c r="D61" s="84" t="s">
        <v>53</v>
      </c>
    </row>
    <row r="62" spans="1:18" x14ac:dyDescent="0.35">
      <c r="A62" s="144"/>
      <c r="B62" s="144"/>
      <c r="C62" s="145"/>
      <c r="D62" s="80"/>
      <c r="E62" s="80">
        <f xml:space="preserve"> SUM(E58:E61)</f>
        <v>0</v>
      </c>
      <c r="F62" s="80">
        <f xml:space="preserve"> SUM(F58:F61)</f>
        <v>0</v>
      </c>
      <c r="G62" s="80"/>
      <c r="H62" s="80"/>
      <c r="I62" s="94"/>
      <c r="J62" s="80"/>
      <c r="K62" s="80"/>
      <c r="L62" s="80"/>
      <c r="M62" s="80"/>
      <c r="N62" s="94"/>
      <c r="O62" s="84"/>
      <c r="P62" s="84"/>
      <c r="Q62" s="84"/>
      <c r="R62" s="84"/>
    </row>
    <row r="63" spans="1:18" x14ac:dyDescent="0.35">
      <c r="A63" s="144" t="s">
        <v>80</v>
      </c>
      <c r="B63" s="144" t="s">
        <v>79</v>
      </c>
      <c r="C63" s="144" t="s">
        <v>17</v>
      </c>
      <c r="D63" s="84" t="s">
        <v>51</v>
      </c>
      <c r="E63" s="122">
        <v>1723.89</v>
      </c>
      <c r="F63" s="122">
        <v>1521.15</v>
      </c>
    </row>
    <row r="64" spans="1:18" x14ac:dyDescent="0.35">
      <c r="A64" s="144"/>
      <c r="B64" s="144"/>
      <c r="C64" s="144"/>
      <c r="D64" s="85" t="s">
        <v>49</v>
      </c>
      <c r="E64" s="122">
        <v>453.255</v>
      </c>
      <c r="F64" s="122">
        <v>443.32100000000003</v>
      </c>
    </row>
    <row r="65" spans="1:18" x14ac:dyDescent="0.35">
      <c r="A65" s="144"/>
      <c r="B65" s="144"/>
      <c r="C65" s="144"/>
      <c r="D65" s="85" t="s">
        <v>50</v>
      </c>
      <c r="E65" s="122">
        <v>464.399</v>
      </c>
      <c r="F65" s="122">
        <v>388.57499999999999</v>
      </c>
    </row>
    <row r="66" spans="1:18" x14ac:dyDescent="0.35">
      <c r="A66" s="144"/>
      <c r="B66" s="144"/>
      <c r="C66" s="144"/>
      <c r="D66" s="84" t="s">
        <v>52</v>
      </c>
      <c r="E66" s="122">
        <v>398.34199999999998</v>
      </c>
      <c r="F66" s="122">
        <v>351.327</v>
      </c>
    </row>
    <row r="67" spans="1:18" x14ac:dyDescent="0.35">
      <c r="A67" s="144"/>
      <c r="B67" s="144"/>
      <c r="C67" s="144"/>
      <c r="D67" s="84" t="s">
        <v>53</v>
      </c>
      <c r="E67" s="122">
        <v>406.8</v>
      </c>
      <c r="F67" s="122">
        <v>339.05399999999997</v>
      </c>
    </row>
    <row r="68" spans="1:18" x14ac:dyDescent="0.35">
      <c r="A68" s="144"/>
      <c r="B68" s="144"/>
      <c r="C68" s="144"/>
      <c r="D68" s="80"/>
      <c r="E68" s="80">
        <f xml:space="preserve"> SUM(E63:E67)</f>
        <v>3446.6860000000001</v>
      </c>
      <c r="F68" s="80">
        <f xml:space="preserve"> SUM(F64:F67)</f>
        <v>1522.277</v>
      </c>
      <c r="G68" s="80"/>
      <c r="H68" s="80"/>
      <c r="I68" s="94"/>
      <c r="J68" s="80"/>
      <c r="K68" s="80"/>
      <c r="L68" s="80"/>
      <c r="M68" s="80"/>
      <c r="N68" s="94"/>
      <c r="O68" s="84"/>
      <c r="P68" s="84"/>
      <c r="Q68" s="84"/>
      <c r="R68" s="84"/>
    </row>
    <row r="69" spans="1:18" x14ac:dyDescent="0.35">
      <c r="A69" s="144" t="s">
        <v>82</v>
      </c>
      <c r="B69" s="144" t="s">
        <v>79</v>
      </c>
      <c r="C69" s="144" t="s">
        <v>17</v>
      </c>
      <c r="D69" s="84" t="s">
        <v>51</v>
      </c>
      <c r="E69" s="122">
        <v>869.03499999999997</v>
      </c>
      <c r="F69" s="122">
        <v>823.77499999999998</v>
      </c>
    </row>
    <row r="70" spans="1:18" x14ac:dyDescent="0.35">
      <c r="A70" s="144"/>
      <c r="B70" s="144"/>
      <c r="C70" s="144"/>
      <c r="D70" s="85" t="s">
        <v>49</v>
      </c>
      <c r="E70" s="122">
        <v>228.11799999999999</v>
      </c>
      <c r="F70" s="122">
        <v>258.27199999999999</v>
      </c>
    </row>
    <row r="71" spans="1:18" x14ac:dyDescent="0.35">
      <c r="A71" s="144"/>
      <c r="B71" s="144"/>
      <c r="C71" s="144"/>
      <c r="D71" s="85" t="s">
        <v>50</v>
      </c>
      <c r="E71" s="122">
        <v>227.97399999999999</v>
      </c>
      <c r="F71" s="122">
        <v>185.577</v>
      </c>
    </row>
    <row r="72" spans="1:18" x14ac:dyDescent="0.35">
      <c r="A72" s="144"/>
      <c r="B72" s="144"/>
      <c r="C72" s="144"/>
      <c r="D72" s="84" t="s">
        <v>52</v>
      </c>
      <c r="E72" s="122">
        <v>203.691</v>
      </c>
      <c r="F72" s="122">
        <v>195.50899999999999</v>
      </c>
    </row>
    <row r="73" spans="1:18" x14ac:dyDescent="0.35">
      <c r="A73" s="144"/>
      <c r="B73" s="144"/>
      <c r="C73" s="144"/>
      <c r="D73" s="84" t="s">
        <v>53</v>
      </c>
      <c r="E73" s="122">
        <v>198.38499999999999</v>
      </c>
      <c r="F73" s="122">
        <v>181.02</v>
      </c>
    </row>
    <row r="74" spans="1:18" x14ac:dyDescent="0.35">
      <c r="A74" s="144"/>
      <c r="B74" s="144"/>
      <c r="C74" s="144"/>
      <c r="D74" s="80"/>
      <c r="E74" s="80">
        <f xml:space="preserve"> SUM(E70:E73)</f>
        <v>858.16800000000001</v>
      </c>
      <c r="F74" s="80">
        <f xml:space="preserve"> SUM(F70:F73)</f>
        <v>820.37799999999993</v>
      </c>
      <c r="G74" s="80"/>
      <c r="H74" s="80"/>
      <c r="I74" s="94"/>
      <c r="J74" s="80"/>
      <c r="K74" s="80"/>
      <c r="L74" s="80"/>
      <c r="M74" s="80"/>
      <c r="N74" s="94"/>
      <c r="O74" s="84"/>
      <c r="P74" s="84"/>
      <c r="Q74" s="84"/>
      <c r="R74" s="84"/>
    </row>
    <row r="75" spans="1:18" x14ac:dyDescent="0.35">
      <c r="A75" s="144" t="s">
        <v>81</v>
      </c>
      <c r="B75" s="144" t="s">
        <v>83</v>
      </c>
      <c r="C75" s="144" t="s">
        <v>17</v>
      </c>
      <c r="D75" s="84" t="s">
        <v>51</v>
      </c>
      <c r="E75" s="122">
        <v>1694.17</v>
      </c>
      <c r="F75" s="122">
        <v>1711.08</v>
      </c>
    </row>
    <row r="76" spans="1:18" x14ac:dyDescent="0.35">
      <c r="A76" s="144"/>
      <c r="B76" s="144"/>
      <c r="C76" s="144"/>
      <c r="D76" s="85" t="s">
        <v>49</v>
      </c>
      <c r="E76" s="122">
        <v>461.68</v>
      </c>
      <c r="F76" s="122">
        <v>490.52499999999998</v>
      </c>
    </row>
    <row r="77" spans="1:18" x14ac:dyDescent="0.35">
      <c r="A77" s="144"/>
      <c r="B77" s="144"/>
      <c r="C77" s="144"/>
      <c r="D77" s="85" t="s">
        <v>50</v>
      </c>
      <c r="E77" s="122">
        <v>411.524</v>
      </c>
      <c r="F77" s="122">
        <v>423.49400000000003</v>
      </c>
    </row>
    <row r="78" spans="1:18" x14ac:dyDescent="0.35">
      <c r="A78" s="144"/>
      <c r="B78" s="144"/>
      <c r="C78" s="144"/>
      <c r="D78" s="84" t="s">
        <v>52</v>
      </c>
      <c r="E78" s="122">
        <v>400.12</v>
      </c>
      <c r="F78" s="122">
        <v>405.35199999999998</v>
      </c>
    </row>
    <row r="79" spans="1:18" x14ac:dyDescent="0.35">
      <c r="A79" s="144"/>
      <c r="B79" s="144"/>
      <c r="C79" s="144"/>
      <c r="D79" s="84" t="s">
        <v>53</v>
      </c>
      <c r="E79" s="122">
        <v>421.89499999999998</v>
      </c>
      <c r="F79" s="122">
        <v>392.27100000000002</v>
      </c>
    </row>
    <row r="80" spans="1:18" x14ac:dyDescent="0.35">
      <c r="A80" s="144"/>
      <c r="B80" s="144"/>
      <c r="C80" s="144"/>
      <c r="D80" s="80"/>
      <c r="E80" s="80">
        <f xml:space="preserve"> SUM(E76:E79)</f>
        <v>1695.2190000000001</v>
      </c>
      <c r="F80" s="80">
        <f xml:space="preserve"> SUM(F76:F79)</f>
        <v>1711.6420000000001</v>
      </c>
      <c r="G80" s="80"/>
      <c r="H80" s="80"/>
      <c r="I80" s="94"/>
      <c r="J80" s="80"/>
      <c r="K80" s="80"/>
      <c r="L80" s="80"/>
      <c r="M80" s="80"/>
      <c r="N80" s="94"/>
      <c r="O80" s="84"/>
      <c r="P80" s="84"/>
      <c r="Q80" s="84"/>
      <c r="R80" s="84"/>
    </row>
    <row r="81" spans="1:18" x14ac:dyDescent="0.35">
      <c r="A81" s="144"/>
      <c r="B81" s="144" t="s">
        <v>79</v>
      </c>
      <c r="C81" s="144" t="s">
        <v>17</v>
      </c>
      <c r="D81" s="84" t="s">
        <v>51</v>
      </c>
      <c r="E81" s="122">
        <v>951.87400000000002</v>
      </c>
      <c r="F81" s="122">
        <v>879.52300000000002</v>
      </c>
    </row>
    <row r="82" spans="1:18" x14ac:dyDescent="0.35">
      <c r="A82" s="144"/>
      <c r="B82" s="144"/>
      <c r="C82" s="144"/>
      <c r="D82" s="85" t="s">
        <v>49</v>
      </c>
      <c r="E82" s="122">
        <v>283.19299999999998</v>
      </c>
      <c r="F82" s="122">
        <v>242.74799999999999</v>
      </c>
    </row>
    <row r="83" spans="1:18" x14ac:dyDescent="0.35">
      <c r="A83" s="144"/>
      <c r="B83" s="144"/>
      <c r="C83" s="144"/>
      <c r="D83" s="85" t="s">
        <v>50</v>
      </c>
      <c r="E83" s="122">
        <v>217.476</v>
      </c>
      <c r="F83" s="122">
        <v>226.892</v>
      </c>
    </row>
    <row r="84" spans="1:18" x14ac:dyDescent="0.35">
      <c r="A84" s="144"/>
      <c r="B84" s="144"/>
      <c r="C84" s="144"/>
      <c r="D84" s="84" t="s">
        <v>52</v>
      </c>
      <c r="E84" s="122">
        <v>242.84299999999999</v>
      </c>
      <c r="F84" s="122">
        <v>197.76499999999999</v>
      </c>
    </row>
    <row r="85" spans="1:18" x14ac:dyDescent="0.35">
      <c r="A85" s="144"/>
      <c r="B85" s="144"/>
      <c r="C85" s="144"/>
      <c r="D85" s="84" t="s">
        <v>53</v>
      </c>
      <c r="E85" s="122">
        <v>206.45699999999999</v>
      </c>
      <c r="F85" s="122">
        <v>210.803</v>
      </c>
    </row>
    <row r="86" spans="1:18" x14ac:dyDescent="0.35">
      <c r="A86" s="144"/>
      <c r="B86" s="144"/>
      <c r="C86" s="144"/>
      <c r="D86" s="80"/>
      <c r="E86" s="80">
        <f xml:space="preserve"> SUM(E82:E85)</f>
        <v>949.96899999999994</v>
      </c>
      <c r="F86" s="80">
        <f xml:space="preserve"> SUM(F82:F85)</f>
        <v>878.20799999999997</v>
      </c>
      <c r="G86" s="80"/>
      <c r="H86" s="80"/>
      <c r="I86" s="94"/>
      <c r="J86" s="80"/>
      <c r="K86" s="80"/>
      <c r="L86" s="80"/>
      <c r="M86" s="80"/>
      <c r="N86" s="94"/>
      <c r="O86" s="84"/>
      <c r="P86" s="84"/>
      <c r="Q86" s="84"/>
      <c r="R86" s="84"/>
    </row>
  </sheetData>
  <mergeCells count="25">
    <mergeCell ref="A75:A86"/>
    <mergeCell ref="B75:B80"/>
    <mergeCell ref="C75:C80"/>
    <mergeCell ref="B81:B86"/>
    <mergeCell ref="C81:C86"/>
    <mergeCell ref="A63:A68"/>
    <mergeCell ref="B63:B68"/>
    <mergeCell ref="C63:C68"/>
    <mergeCell ref="A69:A74"/>
    <mergeCell ref="B69:B74"/>
    <mergeCell ref="C69:C74"/>
    <mergeCell ref="A33:A62"/>
    <mergeCell ref="B33:B38"/>
    <mergeCell ref="C33:C62"/>
    <mergeCell ref="B39:B44"/>
    <mergeCell ref="B45:B50"/>
    <mergeCell ref="B51:B56"/>
    <mergeCell ref="B57:B62"/>
    <mergeCell ref="A3:A32"/>
    <mergeCell ref="B3:B32"/>
    <mergeCell ref="C3:C8"/>
    <mergeCell ref="C9:C14"/>
    <mergeCell ref="C15:C20"/>
    <mergeCell ref="C21:C26"/>
    <mergeCell ref="C27:C3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defaultFit_Inclusive</vt:lpstr>
      <vt:lpstr>defaultFit_Prompt</vt:lpstr>
      <vt:lpstr>defaultFit_NonPrompt</vt:lpstr>
      <vt:lpstr>fitSyst_Inclusive</vt:lpstr>
      <vt:lpstr>fitSyst_bFrac</vt:lpstr>
      <vt:lpstr>fitSyst_Prompt</vt:lpstr>
      <vt:lpstr>fitSyst_NonPrompt</vt:lpstr>
      <vt:lpstr>trgBiassing</vt:lpstr>
      <vt:lpstr>epSystematic</vt:lpstr>
      <vt:lpstr>zVtx_cut_10cm</vt:lpstr>
      <vt:lpstr>nbkg_defaultFit</vt:lpstr>
      <vt:lpstr>NcollNpart</vt:lpstr>
      <vt:lpstr>ep_CorrectionFactors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Mihee Jo</cp:lastModifiedBy>
  <dcterms:created xsi:type="dcterms:W3CDTF">2012-01-24T10:20:27Z</dcterms:created>
  <dcterms:modified xsi:type="dcterms:W3CDTF">2012-03-16T05:58:17Z</dcterms:modified>
</cp:coreProperties>
</file>