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careers-my.sharepoint.com/personal/kristiana_365careers_onmicrosoft_com/Documents/CFA Level 1/4_Financial Reporting and Analysis/Reading 26 Financial Analysis Techniques/"/>
    </mc:Choice>
  </mc:AlternateContent>
  <xr:revisionPtr revIDLastSave="2819" documentId="114_{697FDD00-CAF3-4796-BCF2-12BA3BDDD244}" xr6:coauthVersionLast="45" xr6:coauthVersionMax="45" xr10:uidLastSave="{781B969C-CB2D-4CCD-B496-DEA752BE7708}"/>
  <bookViews>
    <workbookView xWindow="-108" yWindow="-108" windowWidth="23256" windowHeight="13176" tabRatio="950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8" l="1"/>
  <c r="E30" i="8"/>
  <c r="I26" i="8"/>
  <c r="E26" i="8"/>
  <c r="I22" i="8"/>
  <c r="E22" i="8"/>
  <c r="I26" i="7" l="1"/>
  <c r="K25" i="7" s="1"/>
  <c r="I25" i="7"/>
  <c r="G25" i="7"/>
  <c r="E26" i="7"/>
  <c r="E25" i="7"/>
  <c r="I6" i="7" l="1"/>
  <c r="E6" i="7"/>
  <c r="I5" i="7"/>
  <c r="K5" i="7" s="1"/>
  <c r="E5" i="7"/>
  <c r="G5" i="7" s="1"/>
  <c r="I6" i="5" l="1"/>
  <c r="I5" i="5"/>
  <c r="E6" i="5"/>
  <c r="G5" i="5" s="1"/>
  <c r="E5" i="5"/>
  <c r="K5" i="5" l="1"/>
  <c r="I6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E21" i="4" l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I25" i="9" s="1"/>
  <c r="D52" i="3"/>
  <c r="E25" i="9" s="1"/>
  <c r="H20" i="15" l="1"/>
  <c r="I20" i="15" s="1"/>
  <c r="J20" i="15" s="1"/>
  <c r="H33" i="15"/>
  <c r="J7" i="15"/>
  <c r="I17" i="9"/>
  <c r="E17" i="9"/>
  <c r="I18" i="9"/>
  <c r="E18" i="9"/>
  <c r="I13" i="9"/>
  <c r="E54" i="3"/>
  <c r="D54" i="3"/>
  <c r="E13" i="9" s="1"/>
  <c r="I9" i="9"/>
  <c r="E9" i="9"/>
  <c r="D41" i="3"/>
  <c r="E41" i="3"/>
  <c r="D48" i="3"/>
  <c r="E48" i="3"/>
  <c r="I6" i="9"/>
  <c r="E6" i="9"/>
  <c r="I33" i="15" l="1"/>
  <c r="K20" i="15"/>
  <c r="K7" i="15"/>
  <c r="K17" i="9"/>
  <c r="G17" i="9"/>
  <c r="J33" i="15" l="1"/>
  <c r="I22" i="7"/>
  <c r="E22" i="7"/>
  <c r="K33" i="15" l="1"/>
  <c r="I17" i="5"/>
  <c r="E17" i="5"/>
  <c r="I13" i="5"/>
  <c r="E13" i="5"/>
  <c r="I9" i="5"/>
  <c r="E9" i="5"/>
  <c r="I21" i="4" l="1"/>
  <c r="I18" i="7" l="1"/>
  <c r="E18" i="7"/>
  <c r="I13" i="7"/>
  <c r="I9" i="7"/>
  <c r="I30" i="4"/>
  <c r="E30" i="4"/>
  <c r="I22" i="4"/>
  <c r="E22" i="4"/>
  <c r="I14" i="4"/>
  <c r="E14" i="4"/>
  <c r="I13" i="4"/>
  <c r="F45" i="2"/>
  <c r="F39" i="2"/>
  <c r="F30" i="2"/>
  <c r="F32" i="2" s="1"/>
  <c r="F22" i="2"/>
  <c r="F15" i="2"/>
  <c r="I18" i="5"/>
  <c r="E18" i="5"/>
  <c r="F23" i="2" l="1"/>
  <c r="F46" i="2"/>
  <c r="F47" i="2" s="1"/>
  <c r="K13" i="4"/>
  <c r="I18" i="4" s="1"/>
  <c r="K17" i="4" s="1"/>
  <c r="I43" i="4" s="1"/>
  <c r="K21" i="4"/>
  <c r="I26" i="4" s="1"/>
  <c r="K25" i="4" s="1"/>
  <c r="I45" i="4" s="1"/>
  <c r="K17" i="5"/>
  <c r="D6" i="10" l="1"/>
  <c r="D7" i="10"/>
  <c r="F49" i="2"/>
  <c r="E13" i="7"/>
  <c r="E9" i="7"/>
  <c r="G17" i="5" l="1"/>
  <c r="E13" i="4"/>
  <c r="G13" i="4" l="1"/>
  <c r="E18" i="4" s="1"/>
  <c r="G17" i="4" s="1"/>
  <c r="E43" i="4" s="1"/>
  <c r="G21" i="4"/>
  <c r="E26" i="4" s="1"/>
  <c r="E45" i="2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E48" i="4" l="1"/>
  <c r="E5" i="4"/>
  <c r="G5" i="4" s="1"/>
  <c r="F5" i="15"/>
  <c r="C10" i="14"/>
  <c r="C18" i="14" s="1"/>
  <c r="I5" i="4"/>
  <c r="K5" i="4" s="1"/>
  <c r="I10" i="4" s="1"/>
  <c r="K9" i="4" s="1"/>
  <c r="I41" i="4" s="1"/>
  <c r="K41" i="4" s="1"/>
  <c r="E5" i="15"/>
  <c r="F10" i="14"/>
  <c r="F18" i="14" s="1"/>
  <c r="E6" i="10"/>
  <c r="E34" i="4"/>
  <c r="G25" i="4"/>
  <c r="E45" i="4" s="1"/>
  <c r="E10" i="7"/>
  <c r="E49" i="4"/>
  <c r="G48" i="4" s="1"/>
  <c r="G8" i="11" s="1"/>
  <c r="E15" i="10"/>
  <c r="E17" i="3"/>
  <c r="I37" i="4"/>
  <c r="I6" i="8"/>
  <c r="I48" i="4"/>
  <c r="I14" i="8"/>
  <c r="I18" i="8"/>
  <c r="I29" i="4"/>
  <c r="K29" i="4" s="1"/>
  <c r="I10" i="8"/>
  <c r="I33" i="4"/>
  <c r="I34" i="8"/>
  <c r="D15" i="10"/>
  <c r="I10" i="7"/>
  <c r="K9" i="7" s="1"/>
  <c r="D16" i="10" s="1"/>
  <c r="I49" i="4"/>
  <c r="I34" i="4"/>
  <c r="E34" i="8"/>
  <c r="I10" i="5"/>
  <c r="K9" i="5" s="1"/>
  <c r="D12" i="10" s="1"/>
  <c r="I14" i="5"/>
  <c r="K13" i="5" s="1"/>
  <c r="D13" i="10" s="1"/>
  <c r="E46" i="2"/>
  <c r="D17" i="3"/>
  <c r="E10" i="8"/>
  <c r="E18" i="8"/>
  <c r="E14" i="8"/>
  <c r="E6" i="8"/>
  <c r="E33" i="4"/>
  <c r="E10" i="4"/>
  <c r="G9" i="4" s="1"/>
  <c r="E41" i="4" s="1"/>
  <c r="G41" i="4" s="1"/>
  <c r="E29" i="4"/>
  <c r="G29" i="4" s="1"/>
  <c r="E37" i="4"/>
  <c r="E14" i="5"/>
  <c r="G13" i="5" s="1"/>
  <c r="E13" i="10" s="1"/>
  <c r="E10" i="5"/>
  <c r="G9" i="5" s="1"/>
  <c r="E12" i="10" s="1"/>
  <c r="D23" i="2"/>
  <c r="E23" i="2"/>
  <c r="D22" i="3"/>
  <c r="E22" i="3"/>
  <c r="D24" i="3" l="1"/>
  <c r="I5" i="8"/>
  <c r="K5" i="8" s="1"/>
  <c r="D19" i="10" s="1"/>
  <c r="G10" i="14"/>
  <c r="E24" i="3"/>
  <c r="I25" i="8" s="1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E5" i="8"/>
  <c r="D10" i="14"/>
  <c r="D8" i="10"/>
  <c r="D5" i="10"/>
  <c r="E47" i="2"/>
  <c r="F9" i="13"/>
  <c r="G9" i="13" s="1"/>
  <c r="E7" i="10"/>
  <c r="D47" i="2"/>
  <c r="D49" i="2" s="1"/>
  <c r="D9" i="13"/>
  <c r="E9" i="13" s="1"/>
  <c r="E5" i="10"/>
  <c r="F6" i="13"/>
  <c r="G6" i="13" s="1"/>
  <c r="F8" i="13"/>
  <c r="G8" i="13" s="1"/>
  <c r="F5" i="13"/>
  <c r="G5" i="13" s="1"/>
  <c r="D7" i="13"/>
  <c r="E7" i="13" s="1"/>
  <c r="D6" i="13"/>
  <c r="E6" i="13" s="1"/>
  <c r="D8" i="13"/>
  <c r="E8" i="13" s="1"/>
  <c r="D5" i="13"/>
  <c r="E5" i="13" s="1"/>
  <c r="E49" i="2"/>
  <c r="E17" i="7"/>
  <c r="G17" i="7" s="1"/>
  <c r="K33" i="4"/>
  <c r="E14" i="7"/>
  <c r="G13" i="7" s="1"/>
  <c r="E38" i="4"/>
  <c r="G37" i="4" s="1"/>
  <c r="G17" i="11" s="1"/>
  <c r="K26" i="11" s="1"/>
  <c r="K48" i="4"/>
  <c r="G9" i="11" s="1"/>
  <c r="I14" i="7"/>
  <c r="K13" i="7" s="1"/>
  <c r="I38" i="4"/>
  <c r="K37" i="4" s="1"/>
  <c r="G18" i="11" s="1"/>
  <c r="K27" i="11" s="1"/>
  <c r="I17" i="7"/>
  <c r="K17" i="7" s="1"/>
  <c r="D11" i="10"/>
  <c r="G9" i="7"/>
  <c r="E16" i="10" s="1"/>
  <c r="E11" i="10"/>
  <c r="G33" i="4"/>
  <c r="D28" i="3"/>
  <c r="G26" i="11" s="1"/>
  <c r="E9" i="8"/>
  <c r="G9" i="8" s="1"/>
  <c r="I9" i="8" l="1"/>
  <c r="K9" i="8" s="1"/>
  <c r="I29" i="8"/>
  <c r="K29" i="8" s="1"/>
  <c r="K25" i="8"/>
  <c r="E28" i="3"/>
  <c r="G27" i="11" s="1"/>
  <c r="I21" i="7"/>
  <c r="K21" i="7" s="1"/>
  <c r="F7" i="13"/>
  <c r="G7" i="13" s="1"/>
  <c r="E21" i="7"/>
  <c r="G21" i="7" s="1"/>
  <c r="E25" i="8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I26" i="11"/>
  <c r="E20" i="10"/>
  <c r="I27" i="11"/>
  <c r="D20" i="10"/>
  <c r="I18" i="11"/>
  <c r="D17" i="10"/>
  <c r="E17" i="10"/>
  <c r="I17" i="11"/>
  <c r="D9" i="10"/>
  <c r="E8" i="10"/>
  <c r="E9" i="10"/>
  <c r="G10" i="13"/>
  <c r="E10" i="13"/>
  <c r="E32" i="3"/>
  <c r="I21" i="8" s="1"/>
  <c r="K21" i="8" s="1"/>
  <c r="D32" i="3"/>
  <c r="E21" i="8" s="1"/>
  <c r="G21" i="8" s="1"/>
  <c r="E13" i="8"/>
  <c r="G13" i="8" s="1"/>
  <c r="E29" i="8" l="1"/>
  <c r="G29" i="8" s="1"/>
  <c r="G25" i="8"/>
  <c r="I13" i="8"/>
  <c r="K13" i="8" s="1"/>
  <c r="F24" i="15"/>
  <c r="F12" i="15"/>
  <c r="E18" i="14"/>
  <c r="I10" i="14"/>
  <c r="E26" i="11"/>
  <c r="E26" i="9"/>
  <c r="G25" i="9" s="1"/>
  <c r="E22" i="9"/>
  <c r="E21" i="9"/>
  <c r="E14" i="9"/>
  <c r="G13" i="9" s="1"/>
  <c r="E24" i="15"/>
  <c r="E37" i="15" s="1"/>
  <c r="E12" i="15"/>
  <c r="E25" i="15" s="1"/>
  <c r="E38" i="15" s="1"/>
  <c r="E27" i="11"/>
  <c r="I21" i="9"/>
  <c r="I26" i="9"/>
  <c r="K25" i="9" s="1"/>
  <c r="I22" i="9"/>
  <c r="I14" i="9"/>
  <c r="K13" i="9" s="1"/>
  <c r="M26" i="11"/>
  <c r="C26" i="11" s="1"/>
  <c r="M27" i="11"/>
  <c r="E5" i="9"/>
  <c r="G5" i="9" s="1"/>
  <c r="I5" i="9"/>
  <c r="K5" i="9" s="1"/>
  <c r="E33" i="8"/>
  <c r="G33" i="8" s="1"/>
  <c r="E17" i="8"/>
  <c r="G17" i="8" s="1"/>
  <c r="I33" i="8"/>
  <c r="K33" i="8" s="1"/>
  <c r="I17" i="8"/>
  <c r="K17" i="8" s="1"/>
  <c r="G21" i="9" l="1"/>
  <c r="K21" i="9"/>
  <c r="F25" i="15"/>
  <c r="F38" i="15" s="1"/>
  <c r="H38" i="15" s="1"/>
  <c r="I38" i="15" s="1"/>
  <c r="J38" i="15" s="1"/>
  <c r="K38" i="15" s="1"/>
  <c r="G12" i="15"/>
  <c r="F37" i="15"/>
  <c r="G37" i="15" s="1"/>
  <c r="G24" i="15"/>
  <c r="C27" i="11"/>
  <c r="E9" i="11"/>
  <c r="D21" i="10"/>
  <c r="I10" i="9"/>
  <c r="K9" i="9" s="1"/>
  <c r="D25" i="10" s="1"/>
  <c r="D24" i="10"/>
  <c r="E8" i="11"/>
  <c r="E21" i="10"/>
  <c r="K29" i="9"/>
  <c r="D22" i="10"/>
  <c r="E10" i="9"/>
  <c r="G9" i="9" s="1"/>
  <c r="E25" i="10" s="1"/>
  <c r="E24" i="10"/>
  <c r="E22" i="10"/>
  <c r="G29" i="9"/>
  <c r="G5" i="8"/>
  <c r="E19" i="10" s="1"/>
  <c r="D26" i="10" l="1"/>
  <c r="G18" i="15"/>
  <c r="G22" i="15" s="1"/>
  <c r="H24" i="15"/>
  <c r="H37" i="15"/>
  <c r="G31" i="15"/>
  <c r="G35" i="15" s="1"/>
  <c r="H12" i="15"/>
  <c r="I12" i="15" s="1"/>
  <c r="J12" i="15" s="1"/>
  <c r="K12" i="15" s="1"/>
  <c r="G11" i="15"/>
  <c r="E26" i="10"/>
  <c r="E17" i="11"/>
  <c r="C17" i="11" s="1"/>
  <c r="C8" i="11"/>
  <c r="C9" i="11"/>
  <c r="E18" i="11"/>
  <c r="C18" i="11" s="1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<sst xmlns="http://schemas.openxmlformats.org/spreadsheetml/2006/main" count="551" uniqueCount="283">
  <si>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</si>
  <si>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</si>
  <si>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</si>
  <si>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</si>
  <si>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</si>
  <si>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</si>
  <si>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</si>
  <si>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</si>
  <si>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</si>
  <si>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</si>
  <si>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-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</si>
  <si>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</si>
  <si>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</si>
  <si>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</si>
  <si>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</si>
  <si>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</si>
  <si>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</si>
  <si>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</si>
  <si>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</si>
  <si>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</si>
  <si>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</si>
  <si>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</si>
  <si>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</si>
  <si>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</si>
  <si>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</si>
  <si>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</si>
  <si>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</si>
  <si>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</si>
  <si>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</si>
  <si>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</si>
  <si>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</si>
  <si>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</si>
  <si>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</si>
  <si>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</si>
  <si>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</si>
  <si>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</si>
  <si>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</si>
  <si>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</si>
  <si>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</si>
  <si>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</si>
  <si>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</si>
  <si>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</si>
  <si>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</si>
  <si>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</si>
  <si>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</si>
  <si>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</si>
  <si>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</si>
  <si>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</si>
  <si>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</si>
  <si>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</si>
  <si>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</si>
  <si>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</si>
  <si>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</si>
  <si>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</si>
  <si>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</si>
  <si>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</si>
  <si>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</si>
  <si>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</si>
  <si>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</si>
  <si>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</si>
  <si>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</si>
  <si>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</si>
  <si>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</si>
  <si>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</si>
  <si>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</si>
  <si>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</si>
  <si>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</si>
  <si>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+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</si>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</sst>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4" xfId="0" applyFont="1" applyBorder="1"/>
    <xf numFmtId="9" fontId="4" fillId="0" borderId="3" xfId="1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tabSelected="1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/>
    </sheetView>
  </sheetViews>
  <sheetFormatPr defaultRowHeight="11.4" x14ac:dyDescent="0.2"/>
  <cols>
    <col min="1" max="1" width="2.77734375" style="3" customWidth="1"/>
    <col min="2" max="2" width="34.5546875" style="3" customWidth="1"/>
    <col min="3" max="3" width="8.8867187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8671875" style="3"/>
  </cols>
  <sheetData>
    <row r="3" spans="2:7" ht="15.6" x14ac:dyDescent="0.3">
      <c r="B3" s="25" t="s">
        <v>143</v>
      </c>
    </row>
    <row r="4" spans="2:7" ht="15.6" x14ac:dyDescent="0.3">
      <c r="B4" s="25" t="s">
        <v>106</v>
      </c>
    </row>
    <row r="5" spans="2:7" ht="15.6" x14ac:dyDescent="0.3">
      <c r="B5" s="25" t="s">
        <v>88</v>
      </c>
    </row>
    <row r="6" spans="2:7" ht="12" x14ac:dyDescent="0.25">
      <c r="D6" s="63" t="s">
        <v>93</v>
      </c>
      <c r="E6" s="63" t="s">
        <v>94</v>
      </c>
    </row>
    <row r="7" spans="2:7" ht="12" customHeight="1" thickBot="1" x14ac:dyDescent="0.3">
      <c r="B7" s="23" t="s">
        <v>87</v>
      </c>
      <c r="C7" s="24" t="s">
        <v>0</v>
      </c>
      <c r="D7" s="24" t="s">
        <v>129</v>
      </c>
      <c r="E7" s="24" t="s">
        <v>130</v>
      </c>
      <c r="F7" s="24" t="s">
        <v>131</v>
      </c>
    </row>
    <row r="8" spans="2:7" x14ac:dyDescent="0.2">
      <c r="B8" s="4"/>
    </row>
    <row r="9" spans="2:7" ht="12" x14ac:dyDescent="0.2">
      <c r="B9" s="6" t="s">
        <v>1</v>
      </c>
      <c r="C9" s="7"/>
      <c r="D9" s="8"/>
      <c r="E9" s="8"/>
      <c r="F9" s="8"/>
    </row>
    <row r="10" spans="2:7" ht="12" x14ac:dyDescent="0.2">
      <c r="B10" s="6" t="s">
        <v>2</v>
      </c>
      <c r="C10" s="7"/>
      <c r="D10" s="160"/>
      <c r="E10" s="160"/>
      <c r="F10" s="160"/>
    </row>
    <row r="11" spans="2:7" x14ac:dyDescent="0.2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x14ac:dyDescent="0.2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x14ac:dyDescent="0.2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x14ac:dyDescent="0.2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2" x14ac:dyDescent="0.2">
      <c r="B15" s="6" t="s">
        <v>112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ht="12" x14ac:dyDescent="0.2">
      <c r="B16" s="6"/>
      <c r="C16" s="7"/>
      <c r="D16" s="11"/>
      <c r="E16" s="11"/>
      <c r="F16" s="9"/>
    </row>
    <row r="17" spans="2:9" ht="12" x14ac:dyDescent="0.2">
      <c r="B17" s="6" t="s">
        <v>8</v>
      </c>
      <c r="C17" s="2"/>
      <c r="D17" s="11"/>
      <c r="E17" s="11"/>
    </row>
    <row r="18" spans="2:9" x14ac:dyDescent="0.2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x14ac:dyDescent="0.2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x14ac:dyDescent="0.2">
      <c r="B20" s="4" t="s">
        <v>136</v>
      </c>
      <c r="C20" s="7">
        <v>9</v>
      </c>
      <c r="D20" s="9">
        <v>3346</v>
      </c>
      <c r="E20" s="9">
        <v>3129</v>
      </c>
      <c r="F20" s="9">
        <v>3045</v>
      </c>
    </row>
    <row r="21" spans="2:9" x14ac:dyDescent="0.2">
      <c r="B21" s="36" t="s">
        <v>11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2" x14ac:dyDescent="0.2">
      <c r="B22" s="6" t="s">
        <v>113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2.6" thickBot="1" x14ac:dyDescent="0.25">
      <c r="B23" s="28" t="s">
        <v>12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2">
      <c r="B24" s="4"/>
      <c r="C24" s="7"/>
      <c r="D24" s="9"/>
      <c r="E24" s="9"/>
    </row>
    <row r="25" spans="2:9" ht="12" x14ac:dyDescent="0.2">
      <c r="B25" s="6" t="s">
        <v>13</v>
      </c>
      <c r="C25" s="7"/>
      <c r="D25" s="9"/>
      <c r="E25" s="9"/>
    </row>
    <row r="26" spans="2:9" ht="24" x14ac:dyDescent="0.2">
      <c r="B26" s="6" t="s">
        <v>109</v>
      </c>
      <c r="C26" s="7"/>
      <c r="D26" s="64"/>
      <c r="E26" s="64"/>
      <c r="F26" s="64"/>
    </row>
    <row r="27" spans="2:9" x14ac:dyDescent="0.2">
      <c r="B27" s="4" t="s">
        <v>185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x14ac:dyDescent="0.2">
      <c r="B28" s="4" t="s">
        <v>139</v>
      </c>
      <c r="C28" s="7"/>
      <c r="D28" s="9">
        <v>11802</v>
      </c>
      <c r="E28" s="9">
        <v>11980</v>
      </c>
      <c r="F28" s="9">
        <v>13802</v>
      </c>
      <c r="G28" s="10"/>
    </row>
    <row r="29" spans="2:9" x14ac:dyDescent="0.2">
      <c r="B29" s="36" t="s">
        <v>14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2" x14ac:dyDescent="0.2">
      <c r="B30" s="6" t="s">
        <v>114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2" x14ac:dyDescent="0.2">
      <c r="B31" s="6" t="s">
        <v>15</v>
      </c>
      <c r="C31" s="2"/>
      <c r="D31" s="13">
        <v>33628</v>
      </c>
      <c r="E31" s="13">
        <v>28496</v>
      </c>
      <c r="F31" s="13">
        <v>24246</v>
      </c>
    </row>
    <row r="32" spans="2:9" ht="12.6" thickBot="1" x14ac:dyDescent="0.25">
      <c r="B32" s="28" t="s">
        <v>16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ht="12" x14ac:dyDescent="0.2">
      <c r="B33" s="6"/>
      <c r="C33" s="260"/>
      <c r="D33" s="261"/>
      <c r="E33" s="261"/>
    </row>
    <row r="34" spans="2:6" ht="12" x14ac:dyDescent="0.2">
      <c r="B34" s="6" t="s">
        <v>17</v>
      </c>
      <c r="C34" s="260"/>
      <c r="D34" s="262"/>
      <c r="E34" s="262"/>
    </row>
    <row r="35" spans="2:6" ht="12" x14ac:dyDescent="0.2">
      <c r="B35" s="6" t="s">
        <v>18</v>
      </c>
      <c r="C35" s="7"/>
      <c r="D35" s="9"/>
      <c r="E35" s="64"/>
      <c r="F35" s="64"/>
    </row>
    <row r="36" spans="2:6" x14ac:dyDescent="0.2">
      <c r="B36" s="4" t="s">
        <v>140</v>
      </c>
      <c r="C36" s="7">
        <v>14</v>
      </c>
      <c r="D36" s="9">
        <v>16982</v>
      </c>
      <c r="E36" s="9">
        <v>20994</v>
      </c>
      <c r="F36" s="9">
        <v>25781</v>
      </c>
    </row>
    <row r="37" spans="2:6" x14ac:dyDescent="0.2">
      <c r="B37" s="4" t="s">
        <v>19</v>
      </c>
      <c r="C37" s="7">
        <v>16</v>
      </c>
      <c r="D37" s="9">
        <v>797</v>
      </c>
      <c r="E37" s="9">
        <v>793</v>
      </c>
      <c r="F37" s="9">
        <v>669</v>
      </c>
    </row>
    <row r="38" spans="2:6" x14ac:dyDescent="0.2">
      <c r="B38" s="36" t="s">
        <v>20</v>
      </c>
      <c r="C38" s="37">
        <v>15</v>
      </c>
      <c r="D38" s="38">
        <v>522</v>
      </c>
      <c r="E38" s="38">
        <v>421</v>
      </c>
      <c r="F38" s="38">
        <v>377</v>
      </c>
    </row>
    <row r="39" spans="2:6" ht="12" x14ac:dyDescent="0.2">
      <c r="B39" s="6" t="s">
        <v>115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ht="12" x14ac:dyDescent="0.2">
      <c r="B40" s="6"/>
      <c r="C40" s="27"/>
      <c r="D40" s="13"/>
      <c r="E40" s="13"/>
      <c r="F40" s="13"/>
    </row>
    <row r="41" spans="2:6" ht="12" x14ac:dyDescent="0.2">
      <c r="B41" s="6" t="s">
        <v>21</v>
      </c>
      <c r="C41" s="7"/>
      <c r="D41" s="9"/>
      <c r="E41" s="64"/>
      <c r="F41" s="64"/>
    </row>
    <row r="42" spans="2:6" x14ac:dyDescent="0.2">
      <c r="B42" s="4" t="s">
        <v>141</v>
      </c>
      <c r="C42" s="7">
        <v>14</v>
      </c>
      <c r="D42" s="9">
        <v>12492</v>
      </c>
      <c r="E42" s="9">
        <v>14022</v>
      </c>
      <c r="F42" s="9">
        <v>17970</v>
      </c>
    </row>
    <row r="43" spans="2:6" x14ac:dyDescent="0.2">
      <c r="B43" s="4" t="s">
        <v>22</v>
      </c>
      <c r="C43" s="7">
        <v>18</v>
      </c>
      <c r="D43" s="9">
        <v>18699</v>
      </c>
      <c r="E43" s="9">
        <v>18096</v>
      </c>
      <c r="F43" s="9">
        <v>17802</v>
      </c>
    </row>
    <row r="44" spans="2:6" x14ac:dyDescent="0.2">
      <c r="B44" s="4" t="s">
        <v>23</v>
      </c>
      <c r="C44" s="7"/>
      <c r="D44" s="9">
        <v>311</v>
      </c>
      <c r="E44" s="9">
        <v>162</v>
      </c>
      <c r="F44" s="9">
        <v>171</v>
      </c>
    </row>
    <row r="45" spans="2:6" ht="12" x14ac:dyDescent="0.2">
      <c r="B45" s="6" t="s">
        <v>116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2" x14ac:dyDescent="0.2">
      <c r="B46" s="32" t="s">
        <v>24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2.6" thickBot="1" x14ac:dyDescent="0.25">
      <c r="B47" s="28" t="s">
        <v>25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2">
      <c r="D49" s="10">
        <f>D47-D23</f>
        <v>0</v>
      </c>
      <c r="E49" s="10">
        <f>E47-E23</f>
        <v>0</v>
      </c>
      <c r="F49" s="10">
        <f>F47-F23</f>
        <v>0</v>
      </c>
      <c r="G49" s="22" t="s">
        <v>142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C28" sqref="C28"/>
    </sheetView>
  </sheetViews>
  <sheetFormatPr defaultRowHeight="11.4" x14ac:dyDescent="0.2"/>
  <cols>
    <col min="1" max="1" width="2" style="3" customWidth="1"/>
    <col min="2" max="2" width="18.6640625" style="3" bestFit="1" customWidth="1"/>
    <col min="3" max="3" width="11.5546875" style="21" bestFit="1" customWidth="1"/>
    <col min="4" max="4" width="1.77734375" style="3" customWidth="1"/>
    <col min="5" max="5" width="13.88671875" style="21" bestFit="1" customWidth="1"/>
    <col min="6" max="6" width="1.77734375" style="3" customWidth="1"/>
    <col min="7" max="7" width="15.44140625" style="21" bestFit="1" customWidth="1"/>
    <col min="8" max="8" width="1.77734375" style="3" customWidth="1"/>
    <col min="9" max="9" width="19" style="21" bestFit="1" customWidth="1"/>
    <col min="10" max="10" width="1.77734375" style="3" customWidth="1"/>
    <col min="11" max="11" width="15.44140625" style="21" bestFit="1" customWidth="1"/>
    <col min="12" max="12" width="1.77734375" style="3" customWidth="1"/>
    <col min="13" max="13" width="19" style="21" bestFit="1" customWidth="1"/>
    <col min="14" max="14" width="2.6640625" style="3" customWidth="1"/>
    <col min="15" max="16384" width="8.88671875" style="3"/>
  </cols>
  <sheetData>
    <row r="3" spans="2:11" ht="12" x14ac:dyDescent="0.25">
      <c r="B3" s="242" t="s">
        <v>277</v>
      </c>
      <c r="C3" s="106" t="s">
        <v>98</v>
      </c>
      <c r="D3" s="107" t="s">
        <v>44</v>
      </c>
      <c r="E3" s="107" t="s">
        <v>101</v>
      </c>
      <c r="F3" s="107" t="s">
        <v>99</v>
      </c>
      <c r="G3" s="108" t="s">
        <v>102</v>
      </c>
    </row>
    <row r="5" spans="2:11" x14ac:dyDescent="0.2">
      <c r="C5" s="77" t="s">
        <v>82</v>
      </c>
      <c r="D5" s="273" t="s">
        <v>44</v>
      </c>
      <c r="E5" s="78" t="s">
        <v>82</v>
      </c>
      <c r="F5" s="273" t="s">
        <v>99</v>
      </c>
      <c r="G5" s="40" t="s">
        <v>54</v>
      </c>
    </row>
    <row r="6" spans="2:11" x14ac:dyDescent="0.2">
      <c r="C6" s="79" t="s">
        <v>96</v>
      </c>
      <c r="D6" s="274"/>
      <c r="E6" s="20" t="s">
        <v>54</v>
      </c>
      <c r="F6" s="274"/>
      <c r="G6" s="41" t="s">
        <v>96</v>
      </c>
    </row>
    <row r="7" spans="2:11" x14ac:dyDescent="0.2">
      <c r="D7" s="76"/>
      <c r="F7" s="76"/>
    </row>
    <row r="8" spans="2:11" ht="12" x14ac:dyDescent="0.25">
      <c r="B8" s="105" t="s">
        <v>164</v>
      </c>
      <c r="C8" s="86">
        <f>E8*G8</f>
        <v>0.1443438544980018</v>
      </c>
      <c r="D8" s="80" t="s">
        <v>44</v>
      </c>
      <c r="E8" s="100">
        <f>'Profitability ratios'!G17</f>
        <v>8.9003998088963782E-2</v>
      </c>
      <c r="F8" s="80" t="s">
        <v>99</v>
      </c>
      <c r="G8" s="96">
        <f>'Activity ratios'!G48</f>
        <v>1.6217682081396296</v>
      </c>
    </row>
    <row r="9" spans="2:11" ht="12" x14ac:dyDescent="0.25">
      <c r="B9" s="105" t="s">
        <v>165</v>
      </c>
      <c r="C9" s="87">
        <f>E9*G9</f>
        <v>0.13136687601439562</v>
      </c>
      <c r="D9" s="58" t="s">
        <v>44</v>
      </c>
      <c r="E9" s="101">
        <f>'Profitability ratios'!K17</f>
        <v>7.7505953669625482E-2</v>
      </c>
      <c r="F9" s="58" t="s">
        <v>99</v>
      </c>
      <c r="G9" s="97">
        <f>'Activity ratios'!K48</f>
        <v>1.6949262578505397</v>
      </c>
    </row>
    <row r="11" spans="2:11" x14ac:dyDescent="0.2">
      <c r="C11" s="3"/>
    </row>
    <row r="12" spans="2:11" ht="12" x14ac:dyDescent="0.25">
      <c r="B12" s="242" t="s">
        <v>278</v>
      </c>
      <c r="C12" s="109" t="s">
        <v>98</v>
      </c>
      <c r="D12" s="110" t="s">
        <v>44</v>
      </c>
      <c r="E12" s="110" t="s">
        <v>101</v>
      </c>
      <c r="F12" s="110" t="s">
        <v>99</v>
      </c>
      <c r="G12" s="110" t="s">
        <v>100</v>
      </c>
      <c r="H12" s="110" t="s">
        <v>99</v>
      </c>
      <c r="I12" s="111" t="s">
        <v>104</v>
      </c>
      <c r="J12" s="94"/>
    </row>
    <row r="14" spans="2:11" ht="12" x14ac:dyDescent="0.25">
      <c r="C14" s="81" t="s">
        <v>82</v>
      </c>
      <c r="D14" s="273" t="s">
        <v>44</v>
      </c>
      <c r="E14" s="82" t="s">
        <v>82</v>
      </c>
      <c r="F14" s="273" t="s">
        <v>99</v>
      </c>
      <c r="G14" s="82" t="s">
        <v>54</v>
      </c>
      <c r="H14" s="273" t="s">
        <v>99</v>
      </c>
      <c r="I14" s="84" t="s">
        <v>55</v>
      </c>
      <c r="J14" s="75"/>
      <c r="K14" s="63"/>
    </row>
    <row r="15" spans="2:11" x14ac:dyDescent="0.2">
      <c r="C15" s="83" t="s">
        <v>96</v>
      </c>
      <c r="D15" s="274"/>
      <c r="E15" s="74" t="s">
        <v>54</v>
      </c>
      <c r="F15" s="274"/>
      <c r="G15" s="74" t="s">
        <v>55</v>
      </c>
      <c r="H15" s="274"/>
      <c r="I15" s="85" t="s">
        <v>96</v>
      </c>
      <c r="J15" s="75"/>
    </row>
    <row r="16" spans="2:11" x14ac:dyDescent="0.2">
      <c r="C16" s="56"/>
    </row>
    <row r="17" spans="2:13" ht="12" x14ac:dyDescent="0.25">
      <c r="B17" s="105" t="s">
        <v>164</v>
      </c>
      <c r="C17" s="86">
        <f>E17*G17*I17</f>
        <v>0.1443438544980018</v>
      </c>
      <c r="D17" s="80" t="s">
        <v>44</v>
      </c>
      <c r="E17" s="100">
        <f>E8</f>
        <v>8.9003998088963782E-2</v>
      </c>
      <c r="F17" s="80" t="s">
        <v>99</v>
      </c>
      <c r="G17" s="98">
        <f>'Activity ratios'!G37</f>
        <v>1.1378468774945567</v>
      </c>
      <c r="H17" s="80" t="s">
        <v>99</v>
      </c>
      <c r="I17" s="96">
        <f>'Solvency ratios'!G25</f>
        <v>1.4252956528831253</v>
      </c>
      <c r="J17" s="95"/>
    </row>
    <row r="18" spans="2:13" ht="12" x14ac:dyDescent="0.25">
      <c r="B18" s="105" t="s">
        <v>165</v>
      </c>
      <c r="C18" s="87">
        <f>E18*G18*I18</f>
        <v>0.13136687601439564</v>
      </c>
      <c r="D18" s="58" t="s">
        <v>44</v>
      </c>
      <c r="E18" s="101">
        <f>E9</f>
        <v>7.7505953669625482E-2</v>
      </c>
      <c r="F18" s="58" t="s">
        <v>99</v>
      </c>
      <c r="G18" s="99">
        <f>'Activity ratios'!K37</f>
        <v>1.0923495329312995</v>
      </c>
      <c r="H18" s="58" t="s">
        <v>99</v>
      </c>
      <c r="I18" s="97">
        <f>'Solvency ratios'!K25</f>
        <v>1.5516336179521557</v>
      </c>
      <c r="J18" s="95"/>
    </row>
    <row r="21" spans="2:13" ht="12" x14ac:dyDescent="0.25">
      <c r="B21" s="242" t="s">
        <v>279</v>
      </c>
      <c r="C21" s="109" t="s">
        <v>98</v>
      </c>
      <c r="D21" s="110" t="s">
        <v>44</v>
      </c>
      <c r="E21" s="110" t="s">
        <v>161</v>
      </c>
      <c r="F21" s="110" t="s">
        <v>99</v>
      </c>
      <c r="G21" s="110" t="s">
        <v>162</v>
      </c>
      <c r="H21" s="110" t="s">
        <v>99</v>
      </c>
      <c r="I21" s="110" t="s">
        <v>163</v>
      </c>
      <c r="J21" s="110" t="s">
        <v>99</v>
      </c>
      <c r="K21" s="110" t="s">
        <v>100</v>
      </c>
      <c r="L21" s="110" t="s">
        <v>99</v>
      </c>
      <c r="M21" s="111" t="s">
        <v>104</v>
      </c>
    </row>
    <row r="23" spans="2:13" x14ac:dyDescent="0.2">
      <c r="C23" s="88" t="s">
        <v>82</v>
      </c>
      <c r="D23" s="291" t="s">
        <v>44</v>
      </c>
      <c r="E23" s="89" t="s">
        <v>82</v>
      </c>
      <c r="F23" s="291" t="s">
        <v>99</v>
      </c>
      <c r="G23" s="89" t="s">
        <v>84</v>
      </c>
      <c r="H23" s="291" t="s">
        <v>99</v>
      </c>
      <c r="I23" s="89" t="s">
        <v>85</v>
      </c>
      <c r="J23" s="291" t="s">
        <v>99</v>
      </c>
      <c r="K23" s="89" t="s">
        <v>54</v>
      </c>
      <c r="L23" s="291" t="s">
        <v>99</v>
      </c>
      <c r="M23" s="90" t="s">
        <v>55</v>
      </c>
    </row>
    <row r="24" spans="2:13" x14ac:dyDescent="0.2">
      <c r="C24" s="91" t="s">
        <v>96</v>
      </c>
      <c r="D24" s="292"/>
      <c r="E24" s="92" t="s">
        <v>84</v>
      </c>
      <c r="F24" s="292"/>
      <c r="G24" s="92" t="s">
        <v>85</v>
      </c>
      <c r="H24" s="292"/>
      <c r="I24" s="161" t="s">
        <v>54</v>
      </c>
      <c r="J24" s="292"/>
      <c r="K24" s="92" t="s">
        <v>55</v>
      </c>
      <c r="L24" s="292"/>
      <c r="M24" s="93" t="s">
        <v>96</v>
      </c>
    </row>
    <row r="25" spans="2:13" ht="12" x14ac:dyDescent="0.25">
      <c r="D25" s="26"/>
      <c r="E25" s="63"/>
      <c r="F25" s="26"/>
      <c r="G25" s="63"/>
      <c r="H25" s="26"/>
      <c r="I25" s="63"/>
      <c r="J25" s="26"/>
      <c r="K25" s="63"/>
      <c r="L25" s="26"/>
    </row>
    <row r="26" spans="2:13" ht="12" x14ac:dyDescent="0.25">
      <c r="B26" s="105" t="s">
        <v>164</v>
      </c>
      <c r="C26" s="86">
        <f>E26*G26*I26*K26*M26</f>
        <v>0.1443438544980018</v>
      </c>
      <c r="D26" s="80" t="s">
        <v>44</v>
      </c>
      <c r="E26" s="102">
        <f>'P&amp;L'!D32/'P&amp;L'!D28</f>
        <v>0.89266619590436802</v>
      </c>
      <c r="F26" s="80" t="s">
        <v>99</v>
      </c>
      <c r="G26" s="102">
        <f>'P&amp;L'!D28/'P&amp;L'!D24</f>
        <v>0.87916278657265756</v>
      </c>
      <c r="H26" s="80" t="s">
        <v>99</v>
      </c>
      <c r="I26" s="100">
        <f>'Profitability ratios'!G9</f>
        <v>0.11340994241746086</v>
      </c>
      <c r="J26" s="80" t="s">
        <v>99</v>
      </c>
      <c r="K26" s="98">
        <f>G17</f>
        <v>1.1378468774945567</v>
      </c>
      <c r="L26" s="80" t="s">
        <v>99</v>
      </c>
      <c r="M26" s="96">
        <f>I17</f>
        <v>1.4252956528831253</v>
      </c>
    </row>
    <row r="27" spans="2:13" ht="12" x14ac:dyDescent="0.25">
      <c r="B27" s="105" t="s">
        <v>165</v>
      </c>
      <c r="C27" s="103">
        <f>E27*G27*I27*K27*M27</f>
        <v>0.13136687601439559</v>
      </c>
      <c r="D27" s="58" t="s">
        <v>44</v>
      </c>
      <c r="E27" s="104">
        <f>'P&amp;L'!E32/'P&amp;L'!E28</f>
        <v>0.89471323293816085</v>
      </c>
      <c r="F27" s="58" t="s">
        <v>99</v>
      </c>
      <c r="G27" s="104">
        <f>'P&amp;L'!E28/'P&amp;L'!E24</f>
        <v>0.83911383556487606</v>
      </c>
      <c r="H27" s="58" t="s">
        <v>99</v>
      </c>
      <c r="I27" s="101">
        <f>'Profitability ratios'!K9</f>
        <v>0.1032357986244109</v>
      </c>
      <c r="J27" s="58" t="s">
        <v>99</v>
      </c>
      <c r="K27" s="99">
        <f>G18</f>
        <v>1.0923495329312995</v>
      </c>
      <c r="L27" s="58" t="s">
        <v>99</v>
      </c>
      <c r="M27" s="97">
        <f>I18</f>
        <v>1.5516336179521557</v>
      </c>
    </row>
  </sheetData>
  <mergeCells count="10">
    <mergeCell ref="D23:D24"/>
    <mergeCell ref="F23:F24"/>
    <mergeCell ref="L23:L24"/>
    <mergeCell ref="H23:H24"/>
    <mergeCell ref="J23:J24"/>
    <mergeCell ref="D5:D6"/>
    <mergeCell ref="F5:F6"/>
    <mergeCell ref="D14:D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/>
  </sheetViews>
  <sheetFormatPr defaultRowHeight="11.4" x14ac:dyDescent="0.2"/>
  <cols>
    <col min="1" max="1" width="2.77734375" style="3" customWidth="1"/>
    <col min="2" max="2" width="49.44140625" style="3" bestFit="1" customWidth="1"/>
    <col min="3" max="3" width="10.109375" style="3" bestFit="1" customWidth="1"/>
    <col min="4" max="4" width="8.88671875" style="205"/>
    <col min="5" max="7" width="8.88671875" style="3"/>
    <col min="8" max="8" width="11" style="3" bestFit="1" customWidth="1"/>
    <col min="9" max="16384" width="8.88671875" style="3"/>
  </cols>
  <sheetData>
    <row r="2" spans="2:14" ht="12" thickBot="1" x14ac:dyDescent="0.25"/>
    <row r="3" spans="2:14" ht="12.6" thickBot="1" x14ac:dyDescent="0.3">
      <c r="D3" s="293" t="s">
        <v>223</v>
      </c>
      <c r="E3" s="294"/>
      <c r="F3" s="295" t="s">
        <v>94</v>
      </c>
      <c r="G3" s="296"/>
    </row>
    <row r="4" spans="2:14" s="144" customFormat="1" ht="12.6" thickBot="1" x14ac:dyDescent="0.3">
      <c r="B4" s="253" t="s">
        <v>180</v>
      </c>
      <c r="C4" s="254" t="s">
        <v>215</v>
      </c>
      <c r="D4" s="253" t="s">
        <v>105</v>
      </c>
      <c r="E4" s="255" t="s">
        <v>216</v>
      </c>
      <c r="F4" s="253" t="s">
        <v>105</v>
      </c>
      <c r="G4" s="255" t="s">
        <v>216</v>
      </c>
      <c r="H4" s="256" t="s">
        <v>221</v>
      </c>
    </row>
    <row r="5" spans="2:14" x14ac:dyDescent="0.2">
      <c r="B5" s="233" t="s">
        <v>211</v>
      </c>
      <c r="C5" s="237">
        <v>1.2</v>
      </c>
      <c r="D5" s="239">
        <f>(BS!D22-BS!D45)/BS!D23</f>
        <v>0.21741769246472928</v>
      </c>
      <c r="E5" s="240">
        <f>C5*D5</f>
        <v>0.26090123095767515</v>
      </c>
      <c r="F5" s="239">
        <f>(BS!E22-BS!E45)/BS!E23</f>
        <v>0.17068401973019551</v>
      </c>
      <c r="G5" s="240">
        <f>C5*F5</f>
        <v>0.20482082367623461</v>
      </c>
      <c r="H5" s="234" t="s">
        <v>217</v>
      </c>
    </row>
    <row r="6" spans="2:14" x14ac:dyDescent="0.2">
      <c r="B6" s="235" t="s">
        <v>212</v>
      </c>
      <c r="C6" s="206">
        <v>1.4</v>
      </c>
      <c r="D6" s="228">
        <f>BS!D29/BS!D23</f>
        <v>0.33734640616637518</v>
      </c>
      <c r="E6" s="207">
        <f>C6*D6</f>
        <v>0.47228496863292524</v>
      </c>
      <c r="F6" s="228">
        <f>BS!E29/BS!E23</f>
        <v>0.30013668508943958</v>
      </c>
      <c r="G6" s="207">
        <f t="shared" ref="G6:G9" si="0">C6*F6</f>
        <v>0.42019135912521538</v>
      </c>
      <c r="H6" s="208" t="s">
        <v>218</v>
      </c>
    </row>
    <row r="7" spans="2:14" x14ac:dyDescent="0.2">
      <c r="B7" s="235" t="s">
        <v>213</v>
      </c>
      <c r="C7" s="206">
        <v>3.3</v>
      </c>
      <c r="D7" s="228">
        <f>'P&amp;L'!D24/BS!D23</f>
        <v>0.12442548871392237</v>
      </c>
      <c r="E7" s="207">
        <f>C7*D7</f>
        <v>0.41060411275594377</v>
      </c>
      <c r="F7" s="228">
        <f>'P&amp;L'!E24/BS!E23</f>
        <v>0.1105188090568729</v>
      </c>
      <c r="G7" s="207">
        <f t="shared" si="0"/>
        <v>0.36471206988768057</v>
      </c>
      <c r="H7" s="208" t="s">
        <v>219</v>
      </c>
    </row>
    <row r="8" spans="2:14" x14ac:dyDescent="0.2">
      <c r="B8" s="235" t="s">
        <v>210</v>
      </c>
      <c r="C8" s="241">
        <v>1</v>
      </c>
      <c r="D8" s="228">
        <f>'P&amp;L'!D13/BS!D23</f>
        <v>1.0971303402651718</v>
      </c>
      <c r="E8" s="207">
        <f>C8*D8</f>
        <v>1.0971303402651718</v>
      </c>
      <c r="F8" s="228">
        <f>'P&amp;L'!E13/BS!E23</f>
        <v>1.0705473346407559</v>
      </c>
      <c r="G8" s="207">
        <f>C8*F8</f>
        <v>1.0705473346407559</v>
      </c>
      <c r="H8" s="208" t="s">
        <v>222</v>
      </c>
    </row>
    <row r="9" spans="2:14" ht="12" thickBot="1" x14ac:dyDescent="0.25">
      <c r="B9" s="236" t="s">
        <v>214</v>
      </c>
      <c r="C9" s="238">
        <v>0.6</v>
      </c>
      <c r="D9" s="229">
        <f>'P&amp;L'!D54/BS!D46</f>
        <v>0.59233379515290241</v>
      </c>
      <c r="E9" s="210">
        <f>C9*D9</f>
        <v>0.35540027709174143</v>
      </c>
      <c r="F9" s="229">
        <f>'P&amp;L'!E54/BS!E46</f>
        <v>0.39458229334899425</v>
      </c>
      <c r="G9" s="210">
        <f t="shared" si="0"/>
        <v>0.23674937600939655</v>
      </c>
      <c r="H9" s="211" t="s">
        <v>220</v>
      </c>
    </row>
    <row r="10" spans="2:14" ht="12.6" thickBot="1" x14ac:dyDescent="0.3">
      <c r="B10" s="230" t="s">
        <v>224</v>
      </c>
      <c r="C10" s="231"/>
      <c r="D10" s="209"/>
      <c r="E10" s="232">
        <f>SUM(E5:E9)</f>
        <v>2.5963209297034573</v>
      </c>
      <c r="F10" s="212"/>
      <c r="G10" s="232">
        <f>SUM(G5:G9)</f>
        <v>2.2970209633392829</v>
      </c>
    </row>
    <row r="11" spans="2:14" x14ac:dyDescent="0.2">
      <c r="N11" s="3" t="s">
        <v>274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/>
  </sheetViews>
  <sheetFormatPr defaultRowHeight="11.4" x14ac:dyDescent="0.2"/>
  <cols>
    <col min="1" max="1" width="2.77734375" style="3" customWidth="1"/>
    <col min="2" max="2" width="25.88671875" style="3" bestFit="1" customWidth="1"/>
    <col min="3" max="4" width="13.77734375" style="3" customWidth="1"/>
    <col min="5" max="5" width="16.33203125" style="3" customWidth="1"/>
    <col min="6" max="7" width="13.77734375" style="3" customWidth="1"/>
    <col min="8" max="8" width="16.6640625" style="3" bestFit="1" customWidth="1"/>
    <col min="9" max="16384" width="8.88671875" style="3"/>
  </cols>
  <sheetData>
    <row r="3" spans="2:19" ht="12" x14ac:dyDescent="0.25">
      <c r="C3" s="297" t="s">
        <v>93</v>
      </c>
      <c r="D3" s="298"/>
      <c r="E3" s="298"/>
      <c r="F3" s="297" t="s">
        <v>94</v>
      </c>
      <c r="G3" s="298"/>
      <c r="H3" s="299"/>
    </row>
    <row r="4" spans="2:19" ht="12" x14ac:dyDescent="0.25">
      <c r="B4" s="144"/>
      <c r="C4" s="257" t="s">
        <v>26</v>
      </c>
      <c r="D4" s="258" t="s">
        <v>227</v>
      </c>
      <c r="E4" s="258" t="s">
        <v>226</v>
      </c>
      <c r="F4" s="257" t="s">
        <v>26</v>
      </c>
      <c r="G4" s="258" t="s">
        <v>227</v>
      </c>
      <c r="H4" s="259" t="s">
        <v>226</v>
      </c>
      <c r="I4" s="3" t="s">
        <v>275</v>
      </c>
    </row>
    <row r="5" spans="2:19" x14ac:dyDescent="0.2">
      <c r="B5" s="213" t="s">
        <v>249</v>
      </c>
      <c r="C5" s="214">
        <v>42980</v>
      </c>
      <c r="D5" s="215">
        <v>7134</v>
      </c>
      <c r="E5" s="216">
        <f t="shared" ref="E5:E9" si="0">D5/C5</f>
        <v>0.16598417868776175</v>
      </c>
      <c r="F5" s="214">
        <v>32980</v>
      </c>
      <c r="G5" s="215">
        <v>5401</v>
      </c>
      <c r="H5" s="217">
        <f t="shared" ref="H5:H9" si="1">G5/F5</f>
        <v>0.16376591873862947</v>
      </c>
      <c r="I5" s="146">
        <f>E5-H5</f>
        <v>2.218259949132273E-3</v>
      </c>
    </row>
    <row r="6" spans="2:19" x14ac:dyDescent="0.2">
      <c r="B6" s="218" t="s">
        <v>225</v>
      </c>
      <c r="C6" s="214">
        <v>33600</v>
      </c>
      <c r="D6" s="215">
        <v>6800</v>
      </c>
      <c r="E6" s="216">
        <f t="shared" si="0"/>
        <v>0.20238095238095238</v>
      </c>
      <c r="F6" s="214">
        <v>30600</v>
      </c>
      <c r="G6" s="215">
        <v>5460</v>
      </c>
      <c r="H6" s="217">
        <f t="shared" si="1"/>
        <v>0.17843137254901961</v>
      </c>
      <c r="I6" s="146">
        <f t="shared" ref="I6:I10" si="2">E6-H6</f>
        <v>2.3949579831932771E-2</v>
      </c>
    </row>
    <row r="7" spans="2:19" x14ac:dyDescent="0.2">
      <c r="B7" s="218" t="s">
        <v>250</v>
      </c>
      <c r="C7" s="214">
        <v>15233</v>
      </c>
      <c r="D7" s="215">
        <v>3679</v>
      </c>
      <c r="E7" s="216">
        <f t="shared" si="0"/>
        <v>0.24151513162213614</v>
      </c>
      <c r="F7" s="214">
        <v>14273</v>
      </c>
      <c r="G7" s="215">
        <v>3370</v>
      </c>
      <c r="H7" s="217">
        <f t="shared" si="1"/>
        <v>0.23611013802284034</v>
      </c>
      <c r="I7" s="146">
        <f t="shared" si="2"/>
        <v>5.4049935992958043E-3</v>
      </c>
    </row>
    <row r="8" spans="2:19" x14ac:dyDescent="0.2">
      <c r="B8" s="218" t="s">
        <v>252</v>
      </c>
      <c r="C8" s="214">
        <v>20190</v>
      </c>
      <c r="D8" s="215">
        <v>8350</v>
      </c>
      <c r="E8" s="216">
        <f t="shared" si="0"/>
        <v>0.41357107478949973</v>
      </c>
      <c r="F8" s="214">
        <v>19020</v>
      </c>
      <c r="G8" s="215">
        <v>7344</v>
      </c>
      <c r="H8" s="217">
        <f t="shared" si="1"/>
        <v>0.38611987381703472</v>
      </c>
      <c r="I8" s="146">
        <f t="shared" si="2"/>
        <v>2.7451200972465006E-2</v>
      </c>
    </row>
    <row r="9" spans="2:19" x14ac:dyDescent="0.2">
      <c r="B9" s="219" t="s">
        <v>251</v>
      </c>
      <c r="C9" s="214">
        <v>86842</v>
      </c>
      <c r="D9" s="215">
        <v>22590</v>
      </c>
      <c r="E9" s="216">
        <f t="shared" si="0"/>
        <v>0.26012758803344005</v>
      </c>
      <c r="F9" s="214">
        <v>83268</v>
      </c>
      <c r="G9" s="215">
        <v>19950</v>
      </c>
      <c r="H9" s="217">
        <f t="shared" si="1"/>
        <v>0.23958783686410146</v>
      </c>
      <c r="I9" s="146">
        <f t="shared" si="2"/>
        <v>2.0539751169338594E-2</v>
      </c>
      <c r="S9" s="220"/>
    </row>
    <row r="10" spans="2:19" s="144" customFormat="1" ht="12" x14ac:dyDescent="0.25">
      <c r="B10" s="221" t="s">
        <v>228</v>
      </c>
      <c r="C10" s="222">
        <f>'P&amp;L'!D13</f>
        <v>198845</v>
      </c>
      <c r="D10" s="223">
        <f>'P&amp;L'!D17</f>
        <v>48553.16</v>
      </c>
      <c r="E10" s="224">
        <f>D10/C10</f>
        <v>0.24417591591440571</v>
      </c>
      <c r="F10" s="225">
        <f>'P&amp;L'!E13</f>
        <v>180141</v>
      </c>
      <c r="G10" s="226">
        <f>'P&amp;L'!E17</f>
        <v>41525.160000000003</v>
      </c>
      <c r="H10" s="227">
        <f>G10/F10</f>
        <v>0.23051476343530902</v>
      </c>
      <c r="I10" s="146">
        <f t="shared" si="2"/>
        <v>1.3661152479096689E-2</v>
      </c>
    </row>
    <row r="11" spans="2:19" x14ac:dyDescent="0.2">
      <c r="C11" s="140"/>
      <c r="D11" s="140"/>
      <c r="E11" s="19"/>
      <c r="F11" s="141"/>
      <c r="G11" s="141"/>
    </row>
    <row r="13" spans="2:19" ht="12" x14ac:dyDescent="0.25">
      <c r="C13" s="297" t="s">
        <v>93</v>
      </c>
      <c r="D13" s="298"/>
      <c r="E13" s="299"/>
      <c r="F13" s="297" t="s">
        <v>94</v>
      </c>
      <c r="G13" s="298"/>
      <c r="H13" s="299"/>
    </row>
    <row r="14" spans="2:19" ht="12" x14ac:dyDescent="0.25">
      <c r="C14" s="257" t="s">
        <v>26</v>
      </c>
      <c r="D14" s="258" t="s">
        <v>227</v>
      </c>
      <c r="E14" s="259" t="s">
        <v>226</v>
      </c>
      <c r="F14" s="257" t="s">
        <v>26</v>
      </c>
      <c r="G14" s="258" t="s">
        <v>227</v>
      </c>
      <c r="H14" s="259" t="s">
        <v>226</v>
      </c>
    </row>
    <row r="15" spans="2:19" x14ac:dyDescent="0.2">
      <c r="B15" s="213" t="s">
        <v>229</v>
      </c>
      <c r="C15" s="214">
        <v>127855</v>
      </c>
      <c r="D15" s="215">
        <v>27134</v>
      </c>
      <c r="E15" s="217">
        <f t="shared" ref="E15:E17" si="3">D15/C15</f>
        <v>0.2122247858902663</v>
      </c>
      <c r="F15" s="214">
        <v>113268</v>
      </c>
      <c r="G15" s="215">
        <v>20401</v>
      </c>
      <c r="H15" s="217">
        <f t="shared" ref="H15:H17" si="4">G15/F15</f>
        <v>0.18011265317653707</v>
      </c>
    </row>
    <row r="16" spans="2:19" x14ac:dyDescent="0.2">
      <c r="B16" s="218" t="s">
        <v>230</v>
      </c>
      <c r="C16" s="214">
        <v>44600</v>
      </c>
      <c r="D16" s="215">
        <v>10822</v>
      </c>
      <c r="E16" s="217">
        <f t="shared" si="3"/>
        <v>0.24264573991031391</v>
      </c>
      <c r="F16" s="214">
        <v>40600</v>
      </c>
      <c r="G16" s="215">
        <v>9760</v>
      </c>
      <c r="H16" s="217">
        <f t="shared" si="4"/>
        <v>0.24039408866995074</v>
      </c>
    </row>
    <row r="17" spans="2:8" x14ac:dyDescent="0.2">
      <c r="B17" s="218" t="s">
        <v>253</v>
      </c>
      <c r="C17" s="214">
        <v>26390</v>
      </c>
      <c r="D17" s="215">
        <v>10597</v>
      </c>
      <c r="E17" s="217">
        <f t="shared" si="3"/>
        <v>0.40155361879499812</v>
      </c>
      <c r="F17" s="214">
        <v>26273</v>
      </c>
      <c r="G17" s="215">
        <v>11364</v>
      </c>
      <c r="H17" s="217">
        <f t="shared" si="4"/>
        <v>0.43253530240170518</v>
      </c>
    </row>
    <row r="18" spans="2:8" ht="12" x14ac:dyDescent="0.25">
      <c r="B18" s="221" t="s">
        <v>228</v>
      </c>
      <c r="C18" s="222">
        <f>C10</f>
        <v>198845</v>
      </c>
      <c r="D18" s="223">
        <f t="shared" ref="D18:H18" si="5">D10</f>
        <v>48553.16</v>
      </c>
      <c r="E18" s="227">
        <f t="shared" si="5"/>
        <v>0.24417591591440571</v>
      </c>
      <c r="F18" s="225">
        <f t="shared" si="5"/>
        <v>180141</v>
      </c>
      <c r="G18" s="226">
        <f t="shared" si="5"/>
        <v>41525.160000000003</v>
      </c>
      <c r="H18" s="227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3:F55"/>
  <sheetViews>
    <sheetView showGridLines="0" zoomScaleNormal="100" workbookViewId="0">
      <pane xSplit="2" ySplit="8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A2" sqref="A2"/>
    </sheetView>
  </sheetViews>
  <sheetFormatPr defaultRowHeight="11.4" x14ac:dyDescent="0.2"/>
  <cols>
    <col min="1" max="1" width="2.77734375" style="3" customWidth="1"/>
    <col min="2" max="2" width="30.33203125" style="3" customWidth="1"/>
    <col min="3" max="3" width="7.44140625" style="3" customWidth="1"/>
    <col min="4" max="4" width="11.5546875" style="3" bestFit="1" customWidth="1"/>
    <col min="5" max="5" width="11.6640625" style="3" bestFit="1" customWidth="1"/>
    <col min="6" max="16384" width="8.88671875" style="3"/>
  </cols>
  <sheetData>
    <row r="3" spans="2:6" ht="15.6" x14ac:dyDescent="0.3">
      <c r="B3" s="25" t="s">
        <v>143</v>
      </c>
    </row>
    <row r="4" spans="2:6" ht="15.6" x14ac:dyDescent="0.3">
      <c r="B4" s="25" t="s">
        <v>107</v>
      </c>
    </row>
    <row r="5" spans="2:6" ht="15.6" x14ac:dyDescent="0.3">
      <c r="B5" s="25" t="s">
        <v>108</v>
      </c>
    </row>
    <row r="6" spans="2:6" ht="15.6" x14ac:dyDescent="0.3">
      <c r="B6" s="25"/>
    </row>
    <row r="7" spans="2:6" ht="15.6" x14ac:dyDescent="0.3">
      <c r="B7" s="25"/>
      <c r="D7" s="63" t="s">
        <v>93</v>
      </c>
      <c r="E7" s="63" t="s">
        <v>94</v>
      </c>
    </row>
    <row r="8" spans="2:6" ht="12.6" customHeight="1" thickBot="1" x14ac:dyDescent="0.3">
      <c r="B8" s="23" t="s">
        <v>87</v>
      </c>
      <c r="C8" s="24" t="s">
        <v>0</v>
      </c>
      <c r="D8" s="24" t="s">
        <v>129</v>
      </c>
      <c r="E8" s="24" t="s">
        <v>130</v>
      </c>
    </row>
    <row r="9" spans="2:6" ht="12" x14ac:dyDescent="0.2">
      <c r="B9" s="4"/>
      <c r="C9" s="2"/>
      <c r="D9" s="5"/>
      <c r="E9" s="12"/>
    </row>
    <row r="10" spans="2:6" ht="12" x14ac:dyDescent="0.2">
      <c r="B10" s="6" t="s">
        <v>26</v>
      </c>
      <c r="C10" s="2"/>
      <c r="D10" s="5"/>
      <c r="E10" s="5"/>
    </row>
    <row r="11" spans="2:6" x14ac:dyDescent="0.2">
      <c r="B11" s="4" t="s">
        <v>27</v>
      </c>
      <c r="C11" s="7">
        <v>19</v>
      </c>
      <c r="D11" s="9">
        <v>191504</v>
      </c>
      <c r="E11" s="9">
        <v>172829</v>
      </c>
    </row>
    <row r="12" spans="2:6" x14ac:dyDescent="0.2">
      <c r="B12" s="4" t="s">
        <v>28</v>
      </c>
      <c r="C12" s="7">
        <v>19</v>
      </c>
      <c r="D12" s="14">
        <v>7341</v>
      </c>
      <c r="E12" s="14">
        <v>7312</v>
      </c>
    </row>
    <row r="13" spans="2:6" ht="12.6" thickBot="1" x14ac:dyDescent="0.25">
      <c r="B13" s="28" t="s">
        <v>110</v>
      </c>
      <c r="C13" s="31"/>
      <c r="D13" s="30">
        <f>SUM(D11:D12)</f>
        <v>198845</v>
      </c>
      <c r="E13" s="30">
        <f>SUM(E11:E12)</f>
        <v>180141</v>
      </c>
    </row>
    <row r="14" spans="2:6" ht="12" x14ac:dyDescent="0.2">
      <c r="B14" s="6"/>
      <c r="C14" s="2"/>
      <c r="D14" s="13"/>
      <c r="E14" s="13"/>
    </row>
    <row r="15" spans="2:6" ht="12" x14ac:dyDescent="0.2">
      <c r="B15" s="4" t="s">
        <v>138</v>
      </c>
      <c r="C15" s="2"/>
      <c r="D15" s="14">
        <v>-150291.84</v>
      </c>
      <c r="E15" s="14">
        <v>-138615.84</v>
      </c>
      <c r="F15" s="10"/>
    </row>
    <row r="16" spans="2:6" ht="12" x14ac:dyDescent="0.2">
      <c r="B16" s="4"/>
      <c r="C16" s="2"/>
      <c r="D16" s="13"/>
      <c r="E16" s="13"/>
      <c r="F16" s="15"/>
    </row>
    <row r="17" spans="2:6" ht="12.6" thickBot="1" x14ac:dyDescent="0.3">
      <c r="B17" s="28" t="s">
        <v>39</v>
      </c>
      <c r="C17" s="31"/>
      <c r="D17" s="39">
        <f>D13+D15</f>
        <v>48553.16</v>
      </c>
      <c r="E17" s="39">
        <f>E13+E15</f>
        <v>41525.160000000003</v>
      </c>
    </row>
    <row r="18" spans="2:6" ht="12" x14ac:dyDescent="0.2">
      <c r="B18" s="6"/>
      <c r="C18" s="2"/>
      <c r="D18" s="13"/>
      <c r="E18" s="13"/>
    </row>
    <row r="19" spans="2:6" ht="12" x14ac:dyDescent="0.2">
      <c r="B19" s="4" t="s">
        <v>40</v>
      </c>
      <c r="C19" s="2"/>
      <c r="D19" s="14">
        <v>-5348.82</v>
      </c>
      <c r="E19" s="14">
        <v>-4906.32</v>
      </c>
    </row>
    <row r="20" spans="2:6" ht="12" x14ac:dyDescent="0.2">
      <c r="B20" s="4" t="s">
        <v>68</v>
      </c>
      <c r="C20" s="2"/>
      <c r="D20" s="14">
        <v>-17612.34</v>
      </c>
      <c r="E20" s="14">
        <v>-15989.84</v>
      </c>
    </row>
    <row r="21" spans="2:6" ht="12" x14ac:dyDescent="0.2">
      <c r="B21" s="4" t="s">
        <v>29</v>
      </c>
      <c r="C21" s="2"/>
      <c r="D21" s="14">
        <v>-3041</v>
      </c>
      <c r="E21" s="14">
        <v>-2032</v>
      </c>
    </row>
    <row r="22" spans="2:6" ht="12.6" thickBot="1" x14ac:dyDescent="0.25">
      <c r="B22" s="28" t="s">
        <v>111</v>
      </c>
      <c r="C22" s="31"/>
      <c r="D22" s="30">
        <f>SUM(D19:D21)</f>
        <v>-26002.16</v>
      </c>
      <c r="E22" s="30">
        <f>SUM(E19:E21)</f>
        <v>-22928.16</v>
      </c>
    </row>
    <row r="23" spans="2:6" ht="12" x14ac:dyDescent="0.2">
      <c r="B23" s="4"/>
      <c r="C23" s="2"/>
      <c r="D23" s="14"/>
      <c r="E23" s="14"/>
    </row>
    <row r="24" spans="2:6" ht="12.6" thickBot="1" x14ac:dyDescent="0.25">
      <c r="B24" s="28" t="s">
        <v>166</v>
      </c>
      <c r="C24" s="31"/>
      <c r="D24" s="30">
        <f>D17+D22</f>
        <v>22551.000000000004</v>
      </c>
      <c r="E24" s="30">
        <f>E17+E22</f>
        <v>18597.000000000004</v>
      </c>
    </row>
    <row r="25" spans="2:6" ht="12" x14ac:dyDescent="0.2">
      <c r="B25" s="6"/>
      <c r="C25" s="2"/>
      <c r="D25" s="13"/>
      <c r="E25" s="13"/>
    </row>
    <row r="26" spans="2:6" x14ac:dyDescent="0.2">
      <c r="B26" s="4" t="s">
        <v>137</v>
      </c>
      <c r="C26" s="7">
        <v>21</v>
      </c>
      <c r="D26" s="14">
        <v>-2725</v>
      </c>
      <c r="E26" s="14">
        <v>-2992</v>
      </c>
    </row>
    <row r="27" spans="2:6" x14ac:dyDescent="0.2">
      <c r="B27" s="4"/>
      <c r="C27" s="7"/>
      <c r="D27" s="14"/>
      <c r="E27" s="14"/>
    </row>
    <row r="28" spans="2:6" ht="12.6" thickBot="1" x14ac:dyDescent="0.25">
      <c r="B28" s="28" t="s">
        <v>167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2">
      <c r="B29" s="16"/>
      <c r="C29" s="17"/>
      <c r="D29" s="14"/>
      <c r="E29" s="14"/>
    </row>
    <row r="30" spans="2:6" x14ac:dyDescent="0.2">
      <c r="B30" s="4" t="s">
        <v>30</v>
      </c>
      <c r="C30" s="7">
        <v>22</v>
      </c>
      <c r="D30" s="14">
        <v>-2128</v>
      </c>
      <c r="E30" s="14">
        <v>-1643</v>
      </c>
      <c r="F30" s="19"/>
    </row>
    <row r="31" spans="2:6" x14ac:dyDescent="0.2">
      <c r="B31" s="16"/>
      <c r="C31" s="17"/>
      <c r="D31" s="14"/>
      <c r="E31" s="14"/>
    </row>
    <row r="32" spans="2:6" ht="12.6" thickBot="1" x14ac:dyDescent="0.25">
      <c r="B32" s="28" t="s">
        <v>97</v>
      </c>
      <c r="C32" s="29"/>
      <c r="D32" s="30">
        <f>D28+D30</f>
        <v>17698.000000000004</v>
      </c>
      <c r="E32" s="30">
        <f>E28+E30</f>
        <v>13962.000000000004</v>
      </c>
    </row>
    <row r="33" spans="2:6" ht="12" x14ac:dyDescent="0.2">
      <c r="B33" s="18"/>
      <c r="C33" s="17"/>
      <c r="D33" s="13"/>
      <c r="E33" s="13"/>
    </row>
    <row r="34" spans="2:6" ht="12" hidden="1" x14ac:dyDescent="0.2">
      <c r="B34" s="6" t="s">
        <v>31</v>
      </c>
      <c r="C34" s="7"/>
      <c r="D34" s="9"/>
      <c r="E34" s="9"/>
    </row>
    <row r="35" spans="2:6" hidden="1" x14ac:dyDescent="0.2">
      <c r="B35" s="4" t="s">
        <v>32</v>
      </c>
      <c r="C35" s="7"/>
      <c r="D35" s="9">
        <v>12558</v>
      </c>
      <c r="E35" s="9">
        <v>10006</v>
      </c>
    </row>
    <row r="36" spans="2:6" hidden="1" x14ac:dyDescent="0.2">
      <c r="B36" s="36" t="s">
        <v>15</v>
      </c>
      <c r="C36" s="37"/>
      <c r="D36" s="38">
        <v>5140</v>
      </c>
      <c r="E36" s="38">
        <v>3956</v>
      </c>
      <c r="F36" s="35"/>
    </row>
    <row r="37" spans="2:6" ht="12" hidden="1" x14ac:dyDescent="0.2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2" hidden="1" x14ac:dyDescent="0.2">
      <c r="B38" s="6" t="s">
        <v>33</v>
      </c>
      <c r="C38" s="2"/>
      <c r="D38" s="11"/>
      <c r="E38" s="11"/>
    </row>
    <row r="39" spans="2:6" ht="22.8" hidden="1" x14ac:dyDescent="0.2">
      <c r="B39" s="1" t="s">
        <v>34</v>
      </c>
      <c r="C39" s="7"/>
      <c r="D39" s="14"/>
      <c r="E39" s="14"/>
    </row>
    <row r="40" spans="2:6" ht="22.8" hidden="1" x14ac:dyDescent="0.2">
      <c r="B40" s="4" t="s">
        <v>35</v>
      </c>
      <c r="C40" s="7"/>
      <c r="D40" s="13">
        <v>0</v>
      </c>
      <c r="E40" s="14">
        <v>1037</v>
      </c>
    </row>
    <row r="41" spans="2:6" ht="24.6" hidden="1" thickBot="1" x14ac:dyDescent="0.25">
      <c r="B41" s="28" t="s">
        <v>36</v>
      </c>
      <c r="C41" s="31"/>
      <c r="D41" s="30">
        <f>SUM(D40)</f>
        <v>0</v>
      </c>
      <c r="E41" s="30">
        <f>SUM(E40)</f>
        <v>1037</v>
      </c>
    </row>
    <row r="42" spans="2:6" ht="12" hidden="1" x14ac:dyDescent="0.2">
      <c r="B42" s="6"/>
      <c r="C42" s="7"/>
      <c r="D42" s="11"/>
      <c r="E42" s="11"/>
    </row>
    <row r="43" spans="2:6" ht="24.6" hidden="1" thickBot="1" x14ac:dyDescent="0.25">
      <c r="B43" s="28" t="s">
        <v>37</v>
      </c>
      <c r="C43" s="29"/>
      <c r="D43" s="30">
        <f>D37+D41</f>
        <v>17698</v>
      </c>
      <c r="E43" s="30">
        <f>E37+E41</f>
        <v>14999</v>
      </c>
    </row>
    <row r="44" spans="2:6" ht="12" hidden="1" x14ac:dyDescent="0.2">
      <c r="B44" s="18"/>
      <c r="C44" s="17"/>
      <c r="D44" s="13"/>
      <c r="E44" s="13"/>
    </row>
    <row r="45" spans="2:6" ht="24" hidden="1" x14ac:dyDescent="0.2">
      <c r="B45" s="6" t="s">
        <v>38</v>
      </c>
      <c r="C45" s="7"/>
      <c r="D45" s="9"/>
      <c r="E45" s="9"/>
    </row>
    <row r="46" spans="2:6" hidden="1" x14ac:dyDescent="0.2">
      <c r="B46" s="4" t="s">
        <v>32</v>
      </c>
      <c r="C46" s="7"/>
      <c r="D46" s="14">
        <v>12558</v>
      </c>
      <c r="E46" s="14">
        <v>10749</v>
      </c>
      <c r="F46" s="35"/>
    </row>
    <row r="47" spans="2:6" hidden="1" x14ac:dyDescent="0.2">
      <c r="B47" s="36" t="s">
        <v>15</v>
      </c>
      <c r="C47" s="37"/>
      <c r="D47" s="38">
        <v>5140</v>
      </c>
      <c r="E47" s="38">
        <v>4250</v>
      </c>
      <c r="F47" s="35"/>
    </row>
    <row r="48" spans="2:6" ht="12" hidden="1" x14ac:dyDescent="0.2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2.6" thickBot="1" x14ac:dyDescent="0.25">
      <c r="B49" s="4"/>
      <c r="C49" s="112"/>
      <c r="D49" s="13"/>
      <c r="E49" s="13"/>
      <c r="F49" s="35"/>
    </row>
    <row r="50" spans="2:6" x14ac:dyDescent="0.2">
      <c r="B50" s="114" t="s">
        <v>186</v>
      </c>
      <c r="C50" s="121"/>
      <c r="D50" s="122">
        <v>10000</v>
      </c>
      <c r="E50" s="123">
        <v>10000</v>
      </c>
    </row>
    <row r="51" spans="2:6" x14ac:dyDescent="0.2">
      <c r="B51" s="118" t="s">
        <v>198</v>
      </c>
      <c r="C51" s="124"/>
      <c r="D51" s="125">
        <v>0.88</v>
      </c>
      <c r="E51" s="126">
        <v>0.65</v>
      </c>
    </row>
    <row r="52" spans="2:6" x14ac:dyDescent="0.2">
      <c r="B52" s="118" t="s">
        <v>203</v>
      </c>
      <c r="C52" s="124"/>
      <c r="D52" s="131">
        <f>D50*D51</f>
        <v>8800</v>
      </c>
      <c r="E52" s="132">
        <f>E50*E51</f>
        <v>6500</v>
      </c>
    </row>
    <row r="53" spans="2:6" x14ac:dyDescent="0.2">
      <c r="B53" s="118" t="s">
        <v>190</v>
      </c>
      <c r="C53" s="124"/>
      <c r="D53" s="125">
        <v>2.95</v>
      </c>
      <c r="E53" s="126">
        <v>2.15</v>
      </c>
    </row>
    <row r="54" spans="2:6" ht="12" thickBot="1" x14ac:dyDescent="0.25">
      <c r="B54" s="115" t="s">
        <v>192</v>
      </c>
      <c r="C54" s="127"/>
      <c r="D54" s="128">
        <f>D50*D53</f>
        <v>29500</v>
      </c>
      <c r="E54" s="129">
        <f>E50*E53</f>
        <v>21500</v>
      </c>
    </row>
    <row r="55" spans="2:6" ht="12" thickBot="1" x14ac:dyDescent="0.25">
      <c r="B55" s="243" t="s">
        <v>81</v>
      </c>
      <c r="C55" s="244"/>
      <c r="D55" s="245">
        <v>-2281</v>
      </c>
      <c r="E55" s="246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zoomScaleNormal="100" workbookViewId="0"/>
  </sheetViews>
  <sheetFormatPr defaultRowHeight="11.4" x14ac:dyDescent="0.2"/>
  <cols>
    <col min="1" max="1" width="2.77734375" style="3" customWidth="1"/>
    <col min="2" max="2" width="31.77734375" style="3" bestFit="1" customWidth="1"/>
    <col min="3" max="3" width="24.44140625" style="3" customWidth="1"/>
    <col min="4" max="4" width="2.77734375" style="21" customWidth="1"/>
    <col min="5" max="5" width="8.88671875" style="10" customWidth="1"/>
    <col min="6" max="6" width="2.77734375" style="21" customWidth="1"/>
    <col min="7" max="7" width="7.21875" style="3" customWidth="1"/>
    <col min="8" max="8" width="2.77734375" style="3" customWidth="1"/>
    <col min="9" max="9" width="8.44140625" style="3" customWidth="1"/>
    <col min="10" max="10" width="2.77734375" style="3" customWidth="1"/>
    <col min="11" max="11" width="7.21875" style="3" customWidth="1"/>
    <col min="12" max="12" width="2.77734375" style="3" customWidth="1"/>
    <col min="13" max="13" width="37.109375" style="3" customWidth="1"/>
    <col min="14" max="16384" width="8.88671875" style="3"/>
  </cols>
  <sheetData>
    <row r="3" spans="2:15" s="70" customFormat="1" ht="12" x14ac:dyDescent="0.3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  <c r="O3" s="158"/>
    </row>
    <row r="5" spans="2:15" ht="12" customHeight="1" x14ac:dyDescent="0.25">
      <c r="B5" s="267" t="s">
        <v>42</v>
      </c>
      <c r="C5" s="40" t="s">
        <v>41</v>
      </c>
      <c r="E5" s="42">
        <f>'P&amp;L'!D13</f>
        <v>198845</v>
      </c>
      <c r="F5" s="273" t="s">
        <v>44</v>
      </c>
      <c r="G5" s="53">
        <f>E5/E6</f>
        <v>7.8186929852154767</v>
      </c>
      <c r="I5" s="42">
        <f>'P&amp;L'!E13</f>
        <v>180141</v>
      </c>
      <c r="J5" s="273" t="s">
        <v>44</v>
      </c>
      <c r="K5" s="53">
        <f>I5/I6</f>
        <v>7.1016715288181027</v>
      </c>
      <c r="M5" s="263" t="s">
        <v>242</v>
      </c>
    </row>
    <row r="6" spans="2:15" x14ac:dyDescent="0.2">
      <c r="B6" s="268"/>
      <c r="C6" s="41" t="s">
        <v>43</v>
      </c>
      <c r="E6" s="45">
        <f>AVERAGE(BS!D19:E19)</f>
        <v>25432</v>
      </c>
      <c r="F6" s="274"/>
      <c r="G6" s="46"/>
      <c r="I6" s="45">
        <f>AVERAGE(BS!E19:F19)</f>
        <v>25366</v>
      </c>
      <c r="J6" s="274"/>
      <c r="K6" s="46"/>
      <c r="M6" s="264"/>
    </row>
    <row r="7" spans="2:15" x14ac:dyDescent="0.2">
      <c r="I7" s="10"/>
      <c r="J7" s="21"/>
    </row>
    <row r="8" spans="2:15" x14ac:dyDescent="0.2">
      <c r="I8" s="10"/>
      <c r="J8" s="21"/>
    </row>
    <row r="9" spans="2:15" ht="12" x14ac:dyDescent="0.25">
      <c r="B9" s="267" t="s">
        <v>119</v>
      </c>
      <c r="C9" s="40">
        <v>365</v>
      </c>
      <c r="E9" s="59">
        <v>365</v>
      </c>
      <c r="F9" s="273" t="s">
        <v>44</v>
      </c>
      <c r="G9" s="53">
        <f>E9/E10</f>
        <v>46.682994292036511</v>
      </c>
      <c r="I9" s="59">
        <v>365</v>
      </c>
      <c r="J9" s="273" t="s">
        <v>44</v>
      </c>
      <c r="K9" s="53">
        <f>I9/I10</f>
        <v>51.396350636445895</v>
      </c>
      <c r="M9" s="263" t="s">
        <v>170</v>
      </c>
    </row>
    <row r="10" spans="2:15" x14ac:dyDescent="0.2">
      <c r="B10" s="268"/>
      <c r="C10" s="41" t="s">
        <v>45</v>
      </c>
      <c r="E10" s="60">
        <f>G5</f>
        <v>7.8186929852154767</v>
      </c>
      <c r="F10" s="274"/>
      <c r="G10" s="46"/>
      <c r="I10" s="60">
        <f>K5</f>
        <v>7.1016715288181027</v>
      </c>
      <c r="J10" s="274"/>
      <c r="K10" s="46"/>
      <c r="M10" s="264"/>
    </row>
    <row r="11" spans="2:15" x14ac:dyDescent="0.2">
      <c r="I11" s="10"/>
      <c r="J11" s="21"/>
    </row>
    <row r="12" spans="2:15" x14ac:dyDescent="0.2">
      <c r="I12" s="10"/>
      <c r="J12" s="21"/>
    </row>
    <row r="13" spans="2:15" ht="12" customHeight="1" x14ac:dyDescent="0.2">
      <c r="B13" s="267" t="s">
        <v>118</v>
      </c>
      <c r="C13" s="40" t="s">
        <v>46</v>
      </c>
      <c r="E13" s="42">
        <f>-'P&amp;L'!D15</f>
        <v>150291.84</v>
      </c>
      <c r="F13" s="273" t="s">
        <v>44</v>
      </c>
      <c r="G13" s="44">
        <f>E13/E14</f>
        <v>6.1185026563804019</v>
      </c>
      <c r="I13" s="42">
        <f>-'P&amp;L'!E15</f>
        <v>138615.84</v>
      </c>
      <c r="J13" s="273" t="s">
        <v>44</v>
      </c>
      <c r="K13" s="44">
        <f>I13/I14</f>
        <v>5.8747972027972031</v>
      </c>
      <c r="M13" s="263" t="s">
        <v>243</v>
      </c>
    </row>
    <row r="14" spans="2:15" x14ac:dyDescent="0.2">
      <c r="B14" s="268"/>
      <c r="C14" s="41" t="s">
        <v>47</v>
      </c>
      <c r="E14" s="45">
        <f>AVERAGE(BS!D18:E18)</f>
        <v>24563.5</v>
      </c>
      <c r="F14" s="274"/>
      <c r="G14" s="46"/>
      <c r="I14" s="45">
        <f>AVERAGE(BS!E18:F18)</f>
        <v>23595</v>
      </c>
      <c r="J14" s="274"/>
      <c r="K14" s="46"/>
      <c r="M14" s="264"/>
    </row>
    <row r="15" spans="2:15" x14ac:dyDescent="0.2">
      <c r="I15" s="10"/>
      <c r="J15" s="21"/>
    </row>
    <row r="16" spans="2:15" x14ac:dyDescent="0.2">
      <c r="I16" s="10"/>
      <c r="J16" s="21"/>
    </row>
    <row r="17" spans="2:14" ht="12" x14ac:dyDescent="0.25">
      <c r="B17" s="267" t="s">
        <v>48</v>
      </c>
      <c r="C17" s="40">
        <v>365</v>
      </c>
      <c r="E17" s="59">
        <v>365</v>
      </c>
      <c r="F17" s="273" t="s">
        <v>44</v>
      </c>
      <c r="G17" s="53">
        <f>E17/E18</f>
        <v>59.655118335100561</v>
      </c>
      <c r="I17" s="59">
        <v>365</v>
      </c>
      <c r="J17" s="273" t="s">
        <v>44</v>
      </c>
      <c r="K17" s="53">
        <f>I17/I18</f>
        <v>62.129804212851859</v>
      </c>
      <c r="M17" s="263" t="s">
        <v>123</v>
      </c>
    </row>
    <row r="18" spans="2:14" ht="11.4" customHeight="1" x14ac:dyDescent="0.2">
      <c r="B18" s="268"/>
      <c r="C18" s="41" t="s">
        <v>49</v>
      </c>
      <c r="E18" s="57">
        <f>G13</f>
        <v>6.1185026563804019</v>
      </c>
      <c r="F18" s="274"/>
      <c r="G18" s="46"/>
      <c r="I18" s="57">
        <f>K13</f>
        <v>5.8747972027972031</v>
      </c>
      <c r="J18" s="274"/>
      <c r="K18" s="46"/>
      <c r="M18" s="264"/>
    </row>
    <row r="19" spans="2:14" x14ac:dyDescent="0.2">
      <c r="I19" s="10"/>
      <c r="J19" s="21"/>
    </row>
    <row r="20" spans="2:14" x14ac:dyDescent="0.2">
      <c r="I20" s="10"/>
      <c r="J20" s="21"/>
    </row>
    <row r="21" spans="2:14" ht="12" customHeight="1" x14ac:dyDescent="0.2">
      <c r="B21" s="267" t="s">
        <v>50</v>
      </c>
      <c r="C21" s="40" t="s">
        <v>51</v>
      </c>
      <c r="E21" s="42">
        <f>BS!D18-BS!E18+(-'P&amp;L'!D15)</f>
        <v>151902.84</v>
      </c>
      <c r="F21" s="273" t="s">
        <v>44</v>
      </c>
      <c r="G21" s="44">
        <f>E21/E22</f>
        <v>8.2567109661638813</v>
      </c>
      <c r="I21" s="42">
        <f>BS!E18-BS!F18+(-'P&amp;L'!E15)</f>
        <v>138941.84</v>
      </c>
      <c r="J21" s="273" t="s">
        <v>44</v>
      </c>
      <c r="K21" s="44">
        <f>I21/I22</f>
        <v>7.7409237283414116</v>
      </c>
      <c r="M21" s="263" t="s">
        <v>244</v>
      </c>
      <c r="N21" s="3" t="s">
        <v>132</v>
      </c>
    </row>
    <row r="22" spans="2:14" x14ac:dyDescent="0.2">
      <c r="B22" s="268"/>
      <c r="C22" s="41" t="s">
        <v>52</v>
      </c>
      <c r="E22" s="45">
        <f>AVERAGE(BS!D43:E43)</f>
        <v>18397.5</v>
      </c>
      <c r="F22" s="274"/>
      <c r="G22" s="46"/>
      <c r="I22" s="45">
        <f>AVERAGE(BS!E43:F43)</f>
        <v>17949</v>
      </c>
      <c r="J22" s="274"/>
      <c r="K22" s="46"/>
      <c r="M22" s="264"/>
    </row>
    <row r="23" spans="2:14" x14ac:dyDescent="0.2">
      <c r="I23" s="10"/>
      <c r="J23" s="21"/>
    </row>
    <row r="24" spans="2:14" x14ac:dyDescent="0.2">
      <c r="I24" s="10"/>
      <c r="J24" s="21"/>
    </row>
    <row r="25" spans="2:14" ht="12" x14ac:dyDescent="0.25">
      <c r="B25" s="267" t="s">
        <v>122</v>
      </c>
      <c r="C25" s="40">
        <v>365</v>
      </c>
      <c r="E25" s="59">
        <v>365</v>
      </c>
      <c r="F25" s="273" t="s">
        <v>44</v>
      </c>
      <c r="G25" s="53">
        <f>E25/E26</f>
        <v>44.20646447426526</v>
      </c>
      <c r="I25" s="59">
        <v>365</v>
      </c>
      <c r="J25" s="273" t="s">
        <v>44</v>
      </c>
      <c r="K25" s="53">
        <f>I25/I26</f>
        <v>47.151995396059242</v>
      </c>
      <c r="M25" s="265" t="s">
        <v>171</v>
      </c>
    </row>
    <row r="26" spans="2:14" x14ac:dyDescent="0.2">
      <c r="B26" s="268"/>
      <c r="C26" s="41" t="s">
        <v>53</v>
      </c>
      <c r="E26" s="57">
        <f>G21</f>
        <v>8.2567109661638813</v>
      </c>
      <c r="F26" s="274"/>
      <c r="G26" s="46"/>
      <c r="I26" s="57">
        <f>K21</f>
        <v>7.7409237283414116</v>
      </c>
      <c r="J26" s="274"/>
      <c r="K26" s="46"/>
      <c r="M26" s="266"/>
    </row>
    <row r="27" spans="2:14" x14ac:dyDescent="0.2">
      <c r="I27" s="10"/>
      <c r="J27" s="21"/>
    </row>
    <row r="28" spans="2:14" x14ac:dyDescent="0.2">
      <c r="I28" s="10"/>
      <c r="J28" s="21"/>
    </row>
    <row r="29" spans="2:14" x14ac:dyDescent="0.2">
      <c r="B29" s="267" t="s">
        <v>124</v>
      </c>
      <c r="C29" s="40" t="s">
        <v>54</v>
      </c>
      <c r="E29" s="42">
        <f>'P&amp;L'!D13</f>
        <v>198845</v>
      </c>
      <c r="F29" s="273" t="s">
        <v>44</v>
      </c>
      <c r="G29" s="44">
        <f>E29/E30</f>
        <v>1.8745787159025025</v>
      </c>
      <c r="I29" s="42">
        <f>'P&amp;L'!E13</f>
        <v>180141</v>
      </c>
      <c r="J29" s="273" t="s">
        <v>44</v>
      </c>
      <c r="K29" s="44">
        <f>I29/I30</f>
        <v>1.72279045747321</v>
      </c>
      <c r="M29" s="263" t="s">
        <v>245</v>
      </c>
    </row>
    <row r="30" spans="2:14" x14ac:dyDescent="0.2">
      <c r="B30" s="268"/>
      <c r="C30" s="41" t="s">
        <v>56</v>
      </c>
      <c r="E30" s="45">
        <f>AVERAGE(BS!D11:E11)</f>
        <v>106074.5</v>
      </c>
      <c r="F30" s="274"/>
      <c r="G30" s="46"/>
      <c r="I30" s="45">
        <f>AVERAGE(BS!E11:F11)</f>
        <v>104563.5</v>
      </c>
      <c r="J30" s="274"/>
      <c r="K30" s="46"/>
      <c r="M30" s="264"/>
    </row>
    <row r="31" spans="2:14" x14ac:dyDescent="0.2">
      <c r="I31" s="10"/>
      <c r="J31" s="21"/>
    </row>
    <row r="32" spans="2:14" x14ac:dyDescent="0.2">
      <c r="I32" s="10"/>
      <c r="J32" s="21"/>
    </row>
    <row r="33" spans="2:13" x14ac:dyDescent="0.2">
      <c r="B33" s="267" t="s">
        <v>125</v>
      </c>
      <c r="C33" s="40" t="s">
        <v>54</v>
      </c>
      <c r="E33" s="42">
        <f>'P&amp;L'!D13</f>
        <v>198845</v>
      </c>
      <c r="F33" s="273" t="s">
        <v>44</v>
      </c>
      <c r="G33" s="44">
        <f>E33/E34</f>
        <v>5.8375656871091799</v>
      </c>
      <c r="I33" s="42">
        <f>'P&amp;L'!E13</f>
        <v>180141</v>
      </c>
      <c r="J33" s="273" t="s">
        <v>44</v>
      </c>
      <c r="K33" s="44">
        <f>I33/I34</f>
        <v>7.4487677803506447</v>
      </c>
      <c r="M33" s="263" t="s">
        <v>246</v>
      </c>
    </row>
    <row r="34" spans="2:13" x14ac:dyDescent="0.2">
      <c r="B34" s="268"/>
      <c r="C34" s="41" t="s">
        <v>57</v>
      </c>
      <c r="E34" s="45">
        <f>AVERAGE(BS!D22:E22)-AVERAGE(BS!D45:E45)</f>
        <v>34063</v>
      </c>
      <c r="F34" s="274"/>
      <c r="G34" s="46"/>
      <c r="I34" s="45">
        <f>AVERAGE(BS!E22:F22)-AVERAGE(BS!E45:F45)</f>
        <v>24184</v>
      </c>
      <c r="J34" s="274"/>
      <c r="K34" s="46"/>
      <c r="M34" s="264"/>
    </row>
    <row r="35" spans="2:13" ht="12" x14ac:dyDescent="0.2">
      <c r="B35" s="61"/>
      <c r="C35" s="56"/>
      <c r="E35" s="62"/>
      <c r="F35" s="56"/>
      <c r="G35" s="35"/>
      <c r="I35" s="62"/>
      <c r="J35" s="56"/>
      <c r="K35" s="35"/>
    </row>
    <row r="36" spans="2:13" x14ac:dyDescent="0.2">
      <c r="I36" s="10"/>
      <c r="J36" s="21"/>
    </row>
    <row r="37" spans="2:13" ht="12" customHeight="1" x14ac:dyDescent="0.2">
      <c r="B37" s="267" t="s">
        <v>126</v>
      </c>
      <c r="C37" s="40" t="s">
        <v>54</v>
      </c>
      <c r="E37" s="42">
        <f>'P&amp;L'!D13</f>
        <v>198845</v>
      </c>
      <c r="F37" s="273" t="s">
        <v>44</v>
      </c>
      <c r="G37" s="44">
        <f>E37/E38</f>
        <v>1.1378468774945567</v>
      </c>
      <c r="I37" s="42">
        <f>'P&amp;L'!E13</f>
        <v>180141</v>
      </c>
      <c r="J37" s="273" t="s">
        <v>44</v>
      </c>
      <c r="K37" s="44">
        <f>I37/I38</f>
        <v>1.0923495329312995</v>
      </c>
      <c r="M37" s="263" t="s">
        <v>247</v>
      </c>
    </row>
    <row r="38" spans="2:13" x14ac:dyDescent="0.2">
      <c r="B38" s="268"/>
      <c r="C38" s="41" t="s">
        <v>55</v>
      </c>
      <c r="E38" s="45">
        <f>AVERAGE(BS!D23:E23)</f>
        <v>174755.5</v>
      </c>
      <c r="F38" s="274"/>
      <c r="G38" s="46"/>
      <c r="I38" s="45">
        <f>AVERAGE(BS!E23:F23)</f>
        <v>164911.5</v>
      </c>
      <c r="J38" s="274"/>
      <c r="K38" s="46"/>
      <c r="M38" s="264"/>
    </row>
    <row r="39" spans="2:13" x14ac:dyDescent="0.2">
      <c r="I39" s="10"/>
      <c r="J39" s="21"/>
    </row>
    <row r="40" spans="2:13" x14ac:dyDescent="0.2">
      <c r="I40" s="10"/>
      <c r="J40" s="21"/>
    </row>
    <row r="41" spans="2:13" ht="12" x14ac:dyDescent="0.25">
      <c r="B41" s="47" t="s">
        <v>127</v>
      </c>
      <c r="C41" s="48" t="s">
        <v>120</v>
      </c>
      <c r="D41" s="3"/>
      <c r="E41" s="52">
        <f>G9</f>
        <v>46.682994292036511</v>
      </c>
      <c r="F41" s="43" t="s">
        <v>44</v>
      </c>
      <c r="G41" s="53">
        <f>E41+E43-E45</f>
        <v>62.131648152871804</v>
      </c>
      <c r="I41" s="52">
        <f>K9</f>
        <v>51.396350636445895</v>
      </c>
      <c r="J41" s="43" t="s">
        <v>44</v>
      </c>
      <c r="K41" s="53">
        <f>I41+I43-I45</f>
        <v>66.374159453238519</v>
      </c>
      <c r="M41" s="263" t="s">
        <v>172</v>
      </c>
    </row>
    <row r="42" spans="2:13" x14ac:dyDescent="0.2">
      <c r="B42" s="49"/>
      <c r="C42" s="50"/>
      <c r="D42" s="3"/>
      <c r="E42" s="54" t="s">
        <v>67</v>
      </c>
      <c r="F42" s="35"/>
      <c r="G42" s="50"/>
      <c r="I42" s="54" t="s">
        <v>67</v>
      </c>
      <c r="J42" s="35"/>
      <c r="K42" s="50"/>
      <c r="M42" s="272"/>
    </row>
    <row r="43" spans="2:13" x14ac:dyDescent="0.2">
      <c r="B43" s="49"/>
      <c r="C43" s="50" t="s">
        <v>103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2"/>
    </row>
    <row r="44" spans="2:13" x14ac:dyDescent="0.2">
      <c r="B44" s="49"/>
      <c r="C44" s="50"/>
      <c r="E44" s="54" t="s">
        <v>10</v>
      </c>
      <c r="F44" s="56"/>
      <c r="G44" s="50"/>
      <c r="I44" s="54" t="s">
        <v>10</v>
      </c>
      <c r="J44" s="56"/>
      <c r="K44" s="50"/>
      <c r="M44" s="272"/>
    </row>
    <row r="45" spans="2:13" x14ac:dyDescent="0.2">
      <c r="B45" s="51"/>
      <c r="C45" s="46" t="s">
        <v>121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4"/>
    </row>
    <row r="46" spans="2:13" x14ac:dyDescent="0.2">
      <c r="E46" s="21"/>
      <c r="K46" s="21"/>
    </row>
    <row r="48" spans="2:13" x14ac:dyDescent="0.2">
      <c r="B48" s="267" t="s">
        <v>128</v>
      </c>
      <c r="C48" s="40" t="s">
        <v>54</v>
      </c>
      <c r="E48" s="42">
        <f>'P&amp;L'!D13</f>
        <v>198845</v>
      </c>
      <c r="F48" s="273" t="s">
        <v>44</v>
      </c>
      <c r="G48" s="44">
        <f>E48/E49</f>
        <v>1.6217682081396296</v>
      </c>
      <c r="I48" s="42">
        <f>'P&amp;L'!E13</f>
        <v>180141</v>
      </c>
      <c r="J48" s="273" t="s">
        <v>44</v>
      </c>
      <c r="K48" s="44">
        <f>I48/I49</f>
        <v>1.6949262578505397</v>
      </c>
      <c r="M48" s="263" t="s">
        <v>248</v>
      </c>
    </row>
    <row r="49" spans="2:13" x14ac:dyDescent="0.2">
      <c r="B49" s="268"/>
      <c r="C49" s="41" t="s">
        <v>76</v>
      </c>
      <c r="E49" s="45">
        <f>AVERAGE(BS!D32:E32)</f>
        <v>122610</v>
      </c>
      <c r="F49" s="274"/>
      <c r="G49" s="46"/>
      <c r="I49" s="45">
        <f>AVERAGE(BS!E32:F32)</f>
        <v>106282.5</v>
      </c>
      <c r="J49" s="274"/>
      <c r="K49" s="46"/>
      <c r="M49" s="264"/>
    </row>
  </sheetData>
  <mergeCells count="44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M48:M49"/>
    <mergeCell ref="M9:M10"/>
    <mergeCell ref="M25:M26"/>
    <mergeCell ref="M17:M18"/>
    <mergeCell ref="M21:M22"/>
    <mergeCell ref="M29:M30"/>
    <mergeCell ref="M13:M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F25" sqref="F25"/>
    </sheetView>
  </sheetViews>
  <sheetFormatPr defaultRowHeight="11.4" x14ac:dyDescent="0.2"/>
  <cols>
    <col min="1" max="1" width="2.77734375" style="3" customWidth="1"/>
    <col min="2" max="2" width="20.6640625" style="3" customWidth="1"/>
    <col min="3" max="3" width="33" style="3" customWidth="1"/>
    <col min="4" max="4" width="2.77734375" style="3" customWidth="1"/>
    <col min="5" max="5" width="8.5546875" style="3" customWidth="1"/>
    <col min="6" max="6" width="2.77734375" style="3" customWidth="1"/>
    <col min="7" max="7" width="6" style="3" customWidth="1"/>
    <col min="8" max="8" width="2.77734375" style="3" customWidth="1"/>
    <col min="9" max="9" width="8.5546875" style="3" customWidth="1"/>
    <col min="10" max="10" width="2.77734375" style="3" customWidth="1"/>
    <col min="11" max="11" width="5.88671875" style="3" customWidth="1"/>
    <col min="12" max="12" width="2.77734375" style="3" customWidth="1"/>
    <col min="13" max="13" width="41.109375" style="3" customWidth="1"/>
    <col min="14" max="16384" width="8.88671875" style="3"/>
  </cols>
  <sheetData>
    <row r="3" spans="2:13" s="70" customFormat="1" ht="12" x14ac:dyDescent="0.3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5" spans="2:13" ht="12" customHeight="1" x14ac:dyDescent="0.2">
      <c r="B5" s="267" t="s">
        <v>58</v>
      </c>
      <c r="C5" s="40" t="s">
        <v>59</v>
      </c>
      <c r="D5" s="21"/>
      <c r="E5" s="42">
        <f>BS!D22</f>
        <v>70907</v>
      </c>
      <c r="F5" s="273" t="s">
        <v>44</v>
      </c>
      <c r="G5" s="44">
        <f>E5/E6</f>
        <v>2.250872960446956</v>
      </c>
      <c r="I5" s="42">
        <f>BS!E22</f>
        <v>61001</v>
      </c>
      <c r="J5" s="273" t="s">
        <v>44</v>
      </c>
      <c r="K5" s="44">
        <f>I5/I6</f>
        <v>1.8897459727385377</v>
      </c>
      <c r="M5" s="265" t="s">
        <v>133</v>
      </c>
    </row>
    <row r="6" spans="2:13" x14ac:dyDescent="0.2">
      <c r="B6" s="268"/>
      <c r="C6" s="41" t="s">
        <v>60</v>
      </c>
      <c r="D6" s="21"/>
      <c r="E6" s="45">
        <f>BS!D45</f>
        <v>31502</v>
      </c>
      <c r="F6" s="274"/>
      <c r="G6" s="46"/>
      <c r="I6" s="45">
        <f>BS!E45</f>
        <v>32280</v>
      </c>
      <c r="J6" s="274"/>
      <c r="K6" s="46"/>
      <c r="M6" s="266"/>
    </row>
    <row r="9" spans="2:13" ht="12" customHeight="1" x14ac:dyDescent="0.2">
      <c r="B9" s="267" t="s">
        <v>61</v>
      </c>
      <c r="C9" s="40" t="s">
        <v>62</v>
      </c>
      <c r="D9" s="21"/>
      <c r="E9" s="59">
        <f>SUM(BS!D19:D21)</f>
        <v>45538</v>
      </c>
      <c r="F9" s="273" t="s">
        <v>44</v>
      </c>
      <c r="G9" s="44">
        <f>E9/E10</f>
        <v>1.4455590121262143</v>
      </c>
      <c r="I9" s="42">
        <f>SUM(BS!E19:E21)</f>
        <v>37243</v>
      </c>
      <c r="J9" s="273" t="s">
        <v>44</v>
      </c>
      <c r="K9" s="44">
        <f>I9/I10</f>
        <v>1.1537484510532838</v>
      </c>
      <c r="M9" s="265" t="s">
        <v>134</v>
      </c>
    </row>
    <row r="10" spans="2:13" x14ac:dyDescent="0.2">
      <c r="B10" s="268"/>
      <c r="C10" s="41" t="s">
        <v>60</v>
      </c>
      <c r="D10" s="21"/>
      <c r="E10" s="65">
        <f>BS!D45</f>
        <v>31502</v>
      </c>
      <c r="F10" s="274"/>
      <c r="G10" s="46"/>
      <c r="I10" s="45">
        <f>BS!E45</f>
        <v>32280</v>
      </c>
      <c r="J10" s="274"/>
      <c r="K10" s="46"/>
      <c r="M10" s="266"/>
    </row>
    <row r="13" spans="2:13" ht="12" customHeight="1" x14ac:dyDescent="0.2">
      <c r="B13" s="267" t="s">
        <v>63</v>
      </c>
      <c r="C13" s="40" t="s">
        <v>64</v>
      </c>
      <c r="D13" s="21"/>
      <c r="E13" s="59">
        <f>SUM(BS!D20:D21)</f>
        <v>19291</v>
      </c>
      <c r="F13" s="273" t="s">
        <v>44</v>
      </c>
      <c r="G13" s="44">
        <f>E13/E14</f>
        <v>0.61237381753539455</v>
      </c>
      <c r="I13" s="42">
        <f>SUM(BS!E20:E21)</f>
        <v>12626</v>
      </c>
      <c r="J13" s="273" t="s">
        <v>44</v>
      </c>
      <c r="K13" s="44">
        <f>I13/I14</f>
        <v>0.39114002478314747</v>
      </c>
      <c r="M13" s="265" t="s">
        <v>135</v>
      </c>
    </row>
    <row r="14" spans="2:13" x14ac:dyDescent="0.2">
      <c r="B14" s="268"/>
      <c r="C14" s="41" t="s">
        <v>60</v>
      </c>
      <c r="D14" s="21"/>
      <c r="E14" s="65">
        <f>BS!D45</f>
        <v>31502</v>
      </c>
      <c r="F14" s="274"/>
      <c r="G14" s="46"/>
      <c r="I14" s="45">
        <f>BS!E45</f>
        <v>32280</v>
      </c>
      <c r="J14" s="274"/>
      <c r="K14" s="46"/>
      <c r="M14" s="266"/>
    </row>
    <row r="17" spans="2:13" ht="12" customHeight="1" x14ac:dyDescent="0.2">
      <c r="B17" s="267" t="s">
        <v>65</v>
      </c>
      <c r="C17" s="40" t="s">
        <v>62</v>
      </c>
      <c r="D17" s="21"/>
      <c r="E17" s="59">
        <f>SUM(BS!D19:D21)</f>
        <v>45538</v>
      </c>
      <c r="F17" s="273" t="s">
        <v>44</v>
      </c>
      <c r="G17" s="44">
        <f>E17/E18</f>
        <v>94.282108296368563</v>
      </c>
      <c r="I17" s="42">
        <f>SUM(BS!E19:E21)</f>
        <v>37243</v>
      </c>
      <c r="J17" s="273" t="s">
        <v>44</v>
      </c>
      <c r="K17" s="44">
        <f>I17/I18</f>
        <v>84.148560144604573</v>
      </c>
      <c r="M17" s="265" t="s">
        <v>173</v>
      </c>
    </row>
    <row r="18" spans="2:13" x14ac:dyDescent="0.2">
      <c r="B18" s="268"/>
      <c r="C18" s="41" t="s">
        <v>66</v>
      </c>
      <c r="D18" s="21"/>
      <c r="E18" s="65">
        <f>-('P&amp;L'!D15+'P&amp;L'!D19+'P&amp;L'!D20+'P&amp;L'!D21)/365</f>
        <v>482.99726027397259</v>
      </c>
      <c r="F18" s="274"/>
      <c r="G18" s="46"/>
      <c r="I18" s="45">
        <f>-('P&amp;L'!E15+'P&amp;L'!E19+'P&amp;L'!E20+'P&amp;L'!E21)/365</f>
        <v>442.58630136986301</v>
      </c>
      <c r="J18" s="274"/>
      <c r="K18" s="46"/>
      <c r="M18" s="266"/>
    </row>
  </sheetData>
  <mergeCells count="19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/>
  </sheetViews>
  <sheetFormatPr defaultRowHeight="11.4" x14ac:dyDescent="0.2"/>
  <cols>
    <col min="1" max="1" width="2.77734375" style="3" customWidth="1"/>
    <col min="2" max="2" width="22.44140625" style="3" customWidth="1"/>
    <col min="3" max="3" width="38.21875" style="3" customWidth="1"/>
    <col min="4" max="4" width="2.77734375" style="3" customWidth="1"/>
    <col min="5" max="5" width="9.109375" style="3" customWidth="1"/>
    <col min="6" max="6" width="2.77734375" style="3" customWidth="1"/>
    <col min="7" max="7" width="5.77734375" style="19" customWidth="1"/>
    <col min="8" max="8" width="2.77734375" style="3" customWidth="1"/>
    <col min="9" max="9" width="8.77734375" style="3" customWidth="1"/>
    <col min="10" max="10" width="2.77734375" style="3" customWidth="1"/>
    <col min="11" max="11" width="6.33203125" style="3" customWidth="1"/>
    <col min="12" max="12" width="2.77734375" style="3" customWidth="1"/>
    <col min="13" max="13" width="24.33203125" style="3" customWidth="1"/>
    <col min="14" max="16384" width="8.88671875" style="3"/>
  </cols>
  <sheetData>
    <row r="3" spans="2:13" s="70" customFormat="1" ht="14.4" customHeight="1" x14ac:dyDescent="0.3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5" spans="2:13" ht="12" customHeight="1" x14ac:dyDescent="0.2">
      <c r="B5" s="267" t="s">
        <v>69</v>
      </c>
      <c r="C5" s="40" t="s">
        <v>71</v>
      </c>
      <c r="D5" s="21"/>
      <c r="E5" s="42">
        <f>BS!D42+BS!D36</f>
        <v>29474</v>
      </c>
      <c r="F5" s="273" t="s">
        <v>44</v>
      </c>
      <c r="G5" s="66">
        <f>E5/E6</f>
        <v>0.2242426086824206</v>
      </c>
      <c r="I5" s="42">
        <f>BS!E42+BS!E36</f>
        <v>35016</v>
      </c>
      <c r="J5" s="273" t="s">
        <v>44</v>
      </c>
      <c r="K5" s="66">
        <f>I5/I6</f>
        <v>0.30774639222372607</v>
      </c>
      <c r="M5" s="263" t="s">
        <v>144</v>
      </c>
    </row>
    <row r="6" spans="2:13" x14ac:dyDescent="0.2">
      <c r="B6" s="268"/>
      <c r="C6" s="41" t="s">
        <v>72</v>
      </c>
      <c r="D6" s="21"/>
      <c r="E6" s="45">
        <f>BS!D32</f>
        <v>131438</v>
      </c>
      <c r="F6" s="274"/>
      <c r="G6" s="67"/>
      <c r="I6" s="45">
        <f>BS!E32</f>
        <v>113782</v>
      </c>
      <c r="J6" s="274"/>
      <c r="K6" s="67"/>
      <c r="M6" s="264"/>
    </row>
    <row r="7" spans="2:13" x14ac:dyDescent="0.2">
      <c r="D7" s="21"/>
      <c r="E7" s="10"/>
      <c r="F7" s="21"/>
      <c r="I7" s="10"/>
      <c r="J7" s="21"/>
      <c r="K7" s="19"/>
    </row>
    <row r="8" spans="2:13" x14ac:dyDescent="0.2">
      <c r="D8" s="21"/>
      <c r="E8" s="10"/>
      <c r="F8" s="21"/>
      <c r="I8" s="10"/>
      <c r="J8" s="21"/>
      <c r="K8" s="19"/>
    </row>
    <row r="9" spans="2:13" ht="12" customHeight="1" x14ac:dyDescent="0.2">
      <c r="B9" s="267" t="s">
        <v>70</v>
      </c>
      <c r="C9" s="40" t="s">
        <v>71</v>
      </c>
      <c r="D9" s="21"/>
      <c r="E9" s="59">
        <f>BS!D36+BS!D42</f>
        <v>29474</v>
      </c>
      <c r="F9" s="273" t="s">
        <v>44</v>
      </c>
      <c r="G9" s="66">
        <f>E9/E10</f>
        <v>0.18316843989261211</v>
      </c>
      <c r="I9" s="59">
        <f>BS!E36+BS!E42</f>
        <v>35016</v>
      </c>
      <c r="J9" s="273" t="s">
        <v>44</v>
      </c>
      <c r="K9" s="66">
        <f>I9/I10</f>
        <v>0.23532574362558636</v>
      </c>
      <c r="M9" s="263" t="s">
        <v>145</v>
      </c>
    </row>
    <row r="10" spans="2:13" x14ac:dyDescent="0.2">
      <c r="B10" s="268"/>
      <c r="C10" s="41" t="s">
        <v>73</v>
      </c>
      <c r="D10" s="21"/>
      <c r="E10" s="65">
        <f>BS!D36+BS!D42+BS!D32</f>
        <v>160912</v>
      </c>
      <c r="F10" s="274"/>
      <c r="G10" s="67"/>
      <c r="I10" s="65">
        <f>BS!E36+BS!E42+BS!E32</f>
        <v>148798</v>
      </c>
      <c r="J10" s="274"/>
      <c r="K10" s="67"/>
      <c r="M10" s="264"/>
    </row>
    <row r="11" spans="2:13" x14ac:dyDescent="0.2">
      <c r="K11" s="19"/>
    </row>
    <row r="12" spans="2:13" x14ac:dyDescent="0.2">
      <c r="K12" s="19"/>
    </row>
    <row r="13" spans="2:13" ht="12" customHeight="1" x14ac:dyDescent="0.2">
      <c r="B13" s="267" t="s">
        <v>75</v>
      </c>
      <c r="C13" s="40" t="s">
        <v>71</v>
      </c>
      <c r="D13" s="21"/>
      <c r="E13" s="59">
        <f>BS!D36+BS!D42</f>
        <v>29474</v>
      </c>
      <c r="F13" s="273" t="s">
        <v>44</v>
      </c>
      <c r="G13" s="66">
        <f>E13/E14</f>
        <v>0.16262324749918616</v>
      </c>
      <c r="I13" s="59">
        <f>BS!E36+BS!E42</f>
        <v>35016</v>
      </c>
      <c r="J13" s="273" t="s">
        <v>44</v>
      </c>
      <c r="K13" s="66">
        <f>I13/I14</f>
        <v>0.20809413442681404</v>
      </c>
      <c r="M13" s="263" t="s">
        <v>146</v>
      </c>
    </row>
    <row r="14" spans="2:13" x14ac:dyDescent="0.2">
      <c r="B14" s="268"/>
      <c r="C14" s="41" t="s">
        <v>74</v>
      </c>
      <c r="D14" s="21"/>
      <c r="E14" s="65">
        <f>BS!D23</f>
        <v>181241</v>
      </c>
      <c r="F14" s="274"/>
      <c r="G14" s="67"/>
      <c r="I14" s="65">
        <f>BS!E23</f>
        <v>168270</v>
      </c>
      <c r="J14" s="274"/>
      <c r="K14" s="67"/>
      <c r="M14" s="264"/>
    </row>
    <row r="15" spans="2:13" x14ac:dyDescent="0.2">
      <c r="K15" s="19"/>
    </row>
    <row r="16" spans="2:13" x14ac:dyDescent="0.2">
      <c r="K16" s="19"/>
    </row>
    <row r="17" spans="2:13" ht="12" customHeight="1" x14ac:dyDescent="0.2">
      <c r="B17" s="267" t="s">
        <v>280</v>
      </c>
      <c r="C17" s="40" t="s">
        <v>77</v>
      </c>
      <c r="D17" s="21"/>
      <c r="E17" s="59">
        <f>'P&amp;L'!D24</f>
        <v>22551.000000000004</v>
      </c>
      <c r="F17" s="273" t="s">
        <v>44</v>
      </c>
      <c r="G17" s="71">
        <f>E17/E18</f>
        <v>8.2755963302752313</v>
      </c>
      <c r="I17" s="59">
        <f>'P&amp;L'!E24</f>
        <v>18597.000000000004</v>
      </c>
      <c r="J17" s="273" t="s">
        <v>44</v>
      </c>
      <c r="K17" s="71">
        <f>I17/I18</f>
        <v>6.2155748663101615</v>
      </c>
      <c r="M17" s="263" t="s">
        <v>147</v>
      </c>
    </row>
    <row r="18" spans="2:13" x14ac:dyDescent="0.2">
      <c r="B18" s="268"/>
      <c r="C18" s="41" t="s">
        <v>78</v>
      </c>
      <c r="D18" s="21"/>
      <c r="E18" s="65">
        <f>-'P&amp;L'!D26</f>
        <v>2725</v>
      </c>
      <c r="F18" s="274"/>
      <c r="G18" s="67"/>
      <c r="I18" s="65">
        <f>-'P&amp;L'!E26</f>
        <v>2992</v>
      </c>
      <c r="J18" s="274"/>
      <c r="K18" s="67"/>
      <c r="M18" s="264"/>
    </row>
    <row r="19" spans="2:13" x14ac:dyDescent="0.2">
      <c r="K19" s="19"/>
    </row>
    <row r="20" spans="2:13" x14ac:dyDescent="0.2">
      <c r="K20" s="19"/>
    </row>
    <row r="21" spans="2:13" ht="12" customHeight="1" x14ac:dyDescent="0.2">
      <c r="B21" s="267" t="s">
        <v>281</v>
      </c>
      <c r="C21" s="40" t="s">
        <v>79</v>
      </c>
      <c r="D21" s="21"/>
      <c r="E21" s="59">
        <f>'P&amp;L'!D24-'P&amp;L'!D55</f>
        <v>24832.000000000004</v>
      </c>
      <c r="F21" s="273" t="s">
        <v>44</v>
      </c>
      <c r="G21" s="71">
        <f>E21/E22</f>
        <v>4.9604474630443471</v>
      </c>
      <c r="I21" s="59">
        <f>'P&amp;L'!E24-'P&amp;L'!E55</f>
        <v>21072.000000000004</v>
      </c>
      <c r="J21" s="273" t="s">
        <v>44</v>
      </c>
      <c r="K21" s="71">
        <f>I21/I22</f>
        <v>3.8543991220047564</v>
      </c>
      <c r="M21" s="263" t="s">
        <v>148</v>
      </c>
    </row>
    <row r="22" spans="2:13" x14ac:dyDescent="0.2">
      <c r="B22" s="268"/>
      <c r="C22" s="41" t="s">
        <v>80</v>
      </c>
      <c r="D22" s="21"/>
      <c r="E22" s="65">
        <f>-'P&amp;L'!D26-'P&amp;L'!D55</f>
        <v>5006</v>
      </c>
      <c r="F22" s="274"/>
      <c r="G22" s="67"/>
      <c r="I22" s="65">
        <f>-'P&amp;L'!E26-'P&amp;L'!E55</f>
        <v>5467</v>
      </c>
      <c r="J22" s="274"/>
      <c r="K22" s="67"/>
      <c r="M22" s="264"/>
    </row>
    <row r="24" spans="2:13" x14ac:dyDescent="0.2">
      <c r="K24" s="19"/>
    </row>
    <row r="25" spans="2:13" ht="12" customHeight="1" x14ac:dyDescent="0.2">
      <c r="B25" s="267" t="s">
        <v>282</v>
      </c>
      <c r="C25" s="40" t="s">
        <v>55</v>
      </c>
      <c r="D25" s="21"/>
      <c r="E25" s="59">
        <f>AVERAGE(BS!D23:E23)</f>
        <v>174755.5</v>
      </c>
      <c r="F25" s="273" t="s">
        <v>44</v>
      </c>
      <c r="G25" s="71">
        <f>E25/E26</f>
        <v>1.4252956528831253</v>
      </c>
      <c r="I25" s="59">
        <f>AVERAGE(BS!E23:F23)</f>
        <v>164911.5</v>
      </c>
      <c r="J25" s="273" t="s">
        <v>44</v>
      </c>
      <c r="K25" s="71">
        <f>I25/I26</f>
        <v>1.5516336179521557</v>
      </c>
      <c r="M25" s="263" t="s">
        <v>174</v>
      </c>
    </row>
    <row r="26" spans="2:13" x14ac:dyDescent="0.2">
      <c r="B26" s="268"/>
      <c r="C26" s="41" t="s">
        <v>76</v>
      </c>
      <c r="D26" s="21"/>
      <c r="E26" s="65">
        <f>AVERAGE(BS!D32:E32)</f>
        <v>122610</v>
      </c>
      <c r="F26" s="274"/>
      <c r="G26" s="67"/>
      <c r="I26" s="65">
        <f>AVERAGE(BS!E32:F32)</f>
        <v>106282.5</v>
      </c>
      <c r="J26" s="274"/>
      <c r="K26" s="67"/>
      <c r="M26" s="264"/>
    </row>
  </sheetData>
  <mergeCells count="27">
    <mergeCell ref="M5:M6"/>
    <mergeCell ref="M9:M10"/>
    <mergeCell ref="M13:M14"/>
    <mergeCell ref="M17:M18"/>
    <mergeCell ref="M21:M22"/>
    <mergeCell ref="M25:M26"/>
    <mergeCell ref="J21:J22"/>
    <mergeCell ref="J17:J18"/>
    <mergeCell ref="J25:J26"/>
    <mergeCell ref="J13:J14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/>
  </sheetViews>
  <sheetFormatPr defaultRowHeight="11.4" x14ac:dyDescent="0.2"/>
  <cols>
    <col min="1" max="1" width="2.77734375" style="3" customWidth="1"/>
    <col min="2" max="2" width="31.109375" style="3" bestFit="1" customWidth="1"/>
    <col min="3" max="3" width="31.44140625" style="3" bestFit="1" customWidth="1"/>
    <col min="4" max="4" width="2.77734375" style="3" customWidth="1"/>
    <col min="5" max="5" width="8.88671875" style="3" customWidth="1"/>
    <col min="6" max="6" width="2.77734375" style="3" customWidth="1"/>
    <col min="7" max="7" width="6.88671875" style="3" customWidth="1"/>
    <col min="8" max="8" width="2.77734375" style="3" customWidth="1"/>
    <col min="9" max="9" width="8.33203125" style="3" customWidth="1"/>
    <col min="10" max="10" width="2.77734375" style="3" customWidth="1"/>
    <col min="11" max="11" width="7" style="3" customWidth="1"/>
    <col min="12" max="12" width="2.77734375" style="3" customWidth="1"/>
    <col min="13" max="13" width="33.21875" style="76" customWidth="1"/>
    <col min="14" max="16384" width="8.88671875" style="3"/>
  </cols>
  <sheetData>
    <row r="3" spans="2:13" s="70" customFormat="1" ht="12" x14ac:dyDescent="0.3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4" spans="2:13" x14ac:dyDescent="0.2">
      <c r="D4" s="21"/>
      <c r="E4" s="10"/>
      <c r="F4" s="21"/>
      <c r="I4" s="10"/>
      <c r="J4" s="21"/>
    </row>
    <row r="5" spans="2:13" ht="12" customHeight="1" x14ac:dyDescent="0.2">
      <c r="B5" s="267" t="s">
        <v>175</v>
      </c>
      <c r="C5" s="40" t="s">
        <v>83</v>
      </c>
      <c r="D5" s="21"/>
      <c r="E5" s="59">
        <f>'P&amp;L'!D17</f>
        <v>48553.16</v>
      </c>
      <c r="F5" s="273" t="s">
        <v>44</v>
      </c>
      <c r="G5" s="72">
        <f>E5/E6</f>
        <v>0.24417591591440571</v>
      </c>
      <c r="I5" s="59">
        <f>'P&amp;L'!E17</f>
        <v>41525.160000000003</v>
      </c>
      <c r="J5" s="273" t="s">
        <v>44</v>
      </c>
      <c r="K5" s="72">
        <f>I5/I6</f>
        <v>0.23051476343530902</v>
      </c>
      <c r="M5" s="263" t="s">
        <v>152</v>
      </c>
    </row>
    <row r="6" spans="2:13" x14ac:dyDescent="0.2">
      <c r="B6" s="268"/>
      <c r="C6" s="41" t="s">
        <v>54</v>
      </c>
      <c r="D6" s="21"/>
      <c r="E6" s="65">
        <f>'P&amp;L'!D13</f>
        <v>198845</v>
      </c>
      <c r="F6" s="274"/>
      <c r="G6" s="46"/>
      <c r="I6" s="65">
        <f>'P&amp;L'!E13</f>
        <v>180141</v>
      </c>
      <c r="J6" s="274"/>
      <c r="K6" s="46"/>
      <c r="M6" s="264"/>
    </row>
    <row r="7" spans="2:13" x14ac:dyDescent="0.2">
      <c r="D7" s="21"/>
      <c r="E7" s="10"/>
      <c r="F7" s="21"/>
      <c r="I7" s="10"/>
      <c r="J7" s="21"/>
    </row>
    <row r="8" spans="2:13" x14ac:dyDescent="0.2">
      <c r="D8" s="21"/>
      <c r="E8" s="10"/>
      <c r="F8" s="21"/>
      <c r="I8" s="10"/>
      <c r="J8" s="21"/>
    </row>
    <row r="9" spans="2:13" ht="12" customHeight="1" x14ac:dyDescent="0.2">
      <c r="B9" s="267" t="s">
        <v>176</v>
      </c>
      <c r="C9" s="40" t="s">
        <v>153</v>
      </c>
      <c r="D9" s="21"/>
      <c r="E9" s="42">
        <f>'P&amp;L'!D24</f>
        <v>22551.000000000004</v>
      </c>
      <c r="F9" s="273" t="s">
        <v>44</v>
      </c>
      <c r="G9" s="72">
        <f>E9/E10</f>
        <v>0.11340994241746086</v>
      </c>
      <c r="I9" s="42">
        <f>'P&amp;L'!E24</f>
        <v>18597.000000000004</v>
      </c>
      <c r="J9" s="273" t="s">
        <v>44</v>
      </c>
      <c r="K9" s="72">
        <f>I9/I10</f>
        <v>0.1032357986244109</v>
      </c>
      <c r="M9" s="263" t="s">
        <v>154</v>
      </c>
    </row>
    <row r="10" spans="2:13" x14ac:dyDescent="0.2">
      <c r="B10" s="268"/>
      <c r="C10" s="41" t="s">
        <v>54</v>
      </c>
      <c r="D10" s="21"/>
      <c r="E10" s="45">
        <f>'P&amp;L'!D13</f>
        <v>198845</v>
      </c>
      <c r="F10" s="274"/>
      <c r="G10" s="46"/>
      <c r="I10" s="45">
        <f>'P&amp;L'!E13</f>
        <v>180141</v>
      </c>
      <c r="J10" s="274"/>
      <c r="K10" s="46"/>
      <c r="M10" s="264"/>
    </row>
    <row r="11" spans="2:13" x14ac:dyDescent="0.2">
      <c r="D11" s="21"/>
      <c r="E11" s="10"/>
      <c r="F11" s="21"/>
      <c r="I11" s="10"/>
      <c r="J11" s="21"/>
    </row>
    <row r="12" spans="2:13" x14ac:dyDescent="0.2">
      <c r="D12" s="21"/>
      <c r="E12" s="10"/>
      <c r="F12" s="21"/>
      <c r="I12" s="10"/>
      <c r="J12" s="21"/>
    </row>
    <row r="13" spans="2:13" ht="12" customHeight="1" x14ac:dyDescent="0.2">
      <c r="B13" s="267" t="s">
        <v>177</v>
      </c>
      <c r="C13" s="40" t="s">
        <v>84</v>
      </c>
      <c r="D13" s="21"/>
      <c r="E13" s="59">
        <f>'P&amp;L'!D28</f>
        <v>19826.000000000004</v>
      </c>
      <c r="F13" s="273" t="s">
        <v>44</v>
      </c>
      <c r="G13" s="72">
        <f>E13/E14</f>
        <v>9.9705801000779526E-2</v>
      </c>
      <c r="I13" s="59">
        <f>'P&amp;L'!E28</f>
        <v>15605.000000000004</v>
      </c>
      <c r="J13" s="273" t="s">
        <v>44</v>
      </c>
      <c r="K13" s="72">
        <f>I13/I14</f>
        <v>8.6626586951332588E-2</v>
      </c>
      <c r="M13" s="263" t="s">
        <v>155</v>
      </c>
    </row>
    <row r="14" spans="2:13" x14ac:dyDescent="0.2">
      <c r="B14" s="268"/>
      <c r="C14" s="41" t="s">
        <v>54</v>
      </c>
      <c r="D14" s="21"/>
      <c r="E14" s="45">
        <f>'P&amp;L'!D13</f>
        <v>198845</v>
      </c>
      <c r="F14" s="274"/>
      <c r="G14" s="46"/>
      <c r="I14" s="45">
        <f>'P&amp;L'!E13</f>
        <v>180141</v>
      </c>
      <c r="J14" s="274"/>
      <c r="K14" s="46"/>
      <c r="M14" s="264"/>
    </row>
    <row r="17" spans="2:13" x14ac:dyDescent="0.2">
      <c r="B17" s="267" t="s">
        <v>178</v>
      </c>
      <c r="C17" s="40" t="s">
        <v>82</v>
      </c>
      <c r="D17" s="21"/>
      <c r="E17" s="42">
        <f>'P&amp;L'!D32</f>
        <v>17698.000000000004</v>
      </c>
      <c r="F17" s="273" t="s">
        <v>44</v>
      </c>
      <c r="G17" s="72">
        <f>E17/E18</f>
        <v>8.9003998088963782E-2</v>
      </c>
      <c r="I17" s="42">
        <f>'P&amp;L'!E32</f>
        <v>13962.000000000004</v>
      </c>
      <c r="J17" s="273" t="s">
        <v>44</v>
      </c>
      <c r="K17" s="72">
        <f>I17/I18</f>
        <v>7.7505953669625482E-2</v>
      </c>
      <c r="M17" s="263" t="s">
        <v>151</v>
      </c>
    </row>
    <row r="18" spans="2:13" x14ac:dyDescent="0.2">
      <c r="B18" s="268"/>
      <c r="C18" s="41" t="s">
        <v>54</v>
      </c>
      <c r="D18" s="21"/>
      <c r="E18" s="45">
        <f>'P&amp;L'!D13</f>
        <v>198845</v>
      </c>
      <c r="F18" s="274"/>
      <c r="G18" s="46"/>
      <c r="I18" s="45">
        <f>'P&amp;L'!E13</f>
        <v>180141</v>
      </c>
      <c r="J18" s="274"/>
      <c r="K18" s="46"/>
      <c r="M18" s="264"/>
    </row>
    <row r="21" spans="2:13" ht="12" customHeight="1" x14ac:dyDescent="0.2">
      <c r="B21" s="267" t="s">
        <v>149</v>
      </c>
      <c r="C21" s="40" t="s">
        <v>82</v>
      </c>
      <c r="D21" s="21"/>
      <c r="E21" s="59">
        <f>'P&amp;L'!D32</f>
        <v>17698.000000000004</v>
      </c>
      <c r="F21" s="273" t="s">
        <v>44</v>
      </c>
      <c r="G21" s="72">
        <f>E21/E22</f>
        <v>0.10127292131005892</v>
      </c>
      <c r="I21" s="59">
        <f>'P&amp;L'!E32</f>
        <v>13962.000000000004</v>
      </c>
      <c r="J21" s="273" t="s">
        <v>44</v>
      </c>
      <c r="K21" s="72">
        <f>I21/I22</f>
        <v>8.4663592290410331E-2</v>
      </c>
      <c r="M21" s="263" t="s">
        <v>156</v>
      </c>
    </row>
    <row r="22" spans="2:13" x14ac:dyDescent="0.2">
      <c r="B22" s="268"/>
      <c r="C22" s="41" t="s">
        <v>55</v>
      </c>
      <c r="D22" s="21"/>
      <c r="E22" s="45">
        <f>AVERAGE(BS!D23:E23)</f>
        <v>174755.5</v>
      </c>
      <c r="F22" s="274"/>
      <c r="G22" s="46"/>
      <c r="I22" s="45">
        <f>AVERAGE(BS!E23:F23)</f>
        <v>164911.5</v>
      </c>
      <c r="J22" s="274"/>
      <c r="K22" s="46"/>
      <c r="M22" s="264"/>
    </row>
    <row r="23" spans="2:13" ht="12" x14ac:dyDescent="0.2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2">
      <c r="B25" s="267" t="s">
        <v>150</v>
      </c>
      <c r="C25" s="40" t="s">
        <v>179</v>
      </c>
      <c r="D25" s="21"/>
      <c r="E25" s="59">
        <f>'P&amp;L'!D24</f>
        <v>22551.000000000004</v>
      </c>
      <c r="F25" s="273" t="s">
        <v>44</v>
      </c>
      <c r="G25" s="72">
        <f>E25/E26</f>
        <v>0.1290431488565453</v>
      </c>
      <c r="I25" s="59">
        <f>'P&amp;L'!E24</f>
        <v>18597.000000000004</v>
      </c>
      <c r="J25" s="273" t="s">
        <v>44</v>
      </c>
      <c r="K25" s="72">
        <f>I25/I26</f>
        <v>0.11276957640916493</v>
      </c>
      <c r="M25" s="263" t="s">
        <v>157</v>
      </c>
    </row>
    <row r="26" spans="2:13" x14ac:dyDescent="0.2">
      <c r="B26" s="268"/>
      <c r="C26" s="41" t="s">
        <v>55</v>
      </c>
      <c r="D26" s="21"/>
      <c r="E26" s="45">
        <f>E22</f>
        <v>174755.5</v>
      </c>
      <c r="F26" s="274"/>
      <c r="G26" s="46"/>
      <c r="I26" s="45">
        <f>I22</f>
        <v>164911.5</v>
      </c>
      <c r="J26" s="274"/>
      <c r="K26" s="46"/>
      <c r="M26" s="264"/>
    </row>
    <row r="29" spans="2:13" ht="12" customHeight="1" x14ac:dyDescent="0.2">
      <c r="B29" s="267" t="s">
        <v>158</v>
      </c>
      <c r="C29" s="40" t="s">
        <v>179</v>
      </c>
      <c r="D29" s="21"/>
      <c r="E29" s="59">
        <f>E25</f>
        <v>22551.000000000004</v>
      </c>
      <c r="F29" s="273" t="s">
        <v>44</v>
      </c>
      <c r="G29" s="72">
        <f>E29/E30</f>
        <v>0.14562655387297796</v>
      </c>
      <c r="I29" s="59">
        <f>I25</f>
        <v>18597.000000000004</v>
      </c>
      <c r="J29" s="273" t="s">
        <v>44</v>
      </c>
      <c r="K29" s="72">
        <f>I29/I30</f>
        <v>0.1276687765161397</v>
      </c>
      <c r="M29" s="263" t="s">
        <v>159</v>
      </c>
    </row>
    <row r="30" spans="2:13" x14ac:dyDescent="0.2">
      <c r="B30" s="268"/>
      <c r="C30" s="41" t="s">
        <v>86</v>
      </c>
      <c r="D30" s="21"/>
      <c r="E30" s="45">
        <f>AVERAGE(BS!D32:E32)+AVERAGE(BS!D36:E36)+AVERAGE(BS!D42:E42)</f>
        <v>154855</v>
      </c>
      <c r="F30" s="274"/>
      <c r="G30" s="46"/>
      <c r="I30" s="45">
        <f>AVERAGE(BS!E32:F32)+AVERAGE(BS!E36:F36)+AVERAGE(BS!E42:F42)</f>
        <v>145666</v>
      </c>
      <c r="J30" s="274"/>
      <c r="K30" s="46"/>
      <c r="M30" s="264"/>
    </row>
    <row r="33" spans="2:13" ht="12" customHeight="1" x14ac:dyDescent="0.2">
      <c r="B33" s="275" t="s">
        <v>168</v>
      </c>
      <c r="C33" s="247" t="s">
        <v>82</v>
      </c>
      <c r="D33" s="73"/>
      <c r="E33" s="248">
        <f>'P&amp;L'!D32</f>
        <v>17698.000000000004</v>
      </c>
      <c r="F33" s="277" t="s">
        <v>44</v>
      </c>
      <c r="G33" s="249">
        <f>E33/E34</f>
        <v>0.14434385449800183</v>
      </c>
      <c r="H33" s="73"/>
      <c r="I33" s="248">
        <f>'P&amp;L'!E32</f>
        <v>13962.000000000004</v>
      </c>
      <c r="J33" s="277" t="s">
        <v>44</v>
      </c>
      <c r="K33" s="249">
        <f>I33/I34</f>
        <v>0.13136687601439562</v>
      </c>
      <c r="M33" s="263" t="s">
        <v>160</v>
      </c>
    </row>
    <row r="34" spans="2:13" x14ac:dyDescent="0.2">
      <c r="B34" s="276"/>
      <c r="C34" s="250" t="s">
        <v>96</v>
      </c>
      <c r="D34" s="73"/>
      <c r="E34" s="251">
        <f>AVERAGE(BS!D32:E32)</f>
        <v>122610</v>
      </c>
      <c r="F34" s="278"/>
      <c r="G34" s="201"/>
      <c r="H34" s="73"/>
      <c r="I34" s="251">
        <f>AVERAGE(BS!E32:F32)</f>
        <v>106282.5</v>
      </c>
      <c r="J34" s="278"/>
      <c r="K34" s="201"/>
      <c r="M34" s="264"/>
    </row>
    <row r="35" spans="2:13" x14ac:dyDescent="0.2">
      <c r="D35" s="73"/>
    </row>
  </sheetData>
  <mergeCells count="35"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M25:M26"/>
    <mergeCell ref="M29:M30"/>
    <mergeCell ref="M33:M34"/>
    <mergeCell ref="M17:M18"/>
    <mergeCell ref="M5:M6"/>
    <mergeCell ref="M9:M10"/>
    <mergeCell ref="M13:M14"/>
    <mergeCell ref="M21:M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defaultRowHeight="11.4" x14ac:dyDescent="0.2"/>
  <cols>
    <col min="1" max="1" width="2.77734375" style="3" customWidth="1"/>
    <col min="2" max="2" width="25.5546875" style="3" customWidth="1"/>
    <col min="3" max="3" width="30.21875" style="3" bestFit="1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5" style="3" bestFit="1" customWidth="1"/>
    <col min="8" max="8" width="2.77734375" style="3" customWidth="1"/>
    <col min="9" max="9" width="9.88671875" style="3" bestFit="1" customWidth="1"/>
    <col min="10" max="10" width="2.77734375" style="3" customWidth="1"/>
    <col min="11" max="11" width="5" style="3" bestFit="1" customWidth="1"/>
    <col min="12" max="12" width="2.77734375" style="3" customWidth="1"/>
    <col min="13" max="13" width="37.5546875" style="3" bestFit="1" customWidth="1"/>
    <col min="14" max="16384" width="8.88671875" style="3"/>
  </cols>
  <sheetData>
    <row r="3" spans="2:15" ht="12" x14ac:dyDescent="0.2">
      <c r="B3" s="269" t="s">
        <v>105</v>
      </c>
      <c r="C3" s="270"/>
      <c r="D3" s="68"/>
      <c r="E3" s="269" t="s">
        <v>272</v>
      </c>
      <c r="F3" s="271"/>
      <c r="G3" s="270"/>
      <c r="H3" s="68"/>
      <c r="I3" s="269" t="s">
        <v>273</v>
      </c>
      <c r="J3" s="271"/>
      <c r="K3" s="270"/>
      <c r="L3" s="68"/>
      <c r="M3" s="69" t="s">
        <v>117</v>
      </c>
    </row>
    <row r="4" spans="2:15" x14ac:dyDescent="0.2">
      <c r="D4" s="21"/>
      <c r="E4" s="10"/>
      <c r="F4" s="21"/>
      <c r="I4" s="10"/>
      <c r="J4" s="21"/>
      <c r="M4" s="76"/>
    </row>
    <row r="5" spans="2:15" x14ac:dyDescent="0.2">
      <c r="B5" s="267" t="s">
        <v>181</v>
      </c>
      <c r="C5" s="40" t="s">
        <v>184</v>
      </c>
      <c r="D5" s="21"/>
      <c r="E5" s="59">
        <f>'P&amp;L'!D32</f>
        <v>17698.000000000004</v>
      </c>
      <c r="F5" s="273" t="s">
        <v>44</v>
      </c>
      <c r="G5" s="71">
        <f>E5/E6</f>
        <v>1.7698000000000003</v>
      </c>
      <c r="I5" s="59">
        <f>'P&amp;L'!E32</f>
        <v>13962.000000000004</v>
      </c>
      <c r="J5" s="273" t="s">
        <v>44</v>
      </c>
      <c r="K5" s="113">
        <f>I5/I6</f>
        <v>1.3962000000000003</v>
      </c>
      <c r="M5" s="263" t="s">
        <v>182</v>
      </c>
    </row>
    <row r="6" spans="2:15" x14ac:dyDescent="0.2">
      <c r="B6" s="268"/>
      <c r="C6" s="41" t="s">
        <v>183</v>
      </c>
      <c r="D6" s="21"/>
      <c r="E6" s="65">
        <f>'P&amp;L'!D50</f>
        <v>10000</v>
      </c>
      <c r="F6" s="274"/>
      <c r="G6" s="46"/>
      <c r="I6" s="65">
        <f>'P&amp;L'!E50</f>
        <v>10000</v>
      </c>
      <c r="J6" s="274"/>
      <c r="K6" s="46"/>
      <c r="M6" s="264"/>
    </row>
    <row r="7" spans="2:15" x14ac:dyDescent="0.2">
      <c r="I7" s="73"/>
      <c r="J7" s="73"/>
      <c r="K7" s="73"/>
      <c r="L7" s="73"/>
      <c r="M7" s="73"/>
      <c r="N7" s="73"/>
      <c r="O7" s="73"/>
    </row>
    <row r="8" spans="2:15" x14ac:dyDescent="0.2">
      <c r="I8" s="73"/>
      <c r="J8" s="73"/>
      <c r="K8" s="73"/>
      <c r="L8" s="73"/>
      <c r="M8" s="73"/>
      <c r="N8" s="73"/>
      <c r="O8" s="73"/>
    </row>
    <row r="9" spans="2:15" x14ac:dyDescent="0.2">
      <c r="B9" s="267" t="s">
        <v>187</v>
      </c>
      <c r="C9" s="40" t="s">
        <v>188</v>
      </c>
      <c r="E9" s="116">
        <f>'P&amp;L'!D53</f>
        <v>2.95</v>
      </c>
      <c r="F9" s="273" t="s">
        <v>44</v>
      </c>
      <c r="G9" s="71">
        <f>E9/E10</f>
        <v>1.6668550118657475</v>
      </c>
      <c r="I9" s="198">
        <f>'P&amp;L'!E53</f>
        <v>2.15</v>
      </c>
      <c r="J9" s="277" t="s">
        <v>44</v>
      </c>
      <c r="K9" s="199">
        <f>I9/I10</f>
        <v>1.5398939979945563</v>
      </c>
      <c r="L9" s="73"/>
      <c r="M9" s="279" t="s">
        <v>191</v>
      </c>
      <c r="N9" s="73"/>
      <c r="O9" s="73"/>
    </row>
    <row r="10" spans="2:15" x14ac:dyDescent="0.2">
      <c r="B10" s="268"/>
      <c r="C10" s="41" t="s">
        <v>189</v>
      </c>
      <c r="E10" s="117">
        <f>G5</f>
        <v>1.7698000000000003</v>
      </c>
      <c r="F10" s="274"/>
      <c r="G10" s="46"/>
      <c r="I10" s="200">
        <f>K5</f>
        <v>1.3962000000000003</v>
      </c>
      <c r="J10" s="278"/>
      <c r="K10" s="201"/>
      <c r="L10" s="73"/>
      <c r="M10" s="280"/>
      <c r="N10" s="73"/>
      <c r="O10" s="73"/>
    </row>
    <row r="11" spans="2:15" x14ac:dyDescent="0.2">
      <c r="I11" s="73"/>
      <c r="J11" s="73"/>
      <c r="K11" s="73"/>
      <c r="L11" s="73"/>
      <c r="M11" s="73"/>
      <c r="N11" s="73"/>
      <c r="O11" s="73"/>
    </row>
    <row r="13" spans="2:15" x14ac:dyDescent="0.2">
      <c r="B13" s="267" t="s">
        <v>194</v>
      </c>
      <c r="C13" s="40" t="s">
        <v>192</v>
      </c>
      <c r="E13" s="119">
        <f>'P&amp;L'!D54</f>
        <v>29500</v>
      </c>
      <c r="F13" s="273" t="s">
        <v>44</v>
      </c>
      <c r="G13" s="71">
        <f>E13/E14</f>
        <v>1.6668550118657472</v>
      </c>
      <c r="I13" s="119">
        <f>'P&amp;L'!E54</f>
        <v>21500</v>
      </c>
      <c r="J13" s="273" t="s">
        <v>44</v>
      </c>
      <c r="K13" s="113">
        <f>I13/I14</f>
        <v>1.5398939979945563</v>
      </c>
      <c r="M13" s="263" t="s">
        <v>193</v>
      </c>
    </row>
    <row r="14" spans="2:15" x14ac:dyDescent="0.2">
      <c r="B14" s="268"/>
      <c r="C14" s="41" t="s">
        <v>97</v>
      </c>
      <c r="E14" s="120">
        <f>'P&amp;L'!D32</f>
        <v>17698.000000000004</v>
      </c>
      <c r="F14" s="274"/>
      <c r="G14" s="46"/>
      <c r="I14" s="120">
        <f>'P&amp;L'!E32</f>
        <v>13962.000000000004</v>
      </c>
      <c r="J14" s="274"/>
      <c r="K14" s="46"/>
      <c r="M14" s="264"/>
    </row>
    <row r="17" spans="2:15" ht="12" x14ac:dyDescent="0.25">
      <c r="B17" s="267" t="s">
        <v>195</v>
      </c>
      <c r="C17" s="40" t="s">
        <v>200</v>
      </c>
      <c r="E17" s="116">
        <f>'P&amp;L'!D51</f>
        <v>0.88</v>
      </c>
      <c r="F17" s="273" t="s">
        <v>44</v>
      </c>
      <c r="G17" s="252">
        <f>E17/E18</f>
        <v>0.29830508474576267</v>
      </c>
      <c r="I17" s="116">
        <f>'P&amp;L'!E51</f>
        <v>0.65</v>
      </c>
      <c r="J17" s="273" t="s">
        <v>44</v>
      </c>
      <c r="K17" s="252">
        <f>I17/I18</f>
        <v>0.30232558139534887</v>
      </c>
      <c r="M17" s="263" t="s">
        <v>197</v>
      </c>
    </row>
    <row r="18" spans="2:15" x14ac:dyDescent="0.2">
      <c r="B18" s="268"/>
      <c r="C18" s="41" t="s">
        <v>196</v>
      </c>
      <c r="E18" s="117">
        <f>'P&amp;L'!D53</f>
        <v>2.95</v>
      </c>
      <c r="F18" s="274"/>
      <c r="G18" s="46"/>
      <c r="I18" s="117">
        <f>'P&amp;L'!E53</f>
        <v>2.15</v>
      </c>
      <c r="J18" s="274"/>
      <c r="K18" s="46"/>
      <c r="M18" s="264"/>
    </row>
    <row r="21" spans="2:15" x14ac:dyDescent="0.2">
      <c r="B21" s="267" t="s">
        <v>199</v>
      </c>
      <c r="C21" s="40" t="s">
        <v>201</v>
      </c>
      <c r="E21" s="42">
        <f>'P&amp;L'!D32-'P&amp;L'!D52</f>
        <v>8898.0000000000036</v>
      </c>
      <c r="F21" s="273" t="s">
        <v>44</v>
      </c>
      <c r="G21" s="66">
        <f>E21/E22</f>
        <v>0.50276867442648898</v>
      </c>
      <c r="I21" s="42">
        <f>'P&amp;L'!E32-'P&amp;L'!E52</f>
        <v>7462.0000000000036</v>
      </c>
      <c r="J21" s="273" t="s">
        <v>44</v>
      </c>
      <c r="K21" s="66">
        <f>I21/I22</f>
        <v>0.53445065176908768</v>
      </c>
      <c r="M21" s="263" t="s">
        <v>204</v>
      </c>
      <c r="O21" s="130"/>
    </row>
    <row r="22" spans="2:15" x14ac:dyDescent="0.2">
      <c r="B22" s="268"/>
      <c r="C22" s="41" t="s">
        <v>202</v>
      </c>
      <c r="E22" s="45">
        <f>'P&amp;L'!D32</f>
        <v>17698.000000000004</v>
      </c>
      <c r="F22" s="274"/>
      <c r="G22" s="46"/>
      <c r="I22" s="45">
        <f>'P&amp;L'!E32</f>
        <v>13962.000000000004</v>
      </c>
      <c r="J22" s="274"/>
      <c r="K22" s="46"/>
      <c r="M22" s="264"/>
    </row>
    <row r="25" spans="2:15" x14ac:dyDescent="0.2">
      <c r="B25" s="267" t="s">
        <v>205</v>
      </c>
      <c r="C25" s="40" t="s">
        <v>206</v>
      </c>
      <c r="E25" s="42">
        <f>'P&amp;L'!D52</f>
        <v>8800</v>
      </c>
      <c r="F25" s="273" t="s">
        <v>44</v>
      </c>
      <c r="G25" s="66">
        <f>E25/E26</f>
        <v>0.49723132557351102</v>
      </c>
      <c r="I25" s="42">
        <f>'P&amp;L'!E52</f>
        <v>6500</v>
      </c>
      <c r="J25" s="273" t="s">
        <v>44</v>
      </c>
      <c r="K25" s="66">
        <f>I25/I26</f>
        <v>0.46554934823091237</v>
      </c>
      <c r="M25" s="263" t="s">
        <v>207</v>
      </c>
    </row>
    <row r="26" spans="2:15" x14ac:dyDescent="0.2">
      <c r="B26" s="268"/>
      <c r="C26" s="41" t="s">
        <v>202</v>
      </c>
      <c r="E26" s="45">
        <f>'P&amp;L'!D32</f>
        <v>17698.000000000004</v>
      </c>
      <c r="F26" s="274"/>
      <c r="G26" s="46"/>
      <c r="I26" s="45">
        <f>'P&amp;L'!E32</f>
        <v>13962.000000000004</v>
      </c>
      <c r="J26" s="274"/>
      <c r="K26" s="46"/>
      <c r="M26" s="264"/>
    </row>
    <row r="29" spans="2:15" ht="12" x14ac:dyDescent="0.25">
      <c r="B29" s="281" t="s">
        <v>208</v>
      </c>
      <c r="C29" s="282"/>
      <c r="E29" s="133"/>
      <c r="F29" s="134"/>
      <c r="G29" s="135">
        <f>G21*'Profitability ratios'!G33</f>
        <v>7.2571568387570382E-2</v>
      </c>
      <c r="I29" s="133"/>
      <c r="J29" s="134"/>
      <c r="K29" s="135">
        <f>K21*'Profitability ratios'!K33</f>
        <v>7.0209112506762664E-2</v>
      </c>
      <c r="M29" s="136" t="s">
        <v>209</v>
      </c>
    </row>
  </sheetData>
  <mergeCells count="28"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3:C3"/>
    <mergeCell ref="E3:G3"/>
    <mergeCell ref="I3:K3"/>
    <mergeCell ref="B5:B6"/>
    <mergeCell ref="F5:F6"/>
    <mergeCell ref="J5:J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/>
  </sheetViews>
  <sheetFormatPr defaultRowHeight="11.4" x14ac:dyDescent="0.2"/>
  <cols>
    <col min="1" max="1" width="2" style="3" customWidth="1"/>
    <col min="2" max="2" width="11.88671875" style="3" customWidth="1"/>
    <col min="3" max="3" width="21.21875" style="3" bestFit="1" customWidth="1"/>
    <col min="4" max="4" width="11.6640625" style="3" bestFit="1" customWidth="1"/>
    <col min="5" max="5" width="13.109375" style="163" customWidth="1"/>
    <col min="6" max="6" width="20.21875" style="163" bestFit="1" customWidth="1"/>
    <col min="7" max="7" width="15.109375" style="163" customWidth="1"/>
    <col min="8" max="16384" width="8.88671875" style="3"/>
  </cols>
  <sheetData>
    <row r="1" spans="2:7" ht="12" thickBot="1" x14ac:dyDescent="0.25"/>
    <row r="2" spans="2:7" ht="12.6" thickBot="1" x14ac:dyDescent="0.3">
      <c r="D2" s="286" t="s">
        <v>143</v>
      </c>
      <c r="E2" s="287"/>
    </row>
    <row r="3" spans="2:7" ht="12.6" thickBot="1" x14ac:dyDescent="0.3">
      <c r="B3" s="162" t="s">
        <v>221</v>
      </c>
      <c r="C3" s="162" t="s">
        <v>262</v>
      </c>
      <c r="D3" s="203" t="s">
        <v>94</v>
      </c>
      <c r="E3" s="204" t="s">
        <v>93</v>
      </c>
      <c r="F3" s="164" t="s">
        <v>266</v>
      </c>
      <c r="G3" s="164" t="s">
        <v>95</v>
      </c>
    </row>
    <row r="4" spans="2:7" ht="12" x14ac:dyDescent="0.25">
      <c r="E4" s="165"/>
      <c r="F4" s="165"/>
      <c r="G4" s="165"/>
    </row>
    <row r="5" spans="2:7" ht="12" x14ac:dyDescent="0.25">
      <c r="B5" s="288" t="s">
        <v>258</v>
      </c>
      <c r="C5" s="166" t="s">
        <v>254</v>
      </c>
      <c r="D5" s="187">
        <f>'Activity ratios'!K9</f>
        <v>51.396350636445895</v>
      </c>
      <c r="E5" s="187">
        <f>'Activity ratios'!G9</f>
        <v>46.682994292036511</v>
      </c>
      <c r="F5" s="178">
        <v>26.7</v>
      </c>
      <c r="G5" s="170">
        <v>31.2</v>
      </c>
    </row>
    <row r="6" spans="2:7" ht="12" x14ac:dyDescent="0.25">
      <c r="B6" s="289"/>
      <c r="C6" s="167" t="s">
        <v>255</v>
      </c>
      <c r="D6" s="188">
        <f>'Activity ratios'!K17</f>
        <v>62.129804212851859</v>
      </c>
      <c r="E6" s="188">
        <f>'Activity ratios'!G17</f>
        <v>59.655118335100561</v>
      </c>
      <c r="F6" s="179">
        <f>365/6.93</f>
        <v>52.669552669552672</v>
      </c>
      <c r="G6" s="171">
        <v>50.3</v>
      </c>
    </row>
    <row r="7" spans="2:7" ht="12" x14ac:dyDescent="0.25">
      <c r="B7" s="289"/>
      <c r="C7" s="167" t="s">
        <v>256</v>
      </c>
      <c r="D7" s="188">
        <f>'Activity ratios'!K25</f>
        <v>47.151995396059242</v>
      </c>
      <c r="E7" s="188">
        <f>'Activity ratios'!G25</f>
        <v>44.20646447426526</v>
      </c>
      <c r="F7" s="179">
        <v>48</v>
      </c>
      <c r="G7" s="171">
        <v>44.1</v>
      </c>
    </row>
    <row r="8" spans="2:7" ht="12" x14ac:dyDescent="0.25">
      <c r="B8" s="289"/>
      <c r="C8" s="167" t="s">
        <v>257</v>
      </c>
      <c r="D8" s="188">
        <f>'Activity ratios'!K41</f>
        <v>66.374159453238519</v>
      </c>
      <c r="E8" s="188">
        <f>E5+E6-E7</f>
        <v>62.131648152871804</v>
      </c>
      <c r="F8" s="179">
        <f>F5+F6-F7</f>
        <v>31.369552669552675</v>
      </c>
      <c r="G8" s="171">
        <f>G5+G6-G7</f>
        <v>37.4</v>
      </c>
    </row>
    <row r="9" spans="2:7" ht="12" x14ac:dyDescent="0.25">
      <c r="B9" s="290"/>
      <c r="C9" s="168" t="s">
        <v>90</v>
      </c>
      <c r="D9" s="202">
        <f>'Activity ratios'!K37</f>
        <v>1.0923495329312995</v>
      </c>
      <c r="E9" s="202">
        <f>'Activity ratios'!G37</f>
        <v>1.1378468774945567</v>
      </c>
      <c r="F9" s="180">
        <v>0.59</v>
      </c>
      <c r="G9" s="172">
        <v>1</v>
      </c>
    </row>
    <row r="10" spans="2:7" ht="12" x14ac:dyDescent="0.25">
      <c r="D10" s="163"/>
      <c r="G10" s="165"/>
    </row>
    <row r="11" spans="2:7" ht="12" x14ac:dyDescent="0.25">
      <c r="B11" s="283" t="s">
        <v>260</v>
      </c>
      <c r="C11" s="80" t="s">
        <v>89</v>
      </c>
      <c r="D11" s="187">
        <f>'Liquidity ratios'!K5</f>
        <v>1.8897459727385377</v>
      </c>
      <c r="E11" s="187">
        <f>'Liquidity ratios'!G5</f>
        <v>2.250872960446956</v>
      </c>
      <c r="F11" s="181">
        <v>0.75</v>
      </c>
      <c r="G11" s="173">
        <v>1.4</v>
      </c>
    </row>
    <row r="12" spans="2:7" ht="12" x14ac:dyDescent="0.25">
      <c r="B12" s="284"/>
      <c r="C12" s="35" t="s">
        <v>259</v>
      </c>
      <c r="D12" s="188">
        <f>'Liquidity ratios'!K9</f>
        <v>1.1537484510532838</v>
      </c>
      <c r="E12" s="188">
        <f>'Liquidity ratios'!G9</f>
        <v>1.4455590121262143</v>
      </c>
      <c r="F12" s="179">
        <v>0.6</v>
      </c>
      <c r="G12" s="174">
        <v>1</v>
      </c>
    </row>
    <row r="13" spans="2:7" ht="12" x14ac:dyDescent="0.25">
      <c r="B13" s="285"/>
      <c r="C13" s="58" t="s">
        <v>268</v>
      </c>
      <c r="D13" s="189">
        <f>'Liquidity ratios'!K13</f>
        <v>0.39114002478314747</v>
      </c>
      <c r="E13" s="189">
        <f>'Liquidity ratios'!G13</f>
        <v>0.61237381753539455</v>
      </c>
      <c r="F13" s="180">
        <v>0.4</v>
      </c>
      <c r="G13" s="175">
        <v>0.5</v>
      </c>
    </row>
    <row r="14" spans="2:7" ht="12" x14ac:dyDescent="0.25">
      <c r="D14" s="163"/>
      <c r="G14" s="165"/>
    </row>
    <row r="15" spans="2:7" ht="12" x14ac:dyDescent="0.25">
      <c r="B15" s="283" t="s">
        <v>270</v>
      </c>
      <c r="C15" s="80" t="s">
        <v>92</v>
      </c>
      <c r="D15" s="190">
        <f>'Solvency ratios'!K5</f>
        <v>0.30774639222372607</v>
      </c>
      <c r="E15" s="190">
        <f>'Solvency ratios'!G5</f>
        <v>0.2242426086824206</v>
      </c>
      <c r="F15" s="182">
        <v>0.63249999999999995</v>
      </c>
      <c r="G15" s="176">
        <v>0.55000000000000004</v>
      </c>
    </row>
    <row r="16" spans="2:7" ht="12" x14ac:dyDescent="0.25">
      <c r="B16" s="284"/>
      <c r="C16" s="35" t="s">
        <v>267</v>
      </c>
      <c r="D16" s="191">
        <f>'Solvency ratios'!K9</f>
        <v>0.23532574362558636</v>
      </c>
      <c r="E16" s="191">
        <f>'Solvency ratios'!G9</f>
        <v>0.18316843989261211</v>
      </c>
      <c r="F16" s="183">
        <v>0.3</v>
      </c>
      <c r="G16" s="177">
        <v>0.28000000000000003</v>
      </c>
    </row>
    <row r="17" spans="2:9" ht="12" x14ac:dyDescent="0.25">
      <c r="B17" s="285"/>
      <c r="C17" s="58" t="s">
        <v>269</v>
      </c>
      <c r="D17" s="189">
        <f>'Solvency ratios'!K25</f>
        <v>1.5516336179521557</v>
      </c>
      <c r="E17" s="189">
        <f>'Solvency ratios'!G25</f>
        <v>1.4252956528831253</v>
      </c>
      <c r="F17" s="180">
        <v>2.6829999999999998</v>
      </c>
      <c r="G17" s="175">
        <v>1.9</v>
      </c>
    </row>
    <row r="18" spans="2:9" ht="12" x14ac:dyDescent="0.25">
      <c r="B18" s="159"/>
      <c r="D18" s="163"/>
      <c r="G18" s="165"/>
    </row>
    <row r="19" spans="2:9" ht="12" x14ac:dyDescent="0.25">
      <c r="B19" s="283" t="s">
        <v>261</v>
      </c>
      <c r="C19" s="80" t="s">
        <v>226</v>
      </c>
      <c r="D19" s="192">
        <f>'Profitability ratios'!K5</f>
        <v>0.23051476343530902</v>
      </c>
      <c r="E19" s="192">
        <f>'Profitability ratios'!G5</f>
        <v>0.24417591591440571</v>
      </c>
      <c r="F19" s="184">
        <v>0.49769999999999998</v>
      </c>
      <c r="G19" s="195">
        <v>0.29499999999999998</v>
      </c>
    </row>
    <row r="20" spans="2:9" ht="12" x14ac:dyDescent="0.25">
      <c r="B20" s="284"/>
      <c r="C20" s="35" t="s">
        <v>271</v>
      </c>
      <c r="D20" s="193">
        <f>'Profitability ratios'!K9</f>
        <v>0.1032357986244109</v>
      </c>
      <c r="E20" s="193">
        <f>'Profitability ratios'!G9</f>
        <v>0.11340994241746086</v>
      </c>
      <c r="F20" s="185">
        <v>9.7799999999999998E-2</v>
      </c>
      <c r="G20" s="196">
        <v>0.13200000000000001</v>
      </c>
    </row>
    <row r="21" spans="2:9" ht="12" x14ac:dyDescent="0.25">
      <c r="B21" s="284"/>
      <c r="C21" s="35" t="s">
        <v>91</v>
      </c>
      <c r="D21" s="193">
        <f>'Profitability ratios'!K17</f>
        <v>7.7505953669625482E-2</v>
      </c>
      <c r="E21" s="193">
        <f>'Profitability ratios'!G17</f>
        <v>8.9003998088963782E-2</v>
      </c>
      <c r="F21" s="185">
        <v>6.54E-2</v>
      </c>
      <c r="G21" s="196">
        <v>9.8000000000000004E-2</v>
      </c>
    </row>
    <row r="22" spans="2:9" ht="12" x14ac:dyDescent="0.25">
      <c r="B22" s="285"/>
      <c r="C22" s="58" t="s">
        <v>169</v>
      </c>
      <c r="D22" s="194">
        <f>'Profitability ratios'!K33</f>
        <v>0.13136687601439562</v>
      </c>
      <c r="E22" s="194">
        <f>'Profitability ratios'!G33</f>
        <v>0.14434385449800183</v>
      </c>
      <c r="F22" s="186">
        <v>0.104</v>
      </c>
      <c r="G22" s="197">
        <v>0.14399999999999999</v>
      </c>
      <c r="H22" s="146"/>
      <c r="I22" s="146"/>
    </row>
    <row r="23" spans="2:9" ht="12" x14ac:dyDescent="0.25">
      <c r="D23" s="163"/>
      <c r="G23" s="165"/>
    </row>
    <row r="24" spans="2:9" ht="12" x14ac:dyDescent="0.25">
      <c r="B24" s="283" t="s">
        <v>263</v>
      </c>
      <c r="C24" s="80" t="s">
        <v>264</v>
      </c>
      <c r="D24" s="187">
        <f>'Valuation ratios'!K5</f>
        <v>1.3962000000000003</v>
      </c>
      <c r="E24" s="187">
        <f>'Valuation ratios'!G5</f>
        <v>1.7698000000000003</v>
      </c>
      <c r="F24" s="181">
        <v>1.84</v>
      </c>
      <c r="G24" s="169">
        <v>1.83</v>
      </c>
    </row>
    <row r="25" spans="2:9" ht="12" x14ac:dyDescent="0.25">
      <c r="B25" s="284"/>
      <c r="C25" s="35" t="s">
        <v>265</v>
      </c>
      <c r="D25" s="188">
        <f>'Valuation ratios'!K9</f>
        <v>1.5398939979945563</v>
      </c>
      <c r="E25" s="188">
        <f>'Valuation ratios'!G9</f>
        <v>1.6668550118657475</v>
      </c>
      <c r="F25" s="179">
        <v>62.15</v>
      </c>
      <c r="G25" s="174">
        <v>25.5</v>
      </c>
    </row>
    <row r="26" spans="2:9" ht="12" x14ac:dyDescent="0.25">
      <c r="B26" s="285"/>
      <c r="C26" s="58" t="s">
        <v>188</v>
      </c>
      <c r="D26" s="202">
        <f>D24*D25</f>
        <v>2.15</v>
      </c>
      <c r="E26" s="202">
        <f>E24*E25</f>
        <v>2.95</v>
      </c>
      <c r="F26" s="180">
        <f>F24*F25</f>
        <v>114.35600000000001</v>
      </c>
      <c r="G26" s="175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/>
  </sheetViews>
  <sheetFormatPr defaultRowHeight="11.4" x14ac:dyDescent="0.2"/>
  <cols>
    <col min="1" max="1" width="2.77734375" style="3" customWidth="1"/>
    <col min="2" max="2" width="11.77734375" style="3" bestFit="1" customWidth="1"/>
    <col min="3" max="3" width="8.88671875" style="3"/>
    <col min="4" max="4" width="9.44140625" style="3" customWidth="1"/>
    <col min="5" max="5" width="8.88671875" style="3"/>
    <col min="6" max="6" width="10.6640625" style="3" bestFit="1" customWidth="1"/>
    <col min="7" max="7" width="8.5546875" style="3" customWidth="1"/>
    <col min="8" max="16384" width="8.88671875" style="3"/>
  </cols>
  <sheetData>
    <row r="2" spans="2:11" ht="36" x14ac:dyDescent="0.25">
      <c r="B2" s="155" t="s">
        <v>276</v>
      </c>
      <c r="D2" s="139" t="s">
        <v>231</v>
      </c>
      <c r="E2" s="139" t="s">
        <v>94</v>
      </c>
      <c r="F2" s="139" t="s">
        <v>93</v>
      </c>
    </row>
    <row r="3" spans="2:11" ht="12.6" thickBot="1" x14ac:dyDescent="0.3">
      <c r="B3" s="23" t="s">
        <v>87</v>
      </c>
      <c r="C3" s="24"/>
      <c r="D3" s="24" t="s">
        <v>131</v>
      </c>
      <c r="E3" s="24" t="s">
        <v>130</v>
      </c>
      <c r="F3" s="24" t="s">
        <v>129</v>
      </c>
      <c r="G3" s="24" t="s">
        <v>233</v>
      </c>
      <c r="H3" s="24" t="s">
        <v>234</v>
      </c>
      <c r="I3" s="24" t="s">
        <v>235</v>
      </c>
      <c r="J3" s="24" t="s">
        <v>238</v>
      </c>
      <c r="K3" s="24" t="s">
        <v>239</v>
      </c>
    </row>
    <row r="4" spans="2:11" ht="12" x14ac:dyDescent="0.2">
      <c r="B4" s="6"/>
      <c r="C4" s="2"/>
      <c r="E4" s="5"/>
      <c r="F4" s="5"/>
      <c r="G4" s="147"/>
      <c r="H4" s="147"/>
      <c r="I4" s="147"/>
      <c r="J4" s="147"/>
      <c r="K4" s="147"/>
    </row>
    <row r="5" spans="2:11" ht="12" x14ac:dyDescent="0.2">
      <c r="B5" s="6" t="s">
        <v>26</v>
      </c>
      <c r="C5" s="137"/>
      <c r="D5" s="140">
        <v>163196.3583746134</v>
      </c>
      <c r="E5" s="138">
        <f>'P&amp;L'!E13</f>
        <v>180141</v>
      </c>
      <c r="F5" s="138">
        <f>'P&amp;L'!D13</f>
        <v>198845</v>
      </c>
      <c r="G5" s="151">
        <f>-G7/(1-G11)</f>
        <v>216549.98386608242</v>
      </c>
      <c r="H5" s="151">
        <f>-H7/(1-H11)</f>
        <v>235850.38471992547</v>
      </c>
      <c r="I5" s="151">
        <f>-I7/(1-I11)</f>
        <v>256892.11423030161</v>
      </c>
      <c r="J5" s="151">
        <f>-J7/(1-J11)</f>
        <v>279834.67634758091</v>
      </c>
      <c r="K5" s="151">
        <f>-K7/(1-K11)</f>
        <v>304852.46269865491</v>
      </c>
    </row>
    <row r="6" spans="2:11" x14ac:dyDescent="0.2">
      <c r="B6" s="142" t="s">
        <v>232</v>
      </c>
      <c r="C6" s="143"/>
      <c r="D6" s="143"/>
      <c r="E6" s="145">
        <f>E5/D5-1</f>
        <v>0.10382977778517932</v>
      </c>
      <c r="F6" s="145">
        <f>F5/E5-1</f>
        <v>0.10382977778517932</v>
      </c>
      <c r="G6" s="154"/>
      <c r="H6" s="154"/>
      <c r="I6" s="154"/>
      <c r="J6" s="154"/>
      <c r="K6" s="154"/>
    </row>
    <row r="7" spans="2:11" ht="12" x14ac:dyDescent="0.25">
      <c r="B7" s="144" t="s">
        <v>236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51">
        <f>F7*(1+G8)</f>
        <v>-162951.34214520938</v>
      </c>
      <c r="H7" s="151">
        <f t="shared" ref="H7:K7" si="0">G7*(1+H8)</f>
        <v>-176677.18957280111</v>
      </c>
      <c r="I7" s="151">
        <f t="shared" si="0"/>
        <v>-191559.20352915724</v>
      </c>
      <c r="J7" s="151">
        <f t="shared" si="0"/>
        <v>-207694.77115552983</v>
      </c>
      <c r="K7" s="151">
        <f t="shared" si="0"/>
        <v>-225189.48278453248</v>
      </c>
    </row>
    <row r="8" spans="2:11" x14ac:dyDescent="0.2">
      <c r="B8" s="142" t="s">
        <v>232</v>
      </c>
      <c r="C8" s="143"/>
      <c r="D8" s="143"/>
      <c r="E8" s="145">
        <f>E7/D7-1</f>
        <v>8.4232797636980106E-2</v>
      </c>
      <c r="F8" s="145">
        <f>F7/E7-1</f>
        <v>8.4232797636980106E-2</v>
      </c>
      <c r="G8" s="152">
        <f>F8</f>
        <v>8.4232797636980106E-2</v>
      </c>
      <c r="H8" s="152">
        <f t="shared" ref="H8:K8" si="1">G8</f>
        <v>8.4232797636980106E-2</v>
      </c>
      <c r="I8" s="152">
        <f t="shared" si="1"/>
        <v>8.4232797636980106E-2</v>
      </c>
      <c r="J8" s="152">
        <f t="shared" si="1"/>
        <v>8.4232797636980106E-2</v>
      </c>
      <c r="K8" s="152">
        <f t="shared" si="1"/>
        <v>8.4232797636980106E-2</v>
      </c>
    </row>
    <row r="9" spans="2:11" ht="12" x14ac:dyDescent="0.25">
      <c r="B9" s="144" t="s">
        <v>39</v>
      </c>
      <c r="D9" s="141">
        <f>D5+D7</f>
        <v>35349.423378637584</v>
      </c>
      <c r="E9" s="141">
        <f t="shared" ref="E9:F9" si="2">E5+E7</f>
        <v>41525.160000000003</v>
      </c>
      <c r="F9" s="141">
        <f t="shared" si="2"/>
        <v>48553.16</v>
      </c>
      <c r="G9" s="153">
        <f>G5+G7</f>
        <v>53598.641720873042</v>
      </c>
      <c r="H9" s="153">
        <f t="shared" ref="H9:K9" si="3">H5+H7</f>
        <v>59173.195147124352</v>
      </c>
      <c r="I9" s="153">
        <f t="shared" si="3"/>
        <v>65332.91070114437</v>
      </c>
      <c r="J9" s="153">
        <f t="shared" si="3"/>
        <v>72139.905192051083</v>
      </c>
      <c r="K9" s="153">
        <f t="shared" si="3"/>
        <v>79662.979914122436</v>
      </c>
    </row>
    <row r="10" spans="2:11" x14ac:dyDescent="0.2">
      <c r="B10" s="142" t="s">
        <v>232</v>
      </c>
      <c r="C10" s="143"/>
      <c r="D10" s="143"/>
      <c r="E10" s="145">
        <f>E9/D9-1</f>
        <v>0.17470544159129187</v>
      </c>
      <c r="F10" s="145">
        <f>F9/E9-1</f>
        <v>0.16924678917552627</v>
      </c>
      <c r="G10" s="154"/>
      <c r="H10" s="154"/>
      <c r="I10" s="154"/>
      <c r="J10" s="154"/>
      <c r="K10" s="154"/>
    </row>
    <row r="11" spans="2:11" ht="12" x14ac:dyDescent="0.25">
      <c r="B11" s="144" t="s">
        <v>226</v>
      </c>
      <c r="D11" s="146">
        <f>D9/D5</f>
        <v>0.21660669227369533</v>
      </c>
      <c r="E11" s="146">
        <f t="shared" ref="E11:F11" si="4">E9/E5</f>
        <v>0.23051476343530902</v>
      </c>
      <c r="F11" s="146">
        <f t="shared" si="4"/>
        <v>0.24417591591440571</v>
      </c>
      <c r="G11" s="149">
        <f>F11*(1+G12)</f>
        <v>0.24751164033343548</v>
      </c>
      <c r="H11" s="149">
        <f t="shared" ref="H11:K11" si="5">G11*(1+H12)</f>
        <v>0.25089293459238188</v>
      </c>
      <c r="I11" s="149">
        <f t="shared" si="5"/>
        <v>0.25432042122777643</v>
      </c>
      <c r="J11" s="149">
        <f t="shared" si="5"/>
        <v>0.25779473128071717</v>
      </c>
      <c r="K11" s="149">
        <f t="shared" si="5"/>
        <v>0.26131650441305077</v>
      </c>
    </row>
    <row r="12" spans="2:11" x14ac:dyDescent="0.2">
      <c r="B12" s="142" t="s">
        <v>237</v>
      </c>
      <c r="E12" s="148">
        <f>E11-D11</f>
        <v>1.3908071161613689E-2</v>
      </c>
      <c r="F12" s="148">
        <f>F11-E11</f>
        <v>1.3661152479096689E-2</v>
      </c>
      <c r="G12" s="150">
        <f>F12</f>
        <v>1.3661152479096689E-2</v>
      </c>
      <c r="H12" s="150">
        <f t="shared" ref="H12:K12" si="6">G12</f>
        <v>1.3661152479096689E-2</v>
      </c>
      <c r="I12" s="150">
        <f t="shared" si="6"/>
        <v>1.3661152479096689E-2</v>
      </c>
      <c r="J12" s="150">
        <f t="shared" si="6"/>
        <v>1.3661152479096689E-2</v>
      </c>
      <c r="K12" s="150">
        <f t="shared" si="6"/>
        <v>1.3661152479096689E-2</v>
      </c>
    </row>
    <row r="13" spans="2:11" x14ac:dyDescent="0.2">
      <c r="G13" s="73"/>
      <c r="H13" s="73"/>
      <c r="I13" s="73"/>
      <c r="J13" s="73"/>
      <c r="K13" s="73"/>
    </row>
    <row r="14" spans="2:11" x14ac:dyDescent="0.2">
      <c r="G14" s="73"/>
      <c r="H14" s="73"/>
      <c r="I14" s="73"/>
      <c r="J14" s="73"/>
      <c r="K14" s="73"/>
    </row>
    <row r="15" spans="2:11" ht="36" x14ac:dyDescent="0.25">
      <c r="B15" s="156" t="s">
        <v>240</v>
      </c>
      <c r="D15" s="139" t="s">
        <v>231</v>
      </c>
      <c r="E15" s="139" t="s">
        <v>94</v>
      </c>
      <c r="F15" s="139" t="s">
        <v>93</v>
      </c>
    </row>
    <row r="16" spans="2:11" ht="12.6" thickBot="1" x14ac:dyDescent="0.3">
      <c r="B16" s="23" t="s">
        <v>87</v>
      </c>
      <c r="C16" s="24"/>
      <c r="D16" s="24" t="s">
        <v>131</v>
      </c>
      <c r="E16" s="24" t="s">
        <v>130</v>
      </c>
      <c r="F16" s="24" t="s">
        <v>129</v>
      </c>
      <c r="G16" s="24" t="s">
        <v>233</v>
      </c>
      <c r="H16" s="24" t="s">
        <v>234</v>
      </c>
      <c r="I16" s="24" t="s">
        <v>235</v>
      </c>
      <c r="J16" s="24" t="s">
        <v>238</v>
      </c>
      <c r="K16" s="24" t="s">
        <v>239</v>
      </c>
    </row>
    <row r="17" spans="2:11" ht="12" x14ac:dyDescent="0.2">
      <c r="B17" s="6"/>
      <c r="C17" s="2"/>
      <c r="E17" s="5"/>
      <c r="F17" s="5"/>
      <c r="G17" s="147"/>
      <c r="H17" s="147"/>
      <c r="I17" s="147"/>
      <c r="J17" s="147"/>
      <c r="K17" s="147"/>
    </row>
    <row r="18" spans="2:11" ht="12" x14ac:dyDescent="0.2">
      <c r="B18" s="6" t="s">
        <v>26</v>
      </c>
      <c r="C18" s="137"/>
      <c r="D18" s="140">
        <f>D5</f>
        <v>163196.3583746134</v>
      </c>
      <c r="E18" s="138">
        <f t="shared" ref="E18:F18" si="7">E5</f>
        <v>180141</v>
      </c>
      <c r="F18" s="138">
        <f t="shared" si="7"/>
        <v>198845</v>
      </c>
      <c r="G18" s="151">
        <f>-G20/(1-G24)</f>
        <v>215594.27064612528</v>
      </c>
      <c r="H18" s="151">
        <f>-H20/(1-H24)</f>
        <v>233754.37921715269</v>
      </c>
      <c r="I18" s="151">
        <f>-I20/(1-I24)</f>
        <v>253444.16453850901</v>
      </c>
      <c r="J18" s="151">
        <f>-J20/(1-J24)</f>
        <v>274792.47556235472</v>
      </c>
      <c r="K18" s="151">
        <f>-K20/(1-K24)</f>
        <v>297939.0145485634</v>
      </c>
    </row>
    <row r="19" spans="2:11" x14ac:dyDescent="0.2">
      <c r="B19" s="142" t="s">
        <v>232</v>
      </c>
      <c r="C19" s="143"/>
      <c r="D19" s="143"/>
      <c r="E19" s="145">
        <f t="shared" ref="E19:F19" si="8">E6</f>
        <v>0.10382977778517932</v>
      </c>
      <c r="F19" s="145">
        <f t="shared" si="8"/>
        <v>0.10382977778517932</v>
      </c>
      <c r="G19" s="154"/>
      <c r="H19" s="154"/>
      <c r="I19" s="154"/>
      <c r="J19" s="154"/>
      <c r="K19" s="154"/>
    </row>
    <row r="20" spans="2:11" ht="12" x14ac:dyDescent="0.25">
      <c r="B20" s="144" t="s">
        <v>236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51">
        <f>F20*(1+G21)</f>
        <v>-162951.34214520938</v>
      </c>
      <c r="H20" s="151">
        <f t="shared" ref="H20" si="10">G20*(1+H21)</f>
        <v>-176677.18957280111</v>
      </c>
      <c r="I20" s="151">
        <f t="shared" ref="I20" si="11">H20*(1+I21)</f>
        <v>-191559.20352915724</v>
      </c>
      <c r="J20" s="151">
        <f t="shared" ref="J20" si="12">I20*(1+J21)</f>
        <v>-207694.77115552983</v>
      </c>
      <c r="K20" s="151">
        <f t="shared" ref="K20" si="13">J20*(1+K21)</f>
        <v>-225189.48278453248</v>
      </c>
    </row>
    <row r="21" spans="2:11" x14ac:dyDescent="0.2">
      <c r="B21" s="142" t="s">
        <v>232</v>
      </c>
      <c r="C21" s="143"/>
      <c r="D21" s="143"/>
      <c r="E21" s="145">
        <f t="shared" ref="E21:F21" si="14">E8</f>
        <v>8.4232797636980106E-2</v>
      </c>
      <c r="F21" s="145">
        <f t="shared" si="14"/>
        <v>8.4232797636980106E-2</v>
      </c>
      <c r="G21" s="152">
        <f>F21</f>
        <v>8.4232797636980106E-2</v>
      </c>
      <c r="H21" s="152">
        <f t="shared" ref="H21:K21" si="15">G21</f>
        <v>8.4232797636980106E-2</v>
      </c>
      <c r="I21" s="152">
        <f t="shared" si="15"/>
        <v>8.4232797636980106E-2</v>
      </c>
      <c r="J21" s="152">
        <f t="shared" si="15"/>
        <v>8.4232797636980106E-2</v>
      </c>
      <c r="K21" s="152">
        <f t="shared" si="15"/>
        <v>8.4232797636980106E-2</v>
      </c>
    </row>
    <row r="22" spans="2:11" ht="12" x14ac:dyDescent="0.25">
      <c r="B22" s="144" t="s">
        <v>39</v>
      </c>
      <c r="D22" s="141">
        <f t="shared" ref="D22:F22" si="16">D9</f>
        <v>35349.423378637584</v>
      </c>
      <c r="E22" s="141">
        <f t="shared" si="16"/>
        <v>41525.160000000003</v>
      </c>
      <c r="F22" s="141">
        <f t="shared" si="16"/>
        <v>48553.16</v>
      </c>
      <c r="G22" s="153">
        <f>G18+G20</f>
        <v>52642.928500915907</v>
      </c>
      <c r="H22" s="153">
        <f t="shared" ref="H22:K22" si="17">H18+H20</f>
        <v>57077.189644351572</v>
      </c>
      <c r="I22" s="153">
        <f t="shared" si="17"/>
        <v>61884.961009351769</v>
      </c>
      <c r="J22" s="153">
        <f t="shared" si="17"/>
        <v>67097.704406824894</v>
      </c>
      <c r="K22" s="153">
        <f t="shared" si="17"/>
        <v>72749.531764030922</v>
      </c>
    </row>
    <row r="23" spans="2:11" x14ac:dyDescent="0.2">
      <c r="B23" s="142" t="s">
        <v>232</v>
      </c>
      <c r="C23" s="143"/>
      <c r="D23" s="143"/>
      <c r="E23" s="145">
        <f t="shared" ref="E23:F23" si="18">E10</f>
        <v>0.17470544159129187</v>
      </c>
      <c r="F23" s="145">
        <f t="shared" si="18"/>
        <v>0.16924678917552627</v>
      </c>
      <c r="G23" s="154"/>
      <c r="H23" s="154"/>
      <c r="I23" s="154"/>
      <c r="J23" s="154"/>
      <c r="K23" s="154"/>
    </row>
    <row r="24" spans="2:11" ht="12" x14ac:dyDescent="0.25">
      <c r="B24" s="144" t="s">
        <v>226</v>
      </c>
      <c r="D24" s="146">
        <f t="shared" ref="D24:F24" si="19">D11</f>
        <v>0.21660669227369533</v>
      </c>
      <c r="E24" s="146">
        <f t="shared" si="19"/>
        <v>0.23051476343530902</v>
      </c>
      <c r="F24" s="146">
        <f t="shared" si="19"/>
        <v>0.24417591591440571</v>
      </c>
      <c r="G24" s="149">
        <f>F24*(1+G25)</f>
        <v>0.24417591591440571</v>
      </c>
      <c r="H24" s="149">
        <f t="shared" ref="H24" si="20">G24*(1+H25)</f>
        <v>0.24417591591440571</v>
      </c>
      <c r="I24" s="149">
        <f t="shared" ref="I24" si="21">H24*(1+I25)</f>
        <v>0.24417591591440571</v>
      </c>
      <c r="J24" s="149">
        <f t="shared" ref="J24" si="22">I24*(1+J25)</f>
        <v>0.24417591591440571</v>
      </c>
      <c r="K24" s="149">
        <f t="shared" ref="K24" si="23">J24*(1+K25)</f>
        <v>0.24417591591440571</v>
      </c>
    </row>
    <row r="25" spans="2:11" x14ac:dyDescent="0.2">
      <c r="B25" s="142" t="s">
        <v>237</v>
      </c>
      <c r="E25" s="148">
        <f t="shared" ref="E25:F25" si="24">E12</f>
        <v>1.3908071161613689E-2</v>
      </c>
      <c r="F25" s="148">
        <f t="shared" si="24"/>
        <v>1.3661152479096689E-2</v>
      </c>
      <c r="G25" s="150">
        <v>0</v>
      </c>
      <c r="H25" s="150">
        <f t="shared" ref="H25:K25" si="25">G25</f>
        <v>0</v>
      </c>
      <c r="I25" s="150">
        <f t="shared" si="25"/>
        <v>0</v>
      </c>
      <c r="J25" s="150">
        <f t="shared" si="25"/>
        <v>0</v>
      </c>
      <c r="K25" s="150">
        <f t="shared" si="25"/>
        <v>0</v>
      </c>
    </row>
    <row r="28" spans="2:11" ht="36" x14ac:dyDescent="0.25">
      <c r="B28" s="157" t="s">
        <v>241</v>
      </c>
      <c r="D28" s="139" t="s">
        <v>231</v>
      </c>
      <c r="E28" s="139" t="s">
        <v>94</v>
      </c>
      <c r="F28" s="139" t="s">
        <v>93</v>
      </c>
    </row>
    <row r="29" spans="2:11" ht="12.6" thickBot="1" x14ac:dyDescent="0.3">
      <c r="B29" s="23" t="s">
        <v>87</v>
      </c>
      <c r="C29" s="24"/>
      <c r="D29" s="24" t="s">
        <v>131</v>
      </c>
      <c r="E29" s="24" t="s">
        <v>130</v>
      </c>
      <c r="F29" s="24" t="s">
        <v>129</v>
      </c>
      <c r="G29" s="24" t="s">
        <v>233</v>
      </c>
      <c r="H29" s="24" t="s">
        <v>234</v>
      </c>
      <c r="I29" s="24" t="s">
        <v>235</v>
      </c>
      <c r="J29" s="24" t="s">
        <v>238</v>
      </c>
      <c r="K29" s="24" t="s">
        <v>239</v>
      </c>
    </row>
    <row r="30" spans="2:11" ht="12" x14ac:dyDescent="0.2">
      <c r="B30" s="6"/>
      <c r="C30" s="2"/>
      <c r="E30" s="5"/>
      <c r="F30" s="5"/>
      <c r="G30" s="147"/>
      <c r="H30" s="147"/>
      <c r="I30" s="147"/>
      <c r="J30" s="147"/>
      <c r="K30" s="147"/>
    </row>
    <row r="31" spans="2:11" ht="12" x14ac:dyDescent="0.2">
      <c r="B31" s="6" t="s">
        <v>26</v>
      </c>
      <c r="C31" s="137"/>
      <c r="D31" s="140">
        <f>D18</f>
        <v>163196.3583746134</v>
      </c>
      <c r="E31" s="138">
        <f t="shared" ref="E31:F31" si="26">E18</f>
        <v>180141</v>
      </c>
      <c r="F31" s="138">
        <f t="shared" si="26"/>
        <v>198845</v>
      </c>
      <c r="G31" s="151">
        <f>-G33/(1-G37)</f>
        <v>219133.93217070081</v>
      </c>
      <c r="H31" s="151">
        <f>-H33/(1-H37)</f>
        <v>241759.91224773778</v>
      </c>
      <c r="I31" s="151">
        <f>-I33/(1-I37)</f>
        <v>267042.56047325738</v>
      </c>
      <c r="J31" s="151">
        <f>-J33/(1-J37)</f>
        <v>295355.50202315953</v>
      </c>
      <c r="K31" s="151">
        <f>-K33/(1-K37)</f>
        <v>327137.79588296841</v>
      </c>
    </row>
    <row r="32" spans="2:11" x14ac:dyDescent="0.2">
      <c r="B32" s="142" t="s">
        <v>232</v>
      </c>
      <c r="C32" s="143"/>
      <c r="D32" s="143"/>
      <c r="E32" s="145">
        <f t="shared" ref="E32:F32" si="27">E19</f>
        <v>0.10382977778517932</v>
      </c>
      <c r="F32" s="145">
        <f t="shared" si="27"/>
        <v>0.10382977778517932</v>
      </c>
      <c r="G32" s="154"/>
      <c r="H32" s="154"/>
      <c r="I32" s="154"/>
      <c r="J32" s="154"/>
      <c r="K32" s="154"/>
    </row>
    <row r="33" spans="2:11" ht="12" x14ac:dyDescent="0.25">
      <c r="B33" s="144" t="s">
        <v>236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51">
        <f>F33*(1+G34)</f>
        <v>-162951.34214520938</v>
      </c>
      <c r="H33" s="151">
        <f t="shared" ref="H33" si="29">G33*(1+H34)</f>
        <v>-176677.18957280111</v>
      </c>
      <c r="I33" s="151">
        <f t="shared" ref="I33" si="30">H33*(1+I34)</f>
        <v>-191559.20352915724</v>
      </c>
      <c r="J33" s="151">
        <f t="shared" ref="J33" si="31">I33*(1+J34)</f>
        <v>-207694.77115552983</v>
      </c>
      <c r="K33" s="151">
        <f t="shared" ref="K33" si="32">J33*(1+K34)</f>
        <v>-225189.48278453248</v>
      </c>
    </row>
    <row r="34" spans="2:11" x14ac:dyDescent="0.2">
      <c r="B34" s="142" t="s">
        <v>232</v>
      </c>
      <c r="C34" s="143"/>
      <c r="D34" s="143"/>
      <c r="E34" s="145">
        <f t="shared" ref="E34:F34" si="33">E21</f>
        <v>8.4232797636980106E-2</v>
      </c>
      <c r="F34" s="145">
        <f t="shared" si="33"/>
        <v>8.4232797636980106E-2</v>
      </c>
      <c r="G34" s="152">
        <f>F34</f>
        <v>8.4232797636980106E-2</v>
      </c>
      <c r="H34" s="152">
        <f t="shared" ref="H34:K34" si="34">G34</f>
        <v>8.4232797636980106E-2</v>
      </c>
      <c r="I34" s="152">
        <f t="shared" si="34"/>
        <v>8.4232797636980106E-2</v>
      </c>
      <c r="J34" s="152">
        <f t="shared" si="34"/>
        <v>8.4232797636980106E-2</v>
      </c>
      <c r="K34" s="152">
        <f t="shared" si="34"/>
        <v>8.4232797636980106E-2</v>
      </c>
    </row>
    <row r="35" spans="2:11" ht="12" x14ac:dyDescent="0.25">
      <c r="B35" s="144" t="s">
        <v>39</v>
      </c>
      <c r="D35" s="141">
        <f t="shared" ref="D35:F35" si="35">D22</f>
        <v>35349.423378637584</v>
      </c>
      <c r="E35" s="141">
        <f t="shared" si="35"/>
        <v>41525.160000000003</v>
      </c>
      <c r="F35" s="141">
        <f t="shared" si="35"/>
        <v>48553.16</v>
      </c>
      <c r="G35" s="153">
        <f>G31+G33</f>
        <v>56182.59002549143</v>
      </c>
      <c r="H35" s="153">
        <f t="shared" ref="H35:K35" si="36">H31+H33</f>
        <v>65082.722674936667</v>
      </c>
      <c r="I35" s="153">
        <f t="shared" si="36"/>
        <v>75483.356944100145</v>
      </c>
      <c r="J35" s="153">
        <f t="shared" si="36"/>
        <v>87660.730867629696</v>
      </c>
      <c r="K35" s="153">
        <f t="shared" si="36"/>
        <v>101948.31309843593</v>
      </c>
    </row>
    <row r="36" spans="2:11" x14ac:dyDescent="0.2">
      <c r="B36" s="142" t="s">
        <v>232</v>
      </c>
      <c r="C36" s="143"/>
      <c r="D36" s="143"/>
      <c r="E36" s="145">
        <f t="shared" ref="E36:F36" si="37">E23</f>
        <v>0.17470544159129187</v>
      </c>
      <c r="F36" s="145">
        <f t="shared" si="37"/>
        <v>0.16924678917552627</v>
      </c>
      <c r="G36" s="154"/>
      <c r="H36" s="154"/>
      <c r="I36" s="154"/>
      <c r="J36" s="154"/>
      <c r="K36" s="154"/>
    </row>
    <row r="37" spans="2:11" ht="12" x14ac:dyDescent="0.25">
      <c r="B37" s="144" t="s">
        <v>226</v>
      </c>
      <c r="D37" s="146">
        <f t="shared" ref="D37:F37" si="38">D24</f>
        <v>0.21660669227369533</v>
      </c>
      <c r="E37" s="146">
        <f t="shared" si="38"/>
        <v>0.23051476343530902</v>
      </c>
      <c r="F37" s="146">
        <f t="shared" si="38"/>
        <v>0.24417591591440571</v>
      </c>
      <c r="G37" s="149">
        <f>F37*(1+G38)</f>
        <v>0.256384711710126</v>
      </c>
      <c r="H37" s="149">
        <f t="shared" ref="H37" si="39">G37*(1+H38)</f>
        <v>0.2692039472956323</v>
      </c>
      <c r="I37" s="149">
        <f t="shared" ref="I37" si="40">H37*(1+I38)</f>
        <v>0.2826641446604139</v>
      </c>
      <c r="J37" s="149">
        <f t="shared" ref="J37" si="41">I37*(1+J38)</f>
        <v>0.29679735189343459</v>
      </c>
      <c r="K37" s="149">
        <f t="shared" ref="K37" si="42">J37*(1+K38)</f>
        <v>0.31163721948810635</v>
      </c>
    </row>
    <row r="38" spans="2:11" x14ac:dyDescent="0.2">
      <c r="B38" s="142" t="s">
        <v>237</v>
      </c>
      <c r="E38" s="148">
        <f t="shared" ref="E38:F38" si="43">E25</f>
        <v>1.3908071161613689E-2</v>
      </c>
      <c r="F38" s="148">
        <f t="shared" si="43"/>
        <v>1.3661152479096689E-2</v>
      </c>
      <c r="G38" s="150">
        <v>0.05</v>
      </c>
      <c r="H38" s="150">
        <f t="shared" ref="H38:K38" si="44">G38</f>
        <v>0.05</v>
      </c>
      <c r="I38" s="150">
        <f t="shared" si="44"/>
        <v>0.05</v>
      </c>
      <c r="J38" s="150">
        <f t="shared" si="44"/>
        <v>0.05</v>
      </c>
      <c r="K38" s="150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 </cp:lastModifiedBy>
  <dcterms:created xsi:type="dcterms:W3CDTF">2020-03-25T09:21:18Z</dcterms:created>
  <dcterms:modified xsi:type="dcterms:W3CDTF">2020-07-27T19:53:39Z</dcterms:modified>
</cp:coreProperties>
</file>