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289E08BA-63A9-034E-AF7D-AE10FA6A4AEE}" xr6:coauthVersionLast="45" xr6:coauthVersionMax="45" xr10:uidLastSave="{00000000-0000-0000-0000-000000000000}"/>
  <bookViews>
    <workbookView xWindow="0" yWindow="460" windowWidth="28800" windowHeight="16240" tabRatio="950" firstSheet="1" activeTab="6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9" l="1"/>
  <c r="G29" i="9"/>
  <c r="K25" i="9" l="1"/>
  <c r="I26" i="9"/>
  <c r="I25" i="9"/>
  <c r="G25" i="9"/>
  <c r="E26" i="9"/>
  <c r="E25" i="9"/>
  <c r="K21" i="9"/>
  <c r="I22" i="9"/>
  <c r="I21" i="9"/>
  <c r="G21" i="9"/>
  <c r="E22" i="9"/>
  <c r="E21" i="9"/>
  <c r="M27" i="11"/>
  <c r="M26" i="11"/>
  <c r="K27" i="11"/>
  <c r="K26" i="11"/>
  <c r="I27" i="11"/>
  <c r="I26" i="11"/>
  <c r="G27" i="11"/>
  <c r="G26" i="11"/>
  <c r="E27" i="11"/>
  <c r="E26" i="11"/>
  <c r="C18" i="11"/>
  <c r="C17" i="11"/>
  <c r="I18" i="11"/>
  <c r="I17" i="11"/>
  <c r="G18" i="11"/>
  <c r="G17" i="11"/>
  <c r="E18" i="11"/>
  <c r="E17" i="11"/>
  <c r="C9" i="11"/>
  <c r="C8" i="11"/>
  <c r="G9" i="11"/>
  <c r="E9" i="11"/>
  <c r="G8" i="11"/>
  <c r="E8" i="11"/>
  <c r="E26" i="10" l="1"/>
  <c r="D26" i="10"/>
  <c r="E25" i="10"/>
  <c r="D25" i="10"/>
  <c r="E24" i="10"/>
  <c r="D24" i="10"/>
  <c r="E22" i="10"/>
  <c r="D22" i="10"/>
  <c r="E21" i="10"/>
  <c r="D21" i="10"/>
  <c r="E20" i="10"/>
  <c r="D20" i="10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K48" i="4"/>
  <c r="G48" i="4"/>
  <c r="I49" i="4"/>
  <c r="E49" i="4"/>
  <c r="I48" i="4"/>
  <c r="E48" i="4"/>
  <c r="K37" i="4"/>
  <c r="G37" i="4"/>
  <c r="I38" i="4"/>
  <c r="E38" i="4"/>
  <c r="I37" i="4"/>
  <c r="E37" i="4"/>
  <c r="K33" i="4"/>
  <c r="I34" i="4"/>
  <c r="G33" i="4"/>
  <c r="E34" i="4"/>
  <c r="I33" i="4"/>
  <c r="E33" i="4"/>
  <c r="K29" i="4"/>
  <c r="I30" i="4"/>
  <c r="G29" i="4"/>
  <c r="E30" i="4"/>
  <c r="I29" i="4"/>
  <c r="E29" i="4"/>
  <c r="E9" i="10"/>
  <c r="D9" i="10"/>
  <c r="E8" i="10"/>
  <c r="D8" i="10"/>
  <c r="E7" i="10"/>
  <c r="D7" i="10"/>
  <c r="E6" i="10"/>
  <c r="D6" i="10"/>
  <c r="I5" i="4"/>
  <c r="E5" i="4"/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I45" i="4" l="1"/>
  <c r="I43" i="4"/>
  <c r="E45" i="4"/>
  <c r="E43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I10" i="4"/>
  <c r="K9" i="4" s="1"/>
  <c r="I9" i="4"/>
  <c r="E9" i="4"/>
  <c r="K5" i="4"/>
  <c r="I6" i="4"/>
  <c r="G5" i="4"/>
  <c r="E10" i="4" s="1"/>
  <c r="G9" i="4" s="1"/>
  <c r="E6" i="4"/>
  <c r="D5" i="10" l="1"/>
  <c r="I41" i="4"/>
  <c r="K41" i="4" s="1"/>
  <c r="E5" i="10"/>
  <c r="E41" i="4"/>
  <c r="G41" i="4" s="1"/>
  <c r="I9" i="14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<sst xmlns="http://schemas.openxmlformats.org/spreadsheetml/2006/main" count="463" uniqueCount="281">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</sst>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4" fillId="0" borderId="3" xfId="1" applyFont="1" applyBorder="1"/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0"/>
      <c r="D33" s="261"/>
      <c r="E33" s="261"/>
    </row>
    <row r="34" spans="2:6" ht="13" x14ac:dyDescent="0.15">
      <c r="B34" s="6" t="s">
        <v>16</v>
      </c>
      <c r="C34" s="260"/>
      <c r="D34" s="262"/>
      <c r="E34" s="262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topLeftCell="A2" zoomScale="130" zoomScaleNormal="130" workbookViewId="0">
      <selection activeCell="M28" sqref="M28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73" t="s">
        <v>43</v>
      </c>
      <c r="E5" s="78" t="s">
        <v>80</v>
      </c>
      <c r="F5" s="273" t="s">
        <v>97</v>
      </c>
      <c r="G5" s="40" t="s">
        <v>53</v>
      </c>
    </row>
    <row r="6" spans="2:11" x14ac:dyDescent="0.15">
      <c r="C6" s="79" t="s">
        <v>94</v>
      </c>
      <c r="D6" s="274"/>
      <c r="E6" s="20" t="s">
        <v>53</v>
      </c>
      <c r="F6" s="274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>
        <f>E8*G8</f>
        <v>0.1443438544980018</v>
      </c>
      <c r="D8" s="80"/>
      <c r="E8" s="100">
        <f>'Profitability ratios'!G17</f>
        <v>8.9003998088963782E-2</v>
      </c>
      <c r="F8" s="80" t="s">
        <v>97</v>
      </c>
      <c r="G8" s="96">
        <f>'Activity ratios'!G48</f>
        <v>1.6217682081396296</v>
      </c>
    </row>
    <row r="9" spans="2:11" x14ac:dyDescent="0.15">
      <c r="B9" s="105" t="s">
        <v>163</v>
      </c>
      <c r="C9" s="87">
        <f>E9*G9</f>
        <v>0.13136687601439562</v>
      </c>
      <c r="D9" s="58"/>
      <c r="E9" s="101">
        <f>'Profitability ratios'!K17</f>
        <v>7.7505953669625482E-2</v>
      </c>
      <c r="F9" s="58" t="s">
        <v>97</v>
      </c>
      <c r="G9" s="97">
        <f>'Activity ratios'!K48</f>
        <v>1.6949262578505397</v>
      </c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73" t="s">
        <v>43</v>
      </c>
      <c r="E14" s="82" t="s">
        <v>80</v>
      </c>
      <c r="F14" s="273" t="s">
        <v>97</v>
      </c>
      <c r="G14" s="82" t="s">
        <v>53</v>
      </c>
      <c r="H14" s="273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74"/>
      <c r="E15" s="74" t="s">
        <v>53</v>
      </c>
      <c r="F15" s="274"/>
      <c r="G15" s="74" t="s">
        <v>54</v>
      </c>
      <c r="H15" s="274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>
        <f>E17*G17*I17</f>
        <v>0.1443438544980018</v>
      </c>
      <c r="D17" s="80"/>
      <c r="E17" s="100">
        <f>E8</f>
        <v>8.9003998088963782E-2</v>
      </c>
      <c r="F17" s="80" t="s">
        <v>97</v>
      </c>
      <c r="G17" s="98">
        <f>'Activity ratios'!G37</f>
        <v>1.1378468774945567</v>
      </c>
      <c r="H17" s="80" t="s">
        <v>97</v>
      </c>
      <c r="I17" s="96">
        <f>'Solvency ratios'!G25</f>
        <v>1.4252956528831253</v>
      </c>
      <c r="J17" s="95"/>
    </row>
    <row r="18" spans="2:13" x14ac:dyDescent="0.15">
      <c r="B18" s="105" t="s">
        <v>163</v>
      </c>
      <c r="C18" s="87">
        <f>E18*G18*I18</f>
        <v>0.13136687601439564</v>
      </c>
      <c r="D18" s="58"/>
      <c r="E18" s="101">
        <f>E9</f>
        <v>7.7505953669625482E-2</v>
      </c>
      <c r="F18" s="58" t="s">
        <v>97</v>
      </c>
      <c r="G18" s="99">
        <f>'Activity ratios'!K37</f>
        <v>1.0923495329312995</v>
      </c>
      <c r="H18" s="58" t="s">
        <v>97</v>
      </c>
      <c r="I18" s="97">
        <f>'Solvency ratios'!K25</f>
        <v>1.5516336179521557</v>
      </c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1" t="s">
        <v>43</v>
      </c>
      <c r="E23" s="89" t="s">
        <v>80</v>
      </c>
      <c r="F23" s="291" t="s">
        <v>97</v>
      </c>
      <c r="G23" s="89" t="s">
        <v>82</v>
      </c>
      <c r="H23" s="291" t="s">
        <v>97</v>
      </c>
      <c r="I23" s="89" t="s">
        <v>83</v>
      </c>
      <c r="J23" s="291" t="s">
        <v>97</v>
      </c>
      <c r="K23" s="89" t="s">
        <v>53</v>
      </c>
      <c r="L23" s="291" t="s">
        <v>97</v>
      </c>
      <c r="M23" s="90" t="s">
        <v>54</v>
      </c>
    </row>
    <row r="24" spans="2:13" x14ac:dyDescent="0.15">
      <c r="C24" s="91" t="s">
        <v>94</v>
      </c>
      <c r="D24" s="292"/>
      <c r="E24" s="92" t="s">
        <v>82</v>
      </c>
      <c r="F24" s="292"/>
      <c r="G24" s="92" t="s">
        <v>83</v>
      </c>
      <c r="H24" s="292"/>
      <c r="I24" s="159" t="s">
        <v>53</v>
      </c>
      <c r="J24" s="292"/>
      <c r="K24" s="92" t="s">
        <v>54</v>
      </c>
      <c r="L24" s="292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>
        <f>'P&amp;L'!D32/'P&amp;L'!D28</f>
        <v>0.89266619590436802</v>
      </c>
      <c r="F26" s="80"/>
      <c r="G26" s="102">
        <f>'P&amp;L'!D28/'P&amp;L'!D24</f>
        <v>0.87916278657265756</v>
      </c>
      <c r="H26" s="80"/>
      <c r="I26" s="100">
        <f>'Profitability ratios'!G9</f>
        <v>0.11340994241746086</v>
      </c>
      <c r="J26" s="80"/>
      <c r="K26" s="98">
        <f>G17</f>
        <v>1.1378468774945567</v>
      </c>
      <c r="L26" s="80"/>
      <c r="M26" s="96">
        <f>I17</f>
        <v>1.4252956528831253</v>
      </c>
    </row>
    <row r="27" spans="2:13" x14ac:dyDescent="0.15">
      <c r="B27" s="105" t="s">
        <v>163</v>
      </c>
      <c r="C27" s="103"/>
      <c r="D27" s="58"/>
      <c r="E27" s="104">
        <f>'P&amp;L'!E32/'P&amp;L'!E28</f>
        <v>0.89471323293816085</v>
      </c>
      <c r="F27" s="58"/>
      <c r="G27" s="104">
        <f>'P&amp;L'!E28/'P&amp;L'!E24</f>
        <v>0.83911383556487606</v>
      </c>
      <c r="H27" s="58"/>
      <c r="I27" s="101">
        <f>'Profitability ratios'!K9</f>
        <v>0.1032357986244109</v>
      </c>
      <c r="J27" s="58"/>
      <c r="K27" s="99">
        <f>G18</f>
        <v>1.0923495329312995</v>
      </c>
      <c r="L27" s="58"/>
      <c r="M27" s="97">
        <f>I18</f>
        <v>1.5516336179521557</v>
      </c>
    </row>
  </sheetData>
  <mergeCells count="10">
    <mergeCell ref="D23:D24"/>
    <mergeCell ref="F23:F24"/>
    <mergeCell ref="L23:L24"/>
    <mergeCell ref="H23:H24"/>
    <mergeCell ref="J23:J24"/>
    <mergeCell ref="D5:D6"/>
    <mergeCell ref="F5:F6"/>
    <mergeCell ref="D14:D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3" t="s">
        <v>221</v>
      </c>
      <c r="E3" s="294"/>
      <c r="F3" s="295" t="s">
        <v>92</v>
      </c>
      <c r="G3" s="296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7" t="s">
        <v>91</v>
      </c>
      <c r="D3" s="298"/>
      <c r="E3" s="298"/>
      <c r="F3" s="297" t="s">
        <v>92</v>
      </c>
      <c r="G3" s="298"/>
      <c r="H3" s="299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7" t="s">
        <v>91</v>
      </c>
      <c r="D13" s="298"/>
      <c r="E13" s="299"/>
      <c r="F13" s="297" t="s">
        <v>92</v>
      </c>
      <c r="G13" s="298"/>
      <c r="H13" s="299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7" sqref="E57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A9" zoomScaleNormal="100" workbookViewId="0">
      <selection activeCell="K49" sqref="K49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69" t="s">
        <v>103</v>
      </c>
      <c r="C3" s="270"/>
      <c r="D3" s="68"/>
      <c r="E3" s="269" t="s">
        <v>270</v>
      </c>
      <c r="F3" s="271"/>
      <c r="G3" s="270"/>
      <c r="H3" s="68"/>
      <c r="I3" s="269" t="s">
        <v>271</v>
      </c>
      <c r="J3" s="271"/>
      <c r="K3" s="270"/>
      <c r="L3" s="68"/>
      <c r="M3" s="69" t="s">
        <v>115</v>
      </c>
      <c r="O3" s="156"/>
    </row>
    <row r="5" spans="2:15" ht="12" customHeight="1" x14ac:dyDescent="0.15">
      <c r="B5" s="267" t="s">
        <v>41</v>
      </c>
      <c r="C5" s="40" t="s">
        <v>40</v>
      </c>
      <c r="E5" s="42">
        <f>'P&amp;L'!D13</f>
        <v>198845</v>
      </c>
      <c r="F5" s="273"/>
      <c r="G5" s="53">
        <f>E5/E6</f>
        <v>7.8186929852154767</v>
      </c>
      <c r="I5" s="42">
        <f>'P&amp;L'!E13</f>
        <v>180141</v>
      </c>
      <c r="J5" s="273"/>
      <c r="K5" s="53">
        <f>I5/I6</f>
        <v>7.1016715288181027</v>
      </c>
      <c r="M5" s="263" t="s">
        <v>240</v>
      </c>
    </row>
    <row r="6" spans="2:15" x14ac:dyDescent="0.15">
      <c r="B6" s="268"/>
      <c r="C6" s="41" t="s">
        <v>42</v>
      </c>
      <c r="E6" s="45">
        <f>AVERAGE(BS!D19:E19)</f>
        <v>25432</v>
      </c>
      <c r="F6" s="274"/>
      <c r="G6" s="46"/>
      <c r="I6" s="45">
        <f>AVERAGE(BS!E19:F19)</f>
        <v>25366</v>
      </c>
      <c r="J6" s="274"/>
      <c r="K6" s="46"/>
      <c r="M6" s="264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7" t="s">
        <v>117</v>
      </c>
      <c r="C9" s="40">
        <v>365</v>
      </c>
      <c r="E9" s="59">
        <f>C9</f>
        <v>365</v>
      </c>
      <c r="F9" s="273"/>
      <c r="G9" s="53">
        <f>E9/E10</f>
        <v>46.682994292036511</v>
      </c>
      <c r="I9" s="59">
        <f>C9</f>
        <v>365</v>
      </c>
      <c r="J9" s="273"/>
      <c r="K9" s="53">
        <f>I9/I10</f>
        <v>51.396350636445895</v>
      </c>
      <c r="M9" s="263" t="s">
        <v>168</v>
      </c>
    </row>
    <row r="10" spans="2:15" x14ac:dyDescent="0.15">
      <c r="B10" s="268"/>
      <c r="C10" s="41" t="s">
        <v>44</v>
      </c>
      <c r="E10" s="60">
        <f>G5</f>
        <v>7.8186929852154767</v>
      </c>
      <c r="F10" s="274"/>
      <c r="G10" s="46"/>
      <c r="I10" s="60">
        <f>K5</f>
        <v>7.1016715288181027</v>
      </c>
      <c r="J10" s="274"/>
      <c r="K10" s="46"/>
      <c r="M10" s="264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7" t="s">
        <v>116</v>
      </c>
      <c r="C13" s="40" t="s">
        <v>45</v>
      </c>
      <c r="E13" s="42">
        <f>'P&amp;L'!D15 * -1</f>
        <v>150291.84</v>
      </c>
      <c r="F13" s="273"/>
      <c r="G13" s="44">
        <f>E13/E14</f>
        <v>6.1185026563804019</v>
      </c>
      <c r="I13" s="42">
        <f>'P&amp;L'!E15 * -1</f>
        <v>138615.84</v>
      </c>
      <c r="J13" s="273"/>
      <c r="K13" s="44">
        <f>I13/I14</f>
        <v>5.8747972027972031</v>
      </c>
      <c r="M13" s="263" t="s">
        <v>241</v>
      </c>
    </row>
    <row r="14" spans="2:15" x14ac:dyDescent="0.15">
      <c r="B14" s="268"/>
      <c r="C14" s="41" t="s">
        <v>46</v>
      </c>
      <c r="E14" s="45">
        <f>AVERAGE(BS!D18:E18)</f>
        <v>24563.5</v>
      </c>
      <c r="F14" s="274"/>
      <c r="G14" s="46"/>
      <c r="I14" s="45">
        <f>AVERAGE(BS!E18:F18)</f>
        <v>23595</v>
      </c>
      <c r="J14" s="274"/>
      <c r="K14" s="46"/>
      <c r="M14" s="264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7" t="s">
        <v>47</v>
      </c>
      <c r="C17" s="40">
        <v>365</v>
      </c>
      <c r="E17" s="59">
        <f>C17</f>
        <v>365</v>
      </c>
      <c r="F17" s="273"/>
      <c r="G17" s="53">
        <f>E17/E18</f>
        <v>59.655118335100561</v>
      </c>
      <c r="I17" s="59">
        <f>C17</f>
        <v>365</v>
      </c>
      <c r="J17" s="273"/>
      <c r="K17" s="53">
        <f>I17/I18</f>
        <v>62.129804212851859</v>
      </c>
      <c r="M17" s="263" t="s">
        <v>121</v>
      </c>
    </row>
    <row r="18" spans="2:14" ht="11.5" customHeight="1" x14ac:dyDescent="0.15">
      <c r="B18" s="268"/>
      <c r="C18" s="41" t="s">
        <v>48</v>
      </c>
      <c r="E18" s="57">
        <f>G13</f>
        <v>6.1185026563804019</v>
      </c>
      <c r="F18" s="274"/>
      <c r="G18" s="46"/>
      <c r="I18" s="57">
        <f>K13</f>
        <v>5.8747972027972031</v>
      </c>
      <c r="J18" s="274"/>
      <c r="K18" s="46"/>
      <c r="M18" s="264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7" t="s">
        <v>49</v>
      </c>
      <c r="C21" s="40" t="s">
        <v>50</v>
      </c>
      <c r="E21" s="42">
        <f>BS!D18-BS!E18-'P&amp;L'!D15</f>
        <v>151902.84</v>
      </c>
      <c r="F21" s="273"/>
      <c r="G21" s="44">
        <f>E21/E22</f>
        <v>8.2567109661638813</v>
      </c>
      <c r="I21" s="42">
        <f>BS!E18-BS!F18-'P&amp;L'!E15</f>
        <v>138941.84</v>
      </c>
      <c r="J21" s="273"/>
      <c r="K21" s="44">
        <f>I21/I22</f>
        <v>7.7409237283414116</v>
      </c>
      <c r="M21" s="263" t="s">
        <v>242</v>
      </c>
      <c r="N21" s="3" t="s">
        <v>130</v>
      </c>
    </row>
    <row r="22" spans="2:14" x14ac:dyDescent="0.15">
      <c r="B22" s="268"/>
      <c r="C22" s="41" t="s">
        <v>51</v>
      </c>
      <c r="E22" s="45">
        <f>AVERAGE(BS!D43:E43)</f>
        <v>18397.5</v>
      </c>
      <c r="F22" s="274"/>
      <c r="G22" s="46"/>
      <c r="I22" s="45">
        <f>AVERAGE(BS!E43:F43)</f>
        <v>17949</v>
      </c>
      <c r="J22" s="274"/>
      <c r="K22" s="46"/>
      <c r="M22" s="264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7" t="s">
        <v>120</v>
      </c>
      <c r="C25" s="40">
        <v>365</v>
      </c>
      <c r="E25" s="59">
        <f>C25</f>
        <v>365</v>
      </c>
      <c r="F25" s="273"/>
      <c r="G25" s="53">
        <f>E25/E26</f>
        <v>44.20646447426526</v>
      </c>
      <c r="I25" s="59">
        <f>C25</f>
        <v>365</v>
      </c>
      <c r="J25" s="273"/>
      <c r="K25" s="53">
        <f>I25/I26</f>
        <v>47.151995396059242</v>
      </c>
      <c r="M25" s="265" t="s">
        <v>169</v>
      </c>
    </row>
    <row r="26" spans="2:14" x14ac:dyDescent="0.15">
      <c r="B26" s="268"/>
      <c r="C26" s="41" t="s">
        <v>52</v>
      </c>
      <c r="E26" s="57">
        <f>G21</f>
        <v>8.2567109661638813</v>
      </c>
      <c r="F26" s="274"/>
      <c r="G26" s="46"/>
      <c r="I26" s="57">
        <f>K21</f>
        <v>7.7409237283414116</v>
      </c>
      <c r="J26" s="274"/>
      <c r="K26" s="46"/>
      <c r="M26" s="266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7" t="s">
        <v>122</v>
      </c>
      <c r="C29" s="40" t="s">
        <v>53</v>
      </c>
      <c r="E29" s="42">
        <f>E5</f>
        <v>198845</v>
      </c>
      <c r="F29" s="273"/>
      <c r="G29" s="44">
        <f>E29/E30</f>
        <v>1.8745787159025025</v>
      </c>
      <c r="I29" s="42">
        <f>I5</f>
        <v>180141</v>
      </c>
      <c r="J29" s="273"/>
      <c r="K29" s="44">
        <f>I29/I30</f>
        <v>1.72279045747321</v>
      </c>
      <c r="M29" s="263" t="s">
        <v>243</v>
      </c>
    </row>
    <row r="30" spans="2:14" x14ac:dyDescent="0.15">
      <c r="B30" s="268"/>
      <c r="C30" s="41" t="s">
        <v>55</v>
      </c>
      <c r="E30" s="45">
        <f>AVERAGE(BS!D11:E11)</f>
        <v>106074.5</v>
      </c>
      <c r="F30" s="274"/>
      <c r="G30" s="46"/>
      <c r="I30" s="45">
        <f>AVERAGE(BS!E11:F11)</f>
        <v>104563.5</v>
      </c>
      <c r="J30" s="274"/>
      <c r="K30" s="46"/>
      <c r="M30" s="264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7" t="s">
        <v>123</v>
      </c>
      <c r="C33" s="40" t="s">
        <v>53</v>
      </c>
      <c r="E33" s="42">
        <f>E29</f>
        <v>198845</v>
      </c>
      <c r="F33" s="273"/>
      <c r="G33" s="44">
        <f>E33/E34</f>
        <v>5.8375656871091799</v>
      </c>
      <c r="I33" s="42">
        <f>I29</f>
        <v>180141</v>
      </c>
      <c r="J33" s="273"/>
      <c r="K33" s="44">
        <f>I33/I34</f>
        <v>7.4487677803506447</v>
      </c>
      <c r="M33" s="263" t="s">
        <v>244</v>
      </c>
    </row>
    <row r="34" spans="2:13" x14ac:dyDescent="0.15">
      <c r="B34" s="268"/>
      <c r="C34" s="41" t="s">
        <v>56</v>
      </c>
      <c r="E34" s="45">
        <f>AVERAGE(BS!D22:E22) - AVERAGE(BS!D45:E45)</f>
        <v>34063</v>
      </c>
      <c r="F34" s="274"/>
      <c r="G34" s="46"/>
      <c r="I34" s="45">
        <f>AVERAGE(BS!E22:F22)-AVERAGE(BS!E45:F45)</f>
        <v>24184</v>
      </c>
      <c r="J34" s="274"/>
      <c r="K34" s="46"/>
      <c r="M34" s="264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7" t="s">
        <v>124</v>
      </c>
      <c r="C37" s="40" t="s">
        <v>53</v>
      </c>
      <c r="E37" s="42">
        <f>E33</f>
        <v>198845</v>
      </c>
      <c r="F37" s="273"/>
      <c r="G37" s="44">
        <f>E37/E38</f>
        <v>1.1378468774945567</v>
      </c>
      <c r="I37" s="42">
        <f>I33</f>
        <v>180141</v>
      </c>
      <c r="J37" s="273"/>
      <c r="K37" s="44">
        <f>I37/I38</f>
        <v>1.0923495329312995</v>
      </c>
      <c r="M37" s="263" t="s">
        <v>245</v>
      </c>
    </row>
    <row r="38" spans="2:13" x14ac:dyDescent="0.15">
      <c r="B38" s="268"/>
      <c r="C38" s="41" t="s">
        <v>54</v>
      </c>
      <c r="E38" s="45">
        <f>AVERAGE(BS!D23:E23)</f>
        <v>174755.5</v>
      </c>
      <c r="F38" s="274"/>
      <c r="G38" s="46"/>
      <c r="I38" s="45">
        <f>AVERAGE(BS!E23:F23)</f>
        <v>164911.5</v>
      </c>
      <c r="J38" s="274"/>
      <c r="K38" s="46"/>
      <c r="M38" s="264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46.682994292036511</v>
      </c>
      <c r="F41" s="43"/>
      <c r="G41" s="53">
        <f>E41+E43-E45</f>
        <v>62.131648152871804</v>
      </c>
      <c r="I41" s="52">
        <f>K9</f>
        <v>51.396350636445895</v>
      </c>
      <c r="J41" s="43"/>
      <c r="K41" s="53">
        <f>I41+I43-I45</f>
        <v>66.374159453238519</v>
      </c>
      <c r="M41" s="263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2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2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2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4"/>
    </row>
    <row r="46" spans="2:13" x14ac:dyDescent="0.15">
      <c r="E46" s="21"/>
      <c r="K46" s="21"/>
    </row>
    <row r="48" spans="2:13" x14ac:dyDescent="0.15">
      <c r="B48" s="267" t="s">
        <v>126</v>
      </c>
      <c r="C48" s="40" t="s">
        <v>53</v>
      </c>
      <c r="E48" s="42">
        <f>E37</f>
        <v>198845</v>
      </c>
      <c r="F48" s="273"/>
      <c r="G48" s="44">
        <f>E48/E49</f>
        <v>1.6217682081396296</v>
      </c>
      <c r="I48" s="42">
        <f>I37</f>
        <v>180141</v>
      </c>
      <c r="J48" s="273"/>
      <c r="K48" s="44">
        <f>I48/I49</f>
        <v>1.6949262578505397</v>
      </c>
      <c r="M48" s="263" t="s">
        <v>246</v>
      </c>
    </row>
    <row r="49" spans="2:13" x14ac:dyDescent="0.15">
      <c r="B49" s="268"/>
      <c r="C49" s="41" t="s">
        <v>74</v>
      </c>
      <c r="E49" s="45">
        <f>AVERAGE(BS!D32:E32)</f>
        <v>122610</v>
      </c>
      <c r="F49" s="274"/>
      <c r="G49" s="46"/>
      <c r="I49" s="45">
        <f>AVERAGE(BS!E32:F32)</f>
        <v>106282.5</v>
      </c>
      <c r="J49" s="274"/>
      <c r="K49" s="46"/>
      <c r="M49" s="264"/>
    </row>
  </sheetData>
  <mergeCells count="44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M48:M49"/>
    <mergeCell ref="M9:M10"/>
    <mergeCell ref="M25:M26"/>
    <mergeCell ref="M17:M18"/>
    <mergeCell ref="M21:M22"/>
    <mergeCell ref="M29:M30"/>
    <mergeCell ref="M13:M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69" t="s">
        <v>103</v>
      </c>
      <c r="C3" s="270"/>
      <c r="D3" s="68"/>
      <c r="E3" s="269" t="s">
        <v>270</v>
      </c>
      <c r="F3" s="271"/>
      <c r="G3" s="270"/>
      <c r="H3" s="68"/>
      <c r="I3" s="269" t="s">
        <v>271</v>
      </c>
      <c r="J3" s="271"/>
      <c r="K3" s="270"/>
      <c r="L3" s="68"/>
      <c r="M3" s="69" t="s">
        <v>115</v>
      </c>
    </row>
    <row r="5" spans="2:13" ht="12" customHeight="1" x14ac:dyDescent="0.15">
      <c r="B5" s="267" t="s">
        <v>57</v>
      </c>
      <c r="C5" s="40" t="s">
        <v>58</v>
      </c>
      <c r="D5" s="21"/>
      <c r="E5" s="42">
        <f>BS!D22</f>
        <v>70907</v>
      </c>
      <c r="F5" s="273"/>
      <c r="G5" s="53">
        <f>E5/E6</f>
        <v>2.250872960446956</v>
      </c>
      <c r="I5" s="42">
        <f>BS!E22</f>
        <v>61001</v>
      </c>
      <c r="J5" s="273"/>
      <c r="K5" s="53">
        <f>I5/I6</f>
        <v>1.8897459727385377</v>
      </c>
      <c r="M5" s="265" t="s">
        <v>131</v>
      </c>
    </row>
    <row r="6" spans="2:13" x14ac:dyDescent="0.15">
      <c r="B6" s="268"/>
      <c r="C6" s="41" t="s">
        <v>59</v>
      </c>
      <c r="D6" s="21"/>
      <c r="E6" s="45">
        <f>BS!D45</f>
        <v>31502</v>
      </c>
      <c r="F6" s="274"/>
      <c r="G6" s="46"/>
      <c r="I6" s="45">
        <f>BS!E45</f>
        <v>32280</v>
      </c>
      <c r="J6" s="274"/>
      <c r="K6" s="46"/>
      <c r="M6" s="266"/>
    </row>
    <row r="9" spans="2:13" ht="12" customHeight="1" x14ac:dyDescent="0.15">
      <c r="B9" s="267" t="s">
        <v>60</v>
      </c>
      <c r="C9" s="40" t="s">
        <v>61</v>
      </c>
      <c r="D9" s="21"/>
      <c r="E9" s="59">
        <f>SUM(BS!D19:D21)</f>
        <v>45538</v>
      </c>
      <c r="F9" s="273"/>
      <c r="G9" s="53">
        <f>E9/E10</f>
        <v>1.4455590121262143</v>
      </c>
      <c r="I9" s="42">
        <f>SUM(BS!E19:E21)</f>
        <v>37243</v>
      </c>
      <c r="J9" s="273"/>
      <c r="K9" s="53">
        <f>I9/I10</f>
        <v>1.1537484510532838</v>
      </c>
      <c r="M9" s="265" t="s">
        <v>132</v>
      </c>
    </row>
    <row r="10" spans="2:13" x14ac:dyDescent="0.15">
      <c r="B10" s="268"/>
      <c r="C10" s="41" t="s">
        <v>59</v>
      </c>
      <c r="D10" s="21"/>
      <c r="E10" s="65">
        <f>BS!D45</f>
        <v>31502</v>
      </c>
      <c r="F10" s="274"/>
      <c r="G10" s="46"/>
      <c r="I10" s="45">
        <f>BS!E45</f>
        <v>32280</v>
      </c>
      <c r="J10" s="274"/>
      <c r="K10" s="46"/>
      <c r="M10" s="266"/>
    </row>
    <row r="13" spans="2:13" ht="12" customHeight="1" x14ac:dyDescent="0.15">
      <c r="B13" s="267" t="s">
        <v>62</v>
      </c>
      <c r="C13" s="40" t="s">
        <v>63</v>
      </c>
      <c r="D13" s="21"/>
      <c r="E13" s="59">
        <f>SUM((BS!D20:D21))</f>
        <v>19291</v>
      </c>
      <c r="F13" s="273"/>
      <c r="G13" s="53">
        <f>E13/E14</f>
        <v>0.61237381753539455</v>
      </c>
      <c r="I13" s="42">
        <f>SUM(BS!E20:E21)</f>
        <v>12626</v>
      </c>
      <c r="J13" s="273"/>
      <c r="K13" s="53">
        <f>I13/I14</f>
        <v>0.39114002478314747</v>
      </c>
      <c r="M13" s="265" t="s">
        <v>133</v>
      </c>
    </row>
    <row r="14" spans="2:13" x14ac:dyDescent="0.15">
      <c r="B14" s="268"/>
      <c r="C14" s="41" t="s">
        <v>59</v>
      </c>
      <c r="D14" s="21"/>
      <c r="E14" s="65">
        <f>BS!D45</f>
        <v>31502</v>
      </c>
      <c r="F14" s="274"/>
      <c r="G14" s="46"/>
      <c r="I14" s="45">
        <f>BS!E45</f>
        <v>32280</v>
      </c>
      <c r="J14" s="274"/>
      <c r="K14" s="46"/>
      <c r="M14" s="266"/>
    </row>
    <row r="17" spans="2:13" ht="12" customHeight="1" x14ac:dyDescent="0.15">
      <c r="B17" s="267" t="s">
        <v>64</v>
      </c>
      <c r="C17" s="40" t="s">
        <v>61</v>
      </c>
      <c r="D17" s="21"/>
      <c r="E17" s="59">
        <f>SUM(BS!D19:D21)</f>
        <v>45538</v>
      </c>
      <c r="F17" s="273"/>
      <c r="G17" s="53">
        <f>E17/E18</f>
        <v>94.282108296368563</v>
      </c>
      <c r="I17" s="42">
        <f>SUM(BS!E19:E21)</f>
        <v>37243</v>
      </c>
      <c r="J17" s="273"/>
      <c r="K17" s="53">
        <f>I17/I18</f>
        <v>84.148560144604573</v>
      </c>
      <c r="M17" s="265" t="s">
        <v>171</v>
      </c>
    </row>
    <row r="18" spans="2:13" x14ac:dyDescent="0.15">
      <c r="B18" s="268"/>
      <c r="C18" s="41" t="s">
        <v>65</v>
      </c>
      <c r="D18" s="21"/>
      <c r="E18" s="65">
        <f>('P&amp;L'!D15+'P&amp;L'!D19+'P&amp;L'!D20+'P&amp;L'!D21)/-365</f>
        <v>482.99726027397259</v>
      </c>
      <c r="F18" s="274"/>
      <c r="G18" s="46"/>
      <c r="I18" s="45">
        <f>('P&amp;L'!E15+'P&amp;L'!E19+'P&amp;L'!E20+'P&amp;L'!E21)/-365</f>
        <v>442.58630136986301</v>
      </c>
      <c r="J18" s="274"/>
      <c r="K18" s="46"/>
      <c r="M18" s="266"/>
    </row>
  </sheetData>
  <mergeCells count="19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69" t="s">
        <v>103</v>
      </c>
      <c r="C3" s="270"/>
      <c r="D3" s="68"/>
      <c r="E3" s="269" t="s">
        <v>270</v>
      </c>
      <c r="F3" s="271"/>
      <c r="G3" s="270"/>
      <c r="H3" s="68"/>
      <c r="I3" s="269" t="s">
        <v>271</v>
      </c>
      <c r="J3" s="271"/>
      <c r="K3" s="270"/>
      <c r="L3" s="68"/>
      <c r="M3" s="69" t="s">
        <v>115</v>
      </c>
    </row>
    <row r="5" spans="2:13" ht="12" customHeight="1" x14ac:dyDescent="0.15">
      <c r="B5" s="267" t="s">
        <v>67</v>
      </c>
      <c r="C5" s="40" t="s">
        <v>69</v>
      </c>
      <c r="D5" s="21"/>
      <c r="E5" s="42">
        <f>BS!D42+BS!D36</f>
        <v>29474</v>
      </c>
      <c r="F5" s="273"/>
      <c r="G5" s="66">
        <f>E5/E6</f>
        <v>0.2242426086824206</v>
      </c>
      <c r="I5" s="42">
        <f>BS!E42+BS!E36</f>
        <v>35016</v>
      </c>
      <c r="J5" s="273"/>
      <c r="K5" s="66">
        <f>I5/I6</f>
        <v>0.30774639222372607</v>
      </c>
      <c r="M5" s="263" t="s">
        <v>142</v>
      </c>
    </row>
    <row r="6" spans="2:13" x14ac:dyDescent="0.15">
      <c r="B6" s="268"/>
      <c r="C6" s="41" t="s">
        <v>70</v>
      </c>
      <c r="D6" s="21"/>
      <c r="E6" s="45">
        <f>BS!D32</f>
        <v>131438</v>
      </c>
      <c r="F6" s="274"/>
      <c r="G6" s="67"/>
      <c r="I6" s="45">
        <f>BS!E32</f>
        <v>113782</v>
      </c>
      <c r="J6" s="274"/>
      <c r="K6" s="67"/>
      <c r="M6" s="264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7" t="s">
        <v>68</v>
      </c>
      <c r="C9" s="40" t="s">
        <v>69</v>
      </c>
      <c r="D9" s="21"/>
      <c r="E9" s="59">
        <f>E5</f>
        <v>29474</v>
      </c>
      <c r="F9" s="273"/>
      <c r="G9" s="66">
        <f>E9/E10</f>
        <v>0.18316843989261211</v>
      </c>
      <c r="I9" s="59">
        <f>I5</f>
        <v>35016</v>
      </c>
      <c r="J9" s="273"/>
      <c r="K9" s="66">
        <f>I9/I10</f>
        <v>0.23532574362558636</v>
      </c>
      <c r="M9" s="263" t="s">
        <v>143</v>
      </c>
    </row>
    <row r="10" spans="2:13" x14ac:dyDescent="0.15">
      <c r="B10" s="268"/>
      <c r="C10" s="41" t="s">
        <v>71</v>
      </c>
      <c r="D10" s="21"/>
      <c r="E10" s="65">
        <f>BS!D32+BS!D36+BS!D42</f>
        <v>160912</v>
      </c>
      <c r="F10" s="274"/>
      <c r="G10" s="67"/>
      <c r="I10" s="65">
        <f>I6+I5</f>
        <v>148798</v>
      </c>
      <c r="J10" s="274"/>
      <c r="K10" s="67"/>
      <c r="M10" s="264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7" t="s">
        <v>73</v>
      </c>
      <c r="C13" s="40" t="s">
        <v>69</v>
      </c>
      <c r="D13" s="21"/>
      <c r="E13" s="59">
        <f>E9</f>
        <v>29474</v>
      </c>
      <c r="F13" s="273"/>
      <c r="G13" s="66">
        <f>E13/E14</f>
        <v>0.16262324749918616</v>
      </c>
      <c r="I13" s="59">
        <f>I9</f>
        <v>35016</v>
      </c>
      <c r="J13" s="273"/>
      <c r="K13" s="66">
        <f>I13/I14</f>
        <v>0.20809413442681404</v>
      </c>
      <c r="M13" s="263" t="s">
        <v>144</v>
      </c>
    </row>
    <row r="14" spans="2:13" x14ac:dyDescent="0.15">
      <c r="B14" s="268"/>
      <c r="C14" s="41" t="s">
        <v>72</v>
      </c>
      <c r="D14" s="21"/>
      <c r="E14" s="65">
        <f>BS!D23</f>
        <v>181241</v>
      </c>
      <c r="F14" s="274"/>
      <c r="G14" s="67"/>
      <c r="I14" s="65">
        <f>BS!E23</f>
        <v>168270</v>
      </c>
      <c r="J14" s="274"/>
      <c r="K14" s="67"/>
      <c r="M14" s="264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7" t="s">
        <v>278</v>
      </c>
      <c r="C17" s="40" t="s">
        <v>75</v>
      </c>
      <c r="D17" s="21"/>
      <c r="E17" s="59">
        <f>'P&amp;L'!D24</f>
        <v>22551.000000000004</v>
      </c>
      <c r="F17" s="273"/>
      <c r="G17" s="71">
        <f>E17/E18</f>
        <v>8.2755963302752313</v>
      </c>
      <c r="I17" s="59">
        <f>'P&amp;L'!E24</f>
        <v>18597.000000000004</v>
      </c>
      <c r="J17" s="273"/>
      <c r="K17" s="71">
        <f>I17/I18</f>
        <v>6.2155748663101615</v>
      </c>
      <c r="M17" s="263" t="s">
        <v>145</v>
      </c>
    </row>
    <row r="18" spans="2:13" x14ac:dyDescent="0.15">
      <c r="B18" s="268"/>
      <c r="C18" s="41" t="s">
        <v>76</v>
      </c>
      <c r="D18" s="21"/>
      <c r="E18" s="65">
        <f>'P&amp;L'!D26 * -1</f>
        <v>2725</v>
      </c>
      <c r="F18" s="274"/>
      <c r="G18" s="67"/>
      <c r="I18" s="65">
        <f>'P&amp;L'!E26*-1</f>
        <v>2992</v>
      </c>
      <c r="J18" s="274"/>
      <c r="K18" s="67"/>
      <c r="M18" s="264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7" t="s">
        <v>279</v>
      </c>
      <c r="C21" s="40" t="s">
        <v>77</v>
      </c>
      <c r="D21" s="21"/>
      <c r="E21" s="59">
        <f>'P&amp;L'!D24+'P&amp;L'!D55*-1</f>
        <v>24832.000000000004</v>
      </c>
      <c r="F21" s="273"/>
      <c r="G21" s="71">
        <f>E21/E22</f>
        <v>4.9604474630443471</v>
      </c>
      <c r="I21" s="59">
        <f>'P&amp;L'!E24+'P&amp;L'!E55*-1</f>
        <v>21072.000000000004</v>
      </c>
      <c r="J21" s="273"/>
      <c r="K21" s="71">
        <f>I21/I22</f>
        <v>3.8543991220047564</v>
      </c>
      <c r="M21" s="263" t="s">
        <v>146</v>
      </c>
    </row>
    <row r="22" spans="2:13" x14ac:dyDescent="0.15">
      <c r="B22" s="268"/>
      <c r="C22" s="41" t="s">
        <v>78</v>
      </c>
      <c r="D22" s="21"/>
      <c r="E22" s="65">
        <f>'P&amp;L'!D26*-1 +'P&amp;L'!D55*-1</f>
        <v>5006</v>
      </c>
      <c r="F22" s="274"/>
      <c r="G22" s="67"/>
      <c r="I22" s="65">
        <f>-1*('P&amp;L'!E55+'P&amp;L'!E26)</f>
        <v>5467</v>
      </c>
      <c r="J22" s="274"/>
      <c r="K22" s="67"/>
      <c r="M22" s="264"/>
    </row>
    <row r="24" spans="2:13" x14ac:dyDescent="0.15">
      <c r="K24" s="19"/>
    </row>
    <row r="25" spans="2:13" ht="12" customHeight="1" x14ac:dyDescent="0.15">
      <c r="B25" s="267" t="s">
        <v>280</v>
      </c>
      <c r="C25" s="40" t="s">
        <v>54</v>
      </c>
      <c r="D25" s="21"/>
      <c r="E25" s="59">
        <f>AVERAGE(BS!D23:E23)</f>
        <v>174755.5</v>
      </c>
      <c r="F25" s="273"/>
      <c r="G25" s="71">
        <f>E25/E26</f>
        <v>1.4252956528831253</v>
      </c>
      <c r="I25" s="59">
        <f>AVERAGE(BS!E23:F23)</f>
        <v>164911.5</v>
      </c>
      <c r="J25" s="273"/>
      <c r="K25" s="71">
        <f>I25/I26</f>
        <v>1.5516336179521557</v>
      </c>
      <c r="M25" s="263" t="s">
        <v>172</v>
      </c>
    </row>
    <row r="26" spans="2:13" x14ac:dyDescent="0.15">
      <c r="B26" s="268"/>
      <c r="C26" s="41" t="s">
        <v>74</v>
      </c>
      <c r="D26" s="21"/>
      <c r="E26" s="65">
        <f>AVERAGE(BS!D32:E32)</f>
        <v>122610</v>
      </c>
      <c r="F26" s="274"/>
      <c r="G26" s="67"/>
      <c r="I26" s="65">
        <f>AVERAGE(BS!E32:F32)</f>
        <v>106282.5</v>
      </c>
      <c r="J26" s="274"/>
      <c r="K26" s="67"/>
      <c r="M26" s="264"/>
    </row>
  </sheetData>
  <mergeCells count="27">
    <mergeCell ref="M5:M6"/>
    <mergeCell ref="M9:M10"/>
    <mergeCell ref="M13:M14"/>
    <mergeCell ref="M17:M18"/>
    <mergeCell ref="M21:M22"/>
    <mergeCell ref="M25:M26"/>
    <mergeCell ref="J21:J22"/>
    <mergeCell ref="J17:J18"/>
    <mergeCell ref="J25:J26"/>
    <mergeCell ref="J13:J14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69" t="s">
        <v>103</v>
      </c>
      <c r="C3" s="270"/>
      <c r="D3" s="68"/>
      <c r="E3" s="269" t="s">
        <v>270</v>
      </c>
      <c r="F3" s="271"/>
      <c r="G3" s="270"/>
      <c r="H3" s="68"/>
      <c r="I3" s="269" t="s">
        <v>271</v>
      </c>
      <c r="J3" s="271"/>
      <c r="K3" s="270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7" t="s">
        <v>173</v>
      </c>
      <c r="C5" s="40" t="s">
        <v>81</v>
      </c>
      <c r="D5" s="21"/>
      <c r="E5" s="59">
        <f>'P&amp;L'!D17</f>
        <v>48553.16</v>
      </c>
      <c r="F5" s="273"/>
      <c r="G5" s="72">
        <f>E5/E6</f>
        <v>0.24417591591440571</v>
      </c>
      <c r="I5" s="59">
        <f>'P&amp;L'!E17</f>
        <v>41525.160000000003</v>
      </c>
      <c r="J5" s="273"/>
      <c r="K5" s="72">
        <f>I5/I6</f>
        <v>0.23051476343530902</v>
      </c>
      <c r="M5" s="263" t="s">
        <v>150</v>
      </c>
    </row>
    <row r="6" spans="2:13" x14ac:dyDescent="0.15">
      <c r="B6" s="268"/>
      <c r="C6" s="41" t="s">
        <v>53</v>
      </c>
      <c r="D6" s="21"/>
      <c r="E6" s="65">
        <f>'P&amp;L'!D13</f>
        <v>198845</v>
      </c>
      <c r="F6" s="274"/>
      <c r="G6" s="46"/>
      <c r="I6" s="65">
        <f>'P&amp;L'!E13</f>
        <v>180141</v>
      </c>
      <c r="J6" s="274"/>
      <c r="K6" s="46"/>
      <c r="M6" s="264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7" t="s">
        <v>174</v>
      </c>
      <c r="C9" s="40" t="s">
        <v>151</v>
      </c>
      <c r="D9" s="21"/>
      <c r="E9" s="42">
        <f>'P&amp;L'!D24</f>
        <v>22551.000000000004</v>
      </c>
      <c r="F9" s="273"/>
      <c r="G9" s="72">
        <f>E9/E10</f>
        <v>0.11340994241746086</v>
      </c>
      <c r="I9" s="42">
        <f>'P&amp;L'!E24</f>
        <v>18597.000000000004</v>
      </c>
      <c r="J9" s="273"/>
      <c r="K9" s="72">
        <f>I9/I10</f>
        <v>0.1032357986244109</v>
      </c>
      <c r="M9" s="263" t="s">
        <v>152</v>
      </c>
    </row>
    <row r="10" spans="2:13" x14ac:dyDescent="0.15">
      <c r="B10" s="268"/>
      <c r="C10" s="41" t="s">
        <v>53</v>
      </c>
      <c r="D10" s="21"/>
      <c r="E10" s="45">
        <f>E6</f>
        <v>198845</v>
      </c>
      <c r="F10" s="274"/>
      <c r="G10" s="46"/>
      <c r="I10" s="45">
        <f>I6</f>
        <v>180141</v>
      </c>
      <c r="J10" s="274"/>
      <c r="K10" s="46"/>
      <c r="M10" s="264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7" t="s">
        <v>175</v>
      </c>
      <c r="C13" s="40" t="s">
        <v>82</v>
      </c>
      <c r="D13" s="21"/>
      <c r="E13" s="59">
        <f>'P&amp;L'!D28</f>
        <v>19826.000000000004</v>
      </c>
      <c r="F13" s="273"/>
      <c r="G13" s="72">
        <f>E13/E14</f>
        <v>9.9705801000779526E-2</v>
      </c>
      <c r="I13" s="59">
        <f>'P&amp;L'!E28</f>
        <v>15605.000000000004</v>
      </c>
      <c r="J13" s="273"/>
      <c r="K13" s="72">
        <f>I13/I14</f>
        <v>8.6626586951332588E-2</v>
      </c>
      <c r="M13" s="263" t="s">
        <v>153</v>
      </c>
    </row>
    <row r="14" spans="2:13" x14ac:dyDescent="0.15">
      <c r="B14" s="268"/>
      <c r="C14" s="41" t="s">
        <v>53</v>
      </c>
      <c r="D14" s="21"/>
      <c r="E14" s="45">
        <f>E10</f>
        <v>198845</v>
      </c>
      <c r="F14" s="274"/>
      <c r="G14" s="46"/>
      <c r="I14" s="45">
        <f>I10</f>
        <v>180141</v>
      </c>
      <c r="J14" s="274"/>
      <c r="K14" s="46"/>
      <c r="M14" s="264"/>
    </row>
    <row r="17" spans="2:13" x14ac:dyDescent="0.15">
      <c r="B17" s="267" t="s">
        <v>176</v>
      </c>
      <c r="C17" s="40" t="s">
        <v>80</v>
      </c>
      <c r="D17" s="21"/>
      <c r="E17" s="42">
        <f>'P&amp;L'!D32</f>
        <v>17698.000000000004</v>
      </c>
      <c r="F17" s="273"/>
      <c r="G17" s="72">
        <f>E17/E18</f>
        <v>8.9003998088963782E-2</v>
      </c>
      <c r="I17" s="42">
        <f>'P&amp;L'!E32</f>
        <v>13962.000000000004</v>
      </c>
      <c r="J17" s="273"/>
      <c r="K17" s="72">
        <f>I17/I18</f>
        <v>7.7505953669625482E-2</v>
      </c>
      <c r="M17" s="263" t="s">
        <v>149</v>
      </c>
    </row>
    <row r="18" spans="2:13" x14ac:dyDescent="0.15">
      <c r="B18" s="268"/>
      <c r="C18" s="41" t="s">
        <v>53</v>
      </c>
      <c r="D18" s="21"/>
      <c r="E18" s="45">
        <f>E14</f>
        <v>198845</v>
      </c>
      <c r="F18" s="274"/>
      <c r="G18" s="46"/>
      <c r="I18" s="45">
        <f>I14</f>
        <v>180141</v>
      </c>
      <c r="J18" s="274"/>
      <c r="K18" s="46"/>
      <c r="M18" s="264"/>
    </row>
    <row r="21" spans="2:13" ht="12" customHeight="1" x14ac:dyDescent="0.15">
      <c r="B21" s="267" t="s">
        <v>147</v>
      </c>
      <c r="C21" s="40" t="s">
        <v>80</v>
      </c>
      <c r="D21" s="21"/>
      <c r="E21" s="59">
        <f>E17</f>
        <v>17698.000000000004</v>
      </c>
      <c r="F21" s="273"/>
      <c r="G21" s="72">
        <f>E21/E22</f>
        <v>0.10127292131005892</v>
      </c>
      <c r="I21" s="59">
        <f>I17</f>
        <v>13962.000000000004</v>
      </c>
      <c r="J21" s="273"/>
      <c r="K21" s="72">
        <f>I21/I22</f>
        <v>8.4663592290410331E-2</v>
      </c>
      <c r="M21" s="263" t="s">
        <v>154</v>
      </c>
    </row>
    <row r="22" spans="2:13" x14ac:dyDescent="0.15">
      <c r="B22" s="268"/>
      <c r="C22" s="41" t="s">
        <v>54</v>
      </c>
      <c r="D22" s="21"/>
      <c r="E22" s="45">
        <f>AVERAGE(BS!D23:E23)</f>
        <v>174755.5</v>
      </c>
      <c r="F22" s="274"/>
      <c r="G22" s="46"/>
      <c r="I22" s="45">
        <f>AVERAGE(BS!E23:F23)</f>
        <v>164911.5</v>
      </c>
      <c r="J22" s="274"/>
      <c r="K22" s="46"/>
      <c r="M22" s="264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7" t="s">
        <v>148</v>
      </c>
      <c r="C25" s="40" t="s">
        <v>177</v>
      </c>
      <c r="D25" s="21"/>
      <c r="E25" s="59">
        <f>E9</f>
        <v>22551.000000000004</v>
      </c>
      <c r="F25" s="273"/>
      <c r="G25" s="72">
        <f>E25/E26</f>
        <v>0.1290431488565453</v>
      </c>
      <c r="I25" s="59">
        <f>I9</f>
        <v>18597.000000000004</v>
      </c>
      <c r="J25" s="273"/>
      <c r="K25" s="72">
        <f>I25/I26</f>
        <v>0.11276957640916493</v>
      </c>
      <c r="M25" s="263" t="s">
        <v>155</v>
      </c>
    </row>
    <row r="26" spans="2:13" x14ac:dyDescent="0.15">
      <c r="B26" s="268"/>
      <c r="C26" s="41" t="s">
        <v>54</v>
      </c>
      <c r="D26" s="21"/>
      <c r="E26" s="45">
        <f>E22</f>
        <v>174755.5</v>
      </c>
      <c r="F26" s="274"/>
      <c r="G26" s="46"/>
      <c r="I26" s="45">
        <f>I22</f>
        <v>164911.5</v>
      </c>
      <c r="J26" s="274"/>
      <c r="K26" s="46"/>
      <c r="M26" s="264"/>
    </row>
    <row r="29" spans="2:13" ht="12" customHeight="1" x14ac:dyDescent="0.15">
      <c r="B29" s="267" t="s">
        <v>156</v>
      </c>
      <c r="C29" s="40" t="s">
        <v>177</v>
      </c>
      <c r="D29" s="21"/>
      <c r="E29" s="59">
        <f>E9</f>
        <v>22551.000000000004</v>
      </c>
      <c r="F29" s="273"/>
      <c r="G29" s="72">
        <f>E29/E30</f>
        <v>0.14562655387297796</v>
      </c>
      <c r="I29" s="59">
        <f>I9</f>
        <v>18597.000000000004</v>
      </c>
      <c r="J29" s="273"/>
      <c r="K29" s="72">
        <f>I29/I30</f>
        <v>0.1276687765161397</v>
      </c>
      <c r="M29" s="263" t="s">
        <v>157</v>
      </c>
    </row>
    <row r="30" spans="2:13" x14ac:dyDescent="0.15">
      <c r="B30" s="268"/>
      <c r="C30" s="41" t="s">
        <v>84</v>
      </c>
      <c r="D30" s="21"/>
      <c r="E30" s="45">
        <f>AVERAGE(BS!D32:E32)+AVERAGE(BS!D36:E36)+AVERAGE(BS!D42:E42)</f>
        <v>154855</v>
      </c>
      <c r="F30" s="274"/>
      <c r="G30" s="46"/>
      <c r="I30" s="45">
        <f>AVERAGE(BS!E32:F32) + AVERAGE(BS!E36:F36) + AVERAGE(BS!E42:F42)</f>
        <v>145666</v>
      </c>
      <c r="J30" s="274"/>
      <c r="K30" s="46"/>
      <c r="M30" s="264"/>
    </row>
    <row r="33" spans="2:13" ht="12" customHeight="1" x14ac:dyDescent="0.15">
      <c r="B33" s="275" t="s">
        <v>166</v>
      </c>
      <c r="C33" s="245" t="s">
        <v>80</v>
      </c>
      <c r="D33" s="73"/>
      <c r="E33" s="246">
        <f>E17</f>
        <v>17698.000000000004</v>
      </c>
      <c r="F33" s="277"/>
      <c r="G33" s="247">
        <f>E33/E34</f>
        <v>0.14434385449800183</v>
      </c>
      <c r="H33" s="73"/>
      <c r="I33" s="246">
        <f>I17</f>
        <v>13962.000000000004</v>
      </c>
      <c r="J33" s="277"/>
      <c r="K33" s="247">
        <f>I33/I34</f>
        <v>0.13136687601439562</v>
      </c>
      <c r="M33" s="263" t="s">
        <v>158</v>
      </c>
    </row>
    <row r="34" spans="2:13" x14ac:dyDescent="0.15">
      <c r="B34" s="276"/>
      <c r="C34" s="248" t="s">
        <v>94</v>
      </c>
      <c r="D34" s="73"/>
      <c r="E34" s="249">
        <f>AVERAGE(BS!D32:E32)</f>
        <v>122610</v>
      </c>
      <c r="F34" s="278"/>
      <c r="G34" s="199"/>
      <c r="H34" s="73"/>
      <c r="I34" s="249">
        <f>AVERAGE(BS!E32:F32)</f>
        <v>106282.5</v>
      </c>
      <c r="J34" s="278"/>
      <c r="K34" s="199"/>
      <c r="M34" s="264"/>
    </row>
    <row r="35" spans="2:13" x14ac:dyDescent="0.15">
      <c r="D35" s="73"/>
    </row>
  </sheetData>
  <mergeCells count="35"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M25:M26"/>
    <mergeCell ref="M29:M30"/>
    <mergeCell ref="M33:M34"/>
    <mergeCell ref="M17:M18"/>
    <mergeCell ref="M5:M6"/>
    <mergeCell ref="M9:M10"/>
    <mergeCell ref="M13:M14"/>
    <mergeCell ref="M21:M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tabSelected="1" zoomScale="130" zoomScaleNormal="130" workbookViewId="0">
      <selection activeCell="G31" sqref="G31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69" t="s">
        <v>103</v>
      </c>
      <c r="C3" s="270"/>
      <c r="D3" s="68"/>
      <c r="E3" s="269" t="s">
        <v>270</v>
      </c>
      <c r="F3" s="271"/>
      <c r="G3" s="270"/>
      <c r="H3" s="68"/>
      <c r="I3" s="269" t="s">
        <v>271</v>
      </c>
      <c r="J3" s="271"/>
      <c r="K3" s="270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7" t="s">
        <v>179</v>
      </c>
      <c r="C5" s="40" t="s">
        <v>182</v>
      </c>
      <c r="D5" s="21"/>
      <c r="E5" s="59">
        <f>'P&amp;L'!D32</f>
        <v>17698.000000000004</v>
      </c>
      <c r="F5" s="273"/>
      <c r="G5" s="71">
        <f>E5/E6</f>
        <v>1.7698000000000003</v>
      </c>
      <c r="I5" s="59">
        <f>'P&amp;L'!E32</f>
        <v>13962.000000000004</v>
      </c>
      <c r="J5" s="273"/>
      <c r="K5" s="113">
        <f>I5/I6</f>
        <v>1.3962000000000003</v>
      </c>
      <c r="M5" s="263" t="s">
        <v>180</v>
      </c>
    </row>
    <row r="6" spans="2:15" x14ac:dyDescent="0.15">
      <c r="B6" s="268"/>
      <c r="C6" s="41" t="s">
        <v>181</v>
      </c>
      <c r="D6" s="21"/>
      <c r="E6" s="65">
        <f>'P&amp;L'!D50</f>
        <v>10000</v>
      </c>
      <c r="F6" s="274"/>
      <c r="G6" s="46"/>
      <c r="I6" s="65">
        <f>E6</f>
        <v>10000</v>
      </c>
      <c r="J6" s="274"/>
      <c r="K6" s="46"/>
      <c r="M6" s="264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7" t="s">
        <v>185</v>
      </c>
      <c r="C9" s="40" t="s">
        <v>186</v>
      </c>
      <c r="E9" s="116">
        <f>'P&amp;L'!D53</f>
        <v>2.95</v>
      </c>
      <c r="F9" s="273"/>
      <c r="G9" s="71">
        <f>E9/E10</f>
        <v>1.6668550118657475</v>
      </c>
      <c r="I9" s="196">
        <f>'P&amp;L'!E53</f>
        <v>2.15</v>
      </c>
      <c r="J9" s="277"/>
      <c r="K9" s="197">
        <f>I9/I10</f>
        <v>1.5398939979945563</v>
      </c>
      <c r="L9" s="73"/>
      <c r="M9" s="279" t="s">
        <v>189</v>
      </c>
      <c r="N9" s="73"/>
      <c r="O9" s="73"/>
    </row>
    <row r="10" spans="2:15" x14ac:dyDescent="0.15">
      <c r="B10" s="268"/>
      <c r="C10" s="41" t="s">
        <v>187</v>
      </c>
      <c r="E10" s="117">
        <f>G5</f>
        <v>1.7698000000000003</v>
      </c>
      <c r="F10" s="274"/>
      <c r="G10" s="46"/>
      <c r="I10" s="198">
        <f>K5</f>
        <v>1.3962000000000003</v>
      </c>
      <c r="J10" s="278"/>
      <c r="K10" s="199"/>
      <c r="L10" s="73"/>
      <c r="M10" s="280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7" t="s">
        <v>192</v>
      </c>
      <c r="C13" s="40" t="s">
        <v>190</v>
      </c>
      <c r="E13" s="119">
        <f>'P&amp;L'!D54</f>
        <v>29500</v>
      </c>
      <c r="F13" s="273"/>
      <c r="G13" s="71">
        <f>E13/E14</f>
        <v>1.6668550118657472</v>
      </c>
      <c r="I13" s="119">
        <f>'P&amp;L'!E54</f>
        <v>21500</v>
      </c>
      <c r="J13" s="273"/>
      <c r="K13" s="113">
        <f>I13/I14</f>
        <v>1.5398939979945563</v>
      </c>
      <c r="M13" s="263" t="s">
        <v>191</v>
      </c>
    </row>
    <row r="14" spans="2:15" x14ac:dyDescent="0.15">
      <c r="B14" s="268"/>
      <c r="C14" s="41" t="s">
        <v>95</v>
      </c>
      <c r="E14" s="120">
        <f>'P&amp;L'!D32</f>
        <v>17698.000000000004</v>
      </c>
      <c r="F14" s="274"/>
      <c r="G14" s="46"/>
      <c r="I14" s="120">
        <f>'P&amp;L'!E32</f>
        <v>13962.000000000004</v>
      </c>
      <c r="J14" s="274"/>
      <c r="K14" s="46"/>
      <c r="M14" s="264"/>
    </row>
    <row r="17" spans="2:15" x14ac:dyDescent="0.15">
      <c r="B17" s="267" t="s">
        <v>193</v>
      </c>
      <c r="C17" s="40" t="s">
        <v>198</v>
      </c>
      <c r="E17" s="116">
        <f>'P&amp;L'!D51</f>
        <v>0.88</v>
      </c>
      <c r="F17" s="273"/>
      <c r="G17" s="250">
        <f>E17/E18</f>
        <v>0.29830508474576267</v>
      </c>
      <c r="I17" s="116">
        <f>'P&amp;L'!E51</f>
        <v>0.65</v>
      </c>
      <c r="J17" s="273"/>
      <c r="K17" s="250">
        <f>I17/I18</f>
        <v>0.30232558139534887</v>
      </c>
      <c r="M17" s="263" t="s">
        <v>195</v>
      </c>
    </row>
    <row r="18" spans="2:15" x14ac:dyDescent="0.15">
      <c r="B18" s="268"/>
      <c r="C18" s="41" t="s">
        <v>194</v>
      </c>
      <c r="E18" s="117">
        <f>'P&amp;L'!D53</f>
        <v>2.95</v>
      </c>
      <c r="F18" s="274"/>
      <c r="G18" s="46"/>
      <c r="I18" s="117">
        <f>I9</f>
        <v>2.15</v>
      </c>
      <c r="J18" s="274"/>
      <c r="K18" s="46"/>
      <c r="M18" s="264"/>
    </row>
    <row r="21" spans="2:15" x14ac:dyDescent="0.15">
      <c r="B21" s="267" t="s">
        <v>197</v>
      </c>
      <c r="C21" s="40" t="s">
        <v>199</v>
      </c>
      <c r="E21" s="42">
        <f>'P&amp;L'!D32-'P&amp;L'!D52</f>
        <v>8898.0000000000036</v>
      </c>
      <c r="F21" s="273"/>
      <c r="G21" s="66">
        <f>E21/E22</f>
        <v>0.50276867442648898</v>
      </c>
      <c r="I21" s="42">
        <f>'P&amp;L'!E32-'P&amp;L'!E52</f>
        <v>7462.0000000000036</v>
      </c>
      <c r="J21" s="273"/>
      <c r="K21" s="66">
        <f>I21/I22</f>
        <v>0.53445065176908768</v>
      </c>
      <c r="M21" s="263" t="s">
        <v>202</v>
      </c>
      <c r="O21" s="130"/>
    </row>
    <row r="22" spans="2:15" x14ac:dyDescent="0.15">
      <c r="B22" s="268"/>
      <c r="C22" s="41" t="s">
        <v>200</v>
      </c>
      <c r="E22" s="45">
        <f>E14</f>
        <v>17698.000000000004</v>
      </c>
      <c r="F22" s="274"/>
      <c r="G22" s="46"/>
      <c r="I22" s="45">
        <f>I14</f>
        <v>13962.000000000004</v>
      </c>
      <c r="J22" s="274"/>
      <c r="K22" s="46"/>
      <c r="M22" s="264"/>
    </row>
    <row r="25" spans="2:15" x14ac:dyDescent="0.15">
      <c r="B25" s="267" t="s">
        <v>203</v>
      </c>
      <c r="C25" s="40" t="s">
        <v>204</v>
      </c>
      <c r="E25" s="42">
        <f>'P&amp;L'!D52</f>
        <v>8800</v>
      </c>
      <c r="F25" s="273"/>
      <c r="G25" s="66">
        <f>E25/E26</f>
        <v>0.49723132557351102</v>
      </c>
      <c r="I25" s="42">
        <f>'P&amp;L'!E52</f>
        <v>6500</v>
      </c>
      <c r="J25" s="273"/>
      <c r="K25" s="66">
        <f>I25/I26</f>
        <v>0.46554934823091237</v>
      </c>
      <c r="M25" s="263" t="s">
        <v>205</v>
      </c>
    </row>
    <row r="26" spans="2:15" x14ac:dyDescent="0.15">
      <c r="B26" s="268"/>
      <c r="C26" s="41" t="s">
        <v>200</v>
      </c>
      <c r="E26" s="45">
        <f>E22</f>
        <v>17698.000000000004</v>
      </c>
      <c r="F26" s="274"/>
      <c r="G26" s="46"/>
      <c r="I26" s="45">
        <f>I22</f>
        <v>13962.000000000004</v>
      </c>
      <c r="J26" s="274"/>
      <c r="K26" s="46"/>
      <c r="M26" s="264"/>
    </row>
    <row r="29" spans="2:15" x14ac:dyDescent="0.15">
      <c r="B29" s="281" t="s">
        <v>206</v>
      </c>
      <c r="C29" s="282"/>
      <c r="E29" s="133"/>
      <c r="F29" s="258"/>
      <c r="G29" s="300">
        <f>G21*'Profitability ratios'!G33</f>
        <v>7.2571568387570382E-2</v>
      </c>
      <c r="H29" s="138"/>
      <c r="I29" s="259"/>
      <c r="J29" s="258"/>
      <c r="K29" s="300">
        <f>K21*'Profitability ratios'!K33</f>
        <v>7.0209112506762664E-2</v>
      </c>
      <c r="M29" s="134" t="s">
        <v>207</v>
      </c>
    </row>
  </sheetData>
  <mergeCells count="28"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3:C3"/>
    <mergeCell ref="E3:G3"/>
    <mergeCell ref="I3:K3"/>
    <mergeCell ref="B5:B6"/>
    <mergeCell ref="F5:F6"/>
    <mergeCell ref="J5:J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O16" sqref="O16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6" t="s">
        <v>141</v>
      </c>
      <c r="E2" s="287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8" t="s">
        <v>256</v>
      </c>
      <c r="C5" s="164" t="s">
        <v>252</v>
      </c>
      <c r="D5" s="185">
        <f>'Activity ratios'!K9</f>
        <v>51.396350636445895</v>
      </c>
      <c r="E5" s="185">
        <f>'Activity ratios'!G9</f>
        <v>46.682994292036511</v>
      </c>
      <c r="F5" s="176">
        <v>26.7</v>
      </c>
      <c r="G5" s="168">
        <v>31.2</v>
      </c>
    </row>
    <row r="6" spans="2:7" x14ac:dyDescent="0.15">
      <c r="B6" s="289"/>
      <c r="C6" s="165" t="s">
        <v>253</v>
      </c>
      <c r="D6" s="186">
        <f>'Activity ratios'!K17</f>
        <v>62.129804212851859</v>
      </c>
      <c r="E6" s="186">
        <f>'Activity ratios'!G17</f>
        <v>59.655118335100561</v>
      </c>
      <c r="F6" s="177">
        <f>365/6.93</f>
        <v>52.669552669552672</v>
      </c>
      <c r="G6" s="169">
        <v>50.3</v>
      </c>
    </row>
    <row r="7" spans="2:7" x14ac:dyDescent="0.15">
      <c r="B7" s="289"/>
      <c r="C7" s="165" t="s">
        <v>254</v>
      </c>
      <c r="D7" s="186">
        <f>'Activity ratios'!K25</f>
        <v>47.151995396059242</v>
      </c>
      <c r="E7" s="186">
        <f>'Activity ratios'!G25</f>
        <v>44.20646447426526</v>
      </c>
      <c r="F7" s="177">
        <v>48</v>
      </c>
      <c r="G7" s="169">
        <v>44.1</v>
      </c>
    </row>
    <row r="8" spans="2:7" x14ac:dyDescent="0.15">
      <c r="B8" s="289"/>
      <c r="C8" s="165" t="s">
        <v>255</v>
      </c>
      <c r="D8" s="186">
        <f>'Activity ratios'!K41</f>
        <v>66.374159453238519</v>
      </c>
      <c r="E8" s="186">
        <f>'Activity ratios'!G41</f>
        <v>62.131648152871804</v>
      </c>
      <c r="F8" s="177">
        <f>F5+F6-F7</f>
        <v>31.369552669552675</v>
      </c>
      <c r="G8" s="169">
        <f>G5+G6-G7</f>
        <v>37.4</v>
      </c>
    </row>
    <row r="9" spans="2:7" x14ac:dyDescent="0.15">
      <c r="B9" s="290"/>
      <c r="C9" s="166" t="s">
        <v>88</v>
      </c>
      <c r="D9" s="200">
        <f>'Activity ratios'!K37</f>
        <v>1.0923495329312995</v>
      </c>
      <c r="E9" s="200">
        <f>'Activity ratios'!G37</f>
        <v>1.1378468774945567</v>
      </c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3" t="s">
        <v>258</v>
      </c>
      <c r="C11" s="80" t="s">
        <v>87</v>
      </c>
      <c r="D11" s="185">
        <f>'Liquidity ratios'!K5</f>
        <v>1.8897459727385377</v>
      </c>
      <c r="E11" s="185">
        <f>'Liquidity ratios'!G5</f>
        <v>2.250872960446956</v>
      </c>
      <c r="F11" s="179">
        <v>0.75</v>
      </c>
      <c r="G11" s="171">
        <v>1.4</v>
      </c>
    </row>
    <row r="12" spans="2:7" x14ac:dyDescent="0.15">
      <c r="B12" s="284"/>
      <c r="C12" s="35" t="s">
        <v>257</v>
      </c>
      <c r="D12" s="186">
        <f>'Liquidity ratios'!K9</f>
        <v>1.1537484510532838</v>
      </c>
      <c r="E12" s="186">
        <f>'Liquidity ratios'!G9</f>
        <v>1.4455590121262143</v>
      </c>
      <c r="F12" s="177">
        <v>0.6</v>
      </c>
      <c r="G12" s="172">
        <v>1</v>
      </c>
    </row>
    <row r="13" spans="2:7" x14ac:dyDescent="0.15">
      <c r="B13" s="285"/>
      <c r="C13" s="58" t="s">
        <v>266</v>
      </c>
      <c r="D13" s="187">
        <f>'Liquidity ratios'!K13</f>
        <v>0.39114002478314747</v>
      </c>
      <c r="E13" s="187">
        <f>'Liquidity ratios'!G13</f>
        <v>0.61237381753539455</v>
      </c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3" t="s">
        <v>268</v>
      </c>
      <c r="C15" s="80" t="s">
        <v>90</v>
      </c>
      <c r="D15" s="188">
        <f>'Solvency ratios'!K5</f>
        <v>0.30774639222372607</v>
      </c>
      <c r="E15" s="188">
        <f>'Solvency ratios'!G5</f>
        <v>0.2242426086824206</v>
      </c>
      <c r="F15" s="180">
        <v>0.63249999999999995</v>
      </c>
      <c r="G15" s="174">
        <v>0.55000000000000004</v>
      </c>
    </row>
    <row r="16" spans="2:7" x14ac:dyDescent="0.15">
      <c r="B16" s="284"/>
      <c r="C16" s="35" t="s">
        <v>265</v>
      </c>
      <c r="D16" s="189">
        <f>'Solvency ratios'!K9</f>
        <v>0.23532574362558636</v>
      </c>
      <c r="E16" s="189">
        <f>'Solvency ratios'!G9</f>
        <v>0.18316843989261211</v>
      </c>
      <c r="F16" s="181">
        <v>0.3</v>
      </c>
      <c r="G16" s="175">
        <v>0.28000000000000003</v>
      </c>
    </row>
    <row r="17" spans="2:9" x14ac:dyDescent="0.15">
      <c r="B17" s="285"/>
      <c r="C17" s="58" t="s">
        <v>267</v>
      </c>
      <c r="D17" s="187">
        <f>'Solvency ratios'!K25</f>
        <v>1.5516336179521557</v>
      </c>
      <c r="E17" s="187">
        <f>'Solvency ratios'!G25</f>
        <v>1.4252956528831253</v>
      </c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3" t="s">
        <v>259</v>
      </c>
      <c r="C19" s="80" t="s">
        <v>224</v>
      </c>
      <c r="D19" s="190">
        <f>'Profitability ratios'!K5</f>
        <v>0.23051476343530902</v>
      </c>
      <c r="E19" s="190">
        <f>'Profitability ratios'!G5</f>
        <v>0.24417591591440571</v>
      </c>
      <c r="F19" s="182">
        <v>0.49769999999999998</v>
      </c>
      <c r="G19" s="193">
        <v>0.29499999999999998</v>
      </c>
    </row>
    <row r="20" spans="2:9" x14ac:dyDescent="0.15">
      <c r="B20" s="284"/>
      <c r="C20" s="35" t="s">
        <v>269</v>
      </c>
      <c r="D20" s="191">
        <f>'Profitability ratios'!K9</f>
        <v>0.1032357986244109</v>
      </c>
      <c r="E20" s="191">
        <f>'Profitability ratios'!G9</f>
        <v>0.11340994241746086</v>
      </c>
      <c r="F20" s="183">
        <v>9.7799999999999998E-2</v>
      </c>
      <c r="G20" s="194">
        <v>0.13200000000000001</v>
      </c>
    </row>
    <row r="21" spans="2:9" x14ac:dyDescent="0.15">
      <c r="B21" s="284"/>
      <c r="C21" s="35" t="s">
        <v>89</v>
      </c>
      <c r="D21" s="191">
        <f>'Profitability ratios'!K17</f>
        <v>7.7505953669625482E-2</v>
      </c>
      <c r="E21" s="191">
        <f>'Profitability ratios'!G17</f>
        <v>8.9003998088963782E-2</v>
      </c>
      <c r="F21" s="183">
        <v>6.54E-2</v>
      </c>
      <c r="G21" s="194">
        <v>9.8000000000000004E-2</v>
      </c>
    </row>
    <row r="22" spans="2:9" x14ac:dyDescent="0.15">
      <c r="B22" s="285"/>
      <c r="C22" s="58" t="s">
        <v>167</v>
      </c>
      <c r="D22" s="192">
        <f>'Profitability ratios'!K33</f>
        <v>0.13136687601439562</v>
      </c>
      <c r="E22" s="192">
        <f>'Profitability ratios'!G33</f>
        <v>0.14434385449800183</v>
      </c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3" t="s">
        <v>261</v>
      </c>
      <c r="C24" s="80" t="s">
        <v>262</v>
      </c>
      <c r="D24" s="185">
        <f>'Valuation ratios'!K5</f>
        <v>1.3962000000000003</v>
      </c>
      <c r="E24" s="185">
        <f>'Valuation ratios'!G5</f>
        <v>1.7698000000000003</v>
      </c>
      <c r="F24" s="179">
        <v>1.84</v>
      </c>
      <c r="G24" s="167">
        <v>1.83</v>
      </c>
    </row>
    <row r="25" spans="2:9" x14ac:dyDescent="0.15">
      <c r="B25" s="284"/>
      <c r="C25" s="35" t="s">
        <v>263</v>
      </c>
      <c r="D25" s="186">
        <f>'Valuation ratios'!K9</f>
        <v>1.5398939979945563</v>
      </c>
      <c r="E25" s="186">
        <f>'Valuation ratios'!G9</f>
        <v>1.6668550118657475</v>
      </c>
      <c r="F25" s="177">
        <v>62.15</v>
      </c>
      <c r="G25" s="172">
        <v>25.5</v>
      </c>
    </row>
    <row r="26" spans="2:9" x14ac:dyDescent="0.15">
      <c r="B26" s="285"/>
      <c r="C26" s="58" t="s">
        <v>186</v>
      </c>
      <c r="D26" s="200">
        <f>'P&amp;L'!E53</f>
        <v>2.15</v>
      </c>
      <c r="E26" s="200">
        <f>'P&amp;L'!D53</f>
        <v>2.95</v>
      </c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topLeftCell="A27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2021-04-14T10:56:07Z</dcterms:modified>
</cp:coreProperties>
</file>