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23A098AB-8E9D-7643-98A6-3CA161E7CC28}" xr6:coauthVersionLast="45" xr6:coauthVersionMax="45" xr10:uidLastSave="{00000000-0000-0000-0000-000000000000}"/>
  <bookViews>
    <workbookView xWindow="0" yWindow="460" windowWidth="28800" windowHeight="16240" tabRatio="950" firstSheet="2" activeTab="11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3" l="1"/>
  <c r="E10" i="13"/>
  <c r="F9" i="13"/>
  <c r="G9" i="13" s="1"/>
  <c r="D9" i="13"/>
  <c r="E9" i="13" s="1"/>
  <c r="F8" i="13"/>
  <c r="G8" i="13" s="1"/>
  <c r="D8" i="13"/>
  <c r="F7" i="13"/>
  <c r="G7" i="13" s="1"/>
  <c r="D7" i="13"/>
  <c r="E7" i="13" s="1"/>
  <c r="F6" i="13"/>
  <c r="G6" i="13" s="1"/>
  <c r="F5" i="13"/>
  <c r="G5" i="13" s="1"/>
  <c r="D6" i="13"/>
  <c r="E6" i="13"/>
  <c r="E8" i="13"/>
  <c r="D5" i="13"/>
  <c r="E5" i="13" s="1"/>
  <c r="K29" i="9" l="1"/>
  <c r="G29" i="9"/>
  <c r="K25" i="9" l="1"/>
  <c r="I26" i="9"/>
  <c r="I25" i="9"/>
  <c r="G25" i="9"/>
  <c r="E26" i="9"/>
  <c r="E25" i="9"/>
  <c r="K21" i="9"/>
  <c r="I22" i="9"/>
  <c r="I21" i="9"/>
  <c r="G21" i="9"/>
  <c r="E22" i="9"/>
  <c r="E21" i="9"/>
  <c r="M27" i="11"/>
  <c r="M26" i="11"/>
  <c r="K27" i="11"/>
  <c r="K26" i="11"/>
  <c r="I27" i="11"/>
  <c r="I26" i="11"/>
  <c r="G27" i="11"/>
  <c r="G26" i="11"/>
  <c r="E27" i="11"/>
  <c r="E26" i="11"/>
  <c r="C18" i="11"/>
  <c r="C17" i="11"/>
  <c r="I18" i="11"/>
  <c r="I17" i="11"/>
  <c r="G18" i="11"/>
  <c r="G17" i="11"/>
  <c r="E18" i="11"/>
  <c r="E17" i="11"/>
  <c r="C9" i="11"/>
  <c r="C8" i="11"/>
  <c r="G9" i="11"/>
  <c r="E9" i="11"/>
  <c r="G8" i="11"/>
  <c r="E8" i="11"/>
  <c r="E26" i="10" l="1"/>
  <c r="D26" i="10"/>
  <c r="E25" i="10"/>
  <c r="D25" i="10"/>
  <c r="E24" i="10"/>
  <c r="D24" i="10"/>
  <c r="E22" i="10"/>
  <c r="D22" i="10"/>
  <c r="E21" i="10"/>
  <c r="D21" i="10"/>
  <c r="E20" i="10"/>
  <c r="D20" i="10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K48" i="4"/>
  <c r="G48" i="4"/>
  <c r="I49" i="4"/>
  <c r="E49" i="4"/>
  <c r="I48" i="4"/>
  <c r="E48" i="4"/>
  <c r="K37" i="4"/>
  <c r="G37" i="4"/>
  <c r="I38" i="4"/>
  <c r="E38" i="4"/>
  <c r="I37" i="4"/>
  <c r="E37" i="4"/>
  <c r="K33" i="4"/>
  <c r="I34" i="4"/>
  <c r="G33" i="4"/>
  <c r="E34" i="4"/>
  <c r="I33" i="4"/>
  <c r="E33" i="4"/>
  <c r="K29" i="4"/>
  <c r="I30" i="4"/>
  <c r="G29" i="4"/>
  <c r="E30" i="4"/>
  <c r="I29" i="4"/>
  <c r="E29" i="4"/>
  <c r="E9" i="10"/>
  <c r="D9" i="10"/>
  <c r="E8" i="10"/>
  <c r="D8" i="10"/>
  <c r="E7" i="10"/>
  <c r="D7" i="10"/>
  <c r="E6" i="10"/>
  <c r="D6" i="10"/>
  <c r="I5" i="4"/>
  <c r="E5" i="4"/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I45" i="4" l="1"/>
  <c r="I43" i="4"/>
  <c r="E45" i="4"/>
  <c r="E43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I10" i="4"/>
  <c r="K9" i="4" s="1"/>
  <c r="I9" i="4"/>
  <c r="E9" i="4"/>
  <c r="K5" i="4"/>
  <c r="I6" i="4"/>
  <c r="G5" i="4"/>
  <c r="E10" i="4" s="1"/>
  <c r="G9" i="4" s="1"/>
  <c r="E6" i="4"/>
  <c r="D5" i="10" l="1"/>
  <c r="I41" i="4"/>
  <c r="K41" i="4" s="1"/>
  <c r="E5" i="10"/>
  <c r="E41" i="4"/>
  <c r="G41" i="4" s="1"/>
  <c r="I9" i="14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<sst xmlns="http://schemas.openxmlformats.org/spreadsheetml/2006/main" count="463" uniqueCount="281">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</sst>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2" xfId="2" applyNumberFormat="1" applyFont="1" applyBorder="1"/>
    <xf numFmtId="9" fontId="4" fillId="0" borderId="3" xfId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6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topLeftCell="A2" zoomScale="130" zoomScaleNormal="130" workbookViewId="0">
      <selection activeCell="M28" sqref="M28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>
        <f>E8*G8</f>
        <v>0.1443438544980018</v>
      </c>
      <c r="D8" s="80"/>
      <c r="E8" s="100">
        <f>'Profitability ratios'!G17</f>
        <v>8.9003998088963782E-2</v>
      </c>
      <c r="F8" s="80" t="s">
        <v>97</v>
      </c>
      <c r="G8" s="96">
        <f>'Activity ratios'!G48</f>
        <v>1.6217682081396296</v>
      </c>
    </row>
    <row r="9" spans="2:11" x14ac:dyDescent="0.15">
      <c r="B9" s="105" t="s">
        <v>163</v>
      </c>
      <c r="C9" s="87">
        <f>E9*G9</f>
        <v>0.13136687601439562</v>
      </c>
      <c r="D9" s="58"/>
      <c r="E9" s="101">
        <f>'Profitability ratios'!K17</f>
        <v>7.7505953669625482E-2</v>
      </c>
      <c r="F9" s="58" t="s">
        <v>97</v>
      </c>
      <c r="G9" s="97">
        <f>'Activity ratios'!K48</f>
        <v>1.6949262578505397</v>
      </c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>
        <f>E17*G17*I17</f>
        <v>0.1443438544980018</v>
      </c>
      <c r="D17" s="80"/>
      <c r="E17" s="100">
        <f>E8</f>
        <v>8.9003998088963782E-2</v>
      </c>
      <c r="F17" s="80" t="s">
        <v>97</v>
      </c>
      <c r="G17" s="98">
        <f>'Activity ratios'!G37</f>
        <v>1.1378468774945567</v>
      </c>
      <c r="H17" s="80" t="s">
        <v>97</v>
      </c>
      <c r="I17" s="96">
        <f>'Solvency ratios'!G25</f>
        <v>1.4252956528831253</v>
      </c>
      <c r="J17" s="95"/>
    </row>
    <row r="18" spans="2:13" x14ac:dyDescent="0.15">
      <c r="B18" s="105" t="s">
        <v>163</v>
      </c>
      <c r="C18" s="87">
        <f>E18*G18*I18</f>
        <v>0.13136687601439564</v>
      </c>
      <c r="D18" s="58"/>
      <c r="E18" s="101">
        <f>E9</f>
        <v>7.7505953669625482E-2</v>
      </c>
      <c r="F18" s="58" t="s">
        <v>97</v>
      </c>
      <c r="G18" s="99">
        <f>'Activity ratios'!K37</f>
        <v>1.0923495329312995</v>
      </c>
      <c r="H18" s="58" t="s">
        <v>97</v>
      </c>
      <c r="I18" s="97">
        <f>'Solvency ratios'!K25</f>
        <v>1.5516336179521557</v>
      </c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>
        <f>'P&amp;L'!D32/'P&amp;L'!D28</f>
        <v>0.89266619590436802</v>
      </c>
      <c r="F26" s="80"/>
      <c r="G26" s="102">
        <f>'P&amp;L'!D28/'P&amp;L'!D24</f>
        <v>0.87916278657265756</v>
      </c>
      <c r="H26" s="80"/>
      <c r="I26" s="100">
        <f>'Profitability ratios'!G9</f>
        <v>0.11340994241746086</v>
      </c>
      <c r="J26" s="80"/>
      <c r="K26" s="98">
        <f>G17</f>
        <v>1.1378468774945567</v>
      </c>
      <c r="L26" s="80"/>
      <c r="M26" s="96">
        <f>I17</f>
        <v>1.4252956528831253</v>
      </c>
    </row>
    <row r="27" spans="2:13" x14ac:dyDescent="0.15">
      <c r="B27" s="105" t="s">
        <v>163</v>
      </c>
      <c r="C27" s="103"/>
      <c r="D27" s="58"/>
      <c r="E27" s="104">
        <f>'P&amp;L'!E32/'P&amp;L'!E28</f>
        <v>0.89471323293816085</v>
      </c>
      <c r="F27" s="58"/>
      <c r="G27" s="104">
        <f>'P&amp;L'!E28/'P&amp;L'!E24</f>
        <v>0.83911383556487606</v>
      </c>
      <c r="H27" s="58"/>
      <c r="I27" s="101">
        <f>'Profitability ratios'!K9</f>
        <v>0.1032357986244109</v>
      </c>
      <c r="J27" s="58"/>
      <c r="K27" s="99">
        <f>G18</f>
        <v>1.0923495329312995</v>
      </c>
      <c r="L27" s="58"/>
      <c r="M27" s="97">
        <f>I18</f>
        <v>1.5516336179521557</v>
      </c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zoomScale="130" zoomScaleNormal="130" workbookViewId="0">
      <selection activeCell="G11" sqref="G11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>
        <f>(BS!D22-BS!D45)/BS!D23</f>
        <v>0.21741769246472928</v>
      </c>
      <c r="E5" s="238">
        <f>C5*D5</f>
        <v>0.26090123095767515</v>
      </c>
      <c r="F5" s="237">
        <f>(BS!E22-BS!E45)/BS!E23</f>
        <v>0.17068401973019551</v>
      </c>
      <c r="G5" s="238">
        <f>C5*F5</f>
        <v>0.20482082367623461</v>
      </c>
      <c r="H5" s="232" t="s">
        <v>215</v>
      </c>
    </row>
    <row r="6" spans="2:14" x14ac:dyDescent="0.15">
      <c r="B6" s="233" t="s">
        <v>210</v>
      </c>
      <c r="C6" s="204">
        <v>1.4</v>
      </c>
      <c r="D6" s="226">
        <f>BS!D29/BS!D23</f>
        <v>0.33734640616637518</v>
      </c>
      <c r="E6" s="205">
        <f t="shared" ref="E6:E9" si="0">C6*D6</f>
        <v>0.47228496863292524</v>
      </c>
      <c r="F6" s="226">
        <f>BS!E29/BS!E23</f>
        <v>0.30013668508943958</v>
      </c>
      <c r="G6" s="205">
        <f t="shared" ref="G6:G9" si="1">C6*F6</f>
        <v>0.42019135912521538</v>
      </c>
      <c r="H6" s="206" t="s">
        <v>216</v>
      </c>
    </row>
    <row r="7" spans="2:14" x14ac:dyDescent="0.15">
      <c r="B7" s="233" t="s">
        <v>211</v>
      </c>
      <c r="C7" s="204">
        <v>3.3</v>
      </c>
      <c r="D7" s="226">
        <f>'P&amp;L'!D24/BS!D23</f>
        <v>0.12442548871392237</v>
      </c>
      <c r="E7" s="205">
        <f t="shared" si="0"/>
        <v>0.41060411275594377</v>
      </c>
      <c r="F7" s="226">
        <f>'P&amp;L'!E24/BS!E23</f>
        <v>0.1105188090568729</v>
      </c>
      <c r="G7" s="205">
        <f t="shared" si="1"/>
        <v>0.36471206988768057</v>
      </c>
      <c r="H7" s="206" t="s">
        <v>217</v>
      </c>
    </row>
    <row r="8" spans="2:14" x14ac:dyDescent="0.15">
      <c r="B8" s="233" t="s">
        <v>208</v>
      </c>
      <c r="C8" s="239">
        <v>1</v>
      </c>
      <c r="D8" s="226">
        <f>'P&amp;L'!D13/BS!D23</f>
        <v>1.0971303402651718</v>
      </c>
      <c r="E8" s="205">
        <f t="shared" si="0"/>
        <v>1.0971303402651718</v>
      </c>
      <c r="F8" s="226">
        <f>'P&amp;L'!E13/BS!E23</f>
        <v>1.0705473346407559</v>
      </c>
      <c r="G8" s="205">
        <f t="shared" si="1"/>
        <v>1.0705473346407559</v>
      </c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>
        <f>'P&amp;L'!D54/BS!D46</f>
        <v>0.59233379515290241</v>
      </c>
      <c r="E9" s="208">
        <f t="shared" si="0"/>
        <v>0.35540027709174143</v>
      </c>
      <c r="F9" s="227">
        <f>'P&amp;L'!E54/BS!E46</f>
        <v>0.39458229334899425</v>
      </c>
      <c r="G9" s="208">
        <f t="shared" si="1"/>
        <v>0.23674937600939655</v>
      </c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>
        <f>SUM(E5:E9)</f>
        <v>2.5963209297034573</v>
      </c>
      <c r="F10" s="210"/>
      <c r="G10" s="230">
        <f>SUM(G5:G9)</f>
        <v>2.2970209633392829</v>
      </c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tabSelected="1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D24" sqref="D24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A9" zoomScaleNormal="100" workbookViewId="0">
      <selection activeCell="K49" sqref="K49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6" t="s">
        <v>41</v>
      </c>
      <c r="C5" s="40" t="s">
        <v>40</v>
      </c>
      <c r="E5" s="42">
        <f>'P&amp;L'!D13</f>
        <v>198845</v>
      </c>
      <c r="F5" s="264"/>
      <c r="G5" s="53">
        <f>E5/E6</f>
        <v>7.8186929852154767</v>
      </c>
      <c r="I5" s="42">
        <f>'P&amp;L'!E13</f>
        <v>180141</v>
      </c>
      <c r="J5" s="264"/>
      <c r="K5" s="53">
        <f>I5/I6</f>
        <v>7.1016715288181027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46.682994292036511</v>
      </c>
      <c r="I9" s="59">
        <f>C9</f>
        <v>365</v>
      </c>
      <c r="J9" s="264"/>
      <c r="K9" s="53">
        <f>I9/I10</f>
        <v>51.396350636445895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7.8186929852154767</v>
      </c>
      <c r="F10" s="265"/>
      <c r="G10" s="46"/>
      <c r="I10" s="60">
        <f>K5</f>
        <v>7.1016715288181027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>
        <f>E5</f>
        <v>198845</v>
      </c>
      <c r="F29" s="264"/>
      <c r="G29" s="44">
        <f>E29/E30</f>
        <v>1.8745787159025025</v>
      </c>
      <c r="I29" s="42">
        <f>I5</f>
        <v>180141</v>
      </c>
      <c r="J29" s="264"/>
      <c r="K29" s="44">
        <f>I29/I30</f>
        <v>1.72279045747321</v>
      </c>
      <c r="M29" s="268" t="s">
        <v>243</v>
      </c>
    </row>
    <row r="30" spans="2:14" x14ac:dyDescent="0.15">
      <c r="B30" s="267"/>
      <c r="C30" s="41" t="s">
        <v>55</v>
      </c>
      <c r="E30" s="45">
        <f>AVERAGE(BS!D11:E11)</f>
        <v>106074.5</v>
      </c>
      <c r="F30" s="265"/>
      <c r="G30" s="46"/>
      <c r="I30" s="45">
        <f>AVERAGE(BS!E11:F11)</f>
        <v>104563.5</v>
      </c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>
        <f>E29</f>
        <v>198845</v>
      </c>
      <c r="F33" s="264"/>
      <c r="G33" s="44">
        <f>E33/E34</f>
        <v>5.8375656871091799</v>
      </c>
      <c r="I33" s="42">
        <f>I29</f>
        <v>180141</v>
      </c>
      <c r="J33" s="264"/>
      <c r="K33" s="44">
        <f>I33/I34</f>
        <v>7.4487677803506447</v>
      </c>
      <c r="M33" s="268" t="s">
        <v>244</v>
      </c>
    </row>
    <row r="34" spans="2:13" x14ac:dyDescent="0.15">
      <c r="B34" s="267"/>
      <c r="C34" s="41" t="s">
        <v>56</v>
      </c>
      <c r="E34" s="45">
        <f>AVERAGE(BS!D22:E22) - AVERAGE(BS!D45:E45)</f>
        <v>34063</v>
      </c>
      <c r="F34" s="265"/>
      <c r="G34" s="46"/>
      <c r="I34" s="45">
        <f>AVERAGE(BS!E22:F22)-AVERAGE(BS!E45:F45)</f>
        <v>24184</v>
      </c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>
        <f>E33</f>
        <v>198845</v>
      </c>
      <c r="F37" s="264"/>
      <c r="G37" s="44">
        <f>E37/E38</f>
        <v>1.1378468774945567</v>
      </c>
      <c r="I37" s="42">
        <f>I33</f>
        <v>180141</v>
      </c>
      <c r="J37" s="264"/>
      <c r="K37" s="44">
        <f>I37/I38</f>
        <v>1.0923495329312995</v>
      </c>
      <c r="M37" s="268" t="s">
        <v>245</v>
      </c>
    </row>
    <row r="38" spans="2:13" x14ac:dyDescent="0.15">
      <c r="B38" s="267"/>
      <c r="C38" s="41" t="s">
        <v>54</v>
      </c>
      <c r="E38" s="45">
        <f>AVERAGE(BS!D23:E23)</f>
        <v>174755.5</v>
      </c>
      <c r="F38" s="265"/>
      <c r="G38" s="46"/>
      <c r="I38" s="45">
        <f>AVERAGE(BS!E23:F23)</f>
        <v>164911.5</v>
      </c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46.682994292036511</v>
      </c>
      <c r="F41" s="43"/>
      <c r="G41" s="53">
        <f>E41+E43-E45</f>
        <v>62.131648152871804</v>
      </c>
      <c r="I41" s="52">
        <f>K9</f>
        <v>51.396350636445895</v>
      </c>
      <c r="J41" s="43"/>
      <c r="K41" s="53">
        <f>I41+I43-I45</f>
        <v>66.374159453238519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>
        <f>E37</f>
        <v>198845</v>
      </c>
      <c r="F48" s="264"/>
      <c r="G48" s="44">
        <f>E48/E49</f>
        <v>1.6217682081396296</v>
      </c>
      <c r="I48" s="42">
        <f>I37</f>
        <v>180141</v>
      </c>
      <c r="J48" s="264"/>
      <c r="K48" s="44">
        <f>I48/I49</f>
        <v>1.6949262578505397</v>
      </c>
      <c r="M48" s="268" t="s">
        <v>246</v>
      </c>
    </row>
    <row r="49" spans="2:13" x14ac:dyDescent="0.15">
      <c r="B49" s="267"/>
      <c r="C49" s="41" t="s">
        <v>74</v>
      </c>
      <c r="E49" s="45">
        <f>AVERAGE(BS!D32:E32)</f>
        <v>122610</v>
      </c>
      <c r="F49" s="265"/>
      <c r="G49" s="46"/>
      <c r="I49" s="45">
        <f>AVERAGE(BS!E32:F32)</f>
        <v>106282.5</v>
      </c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>
        <f>BS!D22</f>
        <v>70907</v>
      </c>
      <c r="F5" s="264"/>
      <c r="G5" s="53">
        <f>E5/E6</f>
        <v>2.250872960446956</v>
      </c>
      <c r="I5" s="42">
        <f>BS!E22</f>
        <v>61001</v>
      </c>
      <c r="J5" s="264"/>
      <c r="K5" s="53">
        <f>I5/I6</f>
        <v>1.8897459727385377</v>
      </c>
      <c r="M5" s="274" t="s">
        <v>131</v>
      </c>
    </row>
    <row r="6" spans="2:13" x14ac:dyDescent="0.15">
      <c r="B6" s="267"/>
      <c r="C6" s="41" t="s">
        <v>59</v>
      </c>
      <c r="D6" s="21"/>
      <c r="E6" s="45">
        <f>BS!D45</f>
        <v>31502</v>
      </c>
      <c r="F6" s="265"/>
      <c r="G6" s="46"/>
      <c r="I6" s="45">
        <f>BS!E45</f>
        <v>32280</v>
      </c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>
        <f>SUM(BS!D19:D21)</f>
        <v>45538</v>
      </c>
      <c r="F9" s="264"/>
      <c r="G9" s="53">
        <f>E9/E10</f>
        <v>1.4455590121262143</v>
      </c>
      <c r="I9" s="42">
        <f>SUM(BS!E19:E21)</f>
        <v>37243</v>
      </c>
      <c r="J9" s="264"/>
      <c r="K9" s="53">
        <f>I9/I10</f>
        <v>1.1537484510532838</v>
      </c>
      <c r="M9" s="274" t="s">
        <v>132</v>
      </c>
    </row>
    <row r="10" spans="2:13" x14ac:dyDescent="0.15">
      <c r="B10" s="267"/>
      <c r="C10" s="41" t="s">
        <v>59</v>
      </c>
      <c r="D10" s="21"/>
      <c r="E10" s="65">
        <f>BS!D45</f>
        <v>31502</v>
      </c>
      <c r="F10" s="265"/>
      <c r="G10" s="46"/>
      <c r="I10" s="45">
        <f>BS!E45</f>
        <v>32280</v>
      </c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>
        <f>SUM((BS!D20:D21))</f>
        <v>19291</v>
      </c>
      <c r="F13" s="264"/>
      <c r="G13" s="53">
        <f>E13/E14</f>
        <v>0.61237381753539455</v>
      </c>
      <c r="I13" s="42">
        <f>SUM(BS!E20:E21)</f>
        <v>12626</v>
      </c>
      <c r="J13" s="264"/>
      <c r="K13" s="53">
        <f>I13/I14</f>
        <v>0.39114002478314747</v>
      </c>
      <c r="M13" s="274" t="s">
        <v>133</v>
      </c>
    </row>
    <row r="14" spans="2:13" x14ac:dyDescent="0.15">
      <c r="B14" s="267"/>
      <c r="C14" s="41" t="s">
        <v>59</v>
      </c>
      <c r="D14" s="21"/>
      <c r="E14" s="65">
        <f>BS!D45</f>
        <v>31502</v>
      </c>
      <c r="F14" s="265"/>
      <c r="G14" s="46"/>
      <c r="I14" s="45">
        <f>BS!E45</f>
        <v>32280</v>
      </c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>
        <f>SUM(BS!D19:D21)</f>
        <v>45538</v>
      </c>
      <c r="F17" s="264"/>
      <c r="G17" s="53">
        <f>E17/E18</f>
        <v>94.282108296368563</v>
      </c>
      <c r="I17" s="42">
        <f>SUM(BS!E19:E21)</f>
        <v>37243</v>
      </c>
      <c r="J17" s="264"/>
      <c r="K17" s="53">
        <f>I17/I18</f>
        <v>84.148560144604573</v>
      </c>
      <c r="M17" s="274" t="s">
        <v>171</v>
      </c>
    </row>
    <row r="18" spans="2:13" x14ac:dyDescent="0.15">
      <c r="B18" s="267"/>
      <c r="C18" s="41" t="s">
        <v>65</v>
      </c>
      <c r="D18" s="21"/>
      <c r="E18" s="65">
        <f>('P&amp;L'!D15+'P&amp;L'!D19+'P&amp;L'!D20+'P&amp;L'!D21)/-365</f>
        <v>482.99726027397259</v>
      </c>
      <c r="F18" s="265"/>
      <c r="G18" s="46"/>
      <c r="I18" s="45">
        <f>('P&amp;L'!E15+'P&amp;L'!E19+'P&amp;L'!E20+'P&amp;L'!E21)/-365</f>
        <v>442.58630136986301</v>
      </c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>
        <f>BS!D42+BS!D36</f>
        <v>29474</v>
      </c>
      <c r="F5" s="264"/>
      <c r="G5" s="66">
        <f>E5/E6</f>
        <v>0.2242426086824206</v>
      </c>
      <c r="I5" s="42">
        <f>BS!E42+BS!E36</f>
        <v>35016</v>
      </c>
      <c r="J5" s="264"/>
      <c r="K5" s="66">
        <f>I5/I6</f>
        <v>0.30774639222372607</v>
      </c>
      <c r="M5" s="268" t="s">
        <v>142</v>
      </c>
    </row>
    <row r="6" spans="2:13" x14ac:dyDescent="0.15">
      <c r="B6" s="267"/>
      <c r="C6" s="41" t="s">
        <v>70</v>
      </c>
      <c r="D6" s="21"/>
      <c r="E6" s="45">
        <f>BS!D32</f>
        <v>131438</v>
      </c>
      <c r="F6" s="265"/>
      <c r="G6" s="67"/>
      <c r="I6" s="45">
        <f>BS!E32</f>
        <v>113782</v>
      </c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>
        <f>E5</f>
        <v>29474</v>
      </c>
      <c r="F9" s="264"/>
      <c r="G9" s="66">
        <f>E9/E10</f>
        <v>0.18316843989261211</v>
      </c>
      <c r="I9" s="59">
        <f>I5</f>
        <v>35016</v>
      </c>
      <c r="J9" s="264"/>
      <c r="K9" s="66">
        <f>I9/I10</f>
        <v>0.23532574362558636</v>
      </c>
      <c r="M9" s="268" t="s">
        <v>143</v>
      </c>
    </row>
    <row r="10" spans="2:13" x14ac:dyDescent="0.15">
      <c r="B10" s="267"/>
      <c r="C10" s="41" t="s">
        <v>71</v>
      </c>
      <c r="D10" s="21"/>
      <c r="E10" s="65">
        <f>BS!D32+BS!D36+BS!D42</f>
        <v>160912</v>
      </c>
      <c r="F10" s="265"/>
      <c r="G10" s="67"/>
      <c r="I10" s="65">
        <f>I6+I5</f>
        <v>148798</v>
      </c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>
        <f>E9</f>
        <v>29474</v>
      </c>
      <c r="F13" s="264"/>
      <c r="G13" s="66">
        <f>E13/E14</f>
        <v>0.16262324749918616</v>
      </c>
      <c r="I13" s="59">
        <f>I9</f>
        <v>35016</v>
      </c>
      <c r="J13" s="264"/>
      <c r="K13" s="66">
        <f>I13/I14</f>
        <v>0.20809413442681404</v>
      </c>
      <c r="M13" s="268" t="s">
        <v>144</v>
      </c>
    </row>
    <row r="14" spans="2:13" x14ac:dyDescent="0.15">
      <c r="B14" s="267"/>
      <c r="C14" s="41" t="s">
        <v>72</v>
      </c>
      <c r="D14" s="21"/>
      <c r="E14" s="65">
        <f>BS!D23</f>
        <v>181241</v>
      </c>
      <c r="F14" s="265"/>
      <c r="G14" s="67"/>
      <c r="I14" s="65">
        <f>BS!E23</f>
        <v>168270</v>
      </c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>
        <f>'P&amp;L'!D24</f>
        <v>22551.000000000004</v>
      </c>
      <c r="F17" s="264"/>
      <c r="G17" s="71">
        <f>E17/E18</f>
        <v>8.2755963302752313</v>
      </c>
      <c r="I17" s="59">
        <f>'P&amp;L'!E24</f>
        <v>18597.000000000004</v>
      </c>
      <c r="J17" s="264"/>
      <c r="K17" s="71">
        <f>I17/I18</f>
        <v>6.2155748663101615</v>
      </c>
      <c r="M17" s="268" t="s">
        <v>145</v>
      </c>
    </row>
    <row r="18" spans="2:13" x14ac:dyDescent="0.15">
      <c r="B18" s="267"/>
      <c r="C18" s="41" t="s">
        <v>76</v>
      </c>
      <c r="D18" s="21"/>
      <c r="E18" s="65">
        <f>'P&amp;L'!D26 * -1</f>
        <v>2725</v>
      </c>
      <c r="F18" s="265"/>
      <c r="G18" s="67"/>
      <c r="I18" s="65">
        <f>'P&amp;L'!E26*-1</f>
        <v>2992</v>
      </c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>
        <f>'P&amp;L'!D24+'P&amp;L'!D55*-1</f>
        <v>24832.000000000004</v>
      </c>
      <c r="F21" s="264"/>
      <c r="G21" s="71">
        <f>E21/E22</f>
        <v>4.9604474630443471</v>
      </c>
      <c r="I21" s="59">
        <f>'P&amp;L'!E24+'P&amp;L'!E55*-1</f>
        <v>21072.000000000004</v>
      </c>
      <c r="J21" s="264"/>
      <c r="K21" s="71">
        <f>I21/I22</f>
        <v>3.8543991220047564</v>
      </c>
      <c r="M21" s="268" t="s">
        <v>146</v>
      </c>
    </row>
    <row r="22" spans="2:13" x14ac:dyDescent="0.15">
      <c r="B22" s="267"/>
      <c r="C22" s="41" t="s">
        <v>78</v>
      </c>
      <c r="D22" s="21"/>
      <c r="E22" s="65">
        <f>'P&amp;L'!D26*-1 +'P&amp;L'!D55*-1</f>
        <v>5006</v>
      </c>
      <c r="F22" s="265"/>
      <c r="G22" s="67"/>
      <c r="I22" s="65">
        <f>-1*('P&amp;L'!E55+'P&amp;L'!E26)</f>
        <v>5467</v>
      </c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>
        <f>AVERAGE(BS!D23:E23)</f>
        <v>174755.5</v>
      </c>
      <c r="F25" s="264"/>
      <c r="G25" s="71">
        <f>E25/E26</f>
        <v>1.4252956528831253</v>
      </c>
      <c r="I25" s="59">
        <f>AVERAGE(BS!E23:F23)</f>
        <v>164911.5</v>
      </c>
      <c r="J25" s="264"/>
      <c r="K25" s="71">
        <f>I25/I26</f>
        <v>1.5516336179521557</v>
      </c>
      <c r="M25" s="268" t="s">
        <v>172</v>
      </c>
    </row>
    <row r="26" spans="2:13" x14ac:dyDescent="0.15">
      <c r="B26" s="267"/>
      <c r="C26" s="41" t="s">
        <v>74</v>
      </c>
      <c r="D26" s="21"/>
      <c r="E26" s="65">
        <f>AVERAGE(BS!D32:E32)</f>
        <v>122610</v>
      </c>
      <c r="F26" s="265"/>
      <c r="G26" s="67"/>
      <c r="I26" s="65">
        <f>AVERAGE(BS!E32:F32)</f>
        <v>106282.5</v>
      </c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>
        <f>'P&amp;L'!D17</f>
        <v>48553.16</v>
      </c>
      <c r="F5" s="264"/>
      <c r="G5" s="72">
        <f>E5/E6</f>
        <v>0.24417591591440571</v>
      </c>
      <c r="I5" s="59">
        <f>'P&amp;L'!E17</f>
        <v>41525.160000000003</v>
      </c>
      <c r="J5" s="264"/>
      <c r="K5" s="72">
        <f>I5/I6</f>
        <v>0.23051476343530902</v>
      </c>
      <c r="M5" s="268" t="s">
        <v>150</v>
      </c>
    </row>
    <row r="6" spans="2:13" x14ac:dyDescent="0.15">
      <c r="B6" s="267"/>
      <c r="C6" s="41" t="s">
        <v>53</v>
      </c>
      <c r="D6" s="21"/>
      <c r="E6" s="65">
        <f>'P&amp;L'!D13</f>
        <v>198845</v>
      </c>
      <c r="F6" s="265"/>
      <c r="G6" s="46"/>
      <c r="I6" s="65">
        <f>'P&amp;L'!E13</f>
        <v>180141</v>
      </c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>
        <f>'P&amp;L'!D24</f>
        <v>22551.000000000004</v>
      </c>
      <c r="F9" s="264"/>
      <c r="G9" s="72">
        <f>E9/E10</f>
        <v>0.11340994241746086</v>
      </c>
      <c r="I9" s="42">
        <f>'P&amp;L'!E24</f>
        <v>18597.000000000004</v>
      </c>
      <c r="J9" s="264"/>
      <c r="K9" s="72">
        <f>I9/I10</f>
        <v>0.1032357986244109</v>
      </c>
      <c r="M9" s="268" t="s">
        <v>152</v>
      </c>
    </row>
    <row r="10" spans="2:13" x14ac:dyDescent="0.15">
      <c r="B10" s="267"/>
      <c r="C10" s="41" t="s">
        <v>53</v>
      </c>
      <c r="D10" s="21"/>
      <c r="E10" s="45">
        <f>E6</f>
        <v>198845</v>
      </c>
      <c r="F10" s="265"/>
      <c r="G10" s="46"/>
      <c r="I10" s="45">
        <f>I6</f>
        <v>180141</v>
      </c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>
        <f>'P&amp;L'!D28</f>
        <v>19826.000000000004</v>
      </c>
      <c r="F13" s="264"/>
      <c r="G13" s="72">
        <f>E13/E14</f>
        <v>9.9705801000779526E-2</v>
      </c>
      <c r="I13" s="59">
        <f>'P&amp;L'!E28</f>
        <v>15605.000000000004</v>
      </c>
      <c r="J13" s="264"/>
      <c r="K13" s="72">
        <f>I13/I14</f>
        <v>8.6626586951332588E-2</v>
      </c>
      <c r="M13" s="268" t="s">
        <v>153</v>
      </c>
    </row>
    <row r="14" spans="2:13" x14ac:dyDescent="0.15">
      <c r="B14" s="267"/>
      <c r="C14" s="41" t="s">
        <v>53</v>
      </c>
      <c r="D14" s="21"/>
      <c r="E14" s="45">
        <f>E10</f>
        <v>198845</v>
      </c>
      <c r="F14" s="265"/>
      <c r="G14" s="46"/>
      <c r="I14" s="45">
        <f>I10</f>
        <v>180141</v>
      </c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>
        <f>'P&amp;L'!D32</f>
        <v>17698.000000000004</v>
      </c>
      <c r="F17" s="264"/>
      <c r="G17" s="72">
        <f>E17/E18</f>
        <v>8.9003998088963782E-2</v>
      </c>
      <c r="I17" s="42">
        <f>'P&amp;L'!E32</f>
        <v>13962.000000000004</v>
      </c>
      <c r="J17" s="264"/>
      <c r="K17" s="72">
        <f>I17/I18</f>
        <v>7.7505953669625482E-2</v>
      </c>
      <c r="M17" s="268" t="s">
        <v>149</v>
      </c>
    </row>
    <row r="18" spans="2:13" x14ac:dyDescent="0.15">
      <c r="B18" s="267"/>
      <c r="C18" s="41" t="s">
        <v>53</v>
      </c>
      <c r="D18" s="21"/>
      <c r="E18" s="45">
        <f>E14</f>
        <v>198845</v>
      </c>
      <c r="F18" s="265"/>
      <c r="G18" s="46"/>
      <c r="I18" s="45">
        <f>I14</f>
        <v>180141</v>
      </c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>
        <f>E17</f>
        <v>17698.000000000004</v>
      </c>
      <c r="F21" s="264"/>
      <c r="G21" s="72">
        <f>E21/E22</f>
        <v>0.10127292131005892</v>
      </c>
      <c r="I21" s="59">
        <f>I17</f>
        <v>13962.000000000004</v>
      </c>
      <c r="J21" s="264"/>
      <c r="K21" s="72">
        <f>I21/I22</f>
        <v>8.4663592290410331E-2</v>
      </c>
      <c r="M21" s="268" t="s">
        <v>154</v>
      </c>
    </row>
    <row r="22" spans="2:13" x14ac:dyDescent="0.15">
      <c r="B22" s="267"/>
      <c r="C22" s="41" t="s">
        <v>54</v>
      </c>
      <c r="D22" s="21"/>
      <c r="E22" s="45">
        <f>AVERAGE(BS!D23:E23)</f>
        <v>174755.5</v>
      </c>
      <c r="F22" s="265"/>
      <c r="G22" s="46"/>
      <c r="I22" s="45">
        <f>AVERAGE(BS!E23:F23)</f>
        <v>164911.5</v>
      </c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>
        <f>E9</f>
        <v>22551.000000000004</v>
      </c>
      <c r="F25" s="264"/>
      <c r="G25" s="72">
        <f>E25/E26</f>
        <v>0.1290431488565453</v>
      </c>
      <c r="I25" s="59">
        <f>I9</f>
        <v>18597.000000000004</v>
      </c>
      <c r="J25" s="264"/>
      <c r="K25" s="72">
        <f>I25/I26</f>
        <v>0.11276957640916493</v>
      </c>
      <c r="M25" s="268" t="s">
        <v>155</v>
      </c>
    </row>
    <row r="26" spans="2:13" x14ac:dyDescent="0.15">
      <c r="B26" s="267"/>
      <c r="C26" s="41" t="s">
        <v>54</v>
      </c>
      <c r="D26" s="21"/>
      <c r="E26" s="45">
        <f>E22</f>
        <v>174755.5</v>
      </c>
      <c r="F26" s="265"/>
      <c r="G26" s="46"/>
      <c r="I26" s="45">
        <f>I22</f>
        <v>164911.5</v>
      </c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>
        <f>E9</f>
        <v>22551.000000000004</v>
      </c>
      <c r="F29" s="264"/>
      <c r="G29" s="72">
        <f>E29/E30</f>
        <v>0.14562655387297796</v>
      </c>
      <c r="I29" s="59">
        <f>I9</f>
        <v>18597.000000000004</v>
      </c>
      <c r="J29" s="264"/>
      <c r="K29" s="72">
        <f>I29/I30</f>
        <v>0.1276687765161397</v>
      </c>
      <c r="M29" s="268" t="s">
        <v>157</v>
      </c>
    </row>
    <row r="30" spans="2:13" x14ac:dyDescent="0.15">
      <c r="B30" s="267"/>
      <c r="C30" s="41" t="s">
        <v>84</v>
      </c>
      <c r="D30" s="21"/>
      <c r="E30" s="45">
        <f>AVERAGE(BS!D32:E32)+AVERAGE(BS!D36:E36)+AVERAGE(BS!D42:E42)</f>
        <v>154855</v>
      </c>
      <c r="F30" s="265"/>
      <c r="G30" s="46"/>
      <c r="I30" s="45">
        <f>AVERAGE(BS!E32:F32) + AVERAGE(BS!E36:F36) + AVERAGE(BS!E42:F42)</f>
        <v>145666</v>
      </c>
      <c r="J30" s="265"/>
      <c r="K30" s="46"/>
      <c r="M30" s="269"/>
    </row>
    <row r="33" spans="2:13" ht="12" customHeight="1" x14ac:dyDescent="0.15">
      <c r="B33" s="278" t="s">
        <v>166</v>
      </c>
      <c r="C33" s="245" t="s">
        <v>80</v>
      </c>
      <c r="D33" s="73"/>
      <c r="E33" s="246">
        <f>E17</f>
        <v>17698.000000000004</v>
      </c>
      <c r="F33" s="276"/>
      <c r="G33" s="247">
        <f>E33/E34</f>
        <v>0.14434385449800183</v>
      </c>
      <c r="H33" s="73"/>
      <c r="I33" s="246">
        <f>I17</f>
        <v>13962.000000000004</v>
      </c>
      <c r="J33" s="276"/>
      <c r="K33" s="247">
        <f>I33/I34</f>
        <v>0.13136687601439562</v>
      </c>
      <c r="M33" s="268" t="s">
        <v>158</v>
      </c>
    </row>
    <row r="34" spans="2:13" x14ac:dyDescent="0.15">
      <c r="B34" s="279"/>
      <c r="C34" s="248" t="s">
        <v>94</v>
      </c>
      <c r="D34" s="73"/>
      <c r="E34" s="249">
        <f>AVERAGE(BS!D32:E32)</f>
        <v>122610</v>
      </c>
      <c r="F34" s="277"/>
      <c r="G34" s="199"/>
      <c r="H34" s="73"/>
      <c r="I34" s="249">
        <f>AVERAGE(BS!E32:F32)</f>
        <v>106282.5</v>
      </c>
      <c r="J34" s="277"/>
      <c r="K34" s="199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zoomScale="130" zoomScaleNormal="130" workbookViewId="0">
      <selection activeCell="G31" sqref="G31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>
        <f>'P&amp;L'!D32</f>
        <v>17698.000000000004</v>
      </c>
      <c r="F5" s="264"/>
      <c r="G5" s="71">
        <f>E5/E6</f>
        <v>1.7698000000000003</v>
      </c>
      <c r="I5" s="59">
        <f>'P&amp;L'!E32</f>
        <v>13962.000000000004</v>
      </c>
      <c r="J5" s="264"/>
      <c r="K5" s="113">
        <f>I5/I6</f>
        <v>1.3962000000000003</v>
      </c>
      <c r="M5" s="268" t="s">
        <v>180</v>
      </c>
    </row>
    <row r="6" spans="2:15" x14ac:dyDescent="0.15">
      <c r="B6" s="267"/>
      <c r="C6" s="41" t="s">
        <v>181</v>
      </c>
      <c r="D6" s="21"/>
      <c r="E6" s="65">
        <f>'P&amp;L'!D50</f>
        <v>10000</v>
      </c>
      <c r="F6" s="265"/>
      <c r="G6" s="46"/>
      <c r="I6" s="65">
        <f>E6</f>
        <v>10000</v>
      </c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>
        <f>'P&amp;L'!D53</f>
        <v>2.95</v>
      </c>
      <c r="F9" s="264"/>
      <c r="G9" s="71">
        <f>E9/E10</f>
        <v>1.6668550118657475</v>
      </c>
      <c r="I9" s="196">
        <f>'P&amp;L'!E53</f>
        <v>2.15</v>
      </c>
      <c r="J9" s="276"/>
      <c r="K9" s="197">
        <f>I9/I10</f>
        <v>1.5398939979945563</v>
      </c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>
        <f>G5</f>
        <v>1.7698000000000003</v>
      </c>
      <c r="F10" s="265"/>
      <c r="G10" s="46"/>
      <c r="I10" s="198">
        <f>K5</f>
        <v>1.3962000000000003</v>
      </c>
      <c r="J10" s="277"/>
      <c r="K10" s="199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>
        <f>'P&amp;L'!D54</f>
        <v>29500</v>
      </c>
      <c r="F13" s="264"/>
      <c r="G13" s="71">
        <f>E13/E14</f>
        <v>1.6668550118657472</v>
      </c>
      <c r="I13" s="119">
        <f>'P&amp;L'!E54</f>
        <v>21500</v>
      </c>
      <c r="J13" s="264"/>
      <c r="K13" s="113">
        <f>I13/I14</f>
        <v>1.5398939979945563</v>
      </c>
      <c r="M13" s="268" t="s">
        <v>191</v>
      </c>
    </row>
    <row r="14" spans="2:15" x14ac:dyDescent="0.15">
      <c r="B14" s="267"/>
      <c r="C14" s="41" t="s">
        <v>95</v>
      </c>
      <c r="E14" s="120">
        <f>'P&amp;L'!D32</f>
        <v>17698.000000000004</v>
      </c>
      <c r="F14" s="265"/>
      <c r="G14" s="46"/>
      <c r="I14" s="120">
        <f>'P&amp;L'!E32</f>
        <v>13962.000000000004</v>
      </c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>
        <f>'P&amp;L'!D51</f>
        <v>0.88</v>
      </c>
      <c r="F17" s="264"/>
      <c r="G17" s="250">
        <f>E17/E18</f>
        <v>0.29830508474576267</v>
      </c>
      <c r="I17" s="116">
        <f>'P&amp;L'!E51</f>
        <v>0.65</v>
      </c>
      <c r="J17" s="264"/>
      <c r="K17" s="250">
        <f>I17/I18</f>
        <v>0.30232558139534887</v>
      </c>
      <c r="M17" s="268" t="s">
        <v>195</v>
      </c>
    </row>
    <row r="18" spans="2:15" x14ac:dyDescent="0.15">
      <c r="B18" s="267"/>
      <c r="C18" s="41" t="s">
        <v>194</v>
      </c>
      <c r="E18" s="117">
        <f>'P&amp;L'!D53</f>
        <v>2.95</v>
      </c>
      <c r="F18" s="265"/>
      <c r="G18" s="46"/>
      <c r="I18" s="117">
        <f>I9</f>
        <v>2.15</v>
      </c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>
        <f>'P&amp;L'!D32-'P&amp;L'!D52</f>
        <v>8898.0000000000036</v>
      </c>
      <c r="F21" s="264"/>
      <c r="G21" s="66">
        <f>E21/E22</f>
        <v>0.50276867442648898</v>
      </c>
      <c r="I21" s="42">
        <f>'P&amp;L'!E32-'P&amp;L'!E52</f>
        <v>7462.0000000000036</v>
      </c>
      <c r="J21" s="264"/>
      <c r="K21" s="66">
        <f>I21/I22</f>
        <v>0.53445065176908768</v>
      </c>
      <c r="M21" s="268" t="s">
        <v>202</v>
      </c>
      <c r="O21" s="130"/>
    </row>
    <row r="22" spans="2:15" x14ac:dyDescent="0.15">
      <c r="B22" s="267"/>
      <c r="C22" s="41" t="s">
        <v>200</v>
      </c>
      <c r="E22" s="45">
        <f>E14</f>
        <v>17698.000000000004</v>
      </c>
      <c r="F22" s="265"/>
      <c r="G22" s="46"/>
      <c r="I22" s="45">
        <f>I14</f>
        <v>13962.000000000004</v>
      </c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>
        <f>'P&amp;L'!D52</f>
        <v>8800</v>
      </c>
      <c r="F25" s="264"/>
      <c r="G25" s="66">
        <f>E25/E26</f>
        <v>0.49723132557351102</v>
      </c>
      <c r="I25" s="42">
        <f>'P&amp;L'!E52</f>
        <v>6500</v>
      </c>
      <c r="J25" s="264"/>
      <c r="K25" s="66">
        <f>I25/I26</f>
        <v>0.46554934823091237</v>
      </c>
      <c r="M25" s="268" t="s">
        <v>205</v>
      </c>
    </row>
    <row r="26" spans="2:15" x14ac:dyDescent="0.15">
      <c r="B26" s="267"/>
      <c r="C26" s="41" t="s">
        <v>200</v>
      </c>
      <c r="E26" s="45">
        <f>E22</f>
        <v>17698.000000000004</v>
      </c>
      <c r="F26" s="265"/>
      <c r="G26" s="46"/>
      <c r="I26" s="45">
        <f>I22</f>
        <v>13962.000000000004</v>
      </c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8"/>
      <c r="G29" s="260">
        <f>G21*'Profitability ratios'!G33</f>
        <v>7.2571568387570382E-2</v>
      </c>
      <c r="H29" s="138"/>
      <c r="I29" s="259"/>
      <c r="J29" s="258"/>
      <c r="K29" s="260">
        <f>K21*'Profitability ratios'!K33</f>
        <v>7.0209112506762664E-2</v>
      </c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O16" sqref="O16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>
        <f>'Activity ratios'!K9</f>
        <v>51.396350636445895</v>
      </c>
      <c r="E5" s="185">
        <f>'Activity ratios'!G9</f>
        <v>46.682994292036511</v>
      </c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>
        <f>'Activity ratios'!K17</f>
        <v>62.129804212851859</v>
      </c>
      <c r="E6" s="186">
        <f>'Activity ratios'!G17</f>
        <v>59.655118335100561</v>
      </c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>
        <f>'Activity ratios'!K25</f>
        <v>47.151995396059242</v>
      </c>
      <c r="E7" s="186">
        <f>'Activity ratios'!G25</f>
        <v>44.20646447426526</v>
      </c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>
        <f>'Activity ratios'!K41</f>
        <v>66.374159453238519</v>
      </c>
      <c r="E8" s="186">
        <f>'Activity ratios'!G41</f>
        <v>62.131648152871804</v>
      </c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>
        <f>'Activity ratios'!K37</f>
        <v>1.0923495329312995</v>
      </c>
      <c r="E9" s="200">
        <f>'Activity ratios'!G37</f>
        <v>1.1378468774945567</v>
      </c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>
        <f>'Liquidity ratios'!K5</f>
        <v>1.8897459727385377</v>
      </c>
      <c r="E11" s="185">
        <f>'Liquidity ratios'!G5</f>
        <v>2.250872960446956</v>
      </c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>
        <f>'Liquidity ratios'!K9</f>
        <v>1.1537484510532838</v>
      </c>
      <c r="E12" s="186">
        <f>'Liquidity ratios'!G9</f>
        <v>1.4455590121262143</v>
      </c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>
        <f>'Liquidity ratios'!K13</f>
        <v>0.39114002478314747</v>
      </c>
      <c r="E13" s="187">
        <f>'Liquidity ratios'!G13</f>
        <v>0.61237381753539455</v>
      </c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>
        <f>'Solvency ratios'!K5</f>
        <v>0.30774639222372607</v>
      </c>
      <c r="E15" s="188">
        <f>'Solvency ratios'!G5</f>
        <v>0.2242426086824206</v>
      </c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>
        <f>'Solvency ratios'!K9</f>
        <v>0.23532574362558636</v>
      </c>
      <c r="E16" s="189">
        <f>'Solvency ratios'!G9</f>
        <v>0.18316843989261211</v>
      </c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>
        <f>'Solvency ratios'!K25</f>
        <v>1.5516336179521557</v>
      </c>
      <c r="E17" s="187">
        <f>'Solvency ratios'!G25</f>
        <v>1.4252956528831253</v>
      </c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>
        <f>'Profitability ratios'!K5</f>
        <v>0.23051476343530902</v>
      </c>
      <c r="E19" s="190">
        <f>'Profitability ratios'!G5</f>
        <v>0.24417591591440571</v>
      </c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>
        <f>'Profitability ratios'!K9</f>
        <v>0.1032357986244109</v>
      </c>
      <c r="E20" s="191">
        <f>'Profitability ratios'!G9</f>
        <v>0.11340994241746086</v>
      </c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>
        <f>'Profitability ratios'!K17</f>
        <v>7.7505953669625482E-2</v>
      </c>
      <c r="E21" s="191">
        <f>'Profitability ratios'!G17</f>
        <v>8.9003998088963782E-2</v>
      </c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>
        <f>'Profitability ratios'!K33</f>
        <v>0.13136687601439562</v>
      </c>
      <c r="E22" s="192">
        <f>'Profitability ratios'!G33</f>
        <v>0.14434385449800183</v>
      </c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>
        <f>'Valuation ratios'!K5</f>
        <v>1.3962000000000003</v>
      </c>
      <c r="E24" s="185">
        <f>'Valuation ratios'!G5</f>
        <v>1.7698000000000003</v>
      </c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>
        <f>'Valuation ratios'!K9</f>
        <v>1.5398939979945563</v>
      </c>
      <c r="E25" s="186">
        <f>'Valuation ratios'!G9</f>
        <v>1.6668550118657475</v>
      </c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>
        <f>'P&amp;L'!E53</f>
        <v>2.15</v>
      </c>
      <c r="E26" s="200">
        <f>'P&amp;L'!D53</f>
        <v>2.95</v>
      </c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topLeftCell="A27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2021-04-14T12:26:20Z</dcterms:modified>
</cp:coreProperties>
</file>