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B729ECBF-5528-AE44-B0A9-EF6CB0CB9EAB}" xr6:coauthVersionLast="45" xr6:coauthVersionMax="45" xr10:uidLastSave="{00000000-0000-0000-0000-000000000000}"/>
  <bookViews>
    <workbookView xWindow="0" yWindow="460" windowWidth="28800" windowHeight="16220" tabRatio="950" activeTab="6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K41" i="4" l="1"/>
  <c r="I45" i="4"/>
  <c r="I43" i="4"/>
  <c r="I41" i="4"/>
  <c r="G41" i="4"/>
  <c r="E45" i="4"/>
  <c r="E43" i="4"/>
  <c r="E41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K9" i="4"/>
  <c r="I10" i="4"/>
  <c r="I9" i="4"/>
  <c r="G9" i="4"/>
  <c r="E10" i="4"/>
  <c r="E9" i="4"/>
  <c r="K5" i="4"/>
  <c r="I6" i="4"/>
  <c r="I5" i="4"/>
  <c r="G5" i="4"/>
  <c r="E5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<sst xmlns="http://schemas.openxmlformats.org/spreadsheetml/2006/main" count="457" uniqueCount="281">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</sst>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6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7" sqref="E57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18" zoomScaleNormal="100" workbookViewId="0">
      <selection activeCell="K42" sqref="K42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6" t="s">
        <v>41</v>
      </c>
      <c r="C5" s="40" t="s">
        <v>40</v>
      </c>
      <c r="E5" s="42">
        <f>'P&amp;L'!D11</f>
        <v>191504</v>
      </c>
      <c r="F5" s="264"/>
      <c r="G5" s="53">
        <f>E5/E6</f>
        <v>7.5300408933626928</v>
      </c>
      <c r="I5" s="42">
        <f>'P&amp;L'!E11</f>
        <v>172829</v>
      </c>
      <c r="J5" s="264"/>
      <c r="K5" s="53">
        <f>I5/I6</f>
        <v>6.813411653394307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48.472512323502379</v>
      </c>
      <c r="I9" s="59">
        <f>C9</f>
        <v>365</v>
      </c>
      <c r="J9" s="264"/>
      <c r="K9" s="53">
        <f>I9/I10</f>
        <v>53.570812768690445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7.5300408933626928</v>
      </c>
      <c r="F10" s="265"/>
      <c r="G10" s="46"/>
      <c r="I10" s="60">
        <f>K5</f>
        <v>6.813411653394307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/>
      <c r="F29" s="264"/>
      <c r="G29" s="44"/>
      <c r="I29" s="42"/>
      <c r="J29" s="264"/>
      <c r="K29" s="44"/>
      <c r="M29" s="268" t="s">
        <v>243</v>
      </c>
    </row>
    <row r="30" spans="2:14" x14ac:dyDescent="0.15">
      <c r="B30" s="267"/>
      <c r="C30" s="41" t="s">
        <v>55</v>
      </c>
      <c r="E30" s="45"/>
      <c r="F30" s="265"/>
      <c r="G30" s="46"/>
      <c r="I30" s="45"/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/>
      <c r="F33" s="264"/>
      <c r="G33" s="44"/>
      <c r="I33" s="42"/>
      <c r="J33" s="264"/>
      <c r="K33" s="44"/>
      <c r="M33" s="268" t="s">
        <v>244</v>
      </c>
    </row>
    <row r="34" spans="2:13" x14ac:dyDescent="0.15">
      <c r="B34" s="267"/>
      <c r="C34" s="41" t="s">
        <v>56</v>
      </c>
      <c r="E34" s="45"/>
      <c r="F34" s="265"/>
      <c r="G34" s="46"/>
      <c r="I34" s="45"/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/>
      <c r="F37" s="264"/>
      <c r="G37" s="44"/>
      <c r="I37" s="42"/>
      <c r="J37" s="264"/>
      <c r="K37" s="44"/>
      <c r="M37" s="268" t="s">
        <v>245</v>
      </c>
    </row>
    <row r="38" spans="2:13" x14ac:dyDescent="0.15">
      <c r="B38" s="267"/>
      <c r="C38" s="41" t="s">
        <v>54</v>
      </c>
      <c r="E38" s="45"/>
      <c r="F38" s="265"/>
      <c r="G38" s="46"/>
      <c r="I38" s="45"/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48.472512323502379</v>
      </c>
      <c r="F41" s="43"/>
      <c r="G41" s="53">
        <f>E41+E43-E45</f>
        <v>63.921166184337679</v>
      </c>
      <c r="I41" s="52">
        <f>K9</f>
        <v>53.570812768690445</v>
      </c>
      <c r="J41" s="43"/>
      <c r="K41" s="53">
        <f>I41+I43-I45</f>
        <v>68.548621585483062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/>
      <c r="F48" s="264"/>
      <c r="G48" s="44"/>
      <c r="I48" s="42"/>
      <c r="J48" s="264"/>
      <c r="K48" s="44"/>
      <c r="M48" s="268" t="s">
        <v>246</v>
      </c>
    </row>
    <row r="49" spans="2:13" x14ac:dyDescent="0.15">
      <c r="B49" s="267"/>
      <c r="C49" s="41" t="s">
        <v>74</v>
      </c>
      <c r="E49" s="45"/>
      <c r="F49" s="265"/>
      <c r="G49" s="46"/>
      <c r="I49" s="45"/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>
        <f>BS!D22</f>
        <v>70907</v>
      </c>
      <c r="F5" s="264"/>
      <c r="G5" s="53">
        <f>E5/E6</f>
        <v>2.250872960446956</v>
      </c>
      <c r="I5" s="42">
        <f>BS!E22</f>
        <v>61001</v>
      </c>
      <c r="J5" s="264"/>
      <c r="K5" s="53">
        <f>I5/I6</f>
        <v>1.8897459727385377</v>
      </c>
      <c r="M5" s="274" t="s">
        <v>131</v>
      </c>
    </row>
    <row r="6" spans="2:13" x14ac:dyDescent="0.15">
      <c r="B6" s="267"/>
      <c r="C6" s="41" t="s">
        <v>59</v>
      </c>
      <c r="D6" s="21"/>
      <c r="E6" s="45">
        <f>BS!D45</f>
        <v>31502</v>
      </c>
      <c r="F6" s="265"/>
      <c r="G6" s="46"/>
      <c r="I6" s="45">
        <f>BS!E45</f>
        <v>32280</v>
      </c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>
        <f>SUM(BS!D19:D21)</f>
        <v>45538</v>
      </c>
      <c r="F9" s="264"/>
      <c r="G9" s="53">
        <f>E9/E10</f>
        <v>1.4455590121262143</v>
      </c>
      <c r="I9" s="42">
        <f>SUM(BS!E19:E21)</f>
        <v>37243</v>
      </c>
      <c r="J9" s="264"/>
      <c r="K9" s="53">
        <f>I9/I10</f>
        <v>1.1537484510532838</v>
      </c>
      <c r="M9" s="274" t="s">
        <v>132</v>
      </c>
    </row>
    <row r="10" spans="2:13" x14ac:dyDescent="0.15">
      <c r="B10" s="267"/>
      <c r="C10" s="41" t="s">
        <v>59</v>
      </c>
      <c r="D10" s="21"/>
      <c r="E10" s="65">
        <f>BS!D45</f>
        <v>31502</v>
      </c>
      <c r="F10" s="265"/>
      <c r="G10" s="46"/>
      <c r="I10" s="45">
        <f>BS!E45</f>
        <v>32280</v>
      </c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>
        <f>SUM((BS!D20:D21))</f>
        <v>19291</v>
      </c>
      <c r="F13" s="264"/>
      <c r="G13" s="53">
        <f>E13/E14</f>
        <v>0.61237381753539455</v>
      </c>
      <c r="I13" s="42">
        <f>SUM(BS!E20:E21)</f>
        <v>12626</v>
      </c>
      <c r="J13" s="264"/>
      <c r="K13" s="53">
        <f>I13/I14</f>
        <v>0.39114002478314747</v>
      </c>
      <c r="M13" s="274" t="s">
        <v>133</v>
      </c>
    </row>
    <row r="14" spans="2:13" x14ac:dyDescent="0.15">
      <c r="B14" s="267"/>
      <c r="C14" s="41" t="s">
        <v>59</v>
      </c>
      <c r="D14" s="21"/>
      <c r="E14" s="65">
        <f>BS!D45</f>
        <v>31502</v>
      </c>
      <c r="F14" s="265"/>
      <c r="G14" s="46"/>
      <c r="I14" s="45">
        <f>BS!E45</f>
        <v>32280</v>
      </c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>
        <f>SUM(BS!D19:D21)</f>
        <v>45538</v>
      </c>
      <c r="F17" s="264"/>
      <c r="G17" s="53">
        <f>E17/E18</f>
        <v>94.282108296368563</v>
      </c>
      <c r="I17" s="42">
        <f>SUM(BS!E19:E21)</f>
        <v>37243</v>
      </c>
      <c r="J17" s="264"/>
      <c r="K17" s="53">
        <f>I17/I18</f>
        <v>84.148560144604573</v>
      </c>
      <c r="M17" s="274" t="s">
        <v>171</v>
      </c>
    </row>
    <row r="18" spans="2:13" x14ac:dyDescent="0.15">
      <c r="B18" s="267"/>
      <c r="C18" s="41" t="s">
        <v>65</v>
      </c>
      <c r="D18" s="21"/>
      <c r="E18" s="65">
        <f>('P&amp;L'!D15+'P&amp;L'!D19+'P&amp;L'!D20+'P&amp;L'!D21)/-365</f>
        <v>482.99726027397259</v>
      </c>
      <c r="F18" s="265"/>
      <c r="G18" s="46"/>
      <c r="I18" s="45">
        <f>('P&amp;L'!E15+'P&amp;L'!E19+'P&amp;L'!E20+'P&amp;L'!E21)/-365</f>
        <v>442.58630136986301</v>
      </c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>
        <f>BS!D42+BS!D36</f>
        <v>29474</v>
      </c>
      <c r="F5" s="264"/>
      <c r="G5" s="66">
        <f>E5/E6</f>
        <v>0.2242426086824206</v>
      </c>
      <c r="I5" s="42">
        <f>BS!E42+BS!E36</f>
        <v>35016</v>
      </c>
      <c r="J5" s="264"/>
      <c r="K5" s="66">
        <f>I5/I6</f>
        <v>0.30774639222372607</v>
      </c>
      <c r="M5" s="268" t="s">
        <v>142</v>
      </c>
    </row>
    <row r="6" spans="2:13" x14ac:dyDescent="0.15">
      <c r="B6" s="267"/>
      <c r="C6" s="41" t="s">
        <v>70</v>
      </c>
      <c r="D6" s="21"/>
      <c r="E6" s="45">
        <f>BS!D32</f>
        <v>131438</v>
      </c>
      <c r="F6" s="265"/>
      <c r="G6" s="67"/>
      <c r="I6" s="45">
        <f>BS!E32</f>
        <v>113782</v>
      </c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>
        <f>E5</f>
        <v>29474</v>
      </c>
      <c r="F9" s="264"/>
      <c r="G9" s="66">
        <f>E9/E10</f>
        <v>0.18316843989261211</v>
      </c>
      <c r="I9" s="59">
        <f>I5</f>
        <v>35016</v>
      </c>
      <c r="J9" s="264"/>
      <c r="K9" s="66">
        <f>I9/I10</f>
        <v>0.23532574362558636</v>
      </c>
      <c r="M9" s="268" t="s">
        <v>143</v>
      </c>
    </row>
    <row r="10" spans="2:13" x14ac:dyDescent="0.15">
      <c r="B10" s="267"/>
      <c r="C10" s="41" t="s">
        <v>71</v>
      </c>
      <c r="D10" s="21"/>
      <c r="E10" s="65">
        <f>BS!D32+BS!D36+BS!D42</f>
        <v>160912</v>
      </c>
      <c r="F10" s="265"/>
      <c r="G10" s="67"/>
      <c r="I10" s="65">
        <f>I6+I5</f>
        <v>148798</v>
      </c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>
        <f>E9</f>
        <v>29474</v>
      </c>
      <c r="F13" s="264"/>
      <c r="G13" s="66">
        <f>E13/E14</f>
        <v>0.16262324749918616</v>
      </c>
      <c r="I13" s="59">
        <f>I9</f>
        <v>35016</v>
      </c>
      <c r="J13" s="264"/>
      <c r="K13" s="66">
        <f>I13/I14</f>
        <v>0.20809413442681404</v>
      </c>
      <c r="M13" s="268" t="s">
        <v>144</v>
      </c>
    </row>
    <row r="14" spans="2:13" x14ac:dyDescent="0.15">
      <c r="B14" s="267"/>
      <c r="C14" s="41" t="s">
        <v>72</v>
      </c>
      <c r="D14" s="21"/>
      <c r="E14" s="65">
        <f>BS!D23</f>
        <v>181241</v>
      </c>
      <c r="F14" s="265"/>
      <c r="G14" s="67"/>
      <c r="I14" s="65">
        <f>BS!E23</f>
        <v>168270</v>
      </c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>
        <f>'P&amp;L'!D24</f>
        <v>22551.000000000004</v>
      </c>
      <c r="F17" s="264"/>
      <c r="G17" s="71">
        <f>E17/E18</f>
        <v>8.2755963302752313</v>
      </c>
      <c r="I17" s="59">
        <f>'P&amp;L'!E24</f>
        <v>18597.000000000004</v>
      </c>
      <c r="J17" s="264"/>
      <c r="K17" s="71">
        <f>I17/I18</f>
        <v>6.2155748663101615</v>
      </c>
      <c r="M17" s="268" t="s">
        <v>145</v>
      </c>
    </row>
    <row r="18" spans="2:13" x14ac:dyDescent="0.15">
      <c r="B18" s="267"/>
      <c r="C18" s="41" t="s">
        <v>76</v>
      </c>
      <c r="D18" s="21"/>
      <c r="E18" s="65">
        <f>'P&amp;L'!D26 * -1</f>
        <v>2725</v>
      </c>
      <c r="F18" s="265"/>
      <c r="G18" s="67"/>
      <c r="I18" s="65">
        <f>'P&amp;L'!E26*-1</f>
        <v>2992</v>
      </c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>
        <f>'P&amp;L'!D24+'P&amp;L'!D55*-1</f>
        <v>24832.000000000004</v>
      </c>
      <c r="F21" s="264"/>
      <c r="G21" s="71">
        <f>E21/E22</f>
        <v>4.9604474630443471</v>
      </c>
      <c r="I21" s="59">
        <f>'P&amp;L'!E24+'P&amp;L'!E55*-1</f>
        <v>21072.000000000004</v>
      </c>
      <c r="J21" s="264"/>
      <c r="K21" s="71">
        <f>I21/I22</f>
        <v>3.8543991220047564</v>
      </c>
      <c r="M21" s="268" t="s">
        <v>146</v>
      </c>
    </row>
    <row r="22" spans="2:13" x14ac:dyDescent="0.15">
      <c r="B22" s="267"/>
      <c r="C22" s="41" t="s">
        <v>78</v>
      </c>
      <c r="D22" s="21"/>
      <c r="E22" s="65">
        <f>'P&amp;L'!D26*-1 +'P&amp;L'!D55*-1</f>
        <v>5006</v>
      </c>
      <c r="F22" s="265"/>
      <c r="G22" s="67"/>
      <c r="I22" s="65">
        <f>-1*('P&amp;L'!E55+'P&amp;L'!E26)</f>
        <v>5467</v>
      </c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>
        <f>AVERAGE(BS!D23:E23)</f>
        <v>174755.5</v>
      </c>
      <c r="F25" s="264"/>
      <c r="G25" s="71">
        <f>E25/E26</f>
        <v>1.4252956528831253</v>
      </c>
      <c r="I25" s="59">
        <f>AVERAGE(BS!E23:F23)</f>
        <v>164911.5</v>
      </c>
      <c r="J25" s="264"/>
      <c r="K25" s="71">
        <f>I25/I26</f>
        <v>1.5516336179521557</v>
      </c>
      <c r="M25" s="268" t="s">
        <v>172</v>
      </c>
    </row>
    <row r="26" spans="2:13" x14ac:dyDescent="0.15">
      <c r="B26" s="267"/>
      <c r="C26" s="41" t="s">
        <v>74</v>
      </c>
      <c r="D26" s="21"/>
      <c r="E26" s="65">
        <f>AVERAGE(BS!D32:E32)</f>
        <v>122610</v>
      </c>
      <c r="F26" s="265"/>
      <c r="G26" s="67"/>
      <c r="I26" s="65">
        <f>AVERAGE(BS!E32:F32)</f>
        <v>106282.5</v>
      </c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>
        <f>'P&amp;L'!D17</f>
        <v>48553.16</v>
      </c>
      <c r="F5" s="264"/>
      <c r="G5" s="72">
        <f>E5/E6</f>
        <v>0.24417591591440571</v>
      </c>
      <c r="I5" s="59">
        <f>'P&amp;L'!E17</f>
        <v>41525.160000000003</v>
      </c>
      <c r="J5" s="264"/>
      <c r="K5" s="72">
        <f>I5/I6</f>
        <v>0.23051476343530902</v>
      </c>
      <c r="M5" s="268" t="s">
        <v>150</v>
      </c>
    </row>
    <row r="6" spans="2:13" x14ac:dyDescent="0.15">
      <c r="B6" s="267"/>
      <c r="C6" s="41" t="s">
        <v>53</v>
      </c>
      <c r="D6" s="21"/>
      <c r="E6" s="65">
        <f>'P&amp;L'!D13</f>
        <v>198845</v>
      </c>
      <c r="F6" s="265"/>
      <c r="G6" s="46"/>
      <c r="I6" s="65">
        <f>'P&amp;L'!E13</f>
        <v>180141</v>
      </c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>
        <f>'P&amp;L'!D24</f>
        <v>22551.000000000004</v>
      </c>
      <c r="F9" s="264"/>
      <c r="G9" s="72">
        <f>E9/E10</f>
        <v>0.11340994241746086</v>
      </c>
      <c r="I9" s="42">
        <f>'P&amp;L'!E24</f>
        <v>18597.000000000004</v>
      </c>
      <c r="J9" s="264"/>
      <c r="K9" s="72">
        <f>I9/I10</f>
        <v>0.1032357986244109</v>
      </c>
      <c r="M9" s="268" t="s">
        <v>152</v>
      </c>
    </row>
    <row r="10" spans="2:13" x14ac:dyDescent="0.15">
      <c r="B10" s="267"/>
      <c r="C10" s="41" t="s">
        <v>53</v>
      </c>
      <c r="D10" s="21"/>
      <c r="E10" s="45">
        <f>E6</f>
        <v>198845</v>
      </c>
      <c r="F10" s="265"/>
      <c r="G10" s="46"/>
      <c r="I10" s="45">
        <f>I6</f>
        <v>180141</v>
      </c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>
        <f>'P&amp;L'!D28</f>
        <v>19826.000000000004</v>
      </c>
      <c r="F13" s="264"/>
      <c r="G13" s="72">
        <f>E13/E14</f>
        <v>9.9705801000779526E-2</v>
      </c>
      <c r="I13" s="59">
        <f>'P&amp;L'!E28</f>
        <v>15605.000000000004</v>
      </c>
      <c r="J13" s="264"/>
      <c r="K13" s="72">
        <f>I13/I14</f>
        <v>8.6626586951332588E-2</v>
      </c>
      <c r="M13" s="268" t="s">
        <v>153</v>
      </c>
    </row>
    <row r="14" spans="2:13" x14ac:dyDescent="0.15">
      <c r="B14" s="267"/>
      <c r="C14" s="41" t="s">
        <v>53</v>
      </c>
      <c r="D14" s="21"/>
      <c r="E14" s="45">
        <f>E10</f>
        <v>198845</v>
      </c>
      <c r="F14" s="265"/>
      <c r="G14" s="46"/>
      <c r="I14" s="45">
        <f>I10</f>
        <v>180141</v>
      </c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>
        <f>'P&amp;L'!D32</f>
        <v>17698.000000000004</v>
      </c>
      <c r="F17" s="264"/>
      <c r="G17" s="72">
        <f>E17/E18</f>
        <v>8.9003998088963782E-2</v>
      </c>
      <c r="I17" s="42">
        <f>'P&amp;L'!E32</f>
        <v>13962.000000000004</v>
      </c>
      <c r="J17" s="264"/>
      <c r="K17" s="72">
        <f>I17/I18</f>
        <v>7.7505953669625482E-2</v>
      </c>
      <c r="M17" s="268" t="s">
        <v>149</v>
      </c>
    </row>
    <row r="18" spans="2:13" x14ac:dyDescent="0.15">
      <c r="B18" s="267"/>
      <c r="C18" s="41" t="s">
        <v>53</v>
      </c>
      <c r="D18" s="21"/>
      <c r="E18" s="45">
        <f>E14</f>
        <v>198845</v>
      </c>
      <c r="F18" s="265"/>
      <c r="G18" s="46"/>
      <c r="I18" s="45">
        <f>I14</f>
        <v>180141</v>
      </c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>
        <f>E17</f>
        <v>17698.000000000004</v>
      </c>
      <c r="F21" s="264"/>
      <c r="G21" s="72">
        <f>E21/E22</f>
        <v>0.10127292131005892</v>
      </c>
      <c r="I21" s="59">
        <f>I17</f>
        <v>13962.000000000004</v>
      </c>
      <c r="J21" s="264"/>
      <c r="K21" s="72">
        <f>I21/I22</f>
        <v>8.4663592290410331E-2</v>
      </c>
      <c r="M21" s="268" t="s">
        <v>154</v>
      </c>
    </row>
    <row r="22" spans="2:13" x14ac:dyDescent="0.15">
      <c r="B22" s="267"/>
      <c r="C22" s="41" t="s">
        <v>54</v>
      </c>
      <c r="D22" s="21"/>
      <c r="E22" s="45">
        <f>AVERAGE(BS!D23:E23)</f>
        <v>174755.5</v>
      </c>
      <c r="F22" s="265"/>
      <c r="G22" s="46"/>
      <c r="I22" s="45">
        <f>AVERAGE(BS!E23:F23)</f>
        <v>164911.5</v>
      </c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>
        <f>E9</f>
        <v>22551.000000000004</v>
      </c>
      <c r="F25" s="264"/>
      <c r="G25" s="72">
        <f>E25/E26</f>
        <v>0.1290431488565453</v>
      </c>
      <c r="I25" s="59">
        <f>I9</f>
        <v>18597.000000000004</v>
      </c>
      <c r="J25" s="264"/>
      <c r="K25" s="72">
        <f>I25/I26</f>
        <v>0.11276957640916493</v>
      </c>
      <c r="M25" s="268" t="s">
        <v>155</v>
      </c>
    </row>
    <row r="26" spans="2:13" x14ac:dyDescent="0.15">
      <c r="B26" s="267"/>
      <c r="C26" s="41" t="s">
        <v>54</v>
      </c>
      <c r="D26" s="21"/>
      <c r="E26" s="45">
        <f>E22</f>
        <v>174755.5</v>
      </c>
      <c r="F26" s="265"/>
      <c r="G26" s="46"/>
      <c r="I26" s="45">
        <f>I22</f>
        <v>164911.5</v>
      </c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>
        <f>E9</f>
        <v>22551.000000000004</v>
      </c>
      <c r="F29" s="264"/>
      <c r="G29" s="72">
        <f>E29/E30</f>
        <v>0.14562655387297796</v>
      </c>
      <c r="I29" s="59">
        <f>I9</f>
        <v>18597.000000000004</v>
      </c>
      <c r="J29" s="264"/>
      <c r="K29" s="72">
        <f>I29/I30</f>
        <v>0.1276687765161397</v>
      </c>
      <c r="M29" s="268" t="s">
        <v>157</v>
      </c>
    </row>
    <row r="30" spans="2:13" x14ac:dyDescent="0.15">
      <c r="B30" s="267"/>
      <c r="C30" s="41" t="s">
        <v>84</v>
      </c>
      <c r="D30" s="21"/>
      <c r="E30" s="45">
        <f>AVERAGE(BS!D32:E32)+AVERAGE(BS!D36:E36)+AVERAGE(BS!D42:E42)</f>
        <v>154855</v>
      </c>
      <c r="F30" s="265"/>
      <c r="G30" s="46"/>
      <c r="I30" s="45">
        <f>AVERAGE(BS!E32:F32) + AVERAGE(BS!E36:F36) + AVERAGE(BS!E42:F42)</f>
        <v>145666</v>
      </c>
      <c r="J30" s="265"/>
      <c r="K30" s="46"/>
      <c r="M30" s="269"/>
    </row>
    <row r="33" spans="2:13" ht="12" customHeight="1" x14ac:dyDescent="0.15">
      <c r="B33" s="278" t="s">
        <v>166</v>
      </c>
      <c r="C33" s="245" t="s">
        <v>80</v>
      </c>
      <c r="D33" s="73"/>
      <c r="E33" s="246">
        <f>E17</f>
        <v>17698.000000000004</v>
      </c>
      <c r="F33" s="276"/>
      <c r="G33" s="247">
        <f>E33/E34</f>
        <v>0.14434385449800183</v>
      </c>
      <c r="H33" s="73"/>
      <c r="I33" s="246">
        <f>I17</f>
        <v>13962.000000000004</v>
      </c>
      <c r="J33" s="276"/>
      <c r="K33" s="247">
        <f>I33/I34</f>
        <v>0.13136687601439562</v>
      </c>
      <c r="M33" s="268" t="s">
        <v>158</v>
      </c>
    </row>
    <row r="34" spans="2:13" x14ac:dyDescent="0.15">
      <c r="B34" s="279"/>
      <c r="C34" s="248" t="s">
        <v>94</v>
      </c>
      <c r="D34" s="73"/>
      <c r="E34" s="249">
        <f>AVERAGE(BS!D32:E32)</f>
        <v>122610</v>
      </c>
      <c r="F34" s="277"/>
      <c r="G34" s="199"/>
      <c r="H34" s="73"/>
      <c r="I34" s="249">
        <f>AVERAGE(BS!E32:F32)</f>
        <v>106282.5</v>
      </c>
      <c r="J34" s="277"/>
      <c r="K34" s="199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tabSelected="1" zoomScale="130" zoomScaleNormal="130" workbookViewId="0">
      <selection activeCell="L20" sqref="L20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>
        <f>'P&amp;L'!D32</f>
        <v>17698.000000000004</v>
      </c>
      <c r="F5" s="264"/>
      <c r="G5" s="71">
        <f>E5/E6</f>
        <v>1.7698000000000003</v>
      </c>
      <c r="I5" s="59">
        <f>'P&amp;L'!E32</f>
        <v>13962.000000000004</v>
      </c>
      <c r="J5" s="264"/>
      <c r="K5" s="113">
        <f>I5/I6</f>
        <v>1.3962000000000003</v>
      </c>
      <c r="M5" s="268" t="s">
        <v>180</v>
      </c>
    </row>
    <row r="6" spans="2:15" x14ac:dyDescent="0.15">
      <c r="B6" s="267"/>
      <c r="C6" s="41" t="s">
        <v>181</v>
      </c>
      <c r="D6" s="21"/>
      <c r="E6" s="65">
        <f>'P&amp;L'!D50</f>
        <v>10000</v>
      </c>
      <c r="F6" s="265"/>
      <c r="G6" s="46"/>
      <c r="I6" s="65">
        <f>E6</f>
        <v>10000</v>
      </c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>
        <f>'P&amp;L'!D53</f>
        <v>2.95</v>
      </c>
      <c r="F9" s="264"/>
      <c r="G9" s="71">
        <f>E9/E10</f>
        <v>1.6668550118657475</v>
      </c>
      <c r="I9" s="196">
        <f>'P&amp;L'!E53</f>
        <v>2.15</v>
      </c>
      <c r="J9" s="276"/>
      <c r="K9" s="197">
        <f>I9/I10</f>
        <v>1.5398939979945563</v>
      </c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>
        <f>G5</f>
        <v>1.7698000000000003</v>
      </c>
      <c r="F10" s="265"/>
      <c r="G10" s="46"/>
      <c r="I10" s="198">
        <f>K5</f>
        <v>1.3962000000000003</v>
      </c>
      <c r="J10" s="277"/>
      <c r="K10" s="199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>
        <f>'P&amp;L'!D54</f>
        <v>29500</v>
      </c>
      <c r="F13" s="264"/>
      <c r="G13" s="71">
        <f>E13/E14</f>
        <v>1.6668550118657472</v>
      </c>
      <c r="I13" s="119">
        <f>'P&amp;L'!E54</f>
        <v>21500</v>
      </c>
      <c r="J13" s="264"/>
      <c r="K13" s="113">
        <f>I13/I14</f>
        <v>1.5398939979945563</v>
      </c>
      <c r="M13" s="268" t="s">
        <v>191</v>
      </c>
    </row>
    <row r="14" spans="2:15" x14ac:dyDescent="0.15">
      <c r="B14" s="267"/>
      <c r="C14" s="41" t="s">
        <v>95</v>
      </c>
      <c r="E14" s="120">
        <f>'P&amp;L'!D32</f>
        <v>17698.000000000004</v>
      </c>
      <c r="F14" s="265"/>
      <c r="G14" s="46"/>
      <c r="I14" s="120">
        <f>'P&amp;L'!E32</f>
        <v>13962.000000000004</v>
      </c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>
        <f>'P&amp;L'!D51</f>
        <v>0.88</v>
      </c>
      <c r="F17" s="264"/>
      <c r="G17" s="250">
        <f>E17/E18</f>
        <v>0.29830508474576267</v>
      </c>
      <c r="I17" s="116">
        <f>'P&amp;L'!E51</f>
        <v>0.65</v>
      </c>
      <c r="J17" s="264"/>
      <c r="K17" s="250">
        <f>I17/I18</f>
        <v>0.30232558139534887</v>
      </c>
      <c r="M17" s="268" t="s">
        <v>195</v>
      </c>
    </row>
    <row r="18" spans="2:15" x14ac:dyDescent="0.15">
      <c r="B18" s="267"/>
      <c r="C18" s="41" t="s">
        <v>194</v>
      </c>
      <c r="E18" s="117">
        <f>'P&amp;L'!D53</f>
        <v>2.95</v>
      </c>
      <c r="F18" s="265"/>
      <c r="G18" s="46"/>
      <c r="I18" s="117">
        <f>I9</f>
        <v>2.15</v>
      </c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/>
      <c r="F21" s="264"/>
      <c r="G21" s="66"/>
      <c r="I21" s="42"/>
      <c r="J21" s="264"/>
      <c r="K21" s="66"/>
      <c r="M21" s="268" t="s">
        <v>202</v>
      </c>
      <c r="O21" s="130"/>
    </row>
    <row r="22" spans="2:15" x14ac:dyDescent="0.15">
      <c r="B22" s="267"/>
      <c r="C22" s="41" t="s">
        <v>200</v>
      </c>
      <c r="E22" s="45"/>
      <c r="F22" s="265"/>
      <c r="G22" s="46"/>
      <c r="I22" s="45"/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/>
      <c r="F25" s="264"/>
      <c r="G25" s="66"/>
      <c r="I25" s="42"/>
      <c r="J25" s="264"/>
      <c r="K25" s="66"/>
      <c r="M25" s="268" t="s">
        <v>205</v>
      </c>
    </row>
    <row r="26" spans="2:15" x14ac:dyDescent="0.15">
      <c r="B26" s="267"/>
      <c r="C26" s="41" t="s">
        <v>200</v>
      </c>
      <c r="E26" s="45"/>
      <c r="F26" s="265"/>
      <c r="G26" s="46"/>
      <c r="I26" s="45"/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K14" sqref="K14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/>
      <c r="E5" s="185"/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/>
      <c r="E6" s="186"/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/>
      <c r="E7" s="186"/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/>
      <c r="E8" s="186"/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/>
      <c r="E9" s="200"/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/>
      <c r="E11" s="185"/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/>
      <c r="E12" s="186"/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/>
      <c r="E13" s="187"/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/>
      <c r="E15" s="188"/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/>
      <c r="E16" s="189"/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/>
      <c r="E17" s="187"/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/>
      <c r="E19" s="190"/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/>
      <c r="E20" s="191"/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/>
      <c r="E21" s="191"/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/>
      <c r="E22" s="192"/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/>
      <c r="E24" s="185"/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/>
      <c r="E25" s="186"/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/>
      <c r="E26" s="200"/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2021-04-14T07:51:02Z</dcterms:modified>
</cp:coreProperties>
</file>