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CCD8D839-1A90-184E-BEC2-5FC831C0CD5A}" xr6:coauthVersionLast="45" xr6:coauthVersionMax="45" xr10:uidLastSave="{00000000-0000-0000-0000-000000000000}"/>
  <bookViews>
    <workbookView xWindow="0" yWindow="460" windowWidth="28800" windowHeight="16160" tabRatio="950" firstSheet="2" activeTab="8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6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6" l="1"/>
  <c r="G37" i="16" s="1"/>
  <c r="E38" i="16"/>
  <c r="F36" i="16"/>
  <c r="E36" i="16"/>
  <c r="F32" i="16"/>
  <c r="E32" i="16"/>
  <c r="F34" i="16"/>
  <c r="E34" i="16"/>
  <c r="F21" i="16"/>
  <c r="E21" i="16"/>
  <c r="F19" i="16"/>
  <c r="E19" i="16"/>
  <c r="G34" i="16"/>
  <c r="G33" i="16" s="1"/>
  <c r="G25" i="16"/>
  <c r="G24" i="16" s="1"/>
  <c r="G21" i="16"/>
  <c r="H21" i="16" s="1"/>
  <c r="I21" i="16" s="1"/>
  <c r="J21" i="16" s="1"/>
  <c r="K21" i="16" s="1"/>
  <c r="G20" i="16"/>
  <c r="G18" i="16" s="1"/>
  <c r="G22" i="16" s="1"/>
  <c r="G23" i="16" s="1"/>
  <c r="K10" i="16"/>
  <c r="J10" i="16"/>
  <c r="I10" i="16"/>
  <c r="H10" i="16"/>
  <c r="G10" i="16"/>
  <c r="K9" i="16"/>
  <c r="J9" i="16"/>
  <c r="I9" i="16"/>
  <c r="H9" i="16"/>
  <c r="G9" i="16"/>
  <c r="F9" i="16"/>
  <c r="K5" i="16"/>
  <c r="J5" i="16"/>
  <c r="I5" i="16"/>
  <c r="H5" i="16"/>
  <c r="G5" i="16"/>
  <c r="G7" i="16"/>
  <c r="H7" i="16" s="1"/>
  <c r="I7" i="16" s="1"/>
  <c r="J7" i="16" s="1"/>
  <c r="K7" i="16" s="1"/>
  <c r="H8" i="16"/>
  <c r="I8" i="16" s="1"/>
  <c r="J8" i="16" s="1"/>
  <c r="K8" i="16" s="1"/>
  <c r="G8" i="16"/>
  <c r="F10" i="16"/>
  <c r="E10" i="16"/>
  <c r="F8" i="16"/>
  <c r="E8" i="16"/>
  <c r="F6" i="16"/>
  <c r="E6" i="16"/>
  <c r="H11" i="16"/>
  <c r="I11" i="16" s="1"/>
  <c r="J11" i="16" s="1"/>
  <c r="K11" i="16" s="1"/>
  <c r="G11" i="16"/>
  <c r="J12" i="16"/>
  <c r="K12" i="16" s="1"/>
  <c r="I12" i="16"/>
  <c r="H12" i="16"/>
  <c r="G12" i="16"/>
  <c r="F12" i="16"/>
  <c r="E12" i="16"/>
  <c r="G31" i="16" l="1"/>
  <c r="G35" i="16" s="1"/>
  <c r="G36" i="16" s="1"/>
  <c r="H34" i="16"/>
  <c r="I34" i="16" s="1"/>
  <c r="J34" i="16" s="1"/>
  <c r="K34" i="16" s="1"/>
  <c r="H38" i="16"/>
  <c r="I38" i="16" s="1"/>
  <c r="J38" i="16" s="1"/>
  <c r="K38" i="16" s="1"/>
  <c r="H25" i="16"/>
  <c r="I25" i="16" s="1"/>
  <c r="J25" i="16" s="1"/>
  <c r="K25" i="16" s="1"/>
  <c r="H20" i="16"/>
  <c r="D20" i="16"/>
  <c r="D33" i="16" s="1"/>
  <c r="D18" i="16"/>
  <c r="D31" i="16" s="1"/>
  <c r="D9" i="16"/>
  <c r="D22" i="16" s="1"/>
  <c r="D35" i="16" s="1"/>
  <c r="F7" i="16"/>
  <c r="E7" i="16"/>
  <c r="F5" i="16"/>
  <c r="F18" i="16" s="1"/>
  <c r="F31" i="16" s="1"/>
  <c r="E5" i="16"/>
  <c r="E18" i="16" s="1"/>
  <c r="E31" i="16" s="1"/>
  <c r="H33" i="16" l="1"/>
  <c r="I33" i="16" s="1"/>
  <c r="H37" i="16"/>
  <c r="I37" i="16" s="1"/>
  <c r="J37" i="16" s="1"/>
  <c r="K37" i="16" s="1"/>
  <c r="I20" i="16"/>
  <c r="H18" i="16"/>
  <c r="H22" i="16" s="1"/>
  <c r="H23" i="16" s="1"/>
  <c r="H24" i="16"/>
  <c r="I24" i="16" s="1"/>
  <c r="J24" i="16" s="1"/>
  <c r="K24" i="16" s="1"/>
  <c r="E20" i="16"/>
  <c r="E33" i="16" s="1"/>
  <c r="F22" i="16"/>
  <c r="F35" i="16" s="1"/>
  <c r="F11" i="16"/>
  <c r="F20" i="16"/>
  <c r="E9" i="16"/>
  <c r="D11" i="16"/>
  <c r="D24" i="16" s="1"/>
  <c r="D37" i="16" s="1"/>
  <c r="G10" i="13"/>
  <c r="E10" i="13"/>
  <c r="F9" i="13"/>
  <c r="G9" i="13" s="1"/>
  <c r="D9" i="13"/>
  <c r="E9" i="13" s="1"/>
  <c r="F8" i="13"/>
  <c r="G8" i="13" s="1"/>
  <c r="D8" i="13"/>
  <c r="F7" i="13"/>
  <c r="G7" i="13" s="1"/>
  <c r="D7" i="13"/>
  <c r="E7" i="13" s="1"/>
  <c r="F6" i="13"/>
  <c r="G6" i="13" s="1"/>
  <c r="F5" i="13"/>
  <c r="G5" i="13" s="1"/>
  <c r="D6" i="13"/>
  <c r="E6" i="13"/>
  <c r="E8" i="13"/>
  <c r="D5" i="13"/>
  <c r="E5" i="13" s="1"/>
  <c r="I31" i="16" l="1"/>
  <c r="I35" i="16" s="1"/>
  <c r="J33" i="16"/>
  <c r="H31" i="16"/>
  <c r="H35" i="16" s="1"/>
  <c r="H36" i="16" s="1"/>
  <c r="I18" i="16"/>
  <c r="I22" i="16" s="1"/>
  <c r="I23" i="16" s="1"/>
  <c r="J20" i="16"/>
  <c r="F33" i="16"/>
  <c r="F24" i="16"/>
  <c r="E22" i="16"/>
  <c r="E35" i="16" s="1"/>
  <c r="E11" i="16"/>
  <c r="K29" i="9"/>
  <c r="G29" i="9"/>
  <c r="I36" i="16" l="1"/>
  <c r="K33" i="16"/>
  <c r="K31" i="16" s="1"/>
  <c r="K35" i="16" s="1"/>
  <c r="J31" i="16"/>
  <c r="J35" i="16" s="1"/>
  <c r="J36" i="16" s="1"/>
  <c r="J18" i="16"/>
  <c r="J22" i="16" s="1"/>
  <c r="J23" i="16" s="1"/>
  <c r="K20" i="16"/>
  <c r="K18" i="16" s="1"/>
  <c r="K22" i="16" s="1"/>
  <c r="K23" i="16" s="1"/>
  <c r="F37" i="16"/>
  <c r="E24" i="16"/>
  <c r="E37" i="16" s="1"/>
  <c r="K25" i="9"/>
  <c r="I26" i="9"/>
  <c r="I25" i="9"/>
  <c r="G25" i="9"/>
  <c r="E26" i="9"/>
  <c r="E25" i="9"/>
  <c r="K21" i="9"/>
  <c r="I22" i="9"/>
  <c r="I21" i="9"/>
  <c r="G21" i="9"/>
  <c r="E22" i="9"/>
  <c r="E21" i="9"/>
  <c r="M27" i="11"/>
  <c r="M26" i="11"/>
  <c r="K27" i="11"/>
  <c r="K26" i="11"/>
  <c r="I27" i="11"/>
  <c r="I26" i="11"/>
  <c r="G27" i="11"/>
  <c r="G26" i="11"/>
  <c r="E27" i="11"/>
  <c r="E26" i="11"/>
  <c r="C18" i="11"/>
  <c r="C17" i="11"/>
  <c r="I18" i="11"/>
  <c r="I17" i="11"/>
  <c r="G18" i="11"/>
  <c r="G17" i="11"/>
  <c r="E18" i="11"/>
  <c r="E17" i="11"/>
  <c r="C9" i="11"/>
  <c r="C8" i="11"/>
  <c r="G9" i="11"/>
  <c r="E9" i="11"/>
  <c r="G8" i="11"/>
  <c r="E8" i="11"/>
  <c r="K36" i="16" l="1"/>
  <c r="E26" i="10"/>
  <c r="D26" i="10"/>
  <c r="E25" i="10"/>
  <c r="D25" i="10"/>
  <c r="E24" i="10"/>
  <c r="D24" i="10"/>
  <c r="E22" i="10"/>
  <c r="D22" i="10"/>
  <c r="E21" i="10"/>
  <c r="D21" i="10"/>
  <c r="E20" i="10"/>
  <c r="D20" i="10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K48" i="4"/>
  <c r="G48" i="4"/>
  <c r="I49" i="4"/>
  <c r="E49" i="4"/>
  <c r="I48" i="4"/>
  <c r="E48" i="4"/>
  <c r="K37" i="4"/>
  <c r="G37" i="4"/>
  <c r="I38" i="4"/>
  <c r="E38" i="4"/>
  <c r="I37" i="4"/>
  <c r="E37" i="4"/>
  <c r="K33" i="4"/>
  <c r="I34" i="4"/>
  <c r="G33" i="4"/>
  <c r="E34" i="4"/>
  <c r="I33" i="4"/>
  <c r="E33" i="4"/>
  <c r="K29" i="4"/>
  <c r="I30" i="4"/>
  <c r="G29" i="4"/>
  <c r="E30" i="4"/>
  <c r="I29" i="4"/>
  <c r="E29" i="4"/>
  <c r="E9" i="10"/>
  <c r="D9" i="10"/>
  <c r="E8" i="10"/>
  <c r="D8" i="10"/>
  <c r="E7" i="10"/>
  <c r="D7" i="10"/>
  <c r="E6" i="10"/>
  <c r="D6" i="10"/>
  <c r="I5" i="4"/>
  <c r="E5" i="4"/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I45" i="4" l="1"/>
  <c r="I43" i="4"/>
  <c r="E45" i="4"/>
  <c r="E43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I10" i="4"/>
  <c r="K9" i="4" s="1"/>
  <c r="I9" i="4"/>
  <c r="E9" i="4"/>
  <c r="K5" i="4"/>
  <c r="I6" i="4"/>
  <c r="G5" i="4"/>
  <c r="E10" i="4" s="1"/>
  <c r="G9" i="4" s="1"/>
  <c r="E6" i="4"/>
  <c r="D5" i="10" l="1"/>
  <c r="I41" i="4"/>
  <c r="K41" i="4" s="1"/>
  <c r="E5" i="10"/>
  <c r="E41" i="4"/>
  <c r="G41" i="4" s="1"/>
  <c r="I9" i="14"/>
  <c r="I8" i="14"/>
  <c r="I7" i="14"/>
  <c r="I6" i="14"/>
  <c r="I5" i="14"/>
  <c r="G26" i="10" l="1"/>
  <c r="D46" i="2" l="1"/>
  <c r="F26" i="10" l="1"/>
  <c r="G8" i="10" l="1"/>
  <c r="F6" i="10"/>
  <c r="F8" i="10" s="1"/>
  <c r="H17" i="14" l="1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E52" i="3" l="1"/>
  <c r="D52" i="3"/>
  <c r="E54" i="3" l="1"/>
  <c r="D54" i="3"/>
  <c r="D41" i="3"/>
  <c r="E41" i="3"/>
  <c r="D48" i="3"/>
  <c r="E48" i="3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C10" i="14" l="1"/>
  <c r="C18" i="14" s="1"/>
  <c r="F10" i="14"/>
  <c r="F18" i="14" s="1"/>
  <c r="E17" i="3"/>
  <c r="E46" i="2"/>
  <c r="D17" i="3"/>
  <c r="D23" i="2"/>
  <c r="E23" i="2"/>
  <c r="D22" i="3"/>
  <c r="E22" i="3"/>
  <c r="D24" i="3" l="1"/>
  <c r="G10" i="14"/>
  <c r="E24" i="3"/>
  <c r="D10" i="14"/>
  <c r="E47" i="2"/>
  <c r="D47" i="2"/>
  <c r="D49" i="2" s="1"/>
  <c r="E49" i="2"/>
  <c r="D28" i="3"/>
  <c r="E28" i="3" l="1"/>
  <c r="H10" i="14"/>
  <c r="H18" i="14" s="1"/>
  <c r="G18" i="14"/>
  <c r="D18" i="14"/>
  <c r="E10" i="14"/>
  <c r="E32" i="3"/>
  <c r="D32" i="3"/>
  <c r="E18" i="14" l="1"/>
  <c r="I10" i="14"/>
</calcChain>
</file>

<file path=xl/sharedStrings.xml><?xml version="1.0" encoding="utf-8"?>
<sst xmlns="http://schemas.openxmlformats.org/spreadsheetml/2006/main" count="463" uniqueCount="281">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</sst>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2" xfId="2" applyNumberFormat="1" applyFont="1" applyBorder="1"/>
    <xf numFmtId="9" fontId="4" fillId="0" borderId="3" xfId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3" fillId="3" borderId="0" xfId="2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6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6"/>
      <c r="E10" s="156"/>
      <c r="F10" s="156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topLeftCell="A2" zoomScale="130" zoomScaleNormal="130" workbookViewId="0">
      <selection activeCell="M28" sqref="M28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38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>
        <f>E8*G8</f>
        <v>0.1443438544980018</v>
      </c>
      <c r="D8" s="80"/>
      <c r="E8" s="100">
        <f>'Profitability ratios'!G17</f>
        <v>8.9003998088963782E-2</v>
      </c>
      <c r="F8" s="80" t="s">
        <v>97</v>
      </c>
      <c r="G8" s="96">
        <f>'Activity ratios'!G48</f>
        <v>1.6217682081396296</v>
      </c>
    </row>
    <row r="9" spans="2:11" x14ac:dyDescent="0.15">
      <c r="B9" s="105" t="s">
        <v>163</v>
      </c>
      <c r="C9" s="87">
        <f>E9*G9</f>
        <v>0.13136687601439562</v>
      </c>
      <c r="D9" s="58"/>
      <c r="E9" s="101">
        <f>'Profitability ratios'!K17</f>
        <v>7.7505953669625482E-2</v>
      </c>
      <c r="F9" s="58" t="s">
        <v>97</v>
      </c>
      <c r="G9" s="97">
        <f>'Activity ratios'!K48</f>
        <v>1.6949262578505397</v>
      </c>
    </row>
    <row r="11" spans="2:11" x14ac:dyDescent="0.15">
      <c r="C11" s="3"/>
    </row>
    <row r="12" spans="2:11" x14ac:dyDescent="0.15">
      <c r="B12" s="238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>
        <f>E17*G17*I17</f>
        <v>0.1443438544980018</v>
      </c>
      <c r="D17" s="80"/>
      <c r="E17" s="100">
        <f>E8</f>
        <v>8.9003998088963782E-2</v>
      </c>
      <c r="F17" s="80" t="s">
        <v>97</v>
      </c>
      <c r="G17" s="98">
        <f>'Activity ratios'!G37</f>
        <v>1.1378468774945567</v>
      </c>
      <c r="H17" s="80" t="s">
        <v>97</v>
      </c>
      <c r="I17" s="96">
        <f>'Solvency ratios'!G25</f>
        <v>1.4252956528831253</v>
      </c>
      <c r="J17" s="95"/>
    </row>
    <row r="18" spans="2:13" x14ac:dyDescent="0.15">
      <c r="B18" s="105" t="s">
        <v>163</v>
      </c>
      <c r="C18" s="87">
        <f>E18*G18*I18</f>
        <v>0.13136687601439564</v>
      </c>
      <c r="D18" s="58"/>
      <c r="E18" s="101">
        <f>E9</f>
        <v>7.7505953669625482E-2</v>
      </c>
      <c r="F18" s="58" t="s">
        <v>97</v>
      </c>
      <c r="G18" s="99">
        <f>'Activity ratios'!K37</f>
        <v>1.0923495329312995</v>
      </c>
      <c r="H18" s="58" t="s">
        <v>97</v>
      </c>
      <c r="I18" s="97">
        <f>'Solvency ratios'!K25</f>
        <v>1.5516336179521557</v>
      </c>
      <c r="J18" s="95"/>
    </row>
    <row r="21" spans="2:13" x14ac:dyDescent="0.15">
      <c r="B21" s="238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7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>
        <f>'P&amp;L'!D32/'P&amp;L'!D28</f>
        <v>0.89266619590436802</v>
      </c>
      <c r="F26" s="80"/>
      <c r="G26" s="102">
        <f>'P&amp;L'!D28/'P&amp;L'!D24</f>
        <v>0.87916278657265756</v>
      </c>
      <c r="H26" s="80"/>
      <c r="I26" s="100">
        <f>'Profitability ratios'!G9</f>
        <v>0.11340994241746086</v>
      </c>
      <c r="J26" s="80"/>
      <c r="K26" s="98">
        <f>G17</f>
        <v>1.1378468774945567</v>
      </c>
      <c r="L26" s="80"/>
      <c r="M26" s="96">
        <f>I17</f>
        <v>1.4252956528831253</v>
      </c>
    </row>
    <row r="27" spans="2:13" x14ac:dyDescent="0.15">
      <c r="B27" s="105" t="s">
        <v>163</v>
      </c>
      <c r="C27" s="103"/>
      <c r="D27" s="58"/>
      <c r="E27" s="104">
        <f>'P&amp;L'!E32/'P&amp;L'!E28</f>
        <v>0.89471323293816085</v>
      </c>
      <c r="F27" s="58"/>
      <c r="G27" s="104">
        <f>'P&amp;L'!E28/'P&amp;L'!E24</f>
        <v>0.83911383556487606</v>
      </c>
      <c r="H27" s="58"/>
      <c r="I27" s="101">
        <f>'Profitability ratios'!K9</f>
        <v>0.1032357986244109</v>
      </c>
      <c r="J27" s="58"/>
      <c r="K27" s="99">
        <f>G18</f>
        <v>1.0923495329312995</v>
      </c>
      <c r="L27" s="58"/>
      <c r="M27" s="97">
        <f>I18</f>
        <v>1.5516336179521557</v>
      </c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zoomScale="130" zoomScaleNormal="130" workbookViewId="0">
      <selection activeCell="G11" sqref="G11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1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0" customFormat="1" ht="13" thickBot="1" x14ac:dyDescent="0.2">
      <c r="B4" s="249" t="s">
        <v>178</v>
      </c>
      <c r="C4" s="250" t="s">
        <v>213</v>
      </c>
      <c r="D4" s="249" t="s">
        <v>103</v>
      </c>
      <c r="E4" s="251" t="s">
        <v>214</v>
      </c>
      <c r="F4" s="249" t="s">
        <v>103</v>
      </c>
      <c r="G4" s="251" t="s">
        <v>214</v>
      </c>
      <c r="H4" s="252" t="s">
        <v>219</v>
      </c>
    </row>
    <row r="5" spans="2:14" x14ac:dyDescent="0.15">
      <c r="B5" s="229" t="s">
        <v>209</v>
      </c>
      <c r="C5" s="233">
        <v>1.2</v>
      </c>
      <c r="D5" s="235">
        <f>(BS!D22-BS!D45)/BS!D23</f>
        <v>0.21741769246472928</v>
      </c>
      <c r="E5" s="236">
        <f>C5*D5</f>
        <v>0.26090123095767515</v>
      </c>
      <c r="F5" s="235">
        <f>(BS!E22-BS!E45)/BS!E23</f>
        <v>0.17068401973019551</v>
      </c>
      <c r="G5" s="236">
        <f>C5*F5</f>
        <v>0.20482082367623461</v>
      </c>
      <c r="H5" s="230" t="s">
        <v>215</v>
      </c>
    </row>
    <row r="6" spans="2:14" x14ac:dyDescent="0.15">
      <c r="B6" s="231" t="s">
        <v>210</v>
      </c>
      <c r="C6" s="202">
        <v>1.4</v>
      </c>
      <c r="D6" s="224">
        <f>BS!D29/BS!D23</f>
        <v>0.33734640616637518</v>
      </c>
      <c r="E6" s="203">
        <f t="shared" ref="E6:E9" si="0">C6*D6</f>
        <v>0.47228496863292524</v>
      </c>
      <c r="F6" s="224">
        <f>BS!E29/BS!E23</f>
        <v>0.30013668508943958</v>
      </c>
      <c r="G6" s="203">
        <f t="shared" ref="G6:G9" si="1">C6*F6</f>
        <v>0.42019135912521538</v>
      </c>
      <c r="H6" s="204" t="s">
        <v>216</v>
      </c>
    </row>
    <row r="7" spans="2:14" x14ac:dyDescent="0.15">
      <c r="B7" s="231" t="s">
        <v>211</v>
      </c>
      <c r="C7" s="202">
        <v>3.3</v>
      </c>
      <c r="D7" s="224">
        <f>'P&amp;L'!D24/BS!D23</f>
        <v>0.12442548871392237</v>
      </c>
      <c r="E7" s="203">
        <f t="shared" si="0"/>
        <v>0.41060411275594377</v>
      </c>
      <c r="F7" s="224">
        <f>'P&amp;L'!E24/BS!E23</f>
        <v>0.1105188090568729</v>
      </c>
      <c r="G7" s="203">
        <f t="shared" si="1"/>
        <v>0.36471206988768057</v>
      </c>
      <c r="H7" s="204" t="s">
        <v>217</v>
      </c>
    </row>
    <row r="8" spans="2:14" x14ac:dyDescent="0.15">
      <c r="B8" s="231" t="s">
        <v>208</v>
      </c>
      <c r="C8" s="237">
        <v>1</v>
      </c>
      <c r="D8" s="224">
        <f>'P&amp;L'!D13/BS!D23</f>
        <v>1.0971303402651718</v>
      </c>
      <c r="E8" s="203">
        <f t="shared" si="0"/>
        <v>1.0971303402651718</v>
      </c>
      <c r="F8" s="224">
        <f>'P&amp;L'!E13/BS!E23</f>
        <v>1.0705473346407559</v>
      </c>
      <c r="G8" s="203">
        <f t="shared" si="1"/>
        <v>1.0705473346407559</v>
      </c>
      <c r="H8" s="204" t="s">
        <v>220</v>
      </c>
    </row>
    <row r="9" spans="2:14" ht="13" thickBot="1" x14ac:dyDescent="0.2">
      <c r="B9" s="232" t="s">
        <v>212</v>
      </c>
      <c r="C9" s="234">
        <v>0.6</v>
      </c>
      <c r="D9" s="225">
        <f>'P&amp;L'!D54/BS!D46</f>
        <v>0.59233379515290241</v>
      </c>
      <c r="E9" s="206">
        <f t="shared" si="0"/>
        <v>0.35540027709174143</v>
      </c>
      <c r="F9" s="225">
        <f>'P&amp;L'!E54/BS!E46</f>
        <v>0.39458229334899425</v>
      </c>
      <c r="G9" s="206">
        <f t="shared" si="1"/>
        <v>0.23674937600939655</v>
      </c>
      <c r="H9" s="207" t="s">
        <v>218</v>
      </c>
    </row>
    <row r="10" spans="2:14" ht="13" thickBot="1" x14ac:dyDescent="0.2">
      <c r="B10" s="226" t="s">
        <v>222</v>
      </c>
      <c r="C10" s="227"/>
      <c r="D10" s="205"/>
      <c r="E10" s="228">
        <f>SUM(E5:E9)</f>
        <v>2.5963209297034573</v>
      </c>
      <c r="F10" s="208"/>
      <c r="G10" s="228">
        <f>SUM(G5:G9)</f>
        <v>2.2970209633392829</v>
      </c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0"/>
      <c r="C4" s="253" t="s">
        <v>25</v>
      </c>
      <c r="D4" s="254" t="s">
        <v>225</v>
      </c>
      <c r="E4" s="254" t="s">
        <v>224</v>
      </c>
      <c r="F4" s="253" t="s">
        <v>25</v>
      </c>
      <c r="G4" s="254" t="s">
        <v>225</v>
      </c>
      <c r="H4" s="255" t="s">
        <v>224</v>
      </c>
      <c r="I4" s="3" t="s">
        <v>273</v>
      </c>
    </row>
    <row r="5" spans="2:19" x14ac:dyDescent="0.15">
      <c r="B5" s="209" t="s">
        <v>247</v>
      </c>
      <c r="C5" s="210">
        <v>42980</v>
      </c>
      <c r="D5" s="211">
        <v>7134</v>
      </c>
      <c r="E5" s="212">
        <f t="shared" ref="E5:E9" si="0">D5/C5</f>
        <v>0.16598417868776175</v>
      </c>
      <c r="F5" s="210">
        <v>32980</v>
      </c>
      <c r="G5" s="211">
        <v>5401</v>
      </c>
      <c r="H5" s="213">
        <f t="shared" ref="H5:H9" si="1">G5/F5</f>
        <v>0.16376591873862947</v>
      </c>
      <c r="I5" s="142">
        <f>E5-H5</f>
        <v>2.218259949132273E-3</v>
      </c>
    </row>
    <row r="6" spans="2:19" x14ac:dyDescent="0.15">
      <c r="B6" s="214" t="s">
        <v>223</v>
      </c>
      <c r="C6" s="210">
        <v>33600</v>
      </c>
      <c r="D6" s="211">
        <v>6800</v>
      </c>
      <c r="E6" s="212">
        <f t="shared" si="0"/>
        <v>0.20238095238095238</v>
      </c>
      <c r="F6" s="210">
        <v>30600</v>
      </c>
      <c r="G6" s="211">
        <v>5460</v>
      </c>
      <c r="H6" s="213">
        <f t="shared" si="1"/>
        <v>0.17843137254901961</v>
      </c>
      <c r="I6" s="142">
        <f t="shared" ref="I6:I10" si="2">E6-H6</f>
        <v>2.3949579831932771E-2</v>
      </c>
    </row>
    <row r="7" spans="2:19" x14ac:dyDescent="0.15">
      <c r="B7" s="214" t="s">
        <v>248</v>
      </c>
      <c r="C7" s="210">
        <v>15233</v>
      </c>
      <c r="D7" s="211">
        <v>3679</v>
      </c>
      <c r="E7" s="212">
        <f t="shared" si="0"/>
        <v>0.24151513162213614</v>
      </c>
      <c r="F7" s="210">
        <v>14273</v>
      </c>
      <c r="G7" s="211">
        <v>3370</v>
      </c>
      <c r="H7" s="213">
        <f t="shared" si="1"/>
        <v>0.23611013802284034</v>
      </c>
      <c r="I7" s="142">
        <f t="shared" si="2"/>
        <v>5.4049935992958043E-3</v>
      </c>
    </row>
    <row r="8" spans="2:19" x14ac:dyDescent="0.15">
      <c r="B8" s="214" t="s">
        <v>250</v>
      </c>
      <c r="C8" s="210">
        <v>20190</v>
      </c>
      <c r="D8" s="211">
        <v>8350</v>
      </c>
      <c r="E8" s="212">
        <f t="shared" si="0"/>
        <v>0.41357107478949973</v>
      </c>
      <c r="F8" s="210">
        <v>19020</v>
      </c>
      <c r="G8" s="211">
        <v>7344</v>
      </c>
      <c r="H8" s="213">
        <f t="shared" si="1"/>
        <v>0.38611987381703472</v>
      </c>
      <c r="I8" s="142">
        <f t="shared" si="2"/>
        <v>2.7451200972465006E-2</v>
      </c>
    </row>
    <row r="9" spans="2:19" x14ac:dyDescent="0.15">
      <c r="B9" s="215" t="s">
        <v>249</v>
      </c>
      <c r="C9" s="210">
        <v>86842</v>
      </c>
      <c r="D9" s="211">
        <v>22590</v>
      </c>
      <c r="E9" s="212">
        <f t="shared" si="0"/>
        <v>0.26012758803344005</v>
      </c>
      <c r="F9" s="210">
        <v>83268</v>
      </c>
      <c r="G9" s="211">
        <v>19950</v>
      </c>
      <c r="H9" s="213">
        <f t="shared" si="1"/>
        <v>0.23958783686410146</v>
      </c>
      <c r="I9" s="142">
        <f t="shared" si="2"/>
        <v>2.0539751169338594E-2</v>
      </c>
      <c r="S9" s="216"/>
    </row>
    <row r="10" spans="2:19" s="140" customFormat="1" x14ac:dyDescent="0.15">
      <c r="B10" s="217" t="s">
        <v>226</v>
      </c>
      <c r="C10" s="218">
        <f>'P&amp;L'!D13</f>
        <v>198845</v>
      </c>
      <c r="D10" s="219">
        <f>'P&amp;L'!D17</f>
        <v>48553.16</v>
      </c>
      <c r="E10" s="220">
        <f>D10/C10</f>
        <v>0.24417591591440571</v>
      </c>
      <c r="F10" s="221">
        <f>'P&amp;L'!E13</f>
        <v>180141</v>
      </c>
      <c r="G10" s="222">
        <f>'P&amp;L'!E17</f>
        <v>41525.160000000003</v>
      </c>
      <c r="H10" s="223">
        <f>G10/F10</f>
        <v>0.23051476343530902</v>
      </c>
      <c r="I10" s="142">
        <f t="shared" si="2"/>
        <v>1.3661152479096689E-2</v>
      </c>
    </row>
    <row r="11" spans="2:19" x14ac:dyDescent="0.15">
      <c r="C11" s="136"/>
      <c r="D11" s="136"/>
      <c r="E11" s="19"/>
      <c r="F11" s="137"/>
      <c r="G11" s="137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3" t="s">
        <v>25</v>
      </c>
      <c r="D14" s="254" t="s">
        <v>225</v>
      </c>
      <c r="E14" s="255" t="s">
        <v>224</v>
      </c>
      <c r="F14" s="253" t="s">
        <v>25</v>
      </c>
      <c r="G14" s="254" t="s">
        <v>225</v>
      </c>
      <c r="H14" s="255" t="s">
        <v>224</v>
      </c>
    </row>
    <row r="15" spans="2:19" x14ac:dyDescent="0.15">
      <c r="B15" s="209" t="s">
        <v>227</v>
      </c>
      <c r="C15" s="210">
        <v>127855</v>
      </c>
      <c r="D15" s="211">
        <v>27134</v>
      </c>
      <c r="E15" s="213">
        <f t="shared" ref="E15:E17" si="3">D15/C15</f>
        <v>0.2122247858902663</v>
      </c>
      <c r="F15" s="210">
        <v>113268</v>
      </c>
      <c r="G15" s="211">
        <v>20401</v>
      </c>
      <c r="H15" s="213">
        <f t="shared" ref="H15:H17" si="4">G15/F15</f>
        <v>0.18011265317653707</v>
      </c>
    </row>
    <row r="16" spans="2:19" x14ac:dyDescent="0.15">
      <c r="B16" s="214" t="s">
        <v>228</v>
      </c>
      <c r="C16" s="210">
        <v>44600</v>
      </c>
      <c r="D16" s="211">
        <v>10822</v>
      </c>
      <c r="E16" s="213">
        <f t="shared" si="3"/>
        <v>0.24264573991031391</v>
      </c>
      <c r="F16" s="210">
        <v>40600</v>
      </c>
      <c r="G16" s="211">
        <v>9760</v>
      </c>
      <c r="H16" s="213">
        <f t="shared" si="4"/>
        <v>0.24039408866995074</v>
      </c>
    </row>
    <row r="17" spans="2:8" x14ac:dyDescent="0.15">
      <c r="B17" s="214" t="s">
        <v>251</v>
      </c>
      <c r="C17" s="210">
        <v>26390</v>
      </c>
      <c r="D17" s="211">
        <v>10597</v>
      </c>
      <c r="E17" s="213">
        <f t="shared" si="3"/>
        <v>0.40155361879499812</v>
      </c>
      <c r="F17" s="210">
        <v>26273</v>
      </c>
      <c r="G17" s="211">
        <v>11364</v>
      </c>
      <c r="H17" s="213">
        <f t="shared" si="4"/>
        <v>0.43253530240170518</v>
      </c>
    </row>
    <row r="18" spans="2:8" x14ac:dyDescent="0.15">
      <c r="B18" s="217" t="s">
        <v>226</v>
      </c>
      <c r="C18" s="218">
        <f>C10</f>
        <v>198845</v>
      </c>
      <c r="D18" s="219">
        <f t="shared" ref="D18:H18" si="5">D10</f>
        <v>48553.16</v>
      </c>
      <c r="E18" s="223">
        <f t="shared" si="5"/>
        <v>0.24417591591440571</v>
      </c>
      <c r="F18" s="221">
        <f t="shared" si="5"/>
        <v>180141</v>
      </c>
      <c r="G18" s="222">
        <f t="shared" si="5"/>
        <v>41525.160000000003</v>
      </c>
      <c r="H18" s="223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D24" sqref="D24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39" t="s">
        <v>79</v>
      </c>
      <c r="C55" s="240"/>
      <c r="D55" s="241">
        <v>-2281</v>
      </c>
      <c r="E55" s="242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A9" zoomScaleNormal="100" workbookViewId="0">
      <selection activeCell="K49" sqref="K49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4"/>
    </row>
    <row r="5" spans="2:15" ht="12" customHeight="1" x14ac:dyDescent="0.15">
      <c r="B5" s="266" t="s">
        <v>41</v>
      </c>
      <c r="C5" s="40" t="s">
        <v>40</v>
      </c>
      <c r="E5" s="42">
        <f>'P&amp;L'!D13</f>
        <v>198845</v>
      </c>
      <c r="F5" s="264"/>
      <c r="G5" s="53">
        <f>E5/E6</f>
        <v>7.8186929852154767</v>
      </c>
      <c r="I5" s="42">
        <f>'P&amp;L'!E13</f>
        <v>180141</v>
      </c>
      <c r="J5" s="264"/>
      <c r="K5" s="53">
        <f>I5/I6</f>
        <v>7.1016715288181027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46.682994292036511</v>
      </c>
      <c r="I9" s="59">
        <f>C9</f>
        <v>365</v>
      </c>
      <c r="J9" s="264"/>
      <c r="K9" s="53">
        <f>I9/I10</f>
        <v>51.396350636445895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7.8186929852154767</v>
      </c>
      <c r="F10" s="265"/>
      <c r="G10" s="46"/>
      <c r="I10" s="60">
        <f>K5</f>
        <v>7.1016715288181027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>
        <f>E5</f>
        <v>198845</v>
      </c>
      <c r="F29" s="264"/>
      <c r="G29" s="44">
        <f>E29/E30</f>
        <v>1.8745787159025025</v>
      </c>
      <c r="I29" s="42">
        <f>I5</f>
        <v>180141</v>
      </c>
      <c r="J29" s="264"/>
      <c r="K29" s="44">
        <f>I29/I30</f>
        <v>1.72279045747321</v>
      </c>
      <c r="M29" s="268" t="s">
        <v>243</v>
      </c>
    </row>
    <row r="30" spans="2:14" x14ac:dyDescent="0.15">
      <c r="B30" s="267"/>
      <c r="C30" s="41" t="s">
        <v>55</v>
      </c>
      <c r="E30" s="45">
        <f>AVERAGE(BS!D11:E11)</f>
        <v>106074.5</v>
      </c>
      <c r="F30" s="265"/>
      <c r="G30" s="46"/>
      <c r="I30" s="45">
        <f>AVERAGE(BS!E11:F11)</f>
        <v>104563.5</v>
      </c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>
        <f>E29</f>
        <v>198845</v>
      </c>
      <c r="F33" s="264"/>
      <c r="G33" s="44">
        <f>E33/E34</f>
        <v>5.8375656871091799</v>
      </c>
      <c r="I33" s="42">
        <f>I29</f>
        <v>180141</v>
      </c>
      <c r="J33" s="264"/>
      <c r="K33" s="44">
        <f>I33/I34</f>
        <v>7.4487677803506447</v>
      </c>
      <c r="M33" s="268" t="s">
        <v>244</v>
      </c>
    </row>
    <row r="34" spans="2:13" x14ac:dyDescent="0.15">
      <c r="B34" s="267"/>
      <c r="C34" s="41" t="s">
        <v>56</v>
      </c>
      <c r="E34" s="45">
        <f>AVERAGE(BS!D22:E22) - AVERAGE(BS!D45:E45)</f>
        <v>34063</v>
      </c>
      <c r="F34" s="265"/>
      <c r="G34" s="46"/>
      <c r="I34" s="45">
        <f>AVERAGE(BS!E22:F22)-AVERAGE(BS!E45:F45)</f>
        <v>24184</v>
      </c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>
        <f>E33</f>
        <v>198845</v>
      </c>
      <c r="F37" s="264"/>
      <c r="G37" s="44">
        <f>E37/E38</f>
        <v>1.1378468774945567</v>
      </c>
      <c r="I37" s="42">
        <f>I33</f>
        <v>180141</v>
      </c>
      <c r="J37" s="264"/>
      <c r="K37" s="44">
        <f>I37/I38</f>
        <v>1.0923495329312995</v>
      </c>
      <c r="M37" s="268" t="s">
        <v>245</v>
      </c>
    </row>
    <row r="38" spans="2:13" x14ac:dyDescent="0.15">
      <c r="B38" s="267"/>
      <c r="C38" s="41" t="s">
        <v>54</v>
      </c>
      <c r="E38" s="45">
        <f>AVERAGE(BS!D23:E23)</f>
        <v>174755.5</v>
      </c>
      <c r="F38" s="265"/>
      <c r="G38" s="46"/>
      <c r="I38" s="45">
        <f>AVERAGE(BS!E23:F23)</f>
        <v>164911.5</v>
      </c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46.682994292036511</v>
      </c>
      <c r="F41" s="43"/>
      <c r="G41" s="53">
        <f>E41+E43-E45</f>
        <v>62.131648152871804</v>
      </c>
      <c r="I41" s="52">
        <f>K9</f>
        <v>51.396350636445895</v>
      </c>
      <c r="J41" s="43"/>
      <c r="K41" s="53">
        <f>I41+I43-I45</f>
        <v>66.374159453238519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>
        <f>E37</f>
        <v>198845</v>
      </c>
      <c r="F48" s="264"/>
      <c r="G48" s="44">
        <f>E48/E49</f>
        <v>1.6217682081396296</v>
      </c>
      <c r="I48" s="42">
        <f>I37</f>
        <v>180141</v>
      </c>
      <c r="J48" s="264"/>
      <c r="K48" s="44">
        <f>I48/I49</f>
        <v>1.6949262578505397</v>
      </c>
      <c r="M48" s="268" t="s">
        <v>246</v>
      </c>
    </row>
    <row r="49" spans="2:13" x14ac:dyDescent="0.15">
      <c r="B49" s="267"/>
      <c r="C49" s="41" t="s">
        <v>74</v>
      </c>
      <c r="E49" s="45">
        <f>AVERAGE(BS!D32:E32)</f>
        <v>122610</v>
      </c>
      <c r="F49" s="265"/>
      <c r="G49" s="46"/>
      <c r="I49" s="45">
        <f>AVERAGE(BS!E32:F32)</f>
        <v>106282.5</v>
      </c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>
        <f>BS!D22</f>
        <v>70907</v>
      </c>
      <c r="F5" s="264"/>
      <c r="G5" s="53">
        <f>E5/E6</f>
        <v>2.250872960446956</v>
      </c>
      <c r="I5" s="42">
        <f>BS!E22</f>
        <v>61001</v>
      </c>
      <c r="J5" s="264"/>
      <c r="K5" s="53">
        <f>I5/I6</f>
        <v>1.8897459727385377</v>
      </c>
      <c r="M5" s="274" t="s">
        <v>131</v>
      </c>
    </row>
    <row r="6" spans="2:13" x14ac:dyDescent="0.15">
      <c r="B6" s="267"/>
      <c r="C6" s="41" t="s">
        <v>59</v>
      </c>
      <c r="D6" s="21"/>
      <c r="E6" s="45">
        <f>BS!D45</f>
        <v>31502</v>
      </c>
      <c r="F6" s="265"/>
      <c r="G6" s="46"/>
      <c r="I6" s="45">
        <f>BS!E45</f>
        <v>32280</v>
      </c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>
        <f>SUM(BS!D19:D21)</f>
        <v>45538</v>
      </c>
      <c r="F9" s="264"/>
      <c r="G9" s="53">
        <f>E9/E10</f>
        <v>1.4455590121262143</v>
      </c>
      <c r="I9" s="42">
        <f>SUM(BS!E19:E21)</f>
        <v>37243</v>
      </c>
      <c r="J9" s="264"/>
      <c r="K9" s="53">
        <f>I9/I10</f>
        <v>1.1537484510532838</v>
      </c>
      <c r="M9" s="274" t="s">
        <v>132</v>
      </c>
    </row>
    <row r="10" spans="2:13" x14ac:dyDescent="0.15">
      <c r="B10" s="267"/>
      <c r="C10" s="41" t="s">
        <v>59</v>
      </c>
      <c r="D10" s="21"/>
      <c r="E10" s="65">
        <f>BS!D45</f>
        <v>31502</v>
      </c>
      <c r="F10" s="265"/>
      <c r="G10" s="46"/>
      <c r="I10" s="45">
        <f>BS!E45</f>
        <v>32280</v>
      </c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>
        <f>SUM((BS!D20:D21))</f>
        <v>19291</v>
      </c>
      <c r="F13" s="264"/>
      <c r="G13" s="53">
        <f>E13/E14</f>
        <v>0.61237381753539455</v>
      </c>
      <c r="I13" s="42">
        <f>SUM(BS!E20:E21)</f>
        <v>12626</v>
      </c>
      <c r="J13" s="264"/>
      <c r="K13" s="53">
        <f>I13/I14</f>
        <v>0.39114002478314747</v>
      </c>
      <c r="M13" s="274" t="s">
        <v>133</v>
      </c>
    </row>
    <row r="14" spans="2:13" x14ac:dyDescent="0.15">
      <c r="B14" s="267"/>
      <c r="C14" s="41" t="s">
        <v>59</v>
      </c>
      <c r="D14" s="21"/>
      <c r="E14" s="65">
        <f>BS!D45</f>
        <v>31502</v>
      </c>
      <c r="F14" s="265"/>
      <c r="G14" s="46"/>
      <c r="I14" s="45">
        <f>BS!E45</f>
        <v>32280</v>
      </c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>
        <f>SUM(BS!D19:D21)</f>
        <v>45538</v>
      </c>
      <c r="F17" s="264"/>
      <c r="G17" s="53">
        <f>E17/E18</f>
        <v>94.282108296368563</v>
      </c>
      <c r="I17" s="42">
        <f>SUM(BS!E19:E21)</f>
        <v>37243</v>
      </c>
      <c r="J17" s="264"/>
      <c r="K17" s="53">
        <f>I17/I18</f>
        <v>84.148560144604573</v>
      </c>
      <c r="M17" s="274" t="s">
        <v>171</v>
      </c>
    </row>
    <row r="18" spans="2:13" x14ac:dyDescent="0.15">
      <c r="B18" s="267"/>
      <c r="C18" s="41" t="s">
        <v>65</v>
      </c>
      <c r="D18" s="21"/>
      <c r="E18" s="65">
        <f>('P&amp;L'!D15+'P&amp;L'!D19+'P&amp;L'!D20+'P&amp;L'!D21)/-365</f>
        <v>482.99726027397259</v>
      </c>
      <c r="F18" s="265"/>
      <c r="G18" s="46"/>
      <c r="I18" s="45">
        <f>('P&amp;L'!E15+'P&amp;L'!E19+'P&amp;L'!E20+'P&amp;L'!E21)/-365</f>
        <v>442.58630136986301</v>
      </c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>
        <f>BS!D42+BS!D36</f>
        <v>29474</v>
      </c>
      <c r="F5" s="264"/>
      <c r="G5" s="66">
        <f>E5/E6</f>
        <v>0.2242426086824206</v>
      </c>
      <c r="I5" s="42">
        <f>BS!E42+BS!E36</f>
        <v>35016</v>
      </c>
      <c r="J5" s="264"/>
      <c r="K5" s="66">
        <f>I5/I6</f>
        <v>0.30774639222372607</v>
      </c>
      <c r="M5" s="268" t="s">
        <v>142</v>
      </c>
    </row>
    <row r="6" spans="2:13" x14ac:dyDescent="0.15">
      <c r="B6" s="267"/>
      <c r="C6" s="41" t="s">
        <v>70</v>
      </c>
      <c r="D6" s="21"/>
      <c r="E6" s="45">
        <f>BS!D32</f>
        <v>131438</v>
      </c>
      <c r="F6" s="265"/>
      <c r="G6" s="67"/>
      <c r="I6" s="45">
        <f>BS!E32</f>
        <v>113782</v>
      </c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>
        <f>E5</f>
        <v>29474</v>
      </c>
      <c r="F9" s="264"/>
      <c r="G9" s="66">
        <f>E9/E10</f>
        <v>0.18316843989261211</v>
      </c>
      <c r="I9" s="59">
        <f>I5</f>
        <v>35016</v>
      </c>
      <c r="J9" s="264"/>
      <c r="K9" s="66">
        <f>I9/I10</f>
        <v>0.23532574362558636</v>
      </c>
      <c r="M9" s="268" t="s">
        <v>143</v>
      </c>
    </row>
    <row r="10" spans="2:13" x14ac:dyDescent="0.15">
      <c r="B10" s="267"/>
      <c r="C10" s="41" t="s">
        <v>71</v>
      </c>
      <c r="D10" s="21"/>
      <c r="E10" s="65">
        <f>BS!D32+BS!D36+BS!D42</f>
        <v>160912</v>
      </c>
      <c r="F10" s="265"/>
      <c r="G10" s="67"/>
      <c r="I10" s="65">
        <f>I6+I5</f>
        <v>148798</v>
      </c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>
        <f>E9</f>
        <v>29474</v>
      </c>
      <c r="F13" s="264"/>
      <c r="G13" s="66">
        <f>E13/E14</f>
        <v>0.16262324749918616</v>
      </c>
      <c r="I13" s="59">
        <f>I9</f>
        <v>35016</v>
      </c>
      <c r="J13" s="264"/>
      <c r="K13" s="66">
        <f>I13/I14</f>
        <v>0.20809413442681404</v>
      </c>
      <c r="M13" s="268" t="s">
        <v>144</v>
      </c>
    </row>
    <row r="14" spans="2:13" x14ac:dyDescent="0.15">
      <c r="B14" s="267"/>
      <c r="C14" s="41" t="s">
        <v>72</v>
      </c>
      <c r="D14" s="21"/>
      <c r="E14" s="65">
        <f>BS!D23</f>
        <v>181241</v>
      </c>
      <c r="F14" s="265"/>
      <c r="G14" s="67"/>
      <c r="I14" s="65">
        <f>BS!E23</f>
        <v>168270</v>
      </c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>
        <f>'P&amp;L'!D24</f>
        <v>22551.000000000004</v>
      </c>
      <c r="F17" s="264"/>
      <c r="G17" s="71">
        <f>E17/E18</f>
        <v>8.2755963302752313</v>
      </c>
      <c r="I17" s="59">
        <f>'P&amp;L'!E24</f>
        <v>18597.000000000004</v>
      </c>
      <c r="J17" s="264"/>
      <c r="K17" s="71">
        <f>I17/I18</f>
        <v>6.2155748663101615</v>
      </c>
      <c r="M17" s="268" t="s">
        <v>145</v>
      </c>
    </row>
    <row r="18" spans="2:13" x14ac:dyDescent="0.15">
      <c r="B18" s="267"/>
      <c r="C18" s="41" t="s">
        <v>76</v>
      </c>
      <c r="D18" s="21"/>
      <c r="E18" s="65">
        <f>'P&amp;L'!D26 * -1</f>
        <v>2725</v>
      </c>
      <c r="F18" s="265"/>
      <c r="G18" s="67"/>
      <c r="I18" s="65">
        <f>'P&amp;L'!E26*-1</f>
        <v>2992</v>
      </c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>
        <f>'P&amp;L'!D24+'P&amp;L'!D55*-1</f>
        <v>24832.000000000004</v>
      </c>
      <c r="F21" s="264"/>
      <c r="G21" s="71">
        <f>E21/E22</f>
        <v>4.9604474630443471</v>
      </c>
      <c r="I21" s="59">
        <f>'P&amp;L'!E24+'P&amp;L'!E55*-1</f>
        <v>21072.000000000004</v>
      </c>
      <c r="J21" s="264"/>
      <c r="K21" s="71">
        <f>I21/I22</f>
        <v>3.8543991220047564</v>
      </c>
      <c r="M21" s="268" t="s">
        <v>146</v>
      </c>
    </row>
    <row r="22" spans="2:13" x14ac:dyDescent="0.15">
      <c r="B22" s="267"/>
      <c r="C22" s="41" t="s">
        <v>78</v>
      </c>
      <c r="D22" s="21"/>
      <c r="E22" s="65">
        <f>'P&amp;L'!D26*-1 +'P&amp;L'!D55*-1</f>
        <v>5006</v>
      </c>
      <c r="F22" s="265"/>
      <c r="G22" s="67"/>
      <c r="I22" s="65">
        <f>-1*('P&amp;L'!E55+'P&amp;L'!E26)</f>
        <v>5467</v>
      </c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>
        <f>AVERAGE(BS!D23:E23)</f>
        <v>174755.5</v>
      </c>
      <c r="F25" s="264"/>
      <c r="G25" s="71">
        <f>E25/E26</f>
        <v>1.4252956528831253</v>
      </c>
      <c r="I25" s="59">
        <f>AVERAGE(BS!E23:F23)</f>
        <v>164911.5</v>
      </c>
      <c r="J25" s="264"/>
      <c r="K25" s="71">
        <f>I25/I26</f>
        <v>1.5516336179521557</v>
      </c>
      <c r="M25" s="268" t="s">
        <v>172</v>
      </c>
    </row>
    <row r="26" spans="2:13" x14ac:dyDescent="0.15">
      <c r="B26" s="267"/>
      <c r="C26" s="41" t="s">
        <v>74</v>
      </c>
      <c r="D26" s="21"/>
      <c r="E26" s="65">
        <f>AVERAGE(BS!D32:E32)</f>
        <v>122610</v>
      </c>
      <c r="F26" s="265"/>
      <c r="G26" s="67"/>
      <c r="I26" s="65">
        <f>AVERAGE(BS!E32:F32)</f>
        <v>106282.5</v>
      </c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>
        <f>'P&amp;L'!D17</f>
        <v>48553.16</v>
      </c>
      <c r="F5" s="264"/>
      <c r="G5" s="72">
        <f>E5/E6</f>
        <v>0.24417591591440571</v>
      </c>
      <c r="I5" s="59">
        <f>'P&amp;L'!E17</f>
        <v>41525.160000000003</v>
      </c>
      <c r="J5" s="264"/>
      <c r="K5" s="72">
        <f>I5/I6</f>
        <v>0.23051476343530902</v>
      </c>
      <c r="M5" s="268" t="s">
        <v>150</v>
      </c>
    </row>
    <row r="6" spans="2:13" x14ac:dyDescent="0.15">
      <c r="B6" s="267"/>
      <c r="C6" s="41" t="s">
        <v>53</v>
      </c>
      <c r="D6" s="21"/>
      <c r="E6" s="65">
        <f>'P&amp;L'!D13</f>
        <v>198845</v>
      </c>
      <c r="F6" s="265"/>
      <c r="G6" s="46"/>
      <c r="I6" s="65">
        <f>'P&amp;L'!E13</f>
        <v>180141</v>
      </c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>
        <f>'P&amp;L'!D24</f>
        <v>22551.000000000004</v>
      </c>
      <c r="F9" s="264"/>
      <c r="G9" s="72">
        <f>E9/E10</f>
        <v>0.11340994241746086</v>
      </c>
      <c r="I9" s="42">
        <f>'P&amp;L'!E24</f>
        <v>18597.000000000004</v>
      </c>
      <c r="J9" s="264"/>
      <c r="K9" s="72">
        <f>I9/I10</f>
        <v>0.1032357986244109</v>
      </c>
      <c r="M9" s="268" t="s">
        <v>152</v>
      </c>
    </row>
    <row r="10" spans="2:13" x14ac:dyDescent="0.15">
      <c r="B10" s="267"/>
      <c r="C10" s="41" t="s">
        <v>53</v>
      </c>
      <c r="D10" s="21"/>
      <c r="E10" s="45">
        <f>E6</f>
        <v>198845</v>
      </c>
      <c r="F10" s="265"/>
      <c r="G10" s="46"/>
      <c r="I10" s="45">
        <f>I6</f>
        <v>180141</v>
      </c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>
        <f>'P&amp;L'!D28</f>
        <v>19826.000000000004</v>
      </c>
      <c r="F13" s="264"/>
      <c r="G13" s="72">
        <f>E13/E14</f>
        <v>9.9705801000779526E-2</v>
      </c>
      <c r="I13" s="59">
        <f>'P&amp;L'!E28</f>
        <v>15605.000000000004</v>
      </c>
      <c r="J13" s="264"/>
      <c r="K13" s="72">
        <f>I13/I14</f>
        <v>8.6626586951332588E-2</v>
      </c>
      <c r="M13" s="268" t="s">
        <v>153</v>
      </c>
    </row>
    <row r="14" spans="2:13" x14ac:dyDescent="0.15">
      <c r="B14" s="267"/>
      <c r="C14" s="41" t="s">
        <v>53</v>
      </c>
      <c r="D14" s="21"/>
      <c r="E14" s="45">
        <f>E10</f>
        <v>198845</v>
      </c>
      <c r="F14" s="265"/>
      <c r="G14" s="46"/>
      <c r="I14" s="45">
        <f>I10</f>
        <v>180141</v>
      </c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>
        <f>'P&amp;L'!D32</f>
        <v>17698.000000000004</v>
      </c>
      <c r="F17" s="264"/>
      <c r="G17" s="72">
        <f>E17/E18</f>
        <v>8.9003998088963782E-2</v>
      </c>
      <c r="I17" s="42">
        <f>'P&amp;L'!E32</f>
        <v>13962.000000000004</v>
      </c>
      <c r="J17" s="264"/>
      <c r="K17" s="72">
        <f>I17/I18</f>
        <v>7.7505953669625482E-2</v>
      </c>
      <c r="M17" s="268" t="s">
        <v>149</v>
      </c>
    </row>
    <row r="18" spans="2:13" x14ac:dyDescent="0.15">
      <c r="B18" s="267"/>
      <c r="C18" s="41" t="s">
        <v>53</v>
      </c>
      <c r="D18" s="21"/>
      <c r="E18" s="45">
        <f>E14</f>
        <v>198845</v>
      </c>
      <c r="F18" s="265"/>
      <c r="G18" s="46"/>
      <c r="I18" s="45">
        <f>I14</f>
        <v>180141</v>
      </c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>
        <f>E17</f>
        <v>17698.000000000004</v>
      </c>
      <c r="F21" s="264"/>
      <c r="G21" s="72">
        <f>E21/E22</f>
        <v>0.10127292131005892</v>
      </c>
      <c r="I21" s="59">
        <f>I17</f>
        <v>13962.000000000004</v>
      </c>
      <c r="J21" s="264"/>
      <c r="K21" s="72">
        <f>I21/I22</f>
        <v>8.4663592290410331E-2</v>
      </c>
      <c r="M21" s="268" t="s">
        <v>154</v>
      </c>
    </row>
    <row r="22" spans="2:13" x14ac:dyDescent="0.15">
      <c r="B22" s="267"/>
      <c r="C22" s="41" t="s">
        <v>54</v>
      </c>
      <c r="D22" s="21"/>
      <c r="E22" s="45">
        <f>AVERAGE(BS!D23:E23)</f>
        <v>174755.5</v>
      </c>
      <c r="F22" s="265"/>
      <c r="G22" s="46"/>
      <c r="I22" s="45">
        <f>AVERAGE(BS!E23:F23)</f>
        <v>164911.5</v>
      </c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>
        <f>E9</f>
        <v>22551.000000000004</v>
      </c>
      <c r="F25" s="264"/>
      <c r="G25" s="72">
        <f>E25/E26</f>
        <v>0.1290431488565453</v>
      </c>
      <c r="I25" s="59">
        <f>I9</f>
        <v>18597.000000000004</v>
      </c>
      <c r="J25" s="264"/>
      <c r="K25" s="72">
        <f>I25/I26</f>
        <v>0.11276957640916493</v>
      </c>
      <c r="M25" s="268" t="s">
        <v>155</v>
      </c>
    </row>
    <row r="26" spans="2:13" x14ac:dyDescent="0.15">
      <c r="B26" s="267"/>
      <c r="C26" s="41" t="s">
        <v>54</v>
      </c>
      <c r="D26" s="21"/>
      <c r="E26" s="45">
        <f>E22</f>
        <v>174755.5</v>
      </c>
      <c r="F26" s="265"/>
      <c r="G26" s="46"/>
      <c r="I26" s="45">
        <f>I22</f>
        <v>164911.5</v>
      </c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>
        <f>E9</f>
        <v>22551.000000000004</v>
      </c>
      <c r="F29" s="264"/>
      <c r="G29" s="72">
        <f>E29/E30</f>
        <v>0.14562655387297796</v>
      </c>
      <c r="I29" s="59">
        <f>I9</f>
        <v>18597.000000000004</v>
      </c>
      <c r="J29" s="264"/>
      <c r="K29" s="72">
        <f>I29/I30</f>
        <v>0.1276687765161397</v>
      </c>
      <c r="M29" s="268" t="s">
        <v>157</v>
      </c>
    </row>
    <row r="30" spans="2:13" x14ac:dyDescent="0.15">
      <c r="B30" s="267"/>
      <c r="C30" s="41" t="s">
        <v>84</v>
      </c>
      <c r="D30" s="21"/>
      <c r="E30" s="45">
        <f>AVERAGE(BS!D32:E32)+AVERAGE(BS!D36:E36)+AVERAGE(BS!D42:E42)</f>
        <v>154855</v>
      </c>
      <c r="F30" s="265"/>
      <c r="G30" s="46"/>
      <c r="I30" s="45">
        <f>AVERAGE(BS!E32:F32) + AVERAGE(BS!E36:F36) + AVERAGE(BS!E42:F42)</f>
        <v>145666</v>
      </c>
      <c r="J30" s="265"/>
      <c r="K30" s="46"/>
      <c r="M30" s="269"/>
    </row>
    <row r="33" spans="2:13" ht="12" customHeight="1" x14ac:dyDescent="0.15">
      <c r="B33" s="278" t="s">
        <v>166</v>
      </c>
      <c r="C33" s="243" t="s">
        <v>80</v>
      </c>
      <c r="D33" s="73"/>
      <c r="E33" s="244">
        <f>E17</f>
        <v>17698.000000000004</v>
      </c>
      <c r="F33" s="276"/>
      <c r="G33" s="245">
        <f>E33/E34</f>
        <v>0.14434385449800183</v>
      </c>
      <c r="H33" s="73"/>
      <c r="I33" s="244">
        <f>I17</f>
        <v>13962.000000000004</v>
      </c>
      <c r="J33" s="276"/>
      <c r="K33" s="245">
        <f>I33/I34</f>
        <v>0.13136687601439562</v>
      </c>
      <c r="M33" s="268" t="s">
        <v>158</v>
      </c>
    </row>
    <row r="34" spans="2:13" x14ac:dyDescent="0.15">
      <c r="B34" s="279"/>
      <c r="C34" s="246" t="s">
        <v>94</v>
      </c>
      <c r="D34" s="73"/>
      <c r="E34" s="247">
        <f>AVERAGE(BS!D32:E32)</f>
        <v>122610</v>
      </c>
      <c r="F34" s="277"/>
      <c r="G34" s="197"/>
      <c r="H34" s="73"/>
      <c r="I34" s="247">
        <f>AVERAGE(BS!E32:F32)</f>
        <v>106282.5</v>
      </c>
      <c r="J34" s="277"/>
      <c r="K34" s="197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zoomScale="130" zoomScaleNormal="130" workbookViewId="0">
      <selection activeCell="G31" sqref="G31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>
        <f>'P&amp;L'!D32</f>
        <v>17698.000000000004</v>
      </c>
      <c r="F5" s="264"/>
      <c r="G5" s="71">
        <f>E5/E6</f>
        <v>1.7698000000000003</v>
      </c>
      <c r="I5" s="59">
        <f>'P&amp;L'!E32</f>
        <v>13962.000000000004</v>
      </c>
      <c r="J5" s="264"/>
      <c r="K5" s="113">
        <f>I5/I6</f>
        <v>1.3962000000000003</v>
      </c>
      <c r="M5" s="268" t="s">
        <v>180</v>
      </c>
    </row>
    <row r="6" spans="2:15" x14ac:dyDescent="0.15">
      <c r="B6" s="267"/>
      <c r="C6" s="41" t="s">
        <v>181</v>
      </c>
      <c r="D6" s="21"/>
      <c r="E6" s="65">
        <f>'P&amp;L'!D50</f>
        <v>10000</v>
      </c>
      <c r="F6" s="265"/>
      <c r="G6" s="46"/>
      <c r="I6" s="65">
        <f>E6</f>
        <v>10000</v>
      </c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>
        <f>'P&amp;L'!D53</f>
        <v>2.95</v>
      </c>
      <c r="F9" s="264"/>
      <c r="G9" s="71">
        <f>E9/E10</f>
        <v>1.6668550118657475</v>
      </c>
      <c r="I9" s="194">
        <f>'P&amp;L'!E53</f>
        <v>2.15</v>
      </c>
      <c r="J9" s="276"/>
      <c r="K9" s="195">
        <f>I9/I10</f>
        <v>1.5398939979945563</v>
      </c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>
        <f>G5</f>
        <v>1.7698000000000003</v>
      </c>
      <c r="F10" s="265"/>
      <c r="G10" s="46"/>
      <c r="I10" s="196">
        <f>K5</f>
        <v>1.3962000000000003</v>
      </c>
      <c r="J10" s="277"/>
      <c r="K10" s="197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>
        <f>'P&amp;L'!D54</f>
        <v>29500</v>
      </c>
      <c r="F13" s="264"/>
      <c r="G13" s="71">
        <f>E13/E14</f>
        <v>1.6668550118657472</v>
      </c>
      <c r="I13" s="119">
        <f>'P&amp;L'!E54</f>
        <v>21500</v>
      </c>
      <c r="J13" s="264"/>
      <c r="K13" s="113">
        <f>I13/I14</f>
        <v>1.5398939979945563</v>
      </c>
      <c r="M13" s="268" t="s">
        <v>191</v>
      </c>
    </row>
    <row r="14" spans="2:15" x14ac:dyDescent="0.15">
      <c r="B14" s="267"/>
      <c r="C14" s="41" t="s">
        <v>95</v>
      </c>
      <c r="E14" s="120">
        <f>'P&amp;L'!D32</f>
        <v>17698.000000000004</v>
      </c>
      <c r="F14" s="265"/>
      <c r="G14" s="46"/>
      <c r="I14" s="120">
        <f>'P&amp;L'!E32</f>
        <v>13962.000000000004</v>
      </c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>
        <f>'P&amp;L'!D51</f>
        <v>0.88</v>
      </c>
      <c r="F17" s="264"/>
      <c r="G17" s="248">
        <f>E17/E18</f>
        <v>0.29830508474576267</v>
      </c>
      <c r="I17" s="116">
        <f>'P&amp;L'!E51</f>
        <v>0.65</v>
      </c>
      <c r="J17" s="264"/>
      <c r="K17" s="248">
        <f>I17/I18</f>
        <v>0.30232558139534887</v>
      </c>
      <c r="M17" s="268" t="s">
        <v>195</v>
      </c>
    </row>
    <row r="18" spans="2:15" x14ac:dyDescent="0.15">
      <c r="B18" s="267"/>
      <c r="C18" s="41" t="s">
        <v>194</v>
      </c>
      <c r="E18" s="117">
        <f>'P&amp;L'!D53</f>
        <v>2.95</v>
      </c>
      <c r="F18" s="265"/>
      <c r="G18" s="46"/>
      <c r="I18" s="117">
        <f>I9</f>
        <v>2.15</v>
      </c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>
        <f>'P&amp;L'!D32-'P&amp;L'!D52</f>
        <v>8898.0000000000036</v>
      </c>
      <c r="F21" s="264"/>
      <c r="G21" s="66">
        <f>E21/E22</f>
        <v>0.50276867442648898</v>
      </c>
      <c r="I21" s="42">
        <f>'P&amp;L'!E32-'P&amp;L'!E52</f>
        <v>7462.0000000000036</v>
      </c>
      <c r="J21" s="264"/>
      <c r="K21" s="66">
        <f>I21/I22</f>
        <v>0.53445065176908768</v>
      </c>
      <c r="M21" s="268" t="s">
        <v>202</v>
      </c>
      <c r="O21" s="130"/>
    </row>
    <row r="22" spans="2:15" x14ac:dyDescent="0.15">
      <c r="B22" s="267"/>
      <c r="C22" s="41" t="s">
        <v>200</v>
      </c>
      <c r="E22" s="45">
        <f>E14</f>
        <v>17698.000000000004</v>
      </c>
      <c r="F22" s="265"/>
      <c r="G22" s="46"/>
      <c r="I22" s="45">
        <f>I14</f>
        <v>13962.000000000004</v>
      </c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>
        <f>'P&amp;L'!D52</f>
        <v>8800</v>
      </c>
      <c r="F25" s="264"/>
      <c r="G25" s="66">
        <f>E25/E26</f>
        <v>0.49723132557351102</v>
      </c>
      <c r="I25" s="42">
        <f>'P&amp;L'!E52</f>
        <v>6500</v>
      </c>
      <c r="J25" s="264"/>
      <c r="K25" s="66">
        <f>I25/I26</f>
        <v>0.46554934823091237</v>
      </c>
      <c r="M25" s="268" t="s">
        <v>205</v>
      </c>
    </row>
    <row r="26" spans="2:15" x14ac:dyDescent="0.15">
      <c r="B26" s="267"/>
      <c r="C26" s="41" t="s">
        <v>200</v>
      </c>
      <c r="E26" s="45">
        <f>E22</f>
        <v>17698.000000000004</v>
      </c>
      <c r="F26" s="265"/>
      <c r="G26" s="46"/>
      <c r="I26" s="45">
        <f>I22</f>
        <v>13962.000000000004</v>
      </c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6"/>
      <c r="G29" s="258">
        <f>G21*'Profitability ratios'!G33</f>
        <v>7.2571568387570382E-2</v>
      </c>
      <c r="H29" s="136"/>
      <c r="I29" s="257"/>
      <c r="J29" s="256"/>
      <c r="K29" s="258">
        <f>K21*'Profitability ratios'!K33</f>
        <v>7.0209112506762664E-2</v>
      </c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O16" sqref="O16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59" customWidth="1"/>
    <col min="6" max="6" width="20.1640625" style="159" bestFit="1" customWidth="1"/>
    <col min="7" max="7" width="15.1640625" style="159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58" t="s">
        <v>219</v>
      </c>
      <c r="C3" s="158" t="s">
        <v>260</v>
      </c>
      <c r="D3" s="199" t="s">
        <v>92</v>
      </c>
      <c r="E3" s="200" t="s">
        <v>91</v>
      </c>
      <c r="F3" s="160" t="s">
        <v>264</v>
      </c>
      <c r="G3" s="160" t="s">
        <v>93</v>
      </c>
    </row>
    <row r="4" spans="2:7" x14ac:dyDescent="0.15">
      <c r="E4" s="161"/>
      <c r="F4" s="161"/>
      <c r="G4" s="161"/>
    </row>
    <row r="5" spans="2:7" x14ac:dyDescent="0.15">
      <c r="B5" s="289" t="s">
        <v>256</v>
      </c>
      <c r="C5" s="162" t="s">
        <v>252</v>
      </c>
      <c r="D5" s="183">
        <f>'Activity ratios'!K9</f>
        <v>51.396350636445895</v>
      </c>
      <c r="E5" s="183">
        <f>'Activity ratios'!G9</f>
        <v>46.682994292036511</v>
      </c>
      <c r="F5" s="174">
        <v>26.7</v>
      </c>
      <c r="G5" s="166">
        <v>31.2</v>
      </c>
    </row>
    <row r="6" spans="2:7" x14ac:dyDescent="0.15">
      <c r="B6" s="290"/>
      <c r="C6" s="163" t="s">
        <v>253</v>
      </c>
      <c r="D6" s="184">
        <f>'Activity ratios'!K17</f>
        <v>62.129804212851859</v>
      </c>
      <c r="E6" s="184">
        <f>'Activity ratios'!G17</f>
        <v>59.655118335100561</v>
      </c>
      <c r="F6" s="175">
        <f>365/6.93</f>
        <v>52.669552669552672</v>
      </c>
      <c r="G6" s="167">
        <v>50.3</v>
      </c>
    </row>
    <row r="7" spans="2:7" x14ac:dyDescent="0.15">
      <c r="B7" s="290"/>
      <c r="C7" s="163" t="s">
        <v>254</v>
      </c>
      <c r="D7" s="184">
        <f>'Activity ratios'!K25</f>
        <v>47.151995396059242</v>
      </c>
      <c r="E7" s="184">
        <f>'Activity ratios'!G25</f>
        <v>44.20646447426526</v>
      </c>
      <c r="F7" s="175">
        <v>48</v>
      </c>
      <c r="G7" s="167">
        <v>44.1</v>
      </c>
    </row>
    <row r="8" spans="2:7" x14ac:dyDescent="0.15">
      <c r="B8" s="290"/>
      <c r="C8" s="163" t="s">
        <v>255</v>
      </c>
      <c r="D8" s="184">
        <f>'Activity ratios'!K41</f>
        <v>66.374159453238519</v>
      </c>
      <c r="E8" s="184">
        <f>'Activity ratios'!G41</f>
        <v>62.131648152871804</v>
      </c>
      <c r="F8" s="175">
        <f>F5+F6-F7</f>
        <v>31.369552669552675</v>
      </c>
      <c r="G8" s="167">
        <f>G5+G6-G7</f>
        <v>37.4</v>
      </c>
    </row>
    <row r="9" spans="2:7" x14ac:dyDescent="0.15">
      <c r="B9" s="291"/>
      <c r="C9" s="164" t="s">
        <v>88</v>
      </c>
      <c r="D9" s="198">
        <f>'Activity ratios'!K37</f>
        <v>1.0923495329312995</v>
      </c>
      <c r="E9" s="198">
        <f>'Activity ratios'!G37</f>
        <v>1.1378468774945567</v>
      </c>
      <c r="F9" s="176">
        <v>0.59</v>
      </c>
      <c r="G9" s="168">
        <v>1</v>
      </c>
    </row>
    <row r="10" spans="2:7" x14ac:dyDescent="0.15">
      <c r="D10" s="159"/>
      <c r="G10" s="161"/>
    </row>
    <row r="11" spans="2:7" x14ac:dyDescent="0.15">
      <c r="B11" s="284" t="s">
        <v>258</v>
      </c>
      <c r="C11" s="80" t="s">
        <v>87</v>
      </c>
      <c r="D11" s="183">
        <f>'Liquidity ratios'!K5</f>
        <v>1.8897459727385377</v>
      </c>
      <c r="E11" s="183">
        <f>'Liquidity ratios'!G5</f>
        <v>2.250872960446956</v>
      </c>
      <c r="F11" s="177">
        <v>0.75</v>
      </c>
      <c r="G11" s="169">
        <v>1.4</v>
      </c>
    </row>
    <row r="12" spans="2:7" x14ac:dyDescent="0.15">
      <c r="B12" s="285"/>
      <c r="C12" s="35" t="s">
        <v>257</v>
      </c>
      <c r="D12" s="184">
        <f>'Liquidity ratios'!K9</f>
        <v>1.1537484510532838</v>
      </c>
      <c r="E12" s="184">
        <f>'Liquidity ratios'!G9</f>
        <v>1.4455590121262143</v>
      </c>
      <c r="F12" s="175">
        <v>0.6</v>
      </c>
      <c r="G12" s="170">
        <v>1</v>
      </c>
    </row>
    <row r="13" spans="2:7" x14ac:dyDescent="0.15">
      <c r="B13" s="286"/>
      <c r="C13" s="58" t="s">
        <v>266</v>
      </c>
      <c r="D13" s="185">
        <f>'Liquidity ratios'!K13</f>
        <v>0.39114002478314747</v>
      </c>
      <c r="E13" s="185">
        <f>'Liquidity ratios'!G13</f>
        <v>0.61237381753539455</v>
      </c>
      <c r="F13" s="176">
        <v>0.4</v>
      </c>
      <c r="G13" s="171">
        <v>0.5</v>
      </c>
    </row>
    <row r="14" spans="2:7" x14ac:dyDescent="0.15">
      <c r="D14" s="159"/>
      <c r="G14" s="161"/>
    </row>
    <row r="15" spans="2:7" x14ac:dyDescent="0.15">
      <c r="B15" s="284" t="s">
        <v>268</v>
      </c>
      <c r="C15" s="80" t="s">
        <v>90</v>
      </c>
      <c r="D15" s="186">
        <f>'Solvency ratios'!K5</f>
        <v>0.30774639222372607</v>
      </c>
      <c r="E15" s="186">
        <f>'Solvency ratios'!G5</f>
        <v>0.2242426086824206</v>
      </c>
      <c r="F15" s="178">
        <v>0.63249999999999995</v>
      </c>
      <c r="G15" s="172">
        <v>0.55000000000000004</v>
      </c>
    </row>
    <row r="16" spans="2:7" x14ac:dyDescent="0.15">
      <c r="B16" s="285"/>
      <c r="C16" s="35" t="s">
        <v>265</v>
      </c>
      <c r="D16" s="187">
        <f>'Solvency ratios'!K9</f>
        <v>0.23532574362558636</v>
      </c>
      <c r="E16" s="187">
        <f>'Solvency ratios'!G9</f>
        <v>0.18316843989261211</v>
      </c>
      <c r="F16" s="179">
        <v>0.3</v>
      </c>
      <c r="G16" s="173">
        <v>0.28000000000000003</v>
      </c>
    </row>
    <row r="17" spans="2:9" x14ac:dyDescent="0.15">
      <c r="B17" s="286"/>
      <c r="C17" s="58" t="s">
        <v>267</v>
      </c>
      <c r="D17" s="185">
        <f>'Solvency ratios'!K25</f>
        <v>1.5516336179521557</v>
      </c>
      <c r="E17" s="185">
        <f>'Solvency ratios'!G25</f>
        <v>1.4252956528831253</v>
      </c>
      <c r="F17" s="176">
        <v>2.6829999999999998</v>
      </c>
      <c r="G17" s="171">
        <v>1.9</v>
      </c>
    </row>
    <row r="18" spans="2:9" x14ac:dyDescent="0.15">
      <c r="B18" s="155"/>
      <c r="D18" s="159"/>
      <c r="G18" s="161"/>
    </row>
    <row r="19" spans="2:9" x14ac:dyDescent="0.15">
      <c r="B19" s="284" t="s">
        <v>259</v>
      </c>
      <c r="C19" s="80" t="s">
        <v>224</v>
      </c>
      <c r="D19" s="188">
        <f>'Profitability ratios'!K5</f>
        <v>0.23051476343530902</v>
      </c>
      <c r="E19" s="188">
        <f>'Profitability ratios'!G5</f>
        <v>0.24417591591440571</v>
      </c>
      <c r="F19" s="180">
        <v>0.49769999999999998</v>
      </c>
      <c r="G19" s="191">
        <v>0.29499999999999998</v>
      </c>
    </row>
    <row r="20" spans="2:9" x14ac:dyDescent="0.15">
      <c r="B20" s="285"/>
      <c r="C20" s="35" t="s">
        <v>269</v>
      </c>
      <c r="D20" s="189">
        <f>'Profitability ratios'!K9</f>
        <v>0.1032357986244109</v>
      </c>
      <c r="E20" s="189">
        <f>'Profitability ratios'!G9</f>
        <v>0.11340994241746086</v>
      </c>
      <c r="F20" s="181">
        <v>9.7799999999999998E-2</v>
      </c>
      <c r="G20" s="192">
        <v>0.13200000000000001</v>
      </c>
    </row>
    <row r="21" spans="2:9" x14ac:dyDescent="0.15">
      <c r="B21" s="285"/>
      <c r="C21" s="35" t="s">
        <v>89</v>
      </c>
      <c r="D21" s="189">
        <f>'Profitability ratios'!K17</f>
        <v>7.7505953669625482E-2</v>
      </c>
      <c r="E21" s="189">
        <f>'Profitability ratios'!G17</f>
        <v>8.9003998088963782E-2</v>
      </c>
      <c r="F21" s="181">
        <v>6.54E-2</v>
      </c>
      <c r="G21" s="192">
        <v>9.8000000000000004E-2</v>
      </c>
    </row>
    <row r="22" spans="2:9" x14ac:dyDescent="0.15">
      <c r="B22" s="286"/>
      <c r="C22" s="58" t="s">
        <v>167</v>
      </c>
      <c r="D22" s="190">
        <f>'Profitability ratios'!K33</f>
        <v>0.13136687601439562</v>
      </c>
      <c r="E22" s="190">
        <f>'Profitability ratios'!G33</f>
        <v>0.14434385449800183</v>
      </c>
      <c r="F22" s="182">
        <v>0.104</v>
      </c>
      <c r="G22" s="193">
        <v>0.14399999999999999</v>
      </c>
      <c r="H22" s="142"/>
      <c r="I22" s="142"/>
    </row>
    <row r="23" spans="2:9" x14ac:dyDescent="0.15">
      <c r="D23" s="159"/>
      <c r="G23" s="161"/>
    </row>
    <row r="24" spans="2:9" x14ac:dyDescent="0.15">
      <c r="B24" s="284" t="s">
        <v>261</v>
      </c>
      <c r="C24" s="80" t="s">
        <v>262</v>
      </c>
      <c r="D24" s="183">
        <f>'Valuation ratios'!K5</f>
        <v>1.3962000000000003</v>
      </c>
      <c r="E24" s="183">
        <f>'Valuation ratios'!G5</f>
        <v>1.7698000000000003</v>
      </c>
      <c r="F24" s="177">
        <v>1.84</v>
      </c>
      <c r="G24" s="165">
        <v>1.83</v>
      </c>
    </row>
    <row r="25" spans="2:9" x14ac:dyDescent="0.15">
      <c r="B25" s="285"/>
      <c r="C25" s="35" t="s">
        <v>263</v>
      </c>
      <c r="D25" s="184">
        <f>'Valuation ratios'!K9</f>
        <v>1.5398939979945563</v>
      </c>
      <c r="E25" s="184">
        <f>'Valuation ratios'!G9</f>
        <v>1.6668550118657475</v>
      </c>
      <c r="F25" s="175">
        <v>62.15</v>
      </c>
      <c r="G25" s="170">
        <v>25.5</v>
      </c>
    </row>
    <row r="26" spans="2:9" x14ac:dyDescent="0.15">
      <c r="B26" s="286"/>
      <c r="C26" s="58" t="s">
        <v>186</v>
      </c>
      <c r="D26" s="198">
        <f>'P&amp;L'!E53</f>
        <v>2.15</v>
      </c>
      <c r="E26" s="198">
        <f>'P&amp;L'!D53</f>
        <v>2.95</v>
      </c>
      <c r="F26" s="176">
        <f>F24*F25</f>
        <v>114.35600000000001</v>
      </c>
      <c r="G26" s="171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1181-5124-2241-8F2E-18D0CD70FD8E}">
  <sheetPr>
    <tabColor theme="4" tint="0.59999389629810485"/>
  </sheetPr>
  <dimension ref="B2:K38"/>
  <sheetViews>
    <sheetView showGridLines="0" tabSelected="1" zoomScale="120" zoomScaleNormal="120" workbookViewId="0">
      <selection activeCell="G39" sqref="G39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1" t="s">
        <v>274</v>
      </c>
      <c r="D2" s="135" t="s">
        <v>229</v>
      </c>
      <c r="E2" s="135" t="s">
        <v>92</v>
      </c>
      <c r="F2" s="135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3"/>
      <c r="H4" s="143"/>
      <c r="I4" s="143"/>
      <c r="J4" s="143"/>
      <c r="K4" s="143"/>
    </row>
    <row r="5" spans="2:11" ht="13" x14ac:dyDescent="0.15">
      <c r="B5" s="6" t="s">
        <v>25</v>
      </c>
      <c r="C5" s="259"/>
      <c r="D5" s="136">
        <v>163196.3583746134</v>
      </c>
      <c r="E5" s="260">
        <f>'P&amp;L'!E13</f>
        <v>180141</v>
      </c>
      <c r="F5" s="260">
        <f>'P&amp;L'!D13</f>
        <v>198845</v>
      </c>
      <c r="G5" s="147">
        <f>-G7/(1-G11)</f>
        <v>216549.98386608242</v>
      </c>
      <c r="H5" s="147">
        <f t="shared" ref="H5:K5" si="0">-H7/(1-H11)</f>
        <v>235850.38471992547</v>
      </c>
      <c r="I5" s="147">
        <f t="shared" si="0"/>
        <v>256892.11423030161</v>
      </c>
      <c r="J5" s="147">
        <f t="shared" si="0"/>
        <v>279834.67634758091</v>
      </c>
      <c r="K5" s="147">
        <f t="shared" si="0"/>
        <v>304852.46269865491</v>
      </c>
    </row>
    <row r="6" spans="2:11" x14ac:dyDescent="0.15">
      <c r="B6" s="138" t="s">
        <v>230</v>
      </c>
      <c r="C6" s="139"/>
      <c r="D6" s="139"/>
      <c r="E6" s="141">
        <f>(E5/D5)-1</f>
        <v>0.10382977778517932</v>
      </c>
      <c r="F6" s="141">
        <f>(F5/E5)-1</f>
        <v>0.10382977778517932</v>
      </c>
      <c r="G6" s="150"/>
      <c r="H6" s="150"/>
      <c r="I6" s="150"/>
      <c r="J6" s="150"/>
      <c r="K6" s="150"/>
    </row>
    <row r="7" spans="2:11" x14ac:dyDescent="0.15">
      <c r="B7" s="140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7">
        <f>F7*(1+G8)</f>
        <v>-162951.34214520938</v>
      </c>
      <c r="H7" s="301">
        <f t="shared" ref="H7:K7" si="1">G7*(1+H8)</f>
        <v>-176677.18957280111</v>
      </c>
      <c r="I7" s="301">
        <f t="shared" si="1"/>
        <v>-191559.20352915724</v>
      </c>
      <c r="J7" s="301">
        <f t="shared" si="1"/>
        <v>-207694.77115552983</v>
      </c>
      <c r="K7" s="301">
        <f t="shared" si="1"/>
        <v>-225189.48278453248</v>
      </c>
    </row>
    <row r="8" spans="2:11" x14ac:dyDescent="0.15">
      <c r="B8" s="138" t="s">
        <v>230</v>
      </c>
      <c r="C8" s="139"/>
      <c r="D8" s="139"/>
      <c r="E8" s="141">
        <f>(E7/D7) - 1</f>
        <v>8.4232797636980106E-2</v>
      </c>
      <c r="F8" s="141">
        <f>(F7/E7) - 1</f>
        <v>8.4232797636980106E-2</v>
      </c>
      <c r="G8" s="148">
        <f>F8</f>
        <v>8.4232797636980106E-2</v>
      </c>
      <c r="H8" s="148">
        <f t="shared" ref="H8:K8" si="2">G8</f>
        <v>8.4232797636980106E-2</v>
      </c>
      <c r="I8" s="148">
        <f t="shared" si="2"/>
        <v>8.4232797636980106E-2</v>
      </c>
      <c r="J8" s="148">
        <f t="shared" si="2"/>
        <v>8.4232797636980106E-2</v>
      </c>
      <c r="K8" s="148">
        <f t="shared" si="2"/>
        <v>8.4232797636980106E-2</v>
      </c>
    </row>
    <row r="9" spans="2:11" x14ac:dyDescent="0.15">
      <c r="B9" s="140" t="s">
        <v>38</v>
      </c>
      <c r="D9" s="137">
        <f>D5+D7</f>
        <v>35349.423378637584</v>
      </c>
      <c r="E9" s="137">
        <f t="shared" ref="E9:F9" si="3">E5+E7</f>
        <v>41525.160000000003</v>
      </c>
      <c r="F9" s="137">
        <f>F5+F7</f>
        <v>48553.16</v>
      </c>
      <c r="G9" s="149">
        <f t="shared" ref="G9:K9" si="4">G5+G7</f>
        <v>53598.641720873042</v>
      </c>
      <c r="H9" s="149">
        <f t="shared" si="4"/>
        <v>59173.195147124352</v>
      </c>
      <c r="I9" s="149">
        <f t="shared" si="4"/>
        <v>65332.91070114437</v>
      </c>
      <c r="J9" s="149">
        <f t="shared" si="4"/>
        <v>72139.905192051083</v>
      </c>
      <c r="K9" s="149">
        <f t="shared" si="4"/>
        <v>79662.979914122436</v>
      </c>
    </row>
    <row r="10" spans="2:11" x14ac:dyDescent="0.15">
      <c r="B10" s="138" t="s">
        <v>230</v>
      </c>
      <c r="C10" s="139"/>
      <c r="D10" s="139"/>
      <c r="E10" s="141">
        <f>(E9/D9) -1</f>
        <v>0.17470544159129187</v>
      </c>
      <c r="F10" s="141">
        <f>(F9/E9) -1</f>
        <v>0.16924678917552627</v>
      </c>
      <c r="G10" s="150">
        <f>(G9/F9)-1</f>
        <v>0.10391664972728942</v>
      </c>
      <c r="H10" s="150">
        <f t="shared" ref="H10:K10" si="5">(H9/G9)-1</f>
        <v>0.10400549803635051</v>
      </c>
      <c r="I10" s="150">
        <f t="shared" si="5"/>
        <v>0.10409638247021991</v>
      </c>
      <c r="J10" s="150">
        <f t="shared" si="5"/>
        <v>0.1041893651737682</v>
      </c>
      <c r="K10" s="150">
        <f t="shared" si="5"/>
        <v>0.10428451079944456</v>
      </c>
    </row>
    <row r="11" spans="2:11" x14ac:dyDescent="0.15">
      <c r="B11" s="140" t="s">
        <v>224</v>
      </c>
      <c r="D11" s="142">
        <f>D9/D5</f>
        <v>0.21660669227369533</v>
      </c>
      <c r="E11" s="142">
        <f t="shared" ref="E11:F11" si="6">E9/E5</f>
        <v>0.23051476343530902</v>
      </c>
      <c r="F11" s="142">
        <f t="shared" si="6"/>
        <v>0.24417591591440571</v>
      </c>
      <c r="G11" s="145">
        <f>F11*(1+G12)</f>
        <v>0.24751164033343548</v>
      </c>
      <c r="H11" s="145">
        <f t="shared" ref="H11:K11" si="7">G11*(1+H12)</f>
        <v>0.25089293459238188</v>
      </c>
      <c r="I11" s="145">
        <f t="shared" si="7"/>
        <v>0.25432042122777643</v>
      </c>
      <c r="J11" s="145">
        <f t="shared" si="7"/>
        <v>0.25779473128071717</v>
      </c>
      <c r="K11" s="145">
        <f t="shared" si="7"/>
        <v>0.26131650441305077</v>
      </c>
    </row>
    <row r="12" spans="2:11" x14ac:dyDescent="0.15">
      <c r="B12" s="138" t="s">
        <v>235</v>
      </c>
      <c r="E12" s="144">
        <f>E11-D11</f>
        <v>1.3908071161613689E-2</v>
      </c>
      <c r="F12" s="144">
        <f>F11-E11</f>
        <v>1.3661152479096689E-2</v>
      </c>
      <c r="G12" s="146">
        <f>F12</f>
        <v>1.3661152479096689E-2</v>
      </c>
      <c r="H12" s="146">
        <f t="shared" ref="H12:K12" si="8">G12</f>
        <v>1.3661152479096689E-2</v>
      </c>
      <c r="I12" s="146">
        <f t="shared" si="8"/>
        <v>1.3661152479096689E-2</v>
      </c>
      <c r="J12" s="146">
        <f t="shared" si="8"/>
        <v>1.3661152479096689E-2</v>
      </c>
      <c r="K12" s="146">
        <f t="shared" si="8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2" t="s">
        <v>238</v>
      </c>
      <c r="D15" s="135" t="s">
        <v>229</v>
      </c>
      <c r="E15" s="135" t="s">
        <v>92</v>
      </c>
      <c r="F15" s="135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3"/>
      <c r="H17" s="143"/>
      <c r="I17" s="143"/>
      <c r="J17" s="143"/>
      <c r="K17" s="143"/>
    </row>
    <row r="18" spans="2:11" ht="13" x14ac:dyDescent="0.15">
      <c r="B18" s="6" t="s">
        <v>25</v>
      </c>
      <c r="C18" s="259"/>
      <c r="D18" s="136">
        <f>D5</f>
        <v>163196.3583746134</v>
      </c>
      <c r="E18" s="260">
        <f t="shared" ref="E18:F18" si="9">E5</f>
        <v>180141</v>
      </c>
      <c r="F18" s="260">
        <f t="shared" si="9"/>
        <v>198845</v>
      </c>
      <c r="G18" s="147">
        <f>-G20/(1-G24)</f>
        <v>215594.27064612528</v>
      </c>
      <c r="H18" s="147">
        <f t="shared" ref="H18:K18" si="10">-H20/(1-H24)</f>
        <v>233754.37921715269</v>
      </c>
      <c r="I18" s="147">
        <f t="shared" si="10"/>
        <v>253444.16453850901</v>
      </c>
      <c r="J18" s="147">
        <f t="shared" si="10"/>
        <v>274792.47556235472</v>
      </c>
      <c r="K18" s="147">
        <f t="shared" si="10"/>
        <v>297939.0145485634</v>
      </c>
    </row>
    <row r="19" spans="2:11" x14ac:dyDescent="0.15">
      <c r="B19" s="138" t="s">
        <v>230</v>
      </c>
      <c r="C19" s="139"/>
      <c r="D19" s="139"/>
      <c r="E19" s="141">
        <f>(E18/D18)-1</f>
        <v>0.10382977778517932</v>
      </c>
      <c r="F19" s="141">
        <f>(F18/E18)-1</f>
        <v>0.10382977778517932</v>
      </c>
      <c r="G19" s="150"/>
      <c r="H19" s="150"/>
      <c r="I19" s="150"/>
      <c r="J19" s="150"/>
      <c r="K19" s="150"/>
    </row>
    <row r="20" spans="2:11" x14ac:dyDescent="0.15">
      <c r="B20" s="140" t="s">
        <v>234</v>
      </c>
      <c r="D20" s="10">
        <f t="shared" ref="D20:F20" si="11">D7</f>
        <v>-127846.93499597581</v>
      </c>
      <c r="E20" s="10">
        <f t="shared" si="11"/>
        <v>-138615.84</v>
      </c>
      <c r="F20" s="10">
        <f t="shared" si="11"/>
        <v>-150291.84</v>
      </c>
      <c r="G20" s="147">
        <f>F20*(1+G21)</f>
        <v>-162951.34214520938</v>
      </c>
      <c r="H20" s="147">
        <f t="shared" ref="H20" si="12">G20*(1+H21)</f>
        <v>-176677.18957280111</v>
      </c>
      <c r="I20" s="147">
        <f t="shared" ref="I20" si="13">H20*(1+I21)</f>
        <v>-191559.20352915724</v>
      </c>
      <c r="J20" s="147">
        <f t="shared" ref="J20" si="14">I20*(1+J21)</f>
        <v>-207694.77115552983</v>
      </c>
      <c r="K20" s="147">
        <f t="shared" ref="K20" si="15">J20*(1+K21)</f>
        <v>-225189.48278453248</v>
      </c>
    </row>
    <row r="21" spans="2:11" x14ac:dyDescent="0.15">
      <c r="B21" s="138" t="s">
        <v>230</v>
      </c>
      <c r="C21" s="139"/>
      <c r="D21" s="139"/>
      <c r="E21" s="141">
        <f>(E20/D20) - 1</f>
        <v>8.4232797636980106E-2</v>
      </c>
      <c r="F21" s="141">
        <f>(F20/E20) - 1</f>
        <v>8.4232797636980106E-2</v>
      </c>
      <c r="G21" s="148">
        <f>F21</f>
        <v>8.4232797636980106E-2</v>
      </c>
      <c r="H21" s="148">
        <f t="shared" ref="H21:K21" si="16">G21</f>
        <v>8.4232797636980106E-2</v>
      </c>
      <c r="I21" s="148">
        <f t="shared" si="16"/>
        <v>8.4232797636980106E-2</v>
      </c>
      <c r="J21" s="148">
        <f t="shared" si="16"/>
        <v>8.4232797636980106E-2</v>
      </c>
      <c r="K21" s="148">
        <f t="shared" si="16"/>
        <v>8.4232797636980106E-2</v>
      </c>
    </row>
    <row r="22" spans="2:11" x14ac:dyDescent="0.15">
      <c r="B22" s="140" t="s">
        <v>38</v>
      </c>
      <c r="D22" s="137">
        <f t="shared" ref="D22:F22" si="17">D9</f>
        <v>35349.423378637584</v>
      </c>
      <c r="E22" s="137">
        <f t="shared" si="17"/>
        <v>41525.160000000003</v>
      </c>
      <c r="F22" s="137">
        <f t="shared" si="17"/>
        <v>48553.16</v>
      </c>
      <c r="G22" s="149">
        <f t="shared" ref="G22:K22" si="18">G18+G20</f>
        <v>52642.928500915907</v>
      </c>
      <c r="H22" s="149">
        <f t="shared" si="18"/>
        <v>57077.189644351572</v>
      </c>
      <c r="I22" s="149">
        <f t="shared" si="18"/>
        <v>61884.961009351769</v>
      </c>
      <c r="J22" s="149">
        <f t="shared" si="18"/>
        <v>67097.704406824894</v>
      </c>
      <c r="K22" s="149">
        <f t="shared" si="18"/>
        <v>72749.531764030922</v>
      </c>
    </row>
    <row r="23" spans="2:11" x14ac:dyDescent="0.15">
      <c r="B23" s="138" t="s">
        <v>230</v>
      </c>
      <c r="C23" s="139"/>
      <c r="D23" s="139"/>
      <c r="E23" s="141"/>
      <c r="F23" s="141"/>
      <c r="G23" s="150">
        <f>(G22/F22)-1</f>
        <v>8.4232797636979884E-2</v>
      </c>
      <c r="H23" s="150">
        <f t="shared" ref="H23" si="19">(H22/G22)-1</f>
        <v>8.4232797636980106E-2</v>
      </c>
      <c r="I23" s="150">
        <f t="shared" ref="I23" si="20">(I22/H22)-1</f>
        <v>8.4232797636980106E-2</v>
      </c>
      <c r="J23" s="150">
        <f t="shared" ref="J23" si="21">(J22/I22)-1</f>
        <v>8.4232797636979884E-2</v>
      </c>
      <c r="K23" s="150">
        <f t="shared" ref="K23" si="22">(K22/J22)-1</f>
        <v>8.4232797636980772E-2</v>
      </c>
    </row>
    <row r="24" spans="2:11" x14ac:dyDescent="0.15">
      <c r="B24" s="140" t="s">
        <v>224</v>
      </c>
      <c r="D24" s="142">
        <f t="shared" ref="D24:F24" si="23">D11</f>
        <v>0.21660669227369533</v>
      </c>
      <c r="E24" s="142">
        <f t="shared" si="23"/>
        <v>0.23051476343530902</v>
      </c>
      <c r="F24" s="142">
        <f t="shared" si="23"/>
        <v>0.24417591591440571</v>
      </c>
      <c r="G24" s="145">
        <f>F24*(1+G25)</f>
        <v>0.24417591591440571</v>
      </c>
      <c r="H24" s="145">
        <f t="shared" ref="H24" si="24">G24*(1+H25)</f>
        <v>0.24417591591440571</v>
      </c>
      <c r="I24" s="145">
        <f t="shared" ref="I24" si="25">H24*(1+I25)</f>
        <v>0.24417591591440571</v>
      </c>
      <c r="J24" s="145">
        <f t="shared" ref="J24" si="26">I24*(1+J25)</f>
        <v>0.24417591591440571</v>
      </c>
      <c r="K24" s="145">
        <f t="shared" ref="K24" si="27">J24*(1+K25)</f>
        <v>0.24417591591440571</v>
      </c>
    </row>
    <row r="25" spans="2:11" x14ac:dyDescent="0.15">
      <c r="B25" s="138" t="s">
        <v>235</v>
      </c>
      <c r="E25" s="144"/>
      <c r="F25" s="144"/>
      <c r="G25" s="146">
        <f>F25</f>
        <v>0</v>
      </c>
      <c r="H25" s="146">
        <f t="shared" ref="H25:K25" si="28">G25</f>
        <v>0</v>
      </c>
      <c r="I25" s="146">
        <f t="shared" si="28"/>
        <v>0</v>
      </c>
      <c r="J25" s="146">
        <f t="shared" si="28"/>
        <v>0</v>
      </c>
      <c r="K25" s="146">
        <f t="shared" si="28"/>
        <v>0</v>
      </c>
    </row>
    <row r="28" spans="2:11" ht="39" x14ac:dyDescent="0.15">
      <c r="B28" s="153" t="s">
        <v>239</v>
      </c>
      <c r="D28" s="135" t="s">
        <v>229</v>
      </c>
      <c r="E28" s="135" t="s">
        <v>92</v>
      </c>
      <c r="F28" s="135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3"/>
      <c r="H30" s="143"/>
      <c r="I30" s="143"/>
      <c r="J30" s="143"/>
      <c r="K30" s="143"/>
    </row>
    <row r="31" spans="2:11" ht="13" x14ac:dyDescent="0.15">
      <c r="B31" s="6" t="s">
        <v>25</v>
      </c>
      <c r="C31" s="259"/>
      <c r="D31" s="136">
        <f>D18</f>
        <v>163196.3583746134</v>
      </c>
      <c r="E31" s="260">
        <f t="shared" ref="E31:F31" si="29">E18</f>
        <v>180141</v>
      </c>
      <c r="F31" s="260">
        <f t="shared" si="29"/>
        <v>198845</v>
      </c>
      <c r="G31" s="147">
        <f>-G33/(1-G37)</f>
        <v>219133.93217070081</v>
      </c>
      <c r="H31" s="147">
        <f t="shared" ref="H31:K31" si="30">-H33/(1-H37)</f>
        <v>241759.91224773778</v>
      </c>
      <c r="I31" s="147">
        <f t="shared" si="30"/>
        <v>267042.56047325738</v>
      </c>
      <c r="J31" s="147">
        <f t="shared" si="30"/>
        <v>295355.50202315953</v>
      </c>
      <c r="K31" s="147">
        <f t="shared" si="30"/>
        <v>327137.79588296841</v>
      </c>
    </row>
    <row r="32" spans="2:11" x14ac:dyDescent="0.15">
      <c r="B32" s="138" t="s">
        <v>230</v>
      </c>
      <c r="C32" s="139"/>
      <c r="D32" s="139"/>
      <c r="E32" s="141">
        <f>(E31/D31)-1</f>
        <v>0.10382977778517932</v>
      </c>
      <c r="F32" s="141">
        <f>(F31/E31)-1</f>
        <v>0.10382977778517932</v>
      </c>
      <c r="G32" s="150"/>
      <c r="H32" s="150"/>
      <c r="I32" s="150"/>
      <c r="J32" s="150"/>
      <c r="K32" s="150"/>
    </row>
    <row r="33" spans="2:11" x14ac:dyDescent="0.15">
      <c r="B33" s="140" t="s">
        <v>234</v>
      </c>
      <c r="D33" s="10">
        <f t="shared" ref="D33:F33" si="31">D20</f>
        <v>-127846.93499597581</v>
      </c>
      <c r="E33" s="10">
        <f t="shared" si="31"/>
        <v>-138615.84</v>
      </c>
      <c r="F33" s="10">
        <f t="shared" si="31"/>
        <v>-150291.84</v>
      </c>
      <c r="G33" s="147">
        <f>F33*(1+G34)</f>
        <v>-162951.34214520938</v>
      </c>
      <c r="H33" s="147">
        <f t="shared" ref="H33" si="32">G33*(1+H34)</f>
        <v>-176677.18957280111</v>
      </c>
      <c r="I33" s="147">
        <f t="shared" ref="I33" si="33">H33*(1+I34)</f>
        <v>-191559.20352915724</v>
      </c>
      <c r="J33" s="147">
        <f t="shared" ref="J33" si="34">I33*(1+J34)</f>
        <v>-207694.77115552983</v>
      </c>
      <c r="K33" s="147">
        <f t="shared" ref="K33" si="35">J33*(1+K34)</f>
        <v>-225189.48278453248</v>
      </c>
    </row>
    <row r="34" spans="2:11" x14ac:dyDescent="0.15">
      <c r="B34" s="138" t="s">
        <v>230</v>
      </c>
      <c r="C34" s="139"/>
      <c r="D34" s="139"/>
      <c r="E34" s="141">
        <f>(E33/D33) - 1</f>
        <v>8.4232797636980106E-2</v>
      </c>
      <c r="F34" s="141">
        <f>(F33/E33) - 1</f>
        <v>8.4232797636980106E-2</v>
      </c>
      <c r="G34" s="148">
        <f>F34</f>
        <v>8.4232797636980106E-2</v>
      </c>
      <c r="H34" s="148">
        <f t="shared" ref="H34:K34" si="36">G34</f>
        <v>8.4232797636980106E-2</v>
      </c>
      <c r="I34" s="148">
        <f t="shared" si="36"/>
        <v>8.4232797636980106E-2</v>
      </c>
      <c r="J34" s="148">
        <f t="shared" si="36"/>
        <v>8.4232797636980106E-2</v>
      </c>
      <c r="K34" s="148">
        <f t="shared" si="36"/>
        <v>8.4232797636980106E-2</v>
      </c>
    </row>
    <row r="35" spans="2:11" x14ac:dyDescent="0.15">
      <c r="B35" s="140" t="s">
        <v>38</v>
      </c>
      <c r="D35" s="137">
        <f t="shared" ref="D35:F35" si="37">D22</f>
        <v>35349.423378637584</v>
      </c>
      <c r="E35" s="137">
        <f t="shared" si="37"/>
        <v>41525.160000000003</v>
      </c>
      <c r="F35" s="137">
        <f t="shared" si="37"/>
        <v>48553.16</v>
      </c>
      <c r="G35" s="149">
        <f t="shared" ref="G35:K35" si="38">G31+G33</f>
        <v>56182.59002549143</v>
      </c>
      <c r="H35" s="149">
        <f t="shared" si="38"/>
        <v>65082.722674936667</v>
      </c>
      <c r="I35" s="149">
        <f t="shared" si="38"/>
        <v>75483.356944100145</v>
      </c>
      <c r="J35" s="149">
        <f t="shared" si="38"/>
        <v>87660.730867629696</v>
      </c>
      <c r="K35" s="149">
        <f t="shared" si="38"/>
        <v>101948.31309843593</v>
      </c>
    </row>
    <row r="36" spans="2:11" x14ac:dyDescent="0.15">
      <c r="B36" s="138" t="s">
        <v>230</v>
      </c>
      <c r="C36" s="139"/>
      <c r="D36" s="139"/>
      <c r="E36" s="141">
        <f>(E35/D35) - 1</f>
        <v>0.17470544159129187</v>
      </c>
      <c r="F36" s="141">
        <f>(F35/E35) - 1</f>
        <v>0.16924678917552627</v>
      </c>
      <c r="G36" s="150">
        <f>(G35/F35)-1</f>
        <v>0.15713560199771615</v>
      </c>
      <c r="H36" s="150">
        <f t="shared" ref="H36" si="39">(H35/G35)-1</f>
        <v>0.15841442420876328</v>
      </c>
      <c r="I36" s="150">
        <f t="shared" ref="I36" si="40">(I35/H35)-1</f>
        <v>0.15980637935371367</v>
      </c>
      <c r="J36" s="150">
        <f t="shared" ref="J36" si="41">(J35/I35)-1</f>
        <v>0.16132528303620108</v>
      </c>
      <c r="K36" s="150">
        <f t="shared" ref="K36" si="42">(K35/J35)-1</f>
        <v>0.16298725882608611</v>
      </c>
    </row>
    <row r="37" spans="2:11" x14ac:dyDescent="0.15">
      <c r="B37" s="140" t="s">
        <v>224</v>
      </c>
      <c r="D37" s="142">
        <f t="shared" ref="D37:F37" si="43">D24</f>
        <v>0.21660669227369533</v>
      </c>
      <c r="E37" s="142">
        <f t="shared" si="43"/>
        <v>0.23051476343530902</v>
      </c>
      <c r="F37" s="142">
        <f t="shared" si="43"/>
        <v>0.24417591591440571</v>
      </c>
      <c r="G37" s="145">
        <f>F37*(1+G38)</f>
        <v>0.256384711710126</v>
      </c>
      <c r="H37" s="145">
        <f t="shared" ref="H37" si="44">G37*(1+H38)</f>
        <v>0.2692039472956323</v>
      </c>
      <c r="I37" s="145">
        <f t="shared" ref="I37" si="45">H37*(1+I38)</f>
        <v>0.2826641446604139</v>
      </c>
      <c r="J37" s="145">
        <f t="shared" ref="J37" si="46">I37*(1+J38)</f>
        <v>0.29679735189343459</v>
      </c>
      <c r="K37" s="145">
        <f t="shared" ref="K37" si="47">J37*(1+K38)</f>
        <v>0.31163721948810635</v>
      </c>
    </row>
    <row r="38" spans="2:11" x14ac:dyDescent="0.15">
      <c r="B38" s="138" t="s">
        <v>235</v>
      </c>
      <c r="E38" s="144">
        <f>E37-D37</f>
        <v>1.3908071161613689E-2</v>
      </c>
      <c r="F38" s="144">
        <f>F37-E37</f>
        <v>1.3661152479096689E-2</v>
      </c>
      <c r="G38" s="146">
        <v>0.05</v>
      </c>
      <c r="H38" s="146">
        <f t="shared" ref="H38:K38" si="48">G38</f>
        <v>0.05</v>
      </c>
      <c r="I38" s="146">
        <f t="shared" si="48"/>
        <v>0.05</v>
      </c>
      <c r="J38" s="146">
        <f t="shared" si="48"/>
        <v>0.05</v>
      </c>
      <c r="K38" s="146">
        <f t="shared" si="48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2021-04-14T13:42:58Z</dcterms:modified>
</cp:coreProperties>
</file>