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jernigan\"/>
    </mc:Choice>
  </mc:AlternateContent>
  <xr:revisionPtr revIDLastSave="0" documentId="13_ncr:1_{14059128-EA86-472C-81BF-B1AD061EB852}" xr6:coauthVersionLast="36" xr6:coauthVersionMax="36" xr10:uidLastSave="{00000000-0000-0000-0000-000000000000}"/>
  <bookViews>
    <workbookView xWindow="0" yWindow="0" windowWidth="28800" windowHeight="12225" xr2:uid="{B6DE82AB-EB0E-4B2D-94C3-6E4A894FC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1" i="1"/>
  <c r="E22" i="1"/>
  <c r="E23" i="1"/>
  <c r="E24" i="1"/>
  <c r="E21" i="1"/>
  <c r="J20" i="1"/>
  <c r="J15" i="1"/>
  <c r="D22" i="1"/>
  <c r="D23" i="1"/>
  <c r="D24" i="1"/>
  <c r="D25" i="1"/>
  <c r="D26" i="1"/>
  <c r="D21" i="1"/>
  <c r="F15" i="1"/>
  <c r="E15" i="1"/>
  <c r="F14" i="1"/>
  <c r="E14" i="1"/>
  <c r="F13" i="1"/>
  <c r="E13" i="1"/>
  <c r="Q20" i="1"/>
  <c r="F12" i="1"/>
  <c r="E12" i="1"/>
  <c r="Q15" i="1"/>
  <c r="D17" i="1"/>
  <c r="D16" i="1"/>
  <c r="M7" i="1"/>
  <c r="K7" i="1"/>
  <c r="R12" i="1"/>
  <c r="R13" i="1"/>
  <c r="R14" i="1"/>
  <c r="P12" i="1"/>
  <c r="P13" i="1"/>
  <c r="P14" i="1"/>
  <c r="N12" i="1"/>
  <c r="N13" i="1"/>
  <c r="N14" i="1"/>
  <c r="K12" i="1"/>
  <c r="K13" i="1"/>
  <c r="K14" i="1"/>
  <c r="K18" i="1"/>
  <c r="K19" i="1"/>
  <c r="R18" i="1"/>
  <c r="R19" i="1"/>
  <c r="P18" i="1"/>
  <c r="P19" i="1"/>
  <c r="N18" i="1"/>
  <c r="N19" i="1"/>
  <c r="H7" i="1"/>
  <c r="E7" i="1"/>
  <c r="F6" i="1" s="1"/>
  <c r="Q18" i="1" l="1"/>
  <c r="F5" i="1"/>
  <c r="F4" i="1"/>
  <c r="O13" i="1"/>
  <c r="O12" i="1"/>
  <c r="O15" i="1" s="1"/>
  <c r="S13" i="1"/>
  <c r="O14" i="1"/>
  <c r="S18" i="1"/>
  <c r="Q12" i="1"/>
  <c r="S14" i="1"/>
  <c r="O18" i="1"/>
  <c r="S19" i="1"/>
  <c r="Q14" i="1"/>
  <c r="Q19" i="1"/>
  <c r="Q13" i="1"/>
  <c r="S12" i="1"/>
  <c r="O19" i="1"/>
  <c r="D12" i="1"/>
  <c r="G4" i="1"/>
  <c r="G5" i="1"/>
  <c r="G6" i="1"/>
  <c r="N4" i="1"/>
  <c r="M12" i="1" s="1"/>
  <c r="N5" i="1"/>
  <c r="M13" i="1" s="1"/>
  <c r="N6" i="1"/>
  <c r="M14" i="1" s="1"/>
  <c r="J4" i="1"/>
  <c r="J5" i="1"/>
  <c r="L5" i="1" s="1"/>
  <c r="J6" i="1"/>
  <c r="O20" i="1" l="1"/>
  <c r="M5" i="1"/>
  <c r="L14" i="1"/>
  <c r="L6" i="1"/>
  <c r="M6" i="1" s="1"/>
  <c r="L12" i="1"/>
  <c r="L4" i="1"/>
  <c r="M4" i="1" s="1"/>
  <c r="K5" i="1"/>
  <c r="L13" i="1"/>
  <c r="K6" i="1"/>
  <c r="F7" i="1"/>
  <c r="K4" i="1"/>
  <c r="D14" i="1"/>
  <c r="D15" i="1"/>
  <c r="D13" i="1"/>
  <c r="I7" i="1"/>
  <c r="G7" i="1"/>
  <c r="M19" i="1"/>
  <c r="L19" i="1"/>
  <c r="M18" i="1"/>
  <c r="L18" i="1"/>
</calcChain>
</file>

<file path=xl/sharedStrings.xml><?xml version="1.0" encoding="utf-8"?>
<sst xmlns="http://schemas.openxmlformats.org/spreadsheetml/2006/main" count="62" uniqueCount="29">
  <si>
    <t>Mkt</t>
  </si>
  <si>
    <t>Loan A</t>
  </si>
  <si>
    <t>Loan B</t>
  </si>
  <si>
    <t>Loan C</t>
  </si>
  <si>
    <t>Loan</t>
  </si>
  <si>
    <t>Rate</t>
  </si>
  <si>
    <t>ARV</t>
  </si>
  <si>
    <t>Port A</t>
  </si>
  <si>
    <t>Port B</t>
  </si>
  <si>
    <t>Cost</t>
  </si>
  <si>
    <t>LTV</t>
  </si>
  <si>
    <t>LTC</t>
  </si>
  <si>
    <t>LenderFund</t>
  </si>
  <si>
    <t>Funded</t>
  </si>
  <si>
    <t>Own</t>
  </si>
  <si>
    <t>Realized</t>
  </si>
  <si>
    <t>Mean</t>
  </si>
  <si>
    <t>GeoMean</t>
  </si>
  <si>
    <t>Hmean</t>
  </si>
  <si>
    <t>Owned Loan</t>
  </si>
  <si>
    <t>Owned Cost</t>
  </si>
  <si>
    <t>L_w</t>
  </si>
  <si>
    <t>w_LTV</t>
  </si>
  <si>
    <t>w_Mean</t>
  </si>
  <si>
    <t>w_Hmean</t>
  </si>
  <si>
    <t>rec_LTV</t>
  </si>
  <si>
    <t>wrec_LTV</t>
  </si>
  <si>
    <t>Owned ARV</t>
  </si>
  <si>
    <t>Attempt to reverse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</si>
</sst>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10" fontId="1" fillId="0" borderId="0" xfId="0" applyNumberFormat="1" applyFont="1"/>
  </cellXfs>
  <cellStyles count="2">
    <cellStyle name="Normal" xfId="0" builtinId="0"/>
    <cellStyle name="Percent" xfId="1" builtinId="5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02003-DA36-4113-A2A7-D1315C36F104}" name="Mkt" displayName="Mkt" ref="C3:N7" totalsRowCount="1">
  <autoFilter ref="C3:N6" xr:uid="{E8123F1F-BA0E-496B-A940-B7DC66773847}"/>
  <tableColumns count="12">
    <tableColumn id="1" xr3:uid="{ADD331E4-8EDE-48E2-B8F1-1DE2017CDA57}" name="Mkt"/>
    <tableColumn id="2" xr3:uid="{236AAC08-526D-4C64-8CB3-60DB881DF4CB}" name="Rate"/>
    <tableColumn id="3" xr3:uid="{D2B8D5FA-E58D-4A36-846C-D30FB9934DA3}" name="Loan" totalsRowFunction="custom">
      <totalsRowFormula>SUM(Mkt[Loan])</totalsRowFormula>
    </tableColumn>
    <tableColumn id="10" xr3:uid="{3E654376-69B9-4B75-B8FB-9AED91457F6A}" name="L_w" totalsRowFunction="sum" dataDxfId="32">
      <calculatedColumnFormula>Mkt[[#This Row],[Loan]]/Mkt[[#Totals],[Loan]]</calculatedColumnFormula>
    </tableColumn>
    <tableColumn id="8" xr3:uid="{6CD019CA-4A8F-46E2-86B0-BE4BB4B3FB31}" name="Funded" totalsRowFunction="custom" dataDxfId="45">
      <calculatedColumnFormula>J12+J18</calculatedColumnFormula>
      <totalsRowFormula>SUM(Mkt[Funded])</totalsRowFormula>
    </tableColumn>
    <tableColumn id="4" xr3:uid="{21783D63-6C63-4366-A2A8-B68FB622C4B1}" name="ARV" totalsRowFunction="custom">
      <totalsRowFormula>SUM(Mkt[ARV])</totalsRowFormula>
    </tableColumn>
    <tableColumn id="5" xr3:uid="{27DA64F5-4D79-47B2-845E-B382B9097BEA}" name="Cost" totalsRowFunction="custom">
      <totalsRowFormula>SUM(Mkt[Funded])</totalsRowFormula>
    </tableColumn>
    <tableColumn id="6" xr3:uid="{4B124A66-88A1-40E5-B7D4-C8C3C5585009}" name="LTV" dataDxfId="47" totalsRowDxfId="23">
      <calculatedColumnFormula>Mkt[[#This Row],[Loan]]/Mkt[[#This Row],[ARV]]</calculatedColumnFormula>
    </tableColumn>
    <tableColumn id="9" xr3:uid="{D5130F64-3E2B-4056-87A7-049953C59897}" name="w_LTV" totalsRowFunction="sum" dataDxfId="31" totalsRowDxfId="19">
      <calculatedColumnFormula>Mkt[[#This Row],[L_w]]*Mkt[[#This Row],[LTV]]</calculatedColumnFormula>
    </tableColumn>
    <tableColumn id="11" xr3:uid="{2CE4445A-E029-419D-838C-6D1C723154F2}" name="rec_LTV" dataDxfId="24" totalsRowDxfId="22">
      <calculatedColumnFormula>1/Mkt[[#This Row],[LTV]]</calculatedColumnFormula>
    </tableColumn>
    <tableColumn id="12" xr3:uid="{4ED08D50-5112-4BBA-A623-02CBB112C3A0}" name="wrec_LTV" totalsRowFunction="sum" dataDxfId="20" totalsRowDxfId="18">
      <calculatedColumnFormula>Mkt[[#This Row],[L_w]]*Mkt[[#This Row],[rec_LTV]]</calculatedColumnFormula>
    </tableColumn>
    <tableColumn id="7" xr3:uid="{9F7C477B-F3ED-4CA5-BB69-9E187FB1CDB9}" name="LTC" dataDxfId="46" totalsRowDxfId="21">
      <calculatedColumnFormula>Mkt[[#This Row],[Loan]]/Mkt[[#This Row],[Cost]]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598BD-CD0A-44E5-8901-5C6BEA75F6FE}" name="PortA" displayName="PortA" ref="I11:S15" totalsRowCount="1">
  <autoFilter ref="I11:S14" xr:uid="{85EEC4B1-8D50-4B3F-9136-3B202AA7F708}"/>
  <tableColumns count="11">
    <tableColumn id="1" xr3:uid="{88814286-9AE1-43D4-BEAB-F179C3C1929D}" name="Port A"/>
    <tableColumn id="2" xr3:uid="{2700CB0A-5650-4D81-95D7-7B4AE803B6D2}" name="LenderFund" totalsRowFunction="sum"/>
    <tableColumn id="3" xr3:uid="{3A8ED47A-BAD5-4DBB-A5E7-D924361D93A7}" name="Own" dataDxfId="30" totalsRowDxfId="17" dataCellStyle="Percent">
      <calculatedColumnFormula>PortA[[#This Row],[LenderFund]]/E4</calculatedColumnFormula>
    </tableColumn>
    <tableColumn id="4" xr3:uid="{5841A99B-D0C7-41B7-8FE8-80556D1DE9AE}" name="LTV" dataDxfId="29" totalsRowDxfId="16">
      <calculatedColumnFormula>J4</calculatedColumnFormula>
    </tableColumn>
    <tableColumn id="5" xr3:uid="{30F0D34A-41EF-4107-8B8E-CCF5E8E58E4A}" name="LTC" dataDxfId="28" totalsRowDxfId="15">
      <calculatedColumnFormula>N4</calculatedColumnFormula>
    </tableColumn>
    <tableColumn id="6" xr3:uid="{0A54C007-1841-4178-AF64-766A68A5C4B5}" name="Loan" dataDxfId="27" totalsRowDxfId="3">
      <calculatedColumnFormula>E4</calculatedColumnFormula>
    </tableColumn>
    <tableColumn id="9" xr3:uid="{B8425E01-4FB8-4F08-95AA-99CAF4FF9262}" name="Owned Loan" totalsRowFunction="custom" dataDxfId="38" totalsRowDxfId="14">
      <calculatedColumnFormula>PortA[[#This Row],[Own]]*PortA[[#This Row],[Loan]]</calculatedColumnFormula>
      <totalsRowFormula>SUM(PortA[Owned Loan])</totalsRowFormula>
    </tableColumn>
    <tableColumn id="7" xr3:uid="{EE78749D-2429-41ED-B3AD-0106083120DF}" name="ARV" dataDxfId="26" totalsRowDxfId="0">
      <calculatedColumnFormula>H4</calculatedColumnFormula>
    </tableColumn>
    <tableColumn id="10" xr3:uid="{6FB2F83E-940E-4AF9-9EFA-80258C7635F3}" name="Owned ARV" totalsRowFunction="custom" dataDxfId="37" totalsRowDxfId="13">
      <calculatedColumnFormula>PortA[[#This Row],[Own]]*PortA[[#This Row],[ARV]]</calculatedColumnFormula>
      <totalsRowFormula>SUM(PortA[Owned ARV])</totalsRowFormula>
    </tableColumn>
    <tableColumn id="8" xr3:uid="{C2B4D6FE-B07B-4F7A-9D87-321E569D9BD0}" name="Cost" dataDxfId="25" totalsRowDxfId="12">
      <calculatedColumnFormula>I4</calculatedColumnFormula>
    </tableColumn>
    <tableColumn id="11" xr3:uid="{B972803D-7059-410C-8156-76558789AE43}" name="Owned Cost" dataDxfId="36" totalsRowDxfId="11">
      <calculatedColumnFormula>PortA[[#This Row],[Own]]*PortA[[#This Row],[Cost]]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8BF139-E16A-4984-9A74-D5A32E98B4EB}" name="PortB" displayName="PortB" ref="I17:S20" totalsRowCount="1">
  <autoFilter ref="I17:S19" xr:uid="{CE0871AD-FE92-4C33-A0C8-0A78AAEC10EC}"/>
  <tableColumns count="11">
    <tableColumn id="1" xr3:uid="{A2C9E29E-45EA-458D-ABB7-08E096B7C943}" name="Port B"/>
    <tableColumn id="2" xr3:uid="{72D08AAD-FFE4-4CEF-80C8-43032E15A718}" name="LenderFund" totalsRowFunction="sum"/>
    <tableColumn id="3" xr3:uid="{0B2DF22B-F28B-4EAA-86C2-59EED5CCEB2A}" name="Own" dataDxfId="39" totalsRowDxfId="10" dataCellStyle="Percent">
      <calculatedColumnFormula>PortB[[#This Row],[LenderFund]]/E4</calculatedColumnFormula>
    </tableColumn>
    <tableColumn id="4" xr3:uid="{40A39FD8-16DB-4606-9E70-B2CBE771316F}" name="LTV" dataDxfId="44" totalsRowDxfId="9">
      <calculatedColumnFormula>J4</calculatedColumnFormula>
    </tableColumn>
    <tableColumn id="5" xr3:uid="{BF6C3088-67DF-4D2C-AFC7-1EE84596B539}" name="LTC" dataDxfId="43" totalsRowDxfId="8">
      <calculatedColumnFormula>N4</calculatedColumnFormula>
    </tableColumn>
    <tableColumn id="6" xr3:uid="{8DD3C536-25F9-4535-9E19-34DEE173B48F}" name="Loan" dataDxfId="42" totalsRowDxfId="2">
      <calculatedColumnFormula>E4</calculatedColumnFormula>
    </tableColumn>
    <tableColumn id="9" xr3:uid="{4A26AE8A-585C-4A2C-AC2F-B911747219F1}" name="Owned Loan" totalsRowFunction="custom" dataDxfId="35" totalsRowDxfId="7">
      <calculatedColumnFormula>PortB[[#This Row],[Own]]*PortB[[#This Row],[Loan]]</calculatedColumnFormula>
      <totalsRowFormula>SUM(PortB[Owned Loan])</totalsRowFormula>
    </tableColumn>
    <tableColumn id="7" xr3:uid="{F9BF8BC7-636F-462E-B732-60CF08AB3EA1}" name="ARV" dataDxfId="41" totalsRowDxfId="1">
      <calculatedColumnFormula>H4</calculatedColumnFormula>
    </tableColumn>
    <tableColumn id="10" xr3:uid="{B98DA5A1-A3F2-4A0F-A360-D5D5CB2BA504}" name="Owned ARV" totalsRowFunction="sum" dataDxfId="34" totalsRowDxfId="6">
      <calculatedColumnFormula>PortB[[#This Row],[Own]]*PortB[[#This Row],[ARV]]</calculatedColumnFormula>
    </tableColumn>
    <tableColumn id="8" xr3:uid="{001328D5-8D01-4014-BD6F-0493F7441B70}" name="Cost" dataDxfId="40" totalsRowDxfId="5">
      <calculatedColumnFormula>I4</calculatedColumnFormula>
    </tableColumn>
    <tableColumn id="11" xr3:uid="{8B41CD80-FBC7-412F-ADBF-D368B364F596}" name="Owned Cost" dataDxfId="33" totalsRowDxfId="4">
      <calculatedColumnFormula>PortB[[#This Row],[Own]]*PortB[[#This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E554-859B-4032-82EB-3C9956F1C899}">
  <dimension ref="B3:S26"/>
  <sheetViews>
    <sheetView tabSelected="1" workbookViewId="0">
      <selection activeCell="E28" sqref="E28"/>
    </sheetView>
  </sheetViews>
  <sheetFormatPr defaultRowHeight="15" x14ac:dyDescent="0.25"/>
  <cols>
    <col min="7" max="7" width="11.7109375" customWidth="1"/>
    <col min="15" max="15" width="14.140625" customWidth="1"/>
    <col min="17" max="17" width="15" customWidth="1"/>
    <col min="18" max="18" width="13.7109375" customWidth="1"/>
    <col min="19" max="19" width="14" customWidth="1"/>
    <col min="24" max="24" width="13.7109375" customWidth="1"/>
  </cols>
  <sheetData>
    <row r="3" spans="3:19" x14ac:dyDescent="0.25">
      <c r="C3" t="s">
        <v>0</v>
      </c>
      <c r="D3" t="s">
        <v>5</v>
      </c>
      <c r="E3" t="s">
        <v>4</v>
      </c>
      <c r="F3" t="s">
        <v>21</v>
      </c>
      <c r="G3" t="s">
        <v>13</v>
      </c>
      <c r="H3" t="s">
        <v>6</v>
      </c>
      <c r="I3" t="s">
        <v>9</v>
      </c>
      <c r="J3" t="s">
        <v>10</v>
      </c>
      <c r="K3" t="s">
        <v>22</v>
      </c>
      <c r="L3" t="s">
        <v>25</v>
      </c>
      <c r="M3" t="s">
        <v>26</v>
      </c>
      <c r="N3" t="s">
        <v>11</v>
      </c>
    </row>
    <row r="4" spans="3:19" x14ac:dyDescent="0.25">
      <c r="C4" t="s">
        <v>1</v>
      </c>
      <c r="D4">
        <v>10</v>
      </c>
      <c r="E4">
        <v>1000</v>
      </c>
      <c r="F4">
        <f>Mkt[[#This Row],[Loan]]/Mkt[[#Totals],[Loan]]</f>
        <v>0.43010752688172044</v>
      </c>
      <c r="G4">
        <f>J12+J18</f>
        <v>880</v>
      </c>
      <c r="H4">
        <v>1425</v>
      </c>
      <c r="I4">
        <v>1115</v>
      </c>
      <c r="J4">
        <f>Mkt[[#This Row],[Loan]]/Mkt[[#This Row],[ARV]]</f>
        <v>0.70175438596491224</v>
      </c>
      <c r="K4">
        <f>Mkt[[#This Row],[L_w]]*Mkt[[#This Row],[LTV]]</f>
        <v>0.30182984342576868</v>
      </c>
      <c r="L4">
        <f>1/Mkt[[#This Row],[LTV]]</f>
        <v>1.425</v>
      </c>
      <c r="M4">
        <f>Mkt[[#This Row],[L_w]]*Mkt[[#This Row],[rec_LTV]]</f>
        <v>0.61290322580645162</v>
      </c>
      <c r="N4">
        <f>Mkt[[#This Row],[Loan]]/Mkt[[#This Row],[Cost]]</f>
        <v>0.89686098654708524</v>
      </c>
    </row>
    <row r="5" spans="3:19" x14ac:dyDescent="0.25">
      <c r="C5" t="s">
        <v>2</v>
      </c>
      <c r="D5">
        <v>12.5</v>
      </c>
      <c r="E5">
        <v>1125</v>
      </c>
      <c r="F5">
        <f>Mkt[[#This Row],[Loan]]/Mkt[[#Totals],[Loan]]</f>
        <v>0.4838709677419355</v>
      </c>
      <c r="G5">
        <f>J13+J19</f>
        <v>570</v>
      </c>
      <c r="H5">
        <v>2000</v>
      </c>
      <c r="I5">
        <v>1500</v>
      </c>
      <c r="J5">
        <f>Mkt[[#This Row],[Loan]]/Mkt[[#This Row],[ARV]]</f>
        <v>0.5625</v>
      </c>
      <c r="K5">
        <f>Mkt[[#This Row],[L_w]]*Mkt[[#This Row],[LTV]]</f>
        <v>0.27217741935483875</v>
      </c>
      <c r="L5">
        <f>1/Mkt[[#This Row],[LTV]]</f>
        <v>1.7777777777777777</v>
      </c>
      <c r="M5">
        <f>Mkt[[#This Row],[L_w]]*Mkt[[#This Row],[rec_LTV]]</f>
        <v>0.86021505376344087</v>
      </c>
      <c r="N5">
        <f>Mkt[[#This Row],[Loan]]/Mkt[[#This Row],[Cost]]</f>
        <v>0.75</v>
      </c>
    </row>
    <row r="6" spans="3:19" x14ac:dyDescent="0.25">
      <c r="C6" t="s">
        <v>3</v>
      </c>
      <c r="D6">
        <v>11</v>
      </c>
      <c r="E6">
        <v>200</v>
      </c>
      <c r="F6">
        <f>Mkt[[#This Row],[Loan]]/Mkt[[#Totals],[Loan]]</f>
        <v>8.6021505376344093E-2</v>
      </c>
      <c r="G6">
        <f>J14+R14</f>
        <v>425</v>
      </c>
      <c r="H6">
        <v>290</v>
      </c>
      <c r="I6">
        <v>225</v>
      </c>
      <c r="J6">
        <f>Mkt[[#This Row],[Loan]]/Mkt[[#This Row],[ARV]]</f>
        <v>0.68965517241379315</v>
      </c>
      <c r="K6">
        <f>Mkt[[#This Row],[L_w]]*Mkt[[#This Row],[LTV]]</f>
        <v>5.932517612161662E-2</v>
      </c>
      <c r="L6">
        <f>1/Mkt[[#This Row],[LTV]]</f>
        <v>1.45</v>
      </c>
      <c r="M6">
        <f>Mkt[[#This Row],[L_w]]*Mkt[[#This Row],[rec_LTV]]</f>
        <v>0.12473118279569893</v>
      </c>
      <c r="N6">
        <f>Mkt[[#This Row],[Loan]]/Mkt[[#This Row],[Cost]]</f>
        <v>0.88888888888888884</v>
      </c>
    </row>
    <row r="7" spans="3:19" x14ac:dyDescent="0.25">
      <c r="E7">
        <f>SUM(Mkt[Loan])</f>
        <v>2325</v>
      </c>
      <c r="F7">
        <f>SUBTOTAL(109,Mkt[L_w])</f>
        <v>1</v>
      </c>
      <c r="G7">
        <f>SUM(Mkt[Funded])</f>
        <v>1875</v>
      </c>
      <c r="H7">
        <f>SUM(Mkt[ARV])</f>
        <v>3715</v>
      </c>
      <c r="I7">
        <f>SUM(Mkt[Funded])</f>
        <v>1875</v>
      </c>
      <c r="J7" s="2"/>
      <c r="K7" s="2">
        <f>SUBTOTAL(109,Mkt[w_LTV])</f>
        <v>0.63333243890222402</v>
      </c>
      <c r="L7" s="2"/>
      <c r="M7" s="2">
        <f>SUBTOTAL(109,Mkt[wrec_LTV])</f>
        <v>1.5978494623655914</v>
      </c>
      <c r="N7" s="2"/>
      <c r="O7" s="2"/>
    </row>
    <row r="10" spans="3:19" x14ac:dyDescent="0.25">
      <c r="D10" t="s">
        <v>0</v>
      </c>
      <c r="E10" t="s">
        <v>7</v>
      </c>
      <c r="F10" t="s">
        <v>8</v>
      </c>
    </row>
    <row r="11" spans="3:19" x14ac:dyDescent="0.25">
      <c r="C11" t="s">
        <v>10</v>
      </c>
      <c r="I11" t="s">
        <v>7</v>
      </c>
      <c r="J11" t="s">
        <v>12</v>
      </c>
      <c r="K11" t="s">
        <v>14</v>
      </c>
      <c r="L11" t="s">
        <v>10</v>
      </c>
      <c r="M11" t="s">
        <v>11</v>
      </c>
      <c r="N11" t="s">
        <v>4</v>
      </c>
      <c r="O11" t="s">
        <v>19</v>
      </c>
      <c r="P11" t="s">
        <v>6</v>
      </c>
      <c r="Q11" t="s">
        <v>27</v>
      </c>
      <c r="R11" t="s">
        <v>9</v>
      </c>
      <c r="S11" t="s">
        <v>20</v>
      </c>
    </row>
    <row r="12" spans="3:19" x14ac:dyDescent="0.25">
      <c r="C12" t="s">
        <v>15</v>
      </c>
      <c r="D12">
        <f>Mkt[[#Totals],[Loan]]/Mkt[[#Totals],[ARV]]</f>
        <v>0.62584118438761771</v>
      </c>
      <c r="E12">
        <f>PortA[[#Totals],[Owned Loan]]/PortA[[#Totals],[Owned ARV]]</f>
        <v>0.64990254656995883</v>
      </c>
      <c r="F12">
        <f>PortB[[#Totals],[Owned Loan]]/PortB[[#Totals],[Owned ARV]]</f>
        <v>0.63522225992534787</v>
      </c>
      <c r="I12" t="s">
        <v>1</v>
      </c>
      <c r="J12">
        <v>580</v>
      </c>
      <c r="K12" s="1">
        <f>PortA[[#This Row],[LenderFund]]/E4</f>
        <v>0.57999999999999996</v>
      </c>
      <c r="L12">
        <f t="shared" ref="L12:L14" si="0">J4</f>
        <v>0.70175438596491224</v>
      </c>
      <c r="M12">
        <f t="shared" ref="M12:M14" si="1">N4</f>
        <v>0.89686098654708524</v>
      </c>
      <c r="N12">
        <f t="shared" ref="N12:N14" si="2">E4</f>
        <v>1000</v>
      </c>
      <c r="O12">
        <f>PortA[[#This Row],[Own]]*PortA[[#This Row],[Loan]]</f>
        <v>580</v>
      </c>
      <c r="P12">
        <f t="shared" ref="P12:P14" si="3">H4</f>
        <v>1425</v>
      </c>
      <c r="Q12">
        <f>PortA[[#This Row],[Own]]*PortA[[#This Row],[ARV]]</f>
        <v>826.49999999999989</v>
      </c>
      <c r="R12">
        <f t="shared" ref="R12:R14" si="4">I4</f>
        <v>1115</v>
      </c>
      <c r="S12" s="2">
        <f>PortA[[#This Row],[Own]]*PortA[[#This Row],[Cost]]</f>
        <v>646.69999999999993</v>
      </c>
    </row>
    <row r="13" spans="3:19" x14ac:dyDescent="0.25">
      <c r="C13" t="s">
        <v>16</v>
      </c>
      <c r="D13">
        <f>AVERAGE(Mkt[LTV])</f>
        <v>0.65130318612623517</v>
      </c>
      <c r="E13">
        <f>AVERAGE(PortA[LTV])</f>
        <v>0.65130318612623517</v>
      </c>
      <c r="F13">
        <f>AVERAGE(PortB[LTV])</f>
        <v>0.63212719298245612</v>
      </c>
      <c r="I13" t="s">
        <v>2</v>
      </c>
      <c r="J13">
        <v>350</v>
      </c>
      <c r="K13" s="1">
        <f>PortA[[#This Row],[LenderFund]]/E5</f>
        <v>0.31111111111111112</v>
      </c>
      <c r="L13">
        <f t="shared" si="0"/>
        <v>0.5625</v>
      </c>
      <c r="M13">
        <f t="shared" si="1"/>
        <v>0.75</v>
      </c>
      <c r="N13">
        <f t="shared" si="2"/>
        <v>1125</v>
      </c>
      <c r="O13">
        <f>PortA[[#This Row],[Own]]*PortA[[#This Row],[Loan]]</f>
        <v>350</v>
      </c>
      <c r="P13">
        <f t="shared" si="3"/>
        <v>2000</v>
      </c>
      <c r="Q13">
        <f>PortA[[#This Row],[Own]]*PortA[[#This Row],[ARV]]</f>
        <v>622.22222222222229</v>
      </c>
      <c r="R13">
        <f t="shared" si="4"/>
        <v>1500</v>
      </c>
      <c r="S13" s="2">
        <f>PortA[[#This Row],[Own]]*PortA[[#This Row],[Cost]]</f>
        <v>466.66666666666669</v>
      </c>
    </row>
    <row r="14" spans="3:19" x14ac:dyDescent="0.25">
      <c r="C14" t="s">
        <v>17</v>
      </c>
      <c r="D14">
        <f>GEOMEAN(Mkt[LTV])</f>
        <v>0.64810676308597481</v>
      </c>
      <c r="E14">
        <f>GEOMEAN(PortA[LTV])</f>
        <v>0.64810676308597481</v>
      </c>
      <c r="F14">
        <f>GEOMEAN(PortB[LTV])</f>
        <v>0.62828086243754322</v>
      </c>
      <c r="I14" t="s">
        <v>3</v>
      </c>
      <c r="J14">
        <v>200</v>
      </c>
      <c r="K14" s="1">
        <f>PortA[[#This Row],[LenderFund]]/E6</f>
        <v>1</v>
      </c>
      <c r="L14">
        <f t="shared" si="0"/>
        <v>0.68965517241379315</v>
      </c>
      <c r="M14">
        <f t="shared" si="1"/>
        <v>0.88888888888888884</v>
      </c>
      <c r="N14">
        <f t="shared" si="2"/>
        <v>200</v>
      </c>
      <c r="O14">
        <f>PortA[[#This Row],[Own]]*PortA[[#This Row],[Loan]]</f>
        <v>200</v>
      </c>
      <c r="P14">
        <f t="shared" si="3"/>
        <v>290</v>
      </c>
      <c r="Q14">
        <f>PortA[[#This Row],[Own]]*PortA[[#This Row],[ARV]]</f>
        <v>290</v>
      </c>
      <c r="R14">
        <f t="shared" si="4"/>
        <v>225</v>
      </c>
      <c r="S14" s="2">
        <f>PortA[[#This Row],[Own]]*PortA[[#This Row],[Cost]]</f>
        <v>225</v>
      </c>
    </row>
    <row r="15" spans="3:19" x14ac:dyDescent="0.25">
      <c r="C15" t="s">
        <v>18</v>
      </c>
      <c r="D15">
        <f>HARMEAN(Mkt[LTV])</f>
        <v>0.64477611940298507</v>
      </c>
      <c r="E15">
        <f>HARMEAN(PortA[LTV])</f>
        <v>0.64477611940298507</v>
      </c>
      <c r="F15">
        <f>HARMEAN(PortB[LTV])</f>
        <v>0.62445793581960107</v>
      </c>
      <c r="J15">
        <f>SUBTOTAL(109,PortA[LenderFund])</f>
        <v>1130</v>
      </c>
      <c r="K15" s="3"/>
      <c r="L15" s="2"/>
      <c r="M15" s="2"/>
      <c r="N15" s="2"/>
      <c r="O15" s="2">
        <f>SUM(PortA[Owned Loan])</f>
        <v>1130</v>
      </c>
      <c r="P15" s="2"/>
      <c r="Q15" s="2">
        <f>SUM(PortA[Owned ARV])</f>
        <v>1738.7222222222222</v>
      </c>
      <c r="R15" s="2"/>
      <c r="S15" s="2"/>
    </row>
    <row r="16" spans="3:19" x14ac:dyDescent="0.25">
      <c r="C16" t="s">
        <v>23</v>
      </c>
      <c r="D16">
        <f>Mkt[[#Totals],[w_LTV]]/Mkt[[#Totals],[L_w]]</f>
        <v>0.63333243890222402</v>
      </c>
    </row>
    <row r="17" spans="2:19" x14ac:dyDescent="0.25">
      <c r="C17" t="s">
        <v>24</v>
      </c>
      <c r="D17">
        <f>Mkt[[#Totals],[L_w]]/Mkt[[#Totals],[wrec_LTV]]</f>
        <v>0.62584118438761771</v>
      </c>
      <c r="I17" t="s">
        <v>8</v>
      </c>
      <c r="J17" t="s">
        <v>12</v>
      </c>
      <c r="K17" t="s">
        <v>14</v>
      </c>
      <c r="L17" t="s">
        <v>10</v>
      </c>
      <c r="M17" t="s">
        <v>11</v>
      </c>
      <c r="N17" t="s">
        <v>4</v>
      </c>
      <c r="O17" t="s">
        <v>19</v>
      </c>
      <c r="P17" t="s">
        <v>6</v>
      </c>
      <c r="Q17" t="s">
        <v>27</v>
      </c>
      <c r="R17" t="s">
        <v>9</v>
      </c>
      <c r="S17" t="s">
        <v>20</v>
      </c>
    </row>
    <row r="18" spans="2:19" x14ac:dyDescent="0.25">
      <c r="I18" t="s">
        <v>1</v>
      </c>
      <c r="J18">
        <v>300</v>
      </c>
      <c r="K18" s="1">
        <f>PortB[[#This Row],[LenderFund]]/E4</f>
        <v>0.3</v>
      </c>
      <c r="L18">
        <f t="shared" ref="L18:L19" si="5">J4</f>
        <v>0.70175438596491224</v>
      </c>
      <c r="M18">
        <f t="shared" ref="M18:M19" si="6">N4</f>
        <v>0.89686098654708524</v>
      </c>
      <c r="N18">
        <f t="shared" ref="N18:N19" si="7">E4</f>
        <v>1000</v>
      </c>
      <c r="O18">
        <f>PortB[[#This Row],[Own]]*PortB[[#This Row],[Loan]]</f>
        <v>300</v>
      </c>
      <c r="P18">
        <f t="shared" ref="P18:P19" si="8">H4</f>
        <v>1425</v>
      </c>
      <c r="Q18">
        <f>PortB[[#This Row],[Own]]*PortB[[#This Row],[ARV]]</f>
        <v>427.5</v>
      </c>
      <c r="R18">
        <f t="shared" ref="R18:R19" si="9">I4</f>
        <v>1115</v>
      </c>
      <c r="S18" s="2">
        <f>PortB[[#This Row],[Own]]*PortB[[#This Row],[Cost]]</f>
        <v>334.5</v>
      </c>
    </row>
    <row r="19" spans="2:19" x14ac:dyDescent="0.25">
      <c r="B19" t="s">
        <v>28</v>
      </c>
      <c r="I19" t="s">
        <v>2</v>
      </c>
      <c r="J19">
        <v>220</v>
      </c>
      <c r="K19" s="1">
        <f>PortB[[#This Row],[LenderFund]]/E5</f>
        <v>0.19555555555555557</v>
      </c>
      <c r="L19">
        <f t="shared" si="5"/>
        <v>0.5625</v>
      </c>
      <c r="M19">
        <f t="shared" si="6"/>
        <v>0.75</v>
      </c>
      <c r="N19">
        <f t="shared" si="7"/>
        <v>1125</v>
      </c>
      <c r="O19">
        <f>PortB[[#This Row],[Own]]*PortB[[#This Row],[Loan]]</f>
        <v>220</v>
      </c>
      <c r="P19">
        <f t="shared" si="8"/>
        <v>2000</v>
      </c>
      <c r="Q19">
        <f>PortB[[#This Row],[Own]]*PortB[[#This Row],[ARV]]</f>
        <v>391.11111111111114</v>
      </c>
      <c r="R19">
        <f t="shared" si="9"/>
        <v>1500</v>
      </c>
      <c r="S19" s="2">
        <f>PortB[[#This Row],[Own]]*PortB[[#This Row],[Cost]]</f>
        <v>293.33333333333337</v>
      </c>
    </row>
    <row r="20" spans="2:19" x14ac:dyDescent="0.25">
      <c r="D20" t="s">
        <v>0</v>
      </c>
      <c r="E20" t="s">
        <v>7</v>
      </c>
      <c r="F20" t="s">
        <v>8</v>
      </c>
      <c r="J20">
        <f>SUBTOTAL(109,PortB[LenderFund])</f>
        <v>520</v>
      </c>
      <c r="K20" s="3"/>
      <c r="L20" s="2"/>
      <c r="M20" s="2"/>
      <c r="N20" s="2"/>
      <c r="O20" s="2">
        <f>SUM(PortB[Owned Loan])</f>
        <v>520</v>
      </c>
      <c r="P20" s="2"/>
      <c r="Q20" s="2">
        <f>SUBTOTAL(109,PortB[Owned ARV])</f>
        <v>818.61111111111109</v>
      </c>
      <c r="R20" s="2"/>
      <c r="S20" s="2"/>
    </row>
    <row r="21" spans="2:19" x14ac:dyDescent="0.25">
      <c r="C21" t="s">
        <v>15</v>
      </c>
      <c r="D21">
        <f>Mkt[[#Totals],[Loan]]/D12</f>
        <v>3715.0000000000005</v>
      </c>
      <c r="E21">
        <f>PortA[[#Totals],[Owned Loan]]/E12</f>
        <v>1738.7222222222222</v>
      </c>
      <c r="F21">
        <f>PortB[[#Totals],[Owned Loan]]/F12</f>
        <v>818.61111111111109</v>
      </c>
    </row>
    <row r="22" spans="2:19" x14ac:dyDescent="0.25">
      <c r="C22" t="s">
        <v>16</v>
      </c>
      <c r="D22">
        <f>Mkt[[#Totals],[Loan]]/D13</f>
        <v>3569.7660467906417</v>
      </c>
      <c r="E22">
        <f>PortA[[#Totals],[Owned Loan]]/E13</f>
        <v>1734.9830679025483</v>
      </c>
      <c r="F22">
        <f>PortB[[#Totals],[Owned Loan]]/F13</f>
        <v>822.61925411968775</v>
      </c>
    </row>
    <row r="23" spans="2:19" x14ac:dyDescent="0.25">
      <c r="C23" t="s">
        <v>17</v>
      </c>
      <c r="D23">
        <f>Mkt[[#Totals],[Loan]]/D14</f>
        <v>3587.3719152836188</v>
      </c>
      <c r="E23">
        <f>PortA[[#Totals],[Owned Loan]]/E14</f>
        <v>1743.5398986109631</v>
      </c>
      <c r="F23">
        <f>PortB[[#Totals],[Owned Loan]]/F14</f>
        <v>827.65532278439036</v>
      </c>
    </row>
    <row r="24" spans="2:19" x14ac:dyDescent="0.25">
      <c r="C24" t="s">
        <v>18</v>
      </c>
      <c r="D24">
        <f>Mkt[[#Totals],[Loan]]/D15</f>
        <v>3605.9027777777778</v>
      </c>
      <c r="E24">
        <f>PortA[[#Totals],[Owned Loan]]/E15</f>
        <v>1752.5462962962963</v>
      </c>
      <c r="F24">
        <f>PortB[[#Totals],[Owned Loan]]/F15</f>
        <v>832.72222222222217</v>
      </c>
    </row>
    <row r="25" spans="2:19" x14ac:dyDescent="0.25">
      <c r="C25" t="s">
        <v>23</v>
      </c>
      <c r="D25">
        <f>Mkt[[#Totals],[Loan]]/D16</f>
        <v>3671.0578160657601</v>
      </c>
    </row>
    <row r="26" spans="2:19" x14ac:dyDescent="0.25">
      <c r="C26" t="s">
        <v>24</v>
      </c>
      <c r="D26">
        <f>Mkt[[#Totals],[Loan]]/D17</f>
        <v>3715.0000000000005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Jernigan</dc:creator>
  <cp:lastModifiedBy>Chris Jernigan</cp:lastModifiedBy>
  <dcterms:created xsi:type="dcterms:W3CDTF">2019-06-02T15:37:28Z</dcterms:created>
  <dcterms:modified xsi:type="dcterms:W3CDTF">2019-06-02T16:37:11Z</dcterms:modified>
</cp:coreProperties>
</file>