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xxv\Documents\LTV\"/>
    </mc:Choice>
  </mc:AlternateContent>
  <xr:revisionPtr revIDLastSave="0" documentId="13_ncr:1_{1C5430B0-784B-4E92-A95B-24D42754B7A1}" xr6:coauthVersionLast="43" xr6:coauthVersionMax="43" xr10:uidLastSave="{00000000-0000-0000-0000-000000000000}"/>
  <bookViews>
    <workbookView xWindow="-98" yWindow="-98" windowWidth="20715" windowHeight="13276" xr2:uid="{B6DE82AB-EB0E-4B2D-94C3-6E4A894FC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J20" i="1" l="1"/>
  <c r="J15" i="1"/>
  <c r="K12" i="1" s="1"/>
  <c r="X12" i="1"/>
  <c r="X13" i="1"/>
  <c r="X14" i="1"/>
  <c r="V12" i="1"/>
  <c r="V13" i="1"/>
  <c r="V14" i="1"/>
  <c r="S12" i="1"/>
  <c r="S13" i="1"/>
  <c r="S14" i="1"/>
  <c r="L13" i="1"/>
  <c r="L14" i="1"/>
  <c r="L18" i="1"/>
  <c r="L19" i="1"/>
  <c r="X18" i="1"/>
  <c r="X19" i="1"/>
  <c r="V18" i="1"/>
  <c r="V19" i="1"/>
  <c r="S18" i="1"/>
  <c r="S19" i="1"/>
  <c r="I7" i="1"/>
  <c r="E7" i="1"/>
  <c r="K14" i="1" l="1"/>
  <c r="K13" i="1"/>
  <c r="K18" i="1"/>
  <c r="K19" i="1"/>
  <c r="F6" i="1"/>
  <c r="W18" i="1"/>
  <c r="F5" i="1"/>
  <c r="F4" i="1"/>
  <c r="T13" i="1"/>
  <c r="T12" i="1"/>
  <c r="Y13" i="1"/>
  <c r="T14" i="1"/>
  <c r="Y18" i="1"/>
  <c r="W12" i="1"/>
  <c r="Y14" i="1"/>
  <c r="T18" i="1"/>
  <c r="Y19" i="1"/>
  <c r="W14" i="1"/>
  <c r="W19" i="1"/>
  <c r="W13" i="1"/>
  <c r="Y12" i="1"/>
  <c r="T19" i="1"/>
  <c r="D12" i="1"/>
  <c r="G4" i="1"/>
  <c r="G5" i="1"/>
  <c r="G6" i="1"/>
  <c r="O4" i="1"/>
  <c r="R12" i="1" s="1"/>
  <c r="O5" i="1"/>
  <c r="R13" i="1" s="1"/>
  <c r="O6" i="1"/>
  <c r="R14" i="1" s="1"/>
  <c r="K4" i="1"/>
  <c r="K5" i="1"/>
  <c r="M5" i="1" s="1"/>
  <c r="K6" i="1"/>
  <c r="K15" i="1" l="1"/>
  <c r="J23" i="1"/>
  <c r="J32" i="1"/>
  <c r="Q19" i="1"/>
  <c r="K20" i="1"/>
  <c r="Q13" i="1"/>
  <c r="D23" i="1"/>
  <c r="B46" i="1"/>
  <c r="B45" i="1"/>
  <c r="B47" i="1"/>
  <c r="W15" i="1"/>
  <c r="T15" i="1"/>
  <c r="W20" i="1"/>
  <c r="T20" i="1"/>
  <c r="N5" i="1"/>
  <c r="M14" i="1"/>
  <c r="P14" i="1" s="1"/>
  <c r="M6" i="1"/>
  <c r="N6" i="1" s="1"/>
  <c r="M12" i="1"/>
  <c r="P12" i="1" s="1"/>
  <c r="M4" i="1"/>
  <c r="L5" i="1"/>
  <c r="M13" i="1"/>
  <c r="P13" i="1" s="1"/>
  <c r="L6" i="1"/>
  <c r="F7" i="1"/>
  <c r="L4" i="1"/>
  <c r="D14" i="1"/>
  <c r="D15" i="1"/>
  <c r="D13" i="1"/>
  <c r="J7" i="1"/>
  <c r="G7" i="1"/>
  <c r="R19" i="1"/>
  <c r="M19" i="1"/>
  <c r="P19" i="1" s="1"/>
  <c r="R18" i="1"/>
  <c r="M18" i="1"/>
  <c r="P18" i="1" s="1"/>
  <c r="J26" i="1" l="1"/>
  <c r="J35" i="1"/>
  <c r="J25" i="1"/>
  <c r="J34" i="1"/>
  <c r="J24" i="1"/>
  <c r="J33" i="1"/>
  <c r="U19" i="1"/>
  <c r="P20" i="1"/>
  <c r="F18" i="1" s="1"/>
  <c r="L29" i="1" s="1"/>
  <c r="U14" i="1"/>
  <c r="N4" i="1"/>
  <c r="Q12" i="1"/>
  <c r="Q14" i="1"/>
  <c r="P15" i="1"/>
  <c r="E18" i="1" s="1"/>
  <c r="K29" i="1" s="1"/>
  <c r="N19" i="1"/>
  <c r="O19" i="1"/>
  <c r="Q18" i="1"/>
  <c r="Q20" i="1" s="1"/>
  <c r="F19" i="1" s="1"/>
  <c r="L30" i="1" s="1"/>
  <c r="O14" i="1"/>
  <c r="N14" i="1"/>
  <c r="U18" i="1"/>
  <c r="O18" i="1" s="1"/>
  <c r="O20" i="1" s="1"/>
  <c r="U13" i="1"/>
  <c r="U12" i="1"/>
  <c r="O12" i="1" s="1"/>
  <c r="E12" i="1"/>
  <c r="K23" i="1" s="1"/>
  <c r="H4" i="1"/>
  <c r="H5" i="1"/>
  <c r="F12" i="1"/>
  <c r="L23" i="1" s="1"/>
  <c r="H6" i="1"/>
  <c r="D32" i="1"/>
  <c r="D26" i="1"/>
  <c r="E46" i="1"/>
  <c r="E45" i="1"/>
  <c r="E47" i="1"/>
  <c r="D25" i="1"/>
  <c r="D47" i="1"/>
  <c r="D46" i="1"/>
  <c r="D45" i="1"/>
  <c r="D24" i="1"/>
  <c r="C47" i="1"/>
  <c r="C45" i="1"/>
  <c r="C46" i="1"/>
  <c r="E15" i="1"/>
  <c r="K35" i="1" s="1"/>
  <c r="E14" i="1"/>
  <c r="K34" i="1" s="1"/>
  <c r="E13" i="1"/>
  <c r="K33" i="1" s="1"/>
  <c r="F15" i="1"/>
  <c r="L35" i="1" s="1"/>
  <c r="F14" i="1"/>
  <c r="L34" i="1" s="1"/>
  <c r="F13" i="1"/>
  <c r="L33" i="1" s="1"/>
  <c r="L7" i="1"/>
  <c r="D16" i="1" s="1"/>
  <c r="N7" i="1"/>
  <c r="D17" i="1" s="1"/>
  <c r="Q15" i="1" l="1"/>
  <c r="E19" i="1" s="1"/>
  <c r="K39" i="1" s="1"/>
  <c r="J27" i="1"/>
  <c r="J36" i="1"/>
  <c r="E23" i="1"/>
  <c r="K32" i="1"/>
  <c r="K24" i="1"/>
  <c r="L25" i="1"/>
  <c r="J28" i="1"/>
  <c r="J37" i="1"/>
  <c r="F23" i="1"/>
  <c r="L32" i="1"/>
  <c r="E29" i="1"/>
  <c r="K38" i="1"/>
  <c r="K25" i="1"/>
  <c r="L26" i="1"/>
  <c r="F30" i="1"/>
  <c r="I56" i="1"/>
  <c r="L39" i="1"/>
  <c r="I55" i="1"/>
  <c r="F39" i="1" s="1"/>
  <c r="F29" i="1"/>
  <c r="L38" i="1"/>
  <c r="H55" i="1"/>
  <c r="H56" i="1"/>
  <c r="K26" i="1"/>
  <c r="L24" i="1"/>
  <c r="I51" i="1"/>
  <c r="I52" i="1"/>
  <c r="I50" i="1"/>
  <c r="E30" i="1"/>
  <c r="H51" i="1"/>
  <c r="H52" i="1"/>
  <c r="H50" i="1"/>
  <c r="N13" i="1"/>
  <c r="O13" i="1"/>
  <c r="O15" i="1" s="1"/>
  <c r="U20" i="1"/>
  <c r="F17" i="1" s="1"/>
  <c r="N18" i="1"/>
  <c r="N20" i="1" s="1"/>
  <c r="U15" i="1"/>
  <c r="N12" i="1"/>
  <c r="D34" i="1"/>
  <c r="B52" i="1"/>
  <c r="B51" i="1"/>
  <c r="D35" i="1"/>
  <c r="B50" i="1"/>
  <c r="B55" i="1"/>
  <c r="F32" i="1" s="1"/>
  <c r="B56" i="1"/>
  <c r="P5" i="1"/>
  <c r="Q5" i="1"/>
  <c r="P6" i="1"/>
  <c r="Q6" i="1"/>
  <c r="Q4" i="1"/>
  <c r="P4" i="1"/>
  <c r="D33" i="1"/>
  <c r="H7" i="1"/>
  <c r="D28" i="1"/>
  <c r="G47" i="1"/>
  <c r="G45" i="1"/>
  <c r="G46" i="1"/>
  <c r="F24" i="1"/>
  <c r="C55" i="1"/>
  <c r="C56" i="1"/>
  <c r="E25" i="1"/>
  <c r="D52" i="1"/>
  <c r="D50" i="1"/>
  <c r="D51" i="1"/>
  <c r="D27" i="1"/>
  <c r="F46" i="1"/>
  <c r="F45" i="1"/>
  <c r="F47" i="1"/>
  <c r="F25" i="1"/>
  <c r="D55" i="1"/>
  <c r="D56" i="1"/>
  <c r="E26" i="1"/>
  <c r="E51" i="1"/>
  <c r="E50" i="1"/>
  <c r="E52" i="1"/>
  <c r="E24" i="1"/>
  <c r="C52" i="1"/>
  <c r="C51" i="1"/>
  <c r="C50" i="1"/>
  <c r="F26" i="1"/>
  <c r="E56" i="1"/>
  <c r="E55" i="1"/>
  <c r="F35" i="1" s="1"/>
  <c r="K30" i="1" l="1"/>
  <c r="F16" i="1"/>
  <c r="E38" i="1"/>
  <c r="E39" i="1"/>
  <c r="F27" i="1"/>
  <c r="L36" i="1"/>
  <c r="L27" i="1"/>
  <c r="F33" i="1"/>
  <c r="F28" i="1"/>
  <c r="G56" i="1"/>
  <c r="L37" i="1"/>
  <c r="G55" i="1"/>
  <c r="L28" i="1"/>
  <c r="F34" i="1"/>
  <c r="F38" i="1"/>
  <c r="E34" i="1"/>
  <c r="E35" i="1"/>
  <c r="E32" i="1"/>
  <c r="E33" i="1"/>
  <c r="F56" i="1"/>
  <c r="F55" i="1"/>
  <c r="N15" i="1"/>
  <c r="E16" i="1" s="1"/>
  <c r="E17" i="1"/>
  <c r="D36" i="1"/>
  <c r="D37" i="1"/>
  <c r="P7" i="1"/>
  <c r="D18" i="1" s="1"/>
  <c r="Q7" i="1"/>
  <c r="D19" i="1" s="1"/>
  <c r="J30" i="1" l="1"/>
  <c r="J39" i="1"/>
  <c r="E28" i="1"/>
  <c r="K37" i="1"/>
  <c r="K28" i="1"/>
  <c r="J29" i="1"/>
  <c r="J38" i="1"/>
  <c r="F37" i="1"/>
  <c r="E27" i="1"/>
  <c r="K36" i="1"/>
  <c r="K27" i="1"/>
  <c r="F36" i="1"/>
  <c r="F52" i="1"/>
  <c r="F51" i="1"/>
  <c r="F50" i="1"/>
  <c r="E36" i="1" s="1"/>
  <c r="G52" i="1"/>
  <c r="G51" i="1"/>
  <c r="G50" i="1"/>
  <c r="I47" i="1"/>
  <c r="I46" i="1"/>
  <c r="I45" i="1"/>
  <c r="D30" i="1"/>
  <c r="H46" i="1"/>
  <c r="H45" i="1"/>
  <c r="H47" i="1"/>
  <c r="D29" i="1"/>
  <c r="E37" i="1" l="1"/>
  <c r="D39" i="1"/>
  <c r="D38" i="1"/>
</calcChain>
</file>

<file path=xl/sharedStrings.xml><?xml version="1.0" encoding="utf-8"?>
<sst xmlns="http://schemas.openxmlformats.org/spreadsheetml/2006/main" count="147" uniqueCount="51">
  <si>
    <t>Mkt</t>
  </si>
  <si>
    <t>Loan A</t>
  </si>
  <si>
    <t>Loan B</t>
  </si>
  <si>
    <t>Loan C</t>
  </si>
  <si>
    <t>Loan</t>
  </si>
  <si>
    <t>Rate</t>
  </si>
  <si>
    <t>ARV</t>
  </si>
  <si>
    <t>Port A</t>
  </si>
  <si>
    <t>Port B</t>
  </si>
  <si>
    <t>Cost</t>
  </si>
  <si>
    <t>LTV</t>
  </si>
  <si>
    <t>LTC</t>
  </si>
  <si>
    <t>LenderFund</t>
  </si>
  <si>
    <t>Funded</t>
  </si>
  <si>
    <t>Own</t>
  </si>
  <si>
    <t>Realized</t>
  </si>
  <si>
    <t>Mean</t>
  </si>
  <si>
    <t>GeoMean</t>
  </si>
  <si>
    <t>Hmean</t>
  </si>
  <si>
    <t>Owned Loan</t>
  </si>
  <si>
    <t>Owned Cost</t>
  </si>
  <si>
    <t>L_w</t>
  </si>
  <si>
    <t>w_LTV</t>
  </si>
  <si>
    <t>w_Mean</t>
  </si>
  <si>
    <t>w_Hmean</t>
  </si>
  <si>
    <t>rec_LTV</t>
  </si>
  <si>
    <t>wrec_LTV</t>
  </si>
  <si>
    <t>Owned ARV</t>
  </si>
  <si>
    <t>Attempt to reverse calc</t>
  </si>
  <si>
    <t>SUM(ARV*MEAN)</t>
  </si>
  <si>
    <t>=SUM(Loan)</t>
  </si>
  <si>
    <t>SUM(Loan)/Mean</t>
  </si>
  <si>
    <t>= SUM(ARV)</t>
  </si>
  <si>
    <t>fw_Mean</t>
  </si>
  <si>
    <t>fw_Hmean</t>
  </si>
  <si>
    <t>F_w</t>
  </si>
  <si>
    <t>fw_LTV</t>
  </si>
  <si>
    <t>fwrec_LTV</t>
  </si>
  <si>
    <t>lf_w</t>
  </si>
  <si>
    <t>olw_LTV</t>
  </si>
  <si>
    <t>ol_w</t>
  </si>
  <si>
    <t>lfw_LTV</t>
  </si>
  <si>
    <t>olwr_LTV</t>
  </si>
  <si>
    <t>lfwr_LTV</t>
  </si>
  <si>
    <t>SUM(ARV)*Mean</t>
  </si>
  <si>
    <t>= SUM(Loan)</t>
  </si>
  <si>
    <t>SUM(Loan/Mean)</t>
  </si>
  <si>
    <t>Key:</t>
  </si>
  <si>
    <t>Underest.</t>
  </si>
  <si>
    <t>Overest.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</si>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</sst>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2" borderId="0" xfId="2"/>
    <xf numFmtId="0" fontId="2" fillId="0" borderId="0" xfId="2" applyFill="1"/>
    <xf numFmtId="0" fontId="0" fillId="0" borderId="0" xfId="0" applyFill="1"/>
    <xf numFmtId="0" fontId="3" fillId="3" borderId="0" xfId="3"/>
    <xf numFmtId="0" fontId="4" fillId="4" borderId="0" xfId="4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26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2003-DA36-4113-A2A7-D1315C36F104}" name="Mkt" displayName="Mkt" ref="C3:Q7" totalsRowCount="1">
  <autoFilter ref="C3:Q6" xr:uid="{E8123F1F-BA0E-496B-A940-B7DC66773847}"/>
  <tableColumns count="15">
    <tableColumn id="1" xr3:uid="{ADD331E4-8EDE-48E2-B8F1-1DE2017CDA57}" name="Mkt"/>
    <tableColumn id="2" xr3:uid="{236AAC08-526D-4C64-8CB3-60DB881DF4CB}" name="Rate"/>
    <tableColumn id="3" xr3:uid="{D2B8D5FA-E58D-4A36-846C-D30FB9934DA3}" name="Loan" totalsRowFunction="custom">
      <totalsRowFormula>SUM(Mkt[Loan])</totalsRowFormula>
    </tableColumn>
    <tableColumn id="10" xr3:uid="{3E654376-69B9-4B75-B8FB-9AED91457F6A}" name="L_w" totalsRowFunction="sum" dataDxfId="262">
      <calculatedColumnFormula>Mkt[[#This Row],[Loan]]/Mkt[[#Totals],[Loan]]</calculatedColumnFormula>
    </tableColumn>
    <tableColumn id="8" xr3:uid="{6CD019CA-4A8F-46E2-86B0-BE4BB4B3FB31}" name="Funded" totalsRowFunction="custom" dataDxfId="261">
      <calculatedColumnFormula>J12+J18</calculatedColumnFormula>
      <totalsRowFormula>SUM(Mkt[Funded])</totalsRowFormula>
    </tableColumn>
    <tableColumn id="13" xr3:uid="{48BB3695-DAA9-4514-9C22-C4E43A9F95C8}" name="F_w" totalsRowFunction="sum" dataDxfId="260">
      <calculatedColumnFormula>Mkt[[#This Row],[Funded]]/Mkt[[#Totals],[Funded]]</calculatedColumnFormula>
    </tableColumn>
    <tableColumn id="4" xr3:uid="{21783D63-6C63-4366-A2A8-B68FB622C4B1}" name="ARV" totalsRowFunction="custom">
      <totalsRowFormula>SUM(Mkt[ARV])</totalsRowFormula>
    </tableColumn>
    <tableColumn id="5" xr3:uid="{27DA64F5-4D79-47B2-845E-B382B9097BEA}" name="Cost" totalsRowFunction="custom">
      <totalsRowFormula>SUM(Mkt[Funded])</totalsRowFormula>
    </tableColumn>
    <tableColumn id="6" xr3:uid="{4B124A66-88A1-40E5-B7D4-C8C3C5585009}" name="LTV" dataDxfId="259" totalsRowDxfId="258">
      <calculatedColumnFormula>Mkt[[#This Row],[Loan]]/Mkt[[#This Row],[ARV]]</calculatedColumnFormula>
    </tableColumn>
    <tableColumn id="9" xr3:uid="{D5130F64-3E2B-4056-87A7-049953C59897}" name="w_LTV" totalsRowFunction="sum" dataDxfId="257" totalsRowDxfId="256">
      <calculatedColumnFormula>Mkt[[#This Row],[L_w]]*Mkt[[#This Row],[LTV]]</calculatedColumnFormula>
    </tableColumn>
    <tableColumn id="11" xr3:uid="{2CE4445A-E029-419D-838C-6D1C723154F2}" name="rec_LTV" dataDxfId="255" totalsRowDxfId="254">
      <calculatedColumnFormula>1/Mkt[[#This Row],[LTV]]</calculatedColumnFormula>
    </tableColumn>
    <tableColumn id="12" xr3:uid="{4ED08D50-5112-4BBA-A623-02CBB112C3A0}" name="wrec_LTV" totalsRowFunction="sum" dataDxfId="253" totalsRowDxfId="252">
      <calculatedColumnFormula>Mkt[[#This Row],[L_w]]*Mkt[[#This Row],[rec_LTV]]</calculatedColumnFormula>
    </tableColumn>
    <tableColumn id="7" xr3:uid="{9F7C477B-F3ED-4CA5-BB69-9E187FB1CDB9}" name="LTC" dataDxfId="251" totalsRowDxfId="250">
      <calculatedColumnFormula>Mkt[[#This Row],[Loan]]/Mkt[[#This Row],[Cost]]</calculatedColumnFormula>
    </tableColumn>
    <tableColumn id="14" xr3:uid="{FDE129A9-580F-45D3-8D53-C4D8B1B668FA}" name="fw_LTV" totalsRowFunction="sum" dataDxfId="249">
      <calculatedColumnFormula>Mkt[[#This Row],[F_w]]*Mkt[[#This Row],[LTV]]</calculatedColumnFormula>
    </tableColumn>
    <tableColumn id="15" xr3:uid="{9A799F77-F8A9-4742-8FB3-95A0CD9FE169}" name="fwrec_LTV" totalsRowFunction="sum" dataDxfId="248">
      <calculatedColumnFormula>Mkt[[#This Row],[F_w]]*Mkt[[#This Row],[rec_LTV]]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98BD-CD0A-44E5-8901-5C6BEA75F6FE}" name="PortA" displayName="PortA" ref="I11:Y15" totalsRowCount="1">
  <autoFilter ref="I11:Y14" xr:uid="{85EEC4B1-8D50-4B3F-9136-3B202AA7F708}"/>
  <tableColumns count="17">
    <tableColumn id="1" xr3:uid="{88814286-9AE1-43D4-BEAB-F179C3C1929D}" name="Port A"/>
    <tableColumn id="2" xr3:uid="{2700CB0A-5650-4D81-95D7-7B4AE803B6D2}" name="LenderFund" totalsRowFunction="sum"/>
    <tableColumn id="12" xr3:uid="{AE83D05D-97F0-451E-A9EC-7811E4886FDF}" name="lf_w" totalsRowFunction="sum" dataDxfId="235">
      <calculatedColumnFormula>PortA[[#This Row],[LenderFund]]/PortA[[#Totals],[LenderFund]]</calculatedColumnFormula>
    </tableColumn>
    <tableColumn id="3" xr3:uid="{3A8ED47A-BAD5-4DBB-A5E7-D924361D93A7}" name="Own" dataDxfId="234" totalsRowDxfId="203" dataCellStyle="Percent">
      <calculatedColumnFormula>PortA[[#This Row],[LenderFund]]/E4</calculatedColumnFormula>
    </tableColumn>
    <tableColumn id="4" xr3:uid="{5841A99B-D0C7-41B7-8FE8-80556D1DE9AE}" name="LTV" dataDxfId="233" totalsRowDxfId="202">
      <calculatedColumnFormula>K4</calculatedColumnFormula>
    </tableColumn>
    <tableColumn id="15" xr3:uid="{B449AB72-41CD-4496-8660-B9B2930FF806}" name="olw_LTV" totalsRowFunction="sum" dataDxfId="232" totalsRowDxfId="201">
      <calculatedColumnFormula>PortA[[#This Row],[ol_w]]*PortA[[#This Row],[LTV]]</calculatedColumnFormula>
    </tableColumn>
    <tableColumn id="16" xr3:uid="{3242CEE2-3D6C-4351-BCA2-DA3D37C77834}" name="olwr_LTV" totalsRowFunction="sum" dataDxfId="231" totalsRowDxfId="200">
      <calculatedColumnFormula>PortA[[#This Row],[ol_w]]*(1/PortA[[#This Row],[LTV]])</calculatedColumnFormula>
    </tableColumn>
    <tableColumn id="14" xr3:uid="{1885FE15-2B4B-42BC-969F-824BD533F062}" name="lfw_LTV" totalsRowFunction="sum" dataDxfId="222" totalsRowDxfId="199">
      <calculatedColumnFormula>PortA[[#This Row],[lf_w]]*PortA[[#This Row],[LTV]]</calculatedColumnFormula>
    </tableColumn>
    <tableColumn id="17" xr3:uid="{BDCDCE6F-BC7B-4B7B-9609-C3981193F504}" name="lfwr_LTV" totalsRowFunction="sum" dataDxfId="221" totalsRowDxfId="198">
      <calculatedColumnFormula>PortA[[#This Row],[lf_w]]*M4</calculatedColumnFormula>
    </tableColumn>
    <tableColumn id="5" xr3:uid="{30F0D34A-41EF-4107-8B8E-CCF5E8E58E4A}" name="LTC" dataDxfId="230" totalsRowDxfId="197">
      <calculatedColumnFormula>O4</calculatedColumnFormula>
    </tableColumn>
    <tableColumn id="6" xr3:uid="{0A54C007-1841-4178-AF64-766A68A5C4B5}" name="Loan" dataDxfId="229" totalsRowDxfId="196">
      <calculatedColumnFormula>E4</calculatedColumnFormula>
    </tableColumn>
    <tableColumn id="9" xr3:uid="{B8425E01-4FB8-4F08-95AA-99CAF4FF9262}" name="Owned Loan" totalsRowFunction="custom" dataDxfId="228" totalsRowDxfId="195">
      <calculatedColumnFormula>PortA[[#This Row],[Own]]*PortA[[#This Row],[Loan]]</calculatedColumnFormula>
      <totalsRowFormula>SUM(PortA[Owned Loan])</totalsRowFormula>
    </tableColumn>
    <tableColumn id="13" xr3:uid="{043E775D-463B-48C2-9DFC-BC5D942C66C6}" name="ol_w" totalsRowFunction="sum" dataDxfId="227" totalsRowDxfId="194">
      <calculatedColumnFormula>PortA[[#This Row],[Owned Loan]]/PortA[[#Totals],[Owned Loan]]</calculatedColumnFormula>
    </tableColumn>
    <tableColumn id="7" xr3:uid="{EE78749D-2429-41ED-B3AD-0106083120DF}" name="ARV" dataDxfId="226" totalsRowDxfId="193">
      <calculatedColumnFormula>I4</calculatedColumnFormula>
    </tableColumn>
    <tableColumn id="10" xr3:uid="{6FB2F83E-940E-4AF9-9EFA-80258C7635F3}" name="Owned ARV" totalsRowFunction="custom" dataDxfId="225" totalsRowDxfId="192">
      <calculatedColumnFormula>PortA[[#This Row],[Own]]*PortA[[#This Row],[ARV]]</calculatedColumnFormula>
      <totalsRowFormula>SUM(PortA[Owned ARV])</totalsRowFormula>
    </tableColumn>
    <tableColumn id="8" xr3:uid="{C2B4D6FE-B07B-4F7A-9D87-321E569D9BD0}" name="Cost" dataDxfId="224" totalsRowDxfId="191">
      <calculatedColumnFormula>J4</calculatedColumnFormula>
    </tableColumn>
    <tableColumn id="11" xr3:uid="{B972803D-7059-410C-8156-76558789AE43}" name="Owned Cost" dataDxfId="223" totalsRowDxfId="190">
      <calculatedColumnFormula>PortA[[#This Row],[Own]]*PortA[[#This Row],[Cost]]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BF139-E16A-4984-9A74-D5A32E98B4EB}" name="PortB" displayName="PortB" ref="I17:Y20" totalsRowCount="1">
  <autoFilter ref="I17:Y19" xr:uid="{CE0871AD-FE92-4C33-A0C8-0A78AAEC10EC}"/>
  <tableColumns count="17">
    <tableColumn id="1" xr3:uid="{A2C9E29E-45EA-458D-ABB7-08E096B7C943}" name="Port B"/>
    <tableColumn id="2" xr3:uid="{72D08AAD-FFE4-4CEF-80C8-43032E15A718}" name="LenderFund" totalsRowFunction="sum"/>
    <tableColumn id="12" xr3:uid="{01504B9C-8E01-4451-9DD0-DF3D5BDB7648}" name="lf_w" totalsRowFunction="sum" dataDxfId="247">
      <calculatedColumnFormula>PortB[[#This Row],[LenderFund]]/PortB[[#Totals],[LenderFund]]</calculatedColumnFormula>
    </tableColumn>
    <tableColumn id="3" xr3:uid="{0B2DF22B-F28B-4EAA-86C2-59EED5CCEB2A}" name="Own" dataDxfId="246" totalsRowDxfId="218" dataCellStyle="Percent">
      <calculatedColumnFormula>PortB[[#This Row],[LenderFund]]/E4</calculatedColumnFormula>
    </tableColumn>
    <tableColumn id="4" xr3:uid="{40A39FD8-16DB-4606-9E70-B2CBE771316F}" name="LTV" dataDxfId="245" totalsRowDxfId="217">
      <calculatedColumnFormula>K4</calculatedColumnFormula>
    </tableColumn>
    <tableColumn id="15" xr3:uid="{5C0945BE-2420-4C27-80E1-C9DCF65ACED4}" name="olw_LTV" totalsRowFunction="sum" dataDxfId="236" totalsRowDxfId="216">
      <calculatedColumnFormula>PortB[[#This Row],[ol_w]]*PortB[[#This Row],[LTV]]</calculatedColumnFormula>
    </tableColumn>
    <tableColumn id="16" xr3:uid="{448FC941-858C-47B5-9AF7-97BD5D0DC912}" name="olwr_LTV" totalsRowFunction="sum" dataDxfId="220" totalsRowDxfId="215">
      <calculatedColumnFormula>PortB[[#This Row],[ol_w]]*M4</calculatedColumnFormula>
    </tableColumn>
    <tableColumn id="14" xr3:uid="{2E16FFCA-8086-432A-A0DA-1BAAF9A878E8}" name="lfw_LTV" totalsRowFunction="sum" dataDxfId="219" totalsRowDxfId="214">
      <calculatedColumnFormula>PortB[[#This Row],[lf_w]]*PortB[[#This Row],[LTV]]</calculatedColumnFormula>
    </tableColumn>
    <tableColumn id="17" xr3:uid="{DEBCC45F-E96A-4F76-944D-D4AD8238B07C}" name="lfwr_LTV" totalsRowFunction="sum" dataDxfId="204" totalsRowDxfId="213">
      <calculatedColumnFormula>PortB[[#This Row],[lf_w]]*M4</calculatedColumnFormula>
    </tableColumn>
    <tableColumn id="5" xr3:uid="{BF6C3088-67DF-4D2C-AFC7-1EE84596B539}" name="LTC" dataDxfId="244" totalsRowDxfId="212">
      <calculatedColumnFormula>O4</calculatedColumnFormula>
    </tableColumn>
    <tableColumn id="6" xr3:uid="{8DD3C536-25F9-4535-9E19-34DEE173B48F}" name="Loan" dataDxfId="243" totalsRowDxfId="211">
      <calculatedColumnFormula>E4</calculatedColumnFormula>
    </tableColumn>
    <tableColumn id="9" xr3:uid="{4A26AE8A-585C-4A2C-AC2F-B911747219F1}" name="Owned Loan" totalsRowFunction="custom" dataDxfId="242" totalsRowDxfId="210">
      <calculatedColumnFormula>PortB[[#This Row],[Own]]*PortB[[#This Row],[Loan]]</calculatedColumnFormula>
      <totalsRowFormula>SUM(PortB[Owned Loan])</totalsRowFormula>
    </tableColumn>
    <tableColumn id="13" xr3:uid="{23166E3D-4BEF-470B-9824-A81F03D4EC19}" name="ol_w" totalsRowFunction="sum" dataDxfId="241" totalsRowDxfId="209">
      <calculatedColumnFormula>PortB[[#This Row],[Owned Loan]]/PortB[[#Totals],[Owned Loan]]</calculatedColumnFormula>
    </tableColumn>
    <tableColumn id="7" xr3:uid="{F9BF8BC7-636F-462E-B732-60CF08AB3EA1}" name="ARV" dataDxfId="240" totalsRowDxfId="208">
      <calculatedColumnFormula>I4</calculatedColumnFormula>
    </tableColumn>
    <tableColumn id="10" xr3:uid="{B98DA5A1-A3F2-4A0F-A360-D5D5CB2BA504}" name="Owned ARV" totalsRowFunction="sum" dataDxfId="239" totalsRowDxfId="207">
      <calculatedColumnFormula>PortB[[#This Row],[Own]]*PortB[[#This Row],[ARV]]</calculatedColumnFormula>
    </tableColumn>
    <tableColumn id="8" xr3:uid="{001328D5-8D01-4014-BD6F-0493F7441B70}" name="Cost" dataDxfId="238" totalsRowDxfId="206">
      <calculatedColumnFormula>J4</calculatedColumnFormula>
    </tableColumn>
    <tableColumn id="11" xr3:uid="{8B41CD80-FBC7-412F-ADBF-D368B364F596}" name="Owned Cost" dataDxfId="237" totalsRowDxfId="205">
      <calculatedColumnFormula>PortB[[#This Row],[Own]]*PortB[[#This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E554-859B-4032-82EB-3C9956F1C899}">
  <dimension ref="A3:Y56"/>
  <sheetViews>
    <sheetView tabSelected="1" topLeftCell="A13" workbookViewId="0">
      <selection activeCell="E40" sqref="E40"/>
    </sheetView>
  </sheetViews>
  <sheetFormatPr defaultRowHeight="14.25" x14ac:dyDescent="0.45"/>
  <cols>
    <col min="7" max="7" width="11.73046875" customWidth="1"/>
    <col min="15" max="15" width="14.1328125" customWidth="1"/>
    <col min="16" max="16" width="14.06640625" customWidth="1"/>
    <col min="17" max="17" width="15" customWidth="1"/>
    <col min="18" max="18" width="13.73046875" customWidth="1"/>
    <col min="19" max="19" width="14" customWidth="1"/>
    <col min="24" max="24" width="13.73046875" customWidth="1"/>
  </cols>
  <sheetData>
    <row r="3" spans="3:25" x14ac:dyDescent="0.4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5" x14ac:dyDescent="0.45">
      <c r="C4" t="s">
        <v>1</v>
      </c>
      <c r="D4">
        <v>10</v>
      </c>
      <c r="E4">
        <v>1000</v>
      </c>
      <c r="F4">
        <f>Mkt[[#This Row],[Loan]]/Mkt[[#Totals],[Loan]]</f>
        <v>0.43010752688172044</v>
      </c>
      <c r="G4">
        <f>J12+J18</f>
        <v>880</v>
      </c>
      <c r="H4">
        <f>Mkt[[#This Row],[Funded]]/Mkt[[#Totals],[Funded]]</f>
        <v>0.46933333333333332</v>
      </c>
      <c r="I4">
        <v>1425</v>
      </c>
      <c r="J4">
        <v>1115</v>
      </c>
      <c r="K4">
        <f>Mkt[[#This Row],[Loan]]/Mkt[[#This Row],[ARV]]</f>
        <v>0.70175438596491224</v>
      </c>
      <c r="L4">
        <f>Mkt[[#This Row],[L_w]]*Mkt[[#This Row],[LTV]]</f>
        <v>0.30182984342576868</v>
      </c>
      <c r="M4">
        <f>1/Mkt[[#This Row],[LTV]]</f>
        <v>1.425</v>
      </c>
      <c r="N4">
        <f>Mkt[[#This Row],[L_w]]*Mkt[[#This Row],[rec_LTV]]</f>
        <v>0.61290322580645162</v>
      </c>
      <c r="O4">
        <f>Mkt[[#This Row],[Loan]]/Mkt[[#This Row],[Cost]]</f>
        <v>0.89686098654708524</v>
      </c>
      <c r="P4" s="2">
        <f>Mkt[[#This Row],[F_w]]*Mkt[[#This Row],[LTV]]</f>
        <v>0.32935672514619879</v>
      </c>
      <c r="Q4" s="2">
        <f>Mkt[[#This Row],[F_w]]*Mkt[[#This Row],[rec_LTV]]</f>
        <v>0.66880000000000006</v>
      </c>
    </row>
    <row r="5" spans="3:25" x14ac:dyDescent="0.45">
      <c r="C5" t="s">
        <v>2</v>
      </c>
      <c r="D5">
        <v>12.5</v>
      </c>
      <c r="E5">
        <v>1125</v>
      </c>
      <c r="F5">
        <f>Mkt[[#This Row],[Loan]]/Mkt[[#Totals],[Loan]]</f>
        <v>0.4838709677419355</v>
      </c>
      <c r="G5">
        <f>J13+J19</f>
        <v>570</v>
      </c>
      <c r="H5">
        <f>Mkt[[#This Row],[Funded]]/Mkt[[#Totals],[Funded]]</f>
        <v>0.30399999999999999</v>
      </c>
      <c r="I5">
        <v>2000</v>
      </c>
      <c r="J5">
        <v>1500</v>
      </c>
      <c r="K5">
        <f>Mkt[[#This Row],[Loan]]/Mkt[[#This Row],[ARV]]</f>
        <v>0.5625</v>
      </c>
      <c r="L5">
        <f>Mkt[[#This Row],[L_w]]*Mkt[[#This Row],[LTV]]</f>
        <v>0.27217741935483875</v>
      </c>
      <c r="M5">
        <f>1/Mkt[[#This Row],[LTV]]</f>
        <v>1.7777777777777777</v>
      </c>
      <c r="N5">
        <f>Mkt[[#This Row],[L_w]]*Mkt[[#This Row],[rec_LTV]]</f>
        <v>0.86021505376344087</v>
      </c>
      <c r="O5">
        <f>Mkt[[#This Row],[Loan]]/Mkt[[#This Row],[Cost]]</f>
        <v>0.75</v>
      </c>
      <c r="P5" s="2">
        <f>Mkt[[#This Row],[F_w]]*Mkt[[#This Row],[LTV]]</f>
        <v>0.17099999999999999</v>
      </c>
      <c r="Q5" s="2">
        <f>Mkt[[#This Row],[F_w]]*Mkt[[#This Row],[rec_LTV]]</f>
        <v>0.54044444444444439</v>
      </c>
    </row>
    <row r="6" spans="3:25" x14ac:dyDescent="0.45">
      <c r="C6" t="s">
        <v>3</v>
      </c>
      <c r="D6">
        <v>11</v>
      </c>
      <c r="E6">
        <v>200</v>
      </c>
      <c r="F6">
        <f>Mkt[[#This Row],[Loan]]/Mkt[[#Totals],[Loan]]</f>
        <v>8.6021505376344093E-2</v>
      </c>
      <c r="G6">
        <f>J14+X14</f>
        <v>425</v>
      </c>
      <c r="H6">
        <f>Mkt[[#This Row],[Funded]]/Mkt[[#Totals],[Funded]]</f>
        <v>0.22666666666666666</v>
      </c>
      <c r="I6">
        <v>290</v>
      </c>
      <c r="J6">
        <v>225</v>
      </c>
      <c r="K6">
        <f>Mkt[[#This Row],[Loan]]/Mkt[[#This Row],[ARV]]</f>
        <v>0.68965517241379315</v>
      </c>
      <c r="L6">
        <f>Mkt[[#This Row],[L_w]]*Mkt[[#This Row],[LTV]]</f>
        <v>5.932517612161662E-2</v>
      </c>
      <c r="M6">
        <f>1/Mkt[[#This Row],[LTV]]</f>
        <v>1.45</v>
      </c>
      <c r="N6">
        <f>Mkt[[#This Row],[L_w]]*Mkt[[#This Row],[rec_LTV]]</f>
        <v>0.12473118279569893</v>
      </c>
      <c r="O6">
        <f>Mkt[[#This Row],[Loan]]/Mkt[[#This Row],[Cost]]</f>
        <v>0.88888888888888884</v>
      </c>
      <c r="P6" s="2">
        <f>Mkt[[#This Row],[F_w]]*Mkt[[#This Row],[LTV]]</f>
        <v>0.15632183908045977</v>
      </c>
      <c r="Q6" s="2">
        <f>Mkt[[#This Row],[F_w]]*Mkt[[#This Row],[rec_LTV]]</f>
        <v>0.32866666666666666</v>
      </c>
    </row>
    <row r="7" spans="3:25" x14ac:dyDescent="0.45">
      <c r="E7">
        <f>SUM(Mkt[Loan])</f>
        <v>2325</v>
      </c>
      <c r="F7">
        <f>SUBTOTAL(109,Mkt[L_w])</f>
        <v>1</v>
      </c>
      <c r="G7">
        <f>SUM(Mkt[Funded])</f>
        <v>1875</v>
      </c>
      <c r="H7">
        <f>SUBTOTAL(109,Mkt[F_w])</f>
        <v>1</v>
      </c>
      <c r="I7">
        <f>SUM(Mkt[ARV])</f>
        <v>3715</v>
      </c>
      <c r="J7">
        <f>SUM(Mkt[Funded])</f>
        <v>1875</v>
      </c>
      <c r="K7" s="2"/>
      <c r="L7" s="2">
        <f>SUBTOTAL(109,Mkt[w_LTV])</f>
        <v>0.63333243890222402</v>
      </c>
      <c r="M7" s="2"/>
      <c r="N7" s="2">
        <f>SUBTOTAL(109,Mkt[wrec_LTV])</f>
        <v>1.5978494623655914</v>
      </c>
      <c r="O7" s="2"/>
      <c r="P7">
        <f>SUBTOTAL(109,Mkt[fw_LTV])</f>
        <v>0.6566785642266586</v>
      </c>
      <c r="Q7">
        <f>SUBTOTAL(109,Mkt[fwrec_LTV])</f>
        <v>1.537911111111111</v>
      </c>
    </row>
    <row r="10" spans="3:25" x14ac:dyDescent="0.45">
      <c r="D10" t="s">
        <v>0</v>
      </c>
      <c r="E10" t="s">
        <v>7</v>
      </c>
      <c r="F10" t="s">
        <v>8</v>
      </c>
    </row>
    <row r="11" spans="3:25" x14ac:dyDescent="0.4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11</v>
      </c>
      <c r="S11" t="s">
        <v>4</v>
      </c>
      <c r="T11" t="s">
        <v>19</v>
      </c>
      <c r="U11" t="s">
        <v>40</v>
      </c>
      <c r="V11" t="s">
        <v>6</v>
      </c>
      <c r="W11" t="s">
        <v>27</v>
      </c>
      <c r="X11" t="s">
        <v>9</v>
      </c>
      <c r="Y11" t="s">
        <v>20</v>
      </c>
    </row>
    <row r="12" spans="3:25" x14ac:dyDescent="0.45">
      <c r="C12" t="s">
        <v>15</v>
      </c>
      <c r="D12">
        <f>Mkt[[#Totals],[Loan]]/Mkt[[#Totals],[ARV]]</f>
        <v>0.62584118438761771</v>
      </c>
      <c r="E12">
        <f>PortA[[#Totals],[Owned Loan]]/PortA[[#Totals],[Owned ARV]]</f>
        <v>0.64990254656995883</v>
      </c>
      <c r="F12">
        <f>PortB[[#Totals],[Owned Loan]]/PortB[[#Totals],[Owned ARV]]</f>
        <v>0.63522225992534787</v>
      </c>
      <c r="I12" t="s">
        <v>1</v>
      </c>
      <c r="J12">
        <v>580</v>
      </c>
      <c r="K12">
        <f>PortA[[#This Row],[LenderFund]]/PortA[[#Totals],[LenderFund]]</f>
        <v>0.51327433628318586</v>
      </c>
      <c r="L12" s="1">
        <f>PortA[[#This Row],[LenderFund]]/E4</f>
        <v>0.57999999999999996</v>
      </c>
      <c r="M12">
        <f t="shared" ref="M12:M14" si="0">K4</f>
        <v>0.70175438596491224</v>
      </c>
      <c r="N12">
        <f>PortA[[#This Row],[ol_w]]*PortA[[#This Row],[LTV]]</f>
        <v>0.36019251668995494</v>
      </c>
      <c r="O12">
        <f>PortA[[#This Row],[ol_w]]*(1/PortA[[#This Row],[LTV]])</f>
        <v>0.73141592920353993</v>
      </c>
      <c r="P12">
        <f>PortA[[#This Row],[lf_w]]*PortA[[#This Row],[LTV]]</f>
        <v>0.36019251668995494</v>
      </c>
      <c r="Q12">
        <f>PortA[[#This Row],[lf_w]]*M4</f>
        <v>0.73141592920353993</v>
      </c>
      <c r="R12">
        <f t="shared" ref="R12:R14" si="1">O4</f>
        <v>0.89686098654708524</v>
      </c>
      <c r="S12">
        <f t="shared" ref="S12:S14" si="2">E4</f>
        <v>1000</v>
      </c>
      <c r="T12">
        <f>PortA[[#This Row],[Own]]*PortA[[#This Row],[Loan]]</f>
        <v>580</v>
      </c>
      <c r="U12">
        <f>PortA[[#This Row],[Owned Loan]]/PortA[[#Totals],[Owned Loan]]</f>
        <v>0.51327433628318586</v>
      </c>
      <c r="V12">
        <f t="shared" ref="V12:V14" si="3">I4</f>
        <v>1425</v>
      </c>
      <c r="W12">
        <f>PortA[[#This Row],[Own]]*PortA[[#This Row],[ARV]]</f>
        <v>826.49999999999989</v>
      </c>
      <c r="X12">
        <f t="shared" ref="X12:X14" si="4">J4</f>
        <v>1115</v>
      </c>
      <c r="Y12" s="2">
        <f>PortA[[#This Row],[Own]]*PortA[[#This Row],[Cost]]</f>
        <v>646.69999999999993</v>
      </c>
    </row>
    <row r="13" spans="3:25" x14ac:dyDescent="0.45">
      <c r="C13" t="s">
        <v>16</v>
      </c>
      <c r="D13">
        <f>AVERAGE(Mkt[LTV])</f>
        <v>0.65130318612623517</v>
      </c>
      <c r="E13">
        <f>AVERAGE(PortA[LTV])</f>
        <v>0.65130318612623517</v>
      </c>
      <c r="F13">
        <f>AVERAGE(PortB[LTV])</f>
        <v>0.63212719298245612</v>
      </c>
      <c r="I13" t="s">
        <v>2</v>
      </c>
      <c r="J13">
        <v>350</v>
      </c>
      <c r="K13">
        <f>PortA[[#This Row],[LenderFund]]/PortA[[#Totals],[LenderFund]]</f>
        <v>0.30973451327433627</v>
      </c>
      <c r="L13" s="1">
        <f>PortA[[#This Row],[LenderFund]]/E5</f>
        <v>0.31111111111111112</v>
      </c>
      <c r="M13">
        <f t="shared" si="0"/>
        <v>0.5625</v>
      </c>
      <c r="N13">
        <f>PortA[[#This Row],[ol_w]]*PortA[[#This Row],[LTV]]</f>
        <v>0.17422566371681414</v>
      </c>
      <c r="O13">
        <f>PortA[[#This Row],[ol_w]]*(1/PortA[[#This Row],[LTV]])</f>
        <v>0.55063913470993109</v>
      </c>
      <c r="P13">
        <f>PortA[[#This Row],[lf_w]]*PortA[[#This Row],[LTV]]</f>
        <v>0.17422566371681414</v>
      </c>
      <c r="Q13">
        <f>PortA[[#This Row],[lf_w]]*M5</f>
        <v>0.55063913470993109</v>
      </c>
      <c r="R13">
        <f t="shared" si="1"/>
        <v>0.75</v>
      </c>
      <c r="S13">
        <f t="shared" si="2"/>
        <v>1125</v>
      </c>
      <c r="T13">
        <f>PortA[[#This Row],[Own]]*PortA[[#This Row],[Loan]]</f>
        <v>350</v>
      </c>
      <c r="U13">
        <f>PortA[[#This Row],[Owned Loan]]/PortA[[#Totals],[Owned Loan]]</f>
        <v>0.30973451327433627</v>
      </c>
      <c r="V13">
        <f t="shared" si="3"/>
        <v>2000</v>
      </c>
      <c r="W13">
        <f>PortA[[#This Row],[Own]]*PortA[[#This Row],[ARV]]</f>
        <v>622.22222222222229</v>
      </c>
      <c r="X13">
        <f t="shared" si="4"/>
        <v>1500</v>
      </c>
      <c r="Y13" s="2">
        <f>PortA[[#This Row],[Own]]*PortA[[#This Row],[Cost]]</f>
        <v>466.66666666666669</v>
      </c>
    </row>
    <row r="14" spans="3:25" x14ac:dyDescent="0.45">
      <c r="C14" t="s">
        <v>17</v>
      </c>
      <c r="D14">
        <f>GEOMEAN(Mkt[LTV])</f>
        <v>0.64810676308597481</v>
      </c>
      <c r="E14">
        <f>GEOMEAN(PortA[LTV])</f>
        <v>0.64810676308597481</v>
      </c>
      <c r="F14">
        <f>GEOMEAN(PortB[LTV])</f>
        <v>0.62828086243754322</v>
      </c>
      <c r="I14" t="s">
        <v>3</v>
      </c>
      <c r="J14">
        <v>200</v>
      </c>
      <c r="K14">
        <f>PortA[[#This Row],[LenderFund]]/PortA[[#Totals],[LenderFund]]</f>
        <v>0.17699115044247787</v>
      </c>
      <c r="L14" s="1">
        <f>PortA[[#This Row],[LenderFund]]/E6</f>
        <v>1</v>
      </c>
      <c r="M14">
        <f t="shared" si="0"/>
        <v>0.68965517241379315</v>
      </c>
      <c r="N14">
        <f>PortA[[#This Row],[ol_w]]*PortA[[#This Row],[LTV]]</f>
        <v>0.12206286237412269</v>
      </c>
      <c r="O14">
        <f>PortA[[#This Row],[ol_w]]*(1/PortA[[#This Row],[LTV]])</f>
        <v>0.25663716814159293</v>
      </c>
      <c r="P14">
        <f>PortA[[#This Row],[lf_w]]*PortA[[#This Row],[LTV]]</f>
        <v>0.12206286237412269</v>
      </c>
      <c r="Q14">
        <f>PortA[[#This Row],[lf_w]]*M6</f>
        <v>0.25663716814159293</v>
      </c>
      <c r="R14">
        <f t="shared" si="1"/>
        <v>0.88888888888888884</v>
      </c>
      <c r="S14">
        <f t="shared" si="2"/>
        <v>200</v>
      </c>
      <c r="T14">
        <f>PortA[[#This Row],[Own]]*PortA[[#This Row],[Loan]]</f>
        <v>200</v>
      </c>
      <c r="U14">
        <f>PortA[[#This Row],[Owned Loan]]/PortA[[#Totals],[Owned Loan]]</f>
        <v>0.17699115044247787</v>
      </c>
      <c r="V14">
        <f t="shared" si="3"/>
        <v>290</v>
      </c>
      <c r="W14">
        <f>PortA[[#This Row],[Own]]*PortA[[#This Row],[ARV]]</f>
        <v>290</v>
      </c>
      <c r="X14">
        <f t="shared" si="4"/>
        <v>225</v>
      </c>
      <c r="Y14" s="2">
        <f>PortA[[#This Row],[Own]]*PortA[[#This Row],[Cost]]</f>
        <v>225</v>
      </c>
    </row>
    <row r="15" spans="3:25" x14ac:dyDescent="0.45">
      <c r="C15" t="s">
        <v>18</v>
      </c>
      <c r="D15">
        <f>HARMEAN(Mkt[LTV])</f>
        <v>0.64477611940298507</v>
      </c>
      <c r="E15">
        <f>HARMEAN(PortA[LTV])</f>
        <v>0.64477611940298507</v>
      </c>
      <c r="F15">
        <f>HARMEAN(PortB[LTV])</f>
        <v>0.62445793581960107</v>
      </c>
      <c r="J15">
        <f>SUBTOTAL(109,PortA[LenderFund])</f>
        <v>1130</v>
      </c>
      <c r="K15">
        <f>SUBTOTAL(109,PortA[lf_w])</f>
        <v>1</v>
      </c>
      <c r="L15" s="3"/>
      <c r="M15" s="2"/>
      <c r="N15" s="2">
        <f>SUBTOTAL(109,PortA[olw_LTV])</f>
        <v>0.65648104278089181</v>
      </c>
      <c r="O15" s="2">
        <f>SUBTOTAL(109,PortA[olwr_LTV])</f>
        <v>1.538692232055064</v>
      </c>
      <c r="P15" s="2">
        <f>SUBTOTAL(109,PortA[lfw_LTV])</f>
        <v>0.65648104278089181</v>
      </c>
      <c r="Q15" s="2">
        <f>SUBTOTAL(109,PortA[lfwr_LTV])</f>
        <v>1.538692232055064</v>
      </c>
      <c r="R15" s="2"/>
      <c r="S15" s="2"/>
      <c r="T15" s="2">
        <f>SUM(PortA[Owned Loan])</f>
        <v>1130</v>
      </c>
      <c r="U15" s="2">
        <f>SUBTOTAL(109,PortA[ol_w])</f>
        <v>1</v>
      </c>
      <c r="V15" s="2"/>
      <c r="W15" s="2">
        <f>SUM(PortA[Owned ARV])</f>
        <v>1738.7222222222222</v>
      </c>
      <c r="X15" s="2"/>
      <c r="Y15" s="2"/>
    </row>
    <row r="16" spans="3:25" x14ac:dyDescent="0.45">
      <c r="C16" t="s">
        <v>23</v>
      </c>
      <c r="D16">
        <f>Mkt[[#Totals],[w_LTV]]/Mkt[[#Totals],[L_w]]</f>
        <v>0.63333243890222402</v>
      </c>
      <c r="E16">
        <f>PortA[[#Totals],[olw_LTV]]/PortA[[#Totals],[ol_w]]</f>
        <v>0.65648104278089181</v>
      </c>
      <c r="F16">
        <f>PortB[[#Totals],[olw_LTV]]/PortB[[#Totals],[ol_w]]</f>
        <v>0.64283906882591091</v>
      </c>
    </row>
    <row r="17" spans="1:25" x14ac:dyDescent="0.45">
      <c r="C17" t="s">
        <v>24</v>
      </c>
      <c r="D17">
        <f>Mkt[[#Totals],[L_w]]/Mkt[[#Totals],[wrec_LTV]]</f>
        <v>0.62584118438761771</v>
      </c>
      <c r="E17">
        <f>PortA[[#Totals],[ol_w]]/PortA[[#Totals],[olwr_LTV]]</f>
        <v>0.64990254656995872</v>
      </c>
      <c r="F17">
        <f>PortB[[#Totals],[ol_w]]/PortB[[#Totals],[olwr_LTV]]</f>
        <v>0.63522225992534787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11</v>
      </c>
      <c r="S17" t="s">
        <v>4</v>
      </c>
      <c r="T17" t="s">
        <v>19</v>
      </c>
      <c r="U17" t="s">
        <v>40</v>
      </c>
      <c r="V17" t="s">
        <v>6</v>
      </c>
      <c r="W17" t="s">
        <v>27</v>
      </c>
      <c r="X17" t="s">
        <v>9</v>
      </c>
      <c r="Y17" t="s">
        <v>20</v>
      </c>
    </row>
    <row r="18" spans="1:25" x14ac:dyDescent="0.45">
      <c r="C18" t="s">
        <v>33</v>
      </c>
      <c r="D18">
        <f>Mkt[[#Totals],[fw_LTV]]/Mkt[[#Totals],[F_w]]</f>
        <v>0.6566785642266586</v>
      </c>
      <c r="E18">
        <f>PortA[[#Totals],[lfw_LTV]]/PortA[[#Totals],[lf_w]]</f>
        <v>0.65648104278089181</v>
      </c>
      <c r="F18">
        <f>PortB[[#Totals],[lfw_LTV]]/PortB[[#Totals],[lf_w]]</f>
        <v>0.64283906882591091</v>
      </c>
      <c r="I18" t="s">
        <v>1</v>
      </c>
      <c r="J18">
        <v>300</v>
      </c>
      <c r="K18">
        <f>PortB[[#This Row],[LenderFund]]/PortB[[#Totals],[LenderFund]]</f>
        <v>0.57692307692307687</v>
      </c>
      <c r="L18" s="1">
        <f>PortB[[#This Row],[LenderFund]]/E4</f>
        <v>0.3</v>
      </c>
      <c r="M18">
        <f t="shared" ref="M18:M19" si="5">K4</f>
        <v>0.70175438596491224</v>
      </c>
      <c r="N18">
        <f>PortB[[#This Row],[ol_w]]*PortB[[#This Row],[LTV]]</f>
        <v>0.40485829959514164</v>
      </c>
      <c r="O18">
        <f>PortB[[#This Row],[ol_w]]*M4</f>
        <v>0.82211538461538458</v>
      </c>
      <c r="P18">
        <f>PortB[[#This Row],[lf_w]]*PortB[[#This Row],[LTV]]</f>
        <v>0.40485829959514164</v>
      </c>
      <c r="Q18">
        <f>PortB[[#This Row],[lf_w]]*M4</f>
        <v>0.82211538461538458</v>
      </c>
      <c r="R18">
        <f t="shared" ref="R18:R19" si="6">O4</f>
        <v>0.89686098654708524</v>
      </c>
      <c r="S18">
        <f t="shared" ref="S18:S19" si="7">E4</f>
        <v>1000</v>
      </c>
      <c r="T18">
        <f>PortB[[#This Row],[Own]]*PortB[[#This Row],[Loan]]</f>
        <v>300</v>
      </c>
      <c r="U18">
        <f>PortB[[#This Row],[Owned Loan]]/PortB[[#Totals],[Owned Loan]]</f>
        <v>0.57692307692307687</v>
      </c>
      <c r="V18">
        <f t="shared" ref="V18:V19" si="8">I4</f>
        <v>1425</v>
      </c>
      <c r="W18">
        <f>PortB[[#This Row],[Own]]*PortB[[#This Row],[ARV]]</f>
        <v>427.5</v>
      </c>
      <c r="X18">
        <f t="shared" ref="X18:X19" si="9">J4</f>
        <v>1115</v>
      </c>
      <c r="Y18" s="2">
        <f>PortB[[#This Row],[Own]]*PortB[[#This Row],[Cost]]</f>
        <v>334.5</v>
      </c>
    </row>
    <row r="19" spans="1:25" x14ac:dyDescent="0.45">
      <c r="C19" t="s">
        <v>34</v>
      </c>
      <c r="D19">
        <f>Mkt[[#Totals],[F_w]]/Mkt[[#Totals],[fwrec_LTV]]</f>
        <v>0.65023263878854443</v>
      </c>
      <c r="E19">
        <f>PortA[[#Totals],[lf_w]]/PortA[[#Totals],[lfwr_LTV]]</f>
        <v>0.64990254656995872</v>
      </c>
      <c r="F19">
        <f>PortB[[#Totals],[lf_w]]/PortB[[#Totals],[lfwr_LTV]]</f>
        <v>0.63522225992534787</v>
      </c>
      <c r="I19" t="s">
        <v>2</v>
      </c>
      <c r="J19">
        <v>220</v>
      </c>
      <c r="K19">
        <f>PortB[[#This Row],[LenderFund]]/PortB[[#Totals],[LenderFund]]</f>
        <v>0.42307692307692307</v>
      </c>
      <c r="L19" s="1">
        <f>PortB[[#This Row],[LenderFund]]/E5</f>
        <v>0.19555555555555557</v>
      </c>
      <c r="M19">
        <f t="shared" si="5"/>
        <v>0.5625</v>
      </c>
      <c r="N19">
        <f>PortB[[#This Row],[ol_w]]*PortB[[#This Row],[LTV]]</f>
        <v>0.23798076923076922</v>
      </c>
      <c r="O19">
        <f>PortB[[#This Row],[ol_w]]*M5</f>
        <v>0.75213675213675213</v>
      </c>
      <c r="P19">
        <f>PortB[[#This Row],[lf_w]]*PortB[[#This Row],[LTV]]</f>
        <v>0.23798076923076922</v>
      </c>
      <c r="Q19">
        <f>PortB[[#This Row],[lf_w]]*M5</f>
        <v>0.75213675213675213</v>
      </c>
      <c r="R19">
        <f t="shared" si="6"/>
        <v>0.75</v>
      </c>
      <c r="S19">
        <f t="shared" si="7"/>
        <v>1125</v>
      </c>
      <c r="T19">
        <f>PortB[[#This Row],[Own]]*PortB[[#This Row],[Loan]]</f>
        <v>220</v>
      </c>
      <c r="U19">
        <f>PortB[[#This Row],[Owned Loan]]/PortB[[#Totals],[Owned Loan]]</f>
        <v>0.42307692307692307</v>
      </c>
      <c r="V19">
        <f t="shared" si="8"/>
        <v>2000</v>
      </c>
      <c r="W19">
        <f>PortB[[#This Row],[Own]]*PortB[[#This Row],[ARV]]</f>
        <v>391.11111111111114</v>
      </c>
      <c r="X19">
        <f t="shared" si="9"/>
        <v>1500</v>
      </c>
      <c r="Y19" s="2">
        <f>PortB[[#This Row],[Own]]*PortB[[#This Row],[Cost]]</f>
        <v>293.33333333333337</v>
      </c>
    </row>
    <row r="20" spans="1:25" x14ac:dyDescent="0.45">
      <c r="J20">
        <f>SUBTOTAL(109,PortB[LenderFund])</f>
        <v>520</v>
      </c>
      <c r="K20">
        <f>SUBTOTAL(109,PortB[lf_w])</f>
        <v>1</v>
      </c>
      <c r="L20" s="3"/>
      <c r="M20" s="2"/>
      <c r="N20" s="2">
        <f>SUBTOTAL(109,PortB[olw_LTV])</f>
        <v>0.64283906882591091</v>
      </c>
      <c r="O20" s="2">
        <f>SUBTOTAL(109,PortB[olwr_LTV])</f>
        <v>1.5742521367521367</v>
      </c>
      <c r="P20" s="2">
        <f>SUBTOTAL(109,PortB[lfw_LTV])</f>
        <v>0.64283906882591091</v>
      </c>
      <c r="Q20" s="2">
        <f>SUBTOTAL(109,PortB[lfwr_LTV])</f>
        <v>1.5742521367521367</v>
      </c>
      <c r="R20" s="2"/>
      <c r="S20" s="2"/>
      <c r="T20" s="2">
        <f>SUM(PortB[Owned Loan])</f>
        <v>520</v>
      </c>
      <c r="U20" s="2">
        <f>SUBTOTAL(109,PortB[ol_w])</f>
        <v>1</v>
      </c>
      <c r="V20" s="2"/>
      <c r="W20" s="2">
        <f>SUBTOTAL(109,PortB[Owned ARV])</f>
        <v>818.61111111111109</v>
      </c>
      <c r="X20" s="2"/>
      <c r="Y20" s="2"/>
    </row>
    <row r="21" spans="1:25" x14ac:dyDescent="0.45">
      <c r="B21" t="s">
        <v>28</v>
      </c>
    </row>
    <row r="22" spans="1:25" x14ac:dyDescent="0.4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</row>
    <row r="23" spans="1:25" x14ac:dyDescent="0.45">
      <c r="B23" s="4" t="s">
        <v>31</v>
      </c>
      <c r="C23" t="s">
        <v>15</v>
      </c>
      <c r="D23" s="7">
        <f>Mkt[[#Totals],[Loan]]/D12</f>
        <v>3715.0000000000005</v>
      </c>
      <c r="E23" s="7">
        <f>PortA[[#Totals],[Owned Loan]]/E12</f>
        <v>1738.7222222222222</v>
      </c>
      <c r="F23" s="7">
        <f>PortB[[#Totals],[Owned Loan]]/F12</f>
        <v>818.61111111111109</v>
      </c>
      <c r="H23" s="4" t="s">
        <v>44</v>
      </c>
      <c r="I23" t="s">
        <v>15</v>
      </c>
      <c r="J23" s="7">
        <f>Mkt[[#Totals],[ARV]]*D12</f>
        <v>2325</v>
      </c>
      <c r="K23" s="7">
        <f>PortA[[#Totals],[Owned ARV]]*E12</f>
        <v>1130</v>
      </c>
      <c r="L23" s="7">
        <f>PortB[[#Totals],[Owned ARV]]*F12</f>
        <v>520</v>
      </c>
    </row>
    <row r="24" spans="1:25" x14ac:dyDescent="0.45">
      <c r="B24" s="5" t="s">
        <v>32</v>
      </c>
      <c r="C24" t="s">
        <v>16</v>
      </c>
      <c r="D24" s="8">
        <f>Mkt[[#Totals],[Loan]]/D13</f>
        <v>3569.7660467906417</v>
      </c>
      <c r="E24" s="8">
        <f>PortA[[#Totals],[Owned Loan]]/E13</f>
        <v>1734.9830679025483</v>
      </c>
      <c r="F24" s="8">
        <f>PortB[[#Totals],[Owned Loan]]/F13</f>
        <v>822.61925411968775</v>
      </c>
      <c r="H24" s="5" t="s">
        <v>45</v>
      </c>
      <c r="I24" t="s">
        <v>16</v>
      </c>
      <c r="J24" s="8">
        <f>Mkt[[#Totals],[ARV]]*D13</f>
        <v>2419.5913364589637</v>
      </c>
      <c r="K24" s="8">
        <f>PortA[[#Totals],[Owned ARV]]*E13</f>
        <v>1132.4353231218213</v>
      </c>
      <c r="L24" s="8">
        <f>PortB[[#Totals],[Owned ARV]]*F13</f>
        <v>517.4663438109161</v>
      </c>
    </row>
    <row r="25" spans="1:25" x14ac:dyDescent="0.45">
      <c r="C25" t="s">
        <v>17</v>
      </c>
      <c r="D25" s="8">
        <f>Mkt[[#Totals],[Loan]]/D14</f>
        <v>3587.3719152836188</v>
      </c>
      <c r="E25" s="8">
        <f>PortA[[#Totals],[Owned Loan]]/E14</f>
        <v>1743.5398986109631</v>
      </c>
      <c r="F25" s="8">
        <f>PortB[[#Totals],[Owned Loan]]/F14</f>
        <v>827.65532278439036</v>
      </c>
      <c r="I25" t="s">
        <v>17</v>
      </c>
      <c r="J25" s="8">
        <f>Mkt[[#Totals],[ARV]]*D14</f>
        <v>2407.7166248643966</v>
      </c>
      <c r="K25" s="8">
        <f>PortA[[#Totals],[Owned ARV]]*E14</f>
        <v>1126.8776313500973</v>
      </c>
      <c r="L25" s="8">
        <f>PortB[[#Totals],[Owned ARV]]*F14</f>
        <v>514.31769488984435</v>
      </c>
    </row>
    <row r="26" spans="1:25" x14ac:dyDescent="0.45">
      <c r="C26" t="s">
        <v>18</v>
      </c>
      <c r="D26" s="8">
        <f>Mkt[[#Totals],[Loan]]/D15</f>
        <v>3605.9027777777778</v>
      </c>
      <c r="E26" s="8">
        <f>PortA[[#Totals],[Owned Loan]]/E15</f>
        <v>1752.5462962962963</v>
      </c>
      <c r="F26" s="8">
        <f>PortB[[#Totals],[Owned Loan]]/F15</f>
        <v>832.72222222222217</v>
      </c>
      <c r="I26" t="s">
        <v>18</v>
      </c>
      <c r="J26" s="8">
        <f>Mkt[[#Totals],[ARV]]*D15</f>
        <v>2395.3432835820895</v>
      </c>
      <c r="K26" s="8">
        <f>PortA[[#Totals],[Owned ARV]]*E15</f>
        <v>1121.0865671641791</v>
      </c>
      <c r="L26" s="8">
        <f>PortB[[#Totals],[Owned ARV]]*F15</f>
        <v>511.18820468343455</v>
      </c>
    </row>
    <row r="27" spans="1:25" x14ac:dyDescent="0.45">
      <c r="A27" t="s">
        <v>47</v>
      </c>
      <c r="C27" t="s">
        <v>23</v>
      </c>
      <c r="D27" s="8">
        <f>Mkt[[#Totals],[Loan]]/D16</f>
        <v>3671.0578160657601</v>
      </c>
      <c r="E27" s="8">
        <f>PortA[[#Totals],[Owned Loan]]/E16</f>
        <v>1721.2987525325245</v>
      </c>
      <c r="F27" s="8">
        <f>PortB[[#Totals],[Owned Loan]]/F16</f>
        <v>808.91163156858886</v>
      </c>
      <c r="I27" t="s">
        <v>23</v>
      </c>
      <c r="J27" s="8">
        <f>Mkt[[#Totals],[ARV]]*D16</f>
        <v>2352.8300105217622</v>
      </c>
      <c r="K27" s="8">
        <f>PortA[[#Totals],[Owned ARV]]*E16</f>
        <v>1141.4381775507538</v>
      </c>
      <c r="L27" s="8">
        <f>PortB[[#Totals],[Owned ARV]]*F16</f>
        <v>526.23520439721096</v>
      </c>
    </row>
    <row r="28" spans="1:25" x14ac:dyDescent="0.45">
      <c r="A28" s="9" t="s">
        <v>48</v>
      </c>
      <c r="C28" t="s">
        <v>24</v>
      </c>
      <c r="D28" s="7">
        <f>Mkt[[#Totals],[Loan]]/D17</f>
        <v>3715.0000000000005</v>
      </c>
      <c r="E28" s="7">
        <f>PortA[[#Totals],[Owned Loan]]/E17</f>
        <v>1738.7222222222224</v>
      </c>
      <c r="F28" s="7">
        <f>PortB[[#Totals],[Owned Loan]]/F17</f>
        <v>818.61111111111109</v>
      </c>
      <c r="I28" t="s">
        <v>24</v>
      </c>
      <c r="J28" s="7">
        <f>Mkt[[#Totals],[ARV]]*D17</f>
        <v>2325</v>
      </c>
      <c r="K28" s="7">
        <f>PortA[[#Totals],[Owned ARV]]*E17</f>
        <v>1129.9999999999998</v>
      </c>
      <c r="L28" s="7">
        <f>PortB[[#Totals],[Owned ARV]]*F17</f>
        <v>520</v>
      </c>
    </row>
    <row r="29" spans="1:25" x14ac:dyDescent="0.45">
      <c r="A29" s="10" t="s">
        <v>49</v>
      </c>
      <c r="C29" t="s">
        <v>33</v>
      </c>
      <c r="D29" s="8">
        <f>Mkt[[#Totals],[Loan]]/D18</f>
        <v>3540.5449890663785</v>
      </c>
      <c r="E29" s="8">
        <f>PortA[[#Totals],[Owned Loan]]/E18</f>
        <v>1721.2987525325245</v>
      </c>
      <c r="F29" s="8">
        <f>PortB[[#Totals],[Owned Loan]]/F18</f>
        <v>808.91163156858886</v>
      </c>
      <c r="I29" t="s">
        <v>33</v>
      </c>
      <c r="J29" s="8">
        <f>Mkt[[#Totals],[ARV]]*D18</f>
        <v>2439.5608661020369</v>
      </c>
      <c r="K29" s="8">
        <f>PortA[[#Totals],[Owned ARV]]*E18</f>
        <v>1141.4381775507538</v>
      </c>
      <c r="L29" s="8">
        <f>PortB[[#Totals],[Owned ARV]]*F18</f>
        <v>526.23520439721096</v>
      </c>
    </row>
    <row r="30" spans="1:25" x14ac:dyDescent="0.45">
      <c r="A30" s="6" t="s">
        <v>50</v>
      </c>
      <c r="C30" t="s">
        <v>34</v>
      </c>
      <c r="D30" s="8">
        <f>Mkt[[#Totals],[Loan]]/D19</f>
        <v>3575.643333333333</v>
      </c>
      <c r="E30" s="7">
        <f>PortA[[#Totals],[Owned Loan]]/E19</f>
        <v>1738.7222222222224</v>
      </c>
      <c r="F30" s="7">
        <f>PortB[[#Totals],[Owned Loan]]/F19</f>
        <v>818.61111111111109</v>
      </c>
      <c r="I30" t="s">
        <v>34</v>
      </c>
      <c r="J30" s="8">
        <f>Mkt[[#Totals],[ARV]]*D19</f>
        <v>2415.6142530994425</v>
      </c>
      <c r="K30" s="7">
        <f>PortA[[#Totals],[Owned ARV]]*E19</f>
        <v>1129.9999999999998</v>
      </c>
      <c r="L30" s="7">
        <f>PortB[[#Totals],[Owned ARV]]*F19</f>
        <v>520</v>
      </c>
    </row>
    <row r="32" spans="1:25" x14ac:dyDescent="0.45">
      <c r="B32" s="4" t="s">
        <v>29</v>
      </c>
      <c r="C32" t="s">
        <v>15</v>
      </c>
      <c r="D32" s="7">
        <f>SUMPRODUCT(Mkt[ARV],B45:B47)</f>
        <v>2325</v>
      </c>
      <c r="E32" s="7">
        <f>SUMPRODUCT(PortA[Owned ARV],B50:B52)</f>
        <v>1130</v>
      </c>
      <c r="F32" s="7">
        <f>SUMPRODUCT(PortB[Owned ARV],B55:B56)</f>
        <v>520</v>
      </c>
      <c r="H32" s="4" t="s">
        <v>46</v>
      </c>
      <c r="I32" t="s">
        <v>15</v>
      </c>
      <c r="J32" s="7">
        <f>$E$4/D12+$E$5/D12+$E$6/D12</f>
        <v>3715.0000000000005</v>
      </c>
      <c r="K32" s="7">
        <f>$J$12/E12+$J$13/E12+$J$14/E12</f>
        <v>1738.7222222222222</v>
      </c>
      <c r="L32" s="7">
        <f>$J$18/F12+$J$19/F12</f>
        <v>818.61111111111109</v>
      </c>
    </row>
    <row r="33" spans="1:12" x14ac:dyDescent="0.45">
      <c r="B33" s="5" t="s">
        <v>30</v>
      </c>
      <c r="C33" t="s">
        <v>16</v>
      </c>
      <c r="D33" s="8">
        <f>SUMPRODUCT(Mkt[ARV]*C45:C47)</f>
        <v>2419.5913364589633</v>
      </c>
      <c r="E33" s="8">
        <f>SUMPRODUCT(PortA[Owned ARV],C50:C52)</f>
        <v>1132.4353231218211</v>
      </c>
      <c r="F33" s="8">
        <f>SUMPRODUCT(PortB[Owned ARV],C55:C56)</f>
        <v>517.46634381091621</v>
      </c>
      <c r="H33" s="5" t="s">
        <v>32</v>
      </c>
      <c r="I33" t="s">
        <v>16</v>
      </c>
      <c r="J33" s="8">
        <f t="shared" ref="J33:J39" si="10">$E$4/D13+$E$5/D13+$E$6/D13</f>
        <v>3569.7660467906417</v>
      </c>
      <c r="K33" s="8">
        <f t="shared" ref="K33:K39" si="11">$J$12/E13+$J$13/E13+$J$14/E13</f>
        <v>1734.9830679025486</v>
      </c>
      <c r="L33" s="8">
        <f t="shared" ref="L33:L39" si="12">$J$18/F13+$J$19/F13</f>
        <v>822.61925411968787</v>
      </c>
    </row>
    <row r="34" spans="1:12" x14ac:dyDescent="0.45">
      <c r="C34" t="s">
        <v>17</v>
      </c>
      <c r="D34" s="8">
        <f>SUMPRODUCT(Mkt[ARV],D45:D47)</f>
        <v>2407.7166248643966</v>
      </c>
      <c r="E34" s="8">
        <f>SUMPRODUCT(PortA[Owned ARV],D50:D52)</f>
        <v>1126.8776313500975</v>
      </c>
      <c r="F34" s="8">
        <f>SUMPRODUCT(PortB[Owned ARV],D55:D56)</f>
        <v>514.31769488984446</v>
      </c>
      <c r="I34" t="s">
        <v>17</v>
      </c>
      <c r="J34" s="8">
        <f t="shared" si="10"/>
        <v>3587.3719152836188</v>
      </c>
      <c r="K34" s="8">
        <f t="shared" si="11"/>
        <v>1743.5398986109633</v>
      </c>
      <c r="L34" s="8">
        <f t="shared" si="12"/>
        <v>827.65532278439036</v>
      </c>
    </row>
    <row r="35" spans="1:12" x14ac:dyDescent="0.45">
      <c r="C35" t="s">
        <v>18</v>
      </c>
      <c r="D35" s="8">
        <f>SUMPRODUCT(Mkt[ARV],E45:E47)</f>
        <v>2395.3432835820895</v>
      </c>
      <c r="E35" s="8">
        <f>SUMPRODUCT(PortA[Owned ARV],E50:E52)</f>
        <v>1121.0865671641791</v>
      </c>
      <c r="F35" s="8">
        <f>SUMPRODUCT(PortB[Owned ARV],E55:E56)</f>
        <v>511.18820468343461</v>
      </c>
      <c r="I35" t="s">
        <v>18</v>
      </c>
      <c r="J35" s="8">
        <f t="shared" si="10"/>
        <v>3605.9027777777778</v>
      </c>
      <c r="K35" s="8">
        <f t="shared" si="11"/>
        <v>1752.5462962962965</v>
      </c>
      <c r="L35" s="8">
        <f t="shared" si="12"/>
        <v>832.72222222222217</v>
      </c>
    </row>
    <row r="36" spans="1:12" x14ac:dyDescent="0.45">
      <c r="C36" t="s">
        <v>23</v>
      </c>
      <c r="D36" s="8">
        <f>SUMPRODUCT(Mkt[ARV],F45:F47)</f>
        <v>2352.8300105217622</v>
      </c>
      <c r="E36" s="8">
        <f>SUMPRODUCT(PortA[Owned ARV],F50:F52)</f>
        <v>1141.4381775507538</v>
      </c>
      <c r="F36" s="8">
        <f>SUMPRODUCT(PortB[Owned ARV],F55:F56)</f>
        <v>526.23520439721096</v>
      </c>
      <c r="I36" t="s">
        <v>23</v>
      </c>
      <c r="J36" s="8">
        <f t="shared" si="10"/>
        <v>3671.0578160657606</v>
      </c>
      <c r="K36" s="8">
        <f t="shared" si="11"/>
        <v>1721.2987525325248</v>
      </c>
      <c r="L36" s="8">
        <f t="shared" si="12"/>
        <v>808.91163156858897</v>
      </c>
    </row>
    <row r="37" spans="1:12" x14ac:dyDescent="0.45">
      <c r="C37" t="s">
        <v>24</v>
      </c>
      <c r="D37" s="7">
        <f>SUMPRODUCT(Mkt[ARV],G45:G47)</f>
        <v>2325</v>
      </c>
      <c r="E37" s="7">
        <f>SUMPRODUCT(PortA[Owned ARV],G50:G52)</f>
        <v>1129.9999999999998</v>
      </c>
      <c r="F37" s="7">
        <f>SUMPRODUCT(PortB[Owned ARV],G55:G56)</f>
        <v>520</v>
      </c>
      <c r="I37" t="s">
        <v>24</v>
      </c>
      <c r="J37" s="7">
        <f t="shared" si="10"/>
        <v>3715.0000000000005</v>
      </c>
      <c r="K37" s="7">
        <f t="shared" si="11"/>
        <v>1738.7222222222224</v>
      </c>
      <c r="L37" s="7">
        <f t="shared" si="12"/>
        <v>818.61111111111109</v>
      </c>
    </row>
    <row r="38" spans="1:12" x14ac:dyDescent="0.45">
      <c r="C38" t="s">
        <v>33</v>
      </c>
      <c r="D38" s="8">
        <f>SUMPRODUCT(Mkt[ARV],H45:H47)</f>
        <v>2439.5608661020369</v>
      </c>
      <c r="E38" s="8">
        <f>SUMPRODUCT(PortA[Owned ARV],H50:H52)</f>
        <v>1141.4381775507538</v>
      </c>
      <c r="F38" s="8">
        <f>SUMPRODUCT(PortB[Owned ARV],H55:H56)</f>
        <v>526.23520439721096</v>
      </c>
      <c r="I38" t="s">
        <v>33</v>
      </c>
      <c r="J38" s="8">
        <f t="shared" si="10"/>
        <v>3540.5449890663781</v>
      </c>
      <c r="K38" s="8">
        <f t="shared" si="11"/>
        <v>1721.2987525325248</v>
      </c>
      <c r="L38" s="8">
        <f t="shared" si="12"/>
        <v>808.91163156858897</v>
      </c>
    </row>
    <row r="39" spans="1:12" x14ac:dyDescent="0.45">
      <c r="C39" t="s">
        <v>34</v>
      </c>
      <c r="D39" s="8">
        <f>SUMPRODUCT(Mkt[ARV],I45:I47)</f>
        <v>2415.6142530994425</v>
      </c>
      <c r="E39" s="7">
        <f>SUMPRODUCT(PortA[Owned ARV],I50:I52)</f>
        <v>1129.9999999999998</v>
      </c>
      <c r="F39" s="7">
        <f>SUMPRODUCT(PortB[Owned ARV],I55:I56)</f>
        <v>520</v>
      </c>
      <c r="I39" t="s">
        <v>34</v>
      </c>
      <c r="J39" s="8">
        <f t="shared" si="10"/>
        <v>3575.643333333333</v>
      </c>
      <c r="K39" s="7">
        <f t="shared" si="11"/>
        <v>1738.7222222222224</v>
      </c>
      <c r="L39" s="7">
        <f t="shared" si="12"/>
        <v>818.61111111111109</v>
      </c>
    </row>
    <row r="43" spans="1:12" x14ac:dyDescent="0.45">
      <c r="A43" t="s">
        <v>0</v>
      </c>
    </row>
    <row r="44" spans="1:12" x14ac:dyDescent="0.4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2" x14ac:dyDescent="0.45">
      <c r="B45">
        <f>$D$12</f>
        <v>0.62584118438761771</v>
      </c>
      <c r="C45">
        <f>$D$13</f>
        <v>0.65130318612623517</v>
      </c>
      <c r="D45">
        <f>$D$14</f>
        <v>0.64810676308597481</v>
      </c>
      <c r="E45">
        <f>$D$15</f>
        <v>0.64477611940298507</v>
      </c>
      <c r="F45">
        <f>$D$16</f>
        <v>0.63333243890222402</v>
      </c>
      <c r="G45">
        <f>$D$17</f>
        <v>0.62584118438761771</v>
      </c>
      <c r="H45">
        <f>$D$18</f>
        <v>0.6566785642266586</v>
      </c>
      <c r="I45">
        <f>$D$19</f>
        <v>0.65023263878854443</v>
      </c>
    </row>
    <row r="46" spans="1:12" x14ac:dyDescent="0.45">
      <c r="B46">
        <f t="shared" ref="B46:B47" si="13">$D$12</f>
        <v>0.62584118438761771</v>
      </c>
      <c r="C46">
        <f t="shared" ref="C46:C47" si="14">$D$13</f>
        <v>0.65130318612623517</v>
      </c>
      <c r="D46">
        <f t="shared" ref="D46:D47" si="15">$D$14</f>
        <v>0.64810676308597481</v>
      </c>
      <c r="E46">
        <f t="shared" ref="E46:E47" si="16">$D$15</f>
        <v>0.64477611940298507</v>
      </c>
      <c r="F46">
        <f t="shared" ref="F46:F47" si="17">$D$16</f>
        <v>0.63333243890222402</v>
      </c>
      <c r="G46">
        <f t="shared" ref="G46:G47" si="18">$D$17</f>
        <v>0.62584118438761771</v>
      </c>
      <c r="H46">
        <f t="shared" ref="H46:H47" si="19">$D$18</f>
        <v>0.6566785642266586</v>
      </c>
      <c r="I46">
        <f t="shared" ref="I46:I47" si="20">$D$19</f>
        <v>0.65023263878854443</v>
      </c>
    </row>
    <row r="47" spans="1:12" x14ac:dyDescent="0.45">
      <c r="B47">
        <f t="shared" si="13"/>
        <v>0.62584118438761771</v>
      </c>
      <c r="C47">
        <f t="shared" si="14"/>
        <v>0.65130318612623517</v>
      </c>
      <c r="D47">
        <f t="shared" si="15"/>
        <v>0.64810676308597481</v>
      </c>
      <c r="E47">
        <f t="shared" si="16"/>
        <v>0.64477611940298507</v>
      </c>
      <c r="F47">
        <f t="shared" si="17"/>
        <v>0.63333243890222402</v>
      </c>
      <c r="G47">
        <f t="shared" si="18"/>
        <v>0.62584118438761771</v>
      </c>
      <c r="H47">
        <f t="shared" si="19"/>
        <v>0.6566785642266586</v>
      </c>
      <c r="I47">
        <f t="shared" si="20"/>
        <v>0.65023263878854443</v>
      </c>
    </row>
    <row r="48" spans="1:12" x14ac:dyDescent="0.45">
      <c r="A48" t="s">
        <v>7</v>
      </c>
    </row>
    <row r="49" spans="1:9" x14ac:dyDescent="0.4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45">
      <c r="B50">
        <f>$E$12</f>
        <v>0.64990254656995883</v>
      </c>
      <c r="C50">
        <f>$E$13</f>
        <v>0.65130318612623517</v>
      </c>
      <c r="D50">
        <f>$E$14</f>
        <v>0.64810676308597481</v>
      </c>
      <c r="E50">
        <f>$E$15</f>
        <v>0.64477611940298507</v>
      </c>
      <c r="F50">
        <f>$E$16</f>
        <v>0.65648104278089181</v>
      </c>
      <c r="G50">
        <f>$E$17</f>
        <v>0.64990254656995872</v>
      </c>
      <c r="H50">
        <f>$E$18</f>
        <v>0.65648104278089181</v>
      </c>
      <c r="I50">
        <f>$E$19</f>
        <v>0.64990254656995872</v>
      </c>
    </row>
    <row r="51" spans="1:9" x14ac:dyDescent="0.45">
      <c r="B51">
        <f t="shared" ref="B51:B52" si="21">$E$12</f>
        <v>0.64990254656995883</v>
      </c>
      <c r="C51">
        <f t="shared" ref="C51:C52" si="22">$E$13</f>
        <v>0.65130318612623517</v>
      </c>
      <c r="D51">
        <f t="shared" ref="D51:D52" si="23">$E$14</f>
        <v>0.64810676308597481</v>
      </c>
      <c r="E51">
        <f t="shared" ref="E51:E52" si="24">$E$15</f>
        <v>0.64477611940298507</v>
      </c>
      <c r="F51">
        <f t="shared" ref="F51:F52" si="25">$E$16</f>
        <v>0.65648104278089181</v>
      </c>
      <c r="G51">
        <f t="shared" ref="G51:G52" si="26">$E$17</f>
        <v>0.64990254656995872</v>
      </c>
      <c r="H51">
        <f t="shared" ref="H51:H52" si="27">$E$18</f>
        <v>0.65648104278089181</v>
      </c>
      <c r="I51">
        <f t="shared" ref="I51:I52" si="28">$E$19</f>
        <v>0.64990254656995872</v>
      </c>
    </row>
    <row r="52" spans="1:9" x14ac:dyDescent="0.45">
      <c r="B52">
        <f t="shared" si="21"/>
        <v>0.64990254656995883</v>
      </c>
      <c r="C52">
        <f t="shared" si="22"/>
        <v>0.65130318612623517</v>
      </c>
      <c r="D52">
        <f t="shared" si="23"/>
        <v>0.64810676308597481</v>
      </c>
      <c r="E52">
        <f t="shared" si="24"/>
        <v>0.64477611940298507</v>
      </c>
      <c r="F52">
        <f t="shared" si="25"/>
        <v>0.65648104278089181</v>
      </c>
      <c r="G52">
        <f t="shared" si="26"/>
        <v>0.64990254656995872</v>
      </c>
      <c r="H52">
        <f t="shared" si="27"/>
        <v>0.65648104278089181</v>
      </c>
      <c r="I52">
        <f t="shared" si="28"/>
        <v>0.64990254656995872</v>
      </c>
    </row>
    <row r="53" spans="1:9" x14ac:dyDescent="0.45">
      <c r="A53" t="s">
        <v>8</v>
      </c>
    </row>
    <row r="54" spans="1:9" x14ac:dyDescent="0.4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45">
      <c r="B55">
        <f>$F$12</f>
        <v>0.63522225992534787</v>
      </c>
      <c r="C55">
        <f>$F$13</f>
        <v>0.63212719298245612</v>
      </c>
      <c r="D55">
        <f>$F$14</f>
        <v>0.62828086243754322</v>
      </c>
      <c r="E55">
        <f>$F$15</f>
        <v>0.62445793581960107</v>
      </c>
      <c r="F55">
        <f>$F$16</f>
        <v>0.64283906882591091</v>
      </c>
      <c r="G55">
        <f>$F$17</f>
        <v>0.63522225992534787</v>
      </c>
      <c r="H55">
        <f>$F$18</f>
        <v>0.64283906882591091</v>
      </c>
      <c r="I55">
        <f>$F$19</f>
        <v>0.63522225992534787</v>
      </c>
    </row>
    <row r="56" spans="1:9" x14ac:dyDescent="0.45">
      <c r="B56">
        <f t="shared" ref="B56" si="29">$F$12</f>
        <v>0.63522225992534787</v>
      </c>
      <c r="C56">
        <f t="shared" ref="C56" si="30">$F$13</f>
        <v>0.63212719298245612</v>
      </c>
      <c r="D56">
        <f t="shared" ref="D56" si="31">$F$14</f>
        <v>0.62828086243754322</v>
      </c>
      <c r="E56">
        <f t="shared" ref="E56" si="32">$F$15</f>
        <v>0.62445793581960107</v>
      </c>
      <c r="F56">
        <f t="shared" ref="F56" si="33">$F$16</f>
        <v>0.64283906882591091</v>
      </c>
      <c r="G56">
        <f>$F$17</f>
        <v>0.63522225992534787</v>
      </c>
      <c r="H56">
        <f t="shared" ref="H56" si="34">$F$18</f>
        <v>0.64283906882591091</v>
      </c>
      <c r="I56">
        <f t="shared" ref="I56" si="35">$F$19</f>
        <v>0.63522225992534787</v>
      </c>
    </row>
  </sheetData>
  <conditionalFormatting sqref="D23">
    <cfRule type="cellIs" dxfId="18" priority="19" operator="greaterThan">
      <formula>$I$7</formula>
    </cfRule>
  </conditionalFormatting>
  <conditionalFormatting sqref="D23:D30 J32:J39">
    <cfRule type="cellIs" dxfId="17" priority="16" operator="equal">
      <formula>$I$7</formula>
    </cfRule>
    <cfRule type="cellIs" dxfId="16" priority="17" operator="lessThan">
      <formula>$I$7</formula>
    </cfRule>
    <cfRule type="cellIs" dxfId="15" priority="18" operator="greaterThan">
      <formula>$I$7</formula>
    </cfRule>
  </conditionalFormatting>
  <conditionalFormatting sqref="J23:J30 D32:D39">
    <cfRule type="cellIs" dxfId="14" priority="13" operator="equal">
      <formula>$E$7</formula>
    </cfRule>
    <cfRule type="cellIs" dxfId="13" priority="14" operator="lessThan">
      <formula>$E$7</formula>
    </cfRule>
    <cfRule type="cellIs" dxfId="12" priority="15" operator="greaterThan">
      <formula>$E$7</formula>
    </cfRule>
  </conditionalFormatting>
  <conditionalFormatting sqref="E23:E30 K32:K39">
    <cfRule type="cellIs" dxfId="11" priority="10" operator="lessThan">
      <formula>$W$15</formula>
    </cfRule>
    <cfRule type="cellIs" dxfId="10" priority="11" operator="greaterThan">
      <formula>$W$15</formula>
    </cfRule>
    <cfRule type="cellIs" dxfId="9" priority="12" operator="equal">
      <formula>$W$15</formula>
    </cfRule>
  </conditionalFormatting>
  <conditionalFormatting sqref="E32:E39 K23:K30">
    <cfRule type="cellIs" dxfId="8" priority="7" operator="equal">
      <formula>$J$15</formula>
    </cfRule>
    <cfRule type="cellIs" dxfId="7" priority="8" operator="lessThan">
      <formula>$J$15</formula>
    </cfRule>
    <cfRule type="cellIs" dxfId="6" priority="9" operator="greaterThan">
      <formula>$J$15</formula>
    </cfRule>
  </conditionalFormatting>
  <conditionalFormatting sqref="F23:F30 L32:L39">
    <cfRule type="cellIs" dxfId="5" priority="4" operator="equal">
      <formula>$W$20</formula>
    </cfRule>
    <cfRule type="cellIs" dxfId="4" priority="5" operator="lessThan">
      <formula>$W$20</formula>
    </cfRule>
    <cfRule type="cellIs" dxfId="3" priority="6" operator="greaterThan">
      <formula>$W$20</formula>
    </cfRule>
  </conditionalFormatting>
  <conditionalFormatting sqref="F32:F39 L23:L30">
    <cfRule type="cellIs" dxfId="2" priority="1" operator="equal">
      <formula>$J$20</formula>
    </cfRule>
    <cfRule type="cellIs" dxfId="1" priority="2" operator="lessThan">
      <formula>$J$20</formula>
    </cfRule>
    <cfRule type="cellIs" dxfId="0" priority="3" operator="greaterThan">
      <formula>$J$20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Jernigan</dc:creator>
  <cp:lastModifiedBy>Chris Jernigan</cp:lastModifiedBy>
  <dcterms:created xsi:type="dcterms:W3CDTF">2019-06-02T15:37:28Z</dcterms:created>
  <dcterms:modified xsi:type="dcterms:W3CDTF">2019-06-03T04:24:41Z</dcterms:modified>
</cp:coreProperties>
</file>