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jernigan\LTV\"/>
    </mc:Choice>
  </mc:AlternateContent>
  <xr:revisionPtr revIDLastSave="0" documentId="8_{2BA0006A-44DA-47F7-B54B-5B2ACB149D7A}" xr6:coauthVersionLast="36" xr6:coauthVersionMax="36" xr10:uidLastSave="{00000000-0000-0000-0000-000000000000}"/>
  <bookViews>
    <workbookView xWindow="-105" yWindow="-105" windowWidth="20715" windowHeight="13275" xr2:uid="{B6DE82AB-EB0E-4B2D-94C3-6E4A894FCA03}"/>
  </bookViews>
  <sheets>
    <sheet name="Standard" sheetId="1" r:id="rId1"/>
    <sheet name="Equal Loan" sheetId="2" r:id="rId2"/>
    <sheet name="Equal ARV" sheetId="3" r:id="rId3"/>
    <sheet name="Equal Ownership" sheetId="4" r:id="rId4"/>
    <sheet name="Equal Lender Fund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6" l="1"/>
  <c r="G5" i="6"/>
  <c r="G4" i="6"/>
  <c r="J20" i="6"/>
  <c r="U19" i="6"/>
  <c r="R19" i="6"/>
  <c r="L19" i="6"/>
  <c r="U18" i="6"/>
  <c r="R18" i="6"/>
  <c r="L18" i="6"/>
  <c r="J15" i="6"/>
  <c r="K14" i="6" s="1"/>
  <c r="U14" i="6"/>
  <c r="R14" i="6"/>
  <c r="L14" i="6"/>
  <c r="U13" i="6"/>
  <c r="R13" i="6"/>
  <c r="L13" i="6"/>
  <c r="U12" i="6"/>
  <c r="R12" i="6"/>
  <c r="L12" i="6"/>
  <c r="I7" i="6"/>
  <c r="O35" i="6" s="1"/>
  <c r="E7" i="6"/>
  <c r="O26" i="6" s="1"/>
  <c r="O6" i="6"/>
  <c r="K6" i="6"/>
  <c r="O5" i="6"/>
  <c r="K5" i="6"/>
  <c r="M19" i="6" s="1"/>
  <c r="O4" i="6"/>
  <c r="K4" i="6"/>
  <c r="K12" i="6" l="1"/>
  <c r="K13" i="6"/>
  <c r="K15" i="6" s="1"/>
  <c r="G7" i="6"/>
  <c r="H4" i="6" s="1"/>
  <c r="O28" i="6"/>
  <c r="F5" i="6"/>
  <c r="L5" i="6" s="1"/>
  <c r="F6" i="6"/>
  <c r="L6" i="6" s="1"/>
  <c r="O27" i="6"/>
  <c r="F4" i="6"/>
  <c r="L4" i="6" s="1"/>
  <c r="S13" i="6"/>
  <c r="S19" i="6"/>
  <c r="M5" i="6"/>
  <c r="V12" i="6"/>
  <c r="M13" i="6"/>
  <c r="V14" i="6"/>
  <c r="K19" i="6"/>
  <c r="K18" i="6"/>
  <c r="K20" i="6" s="1"/>
  <c r="V18" i="6"/>
  <c r="P19" i="6"/>
  <c r="D15" i="6"/>
  <c r="D13" i="6"/>
  <c r="M18" i="6"/>
  <c r="M12" i="6"/>
  <c r="M4" i="6"/>
  <c r="D14" i="6"/>
  <c r="M14" i="6"/>
  <c r="P14" i="6" s="1"/>
  <c r="M6" i="6"/>
  <c r="H6" i="6"/>
  <c r="J7" i="6"/>
  <c r="D12" i="6"/>
  <c r="S12" i="6"/>
  <c r="S14" i="6"/>
  <c r="S18" i="6"/>
  <c r="V13" i="6"/>
  <c r="V19" i="6"/>
  <c r="R28" i="4"/>
  <c r="J19" i="4"/>
  <c r="J20" i="4" s="1"/>
  <c r="O28" i="4" s="1"/>
  <c r="J18" i="4"/>
  <c r="L18" i="4" s="1"/>
  <c r="J14" i="4"/>
  <c r="G6" i="4" s="1"/>
  <c r="J13" i="4"/>
  <c r="J12" i="4"/>
  <c r="L12" i="4" s="1"/>
  <c r="X19" i="4"/>
  <c r="V19" i="4"/>
  <c r="S19" i="4"/>
  <c r="M19" i="4"/>
  <c r="X18" i="4"/>
  <c r="V18" i="4"/>
  <c r="S18" i="4"/>
  <c r="X14" i="4"/>
  <c r="V14" i="4"/>
  <c r="S14" i="4"/>
  <c r="X13" i="4"/>
  <c r="V13" i="4"/>
  <c r="S13" i="4"/>
  <c r="M13" i="4"/>
  <c r="L13" i="4"/>
  <c r="T13" i="4" s="1"/>
  <c r="X12" i="4"/>
  <c r="V12" i="4"/>
  <c r="S12" i="4"/>
  <c r="I7" i="4"/>
  <c r="O35" i="4" s="1"/>
  <c r="F7" i="4"/>
  <c r="E7" i="4"/>
  <c r="O26" i="4" s="1"/>
  <c r="O6" i="4"/>
  <c r="R14" i="4" s="1"/>
  <c r="K6" i="4"/>
  <c r="F6" i="4"/>
  <c r="L6" i="4" s="1"/>
  <c r="O5" i="4"/>
  <c r="R19" i="4" s="1"/>
  <c r="M5" i="4"/>
  <c r="K5" i="4"/>
  <c r="F5" i="4"/>
  <c r="L5" i="4" s="1"/>
  <c r="O4" i="4"/>
  <c r="K4" i="4"/>
  <c r="F4" i="4"/>
  <c r="J20" i="3"/>
  <c r="O28" i="3" s="1"/>
  <c r="Y19" i="3"/>
  <c r="X19" i="3"/>
  <c r="V19" i="3"/>
  <c r="S19" i="3"/>
  <c r="M19" i="3"/>
  <c r="L19" i="3"/>
  <c r="T19" i="3" s="1"/>
  <c r="K19" i="3"/>
  <c r="P19" i="3" s="1"/>
  <c r="X18" i="3"/>
  <c r="W18" i="3"/>
  <c r="V18" i="3"/>
  <c r="S18" i="3"/>
  <c r="L18" i="3"/>
  <c r="Y18" i="3" s="1"/>
  <c r="K18" i="3"/>
  <c r="J15" i="3"/>
  <c r="O27" i="3" s="1"/>
  <c r="X14" i="3"/>
  <c r="W14" i="3"/>
  <c r="V14" i="3"/>
  <c r="S14" i="3"/>
  <c r="L14" i="3"/>
  <c r="Y14" i="3" s="1"/>
  <c r="K14" i="3"/>
  <c r="Y13" i="3"/>
  <c r="X13" i="3"/>
  <c r="V13" i="3"/>
  <c r="S13" i="3"/>
  <c r="M13" i="3"/>
  <c r="L13" i="3"/>
  <c r="T13" i="3" s="1"/>
  <c r="K13" i="3"/>
  <c r="P13" i="3" s="1"/>
  <c r="X12" i="3"/>
  <c r="W12" i="3"/>
  <c r="V12" i="3"/>
  <c r="S12" i="3"/>
  <c r="L12" i="3"/>
  <c r="Y12" i="3" s="1"/>
  <c r="K12" i="3"/>
  <c r="I7" i="3"/>
  <c r="O35" i="3" s="1"/>
  <c r="F7" i="3"/>
  <c r="E7" i="3"/>
  <c r="O26" i="3" s="1"/>
  <c r="O6" i="3"/>
  <c r="R14" i="3" s="1"/>
  <c r="K6" i="3"/>
  <c r="G6" i="3"/>
  <c r="F6" i="3"/>
  <c r="O5" i="3"/>
  <c r="R19" i="3" s="1"/>
  <c r="M5" i="3"/>
  <c r="Q13" i="3" s="1"/>
  <c r="K5" i="3"/>
  <c r="G5" i="3"/>
  <c r="F5" i="3"/>
  <c r="L5" i="3" s="1"/>
  <c r="O4" i="3"/>
  <c r="K4" i="3"/>
  <c r="G4" i="3"/>
  <c r="G7" i="3" s="1"/>
  <c r="F4" i="3"/>
  <c r="J20" i="2"/>
  <c r="X19" i="2"/>
  <c r="V19" i="2"/>
  <c r="S19" i="2"/>
  <c r="M19" i="2"/>
  <c r="L19" i="2"/>
  <c r="T19" i="2" s="1"/>
  <c r="K19" i="2"/>
  <c r="P19" i="2" s="1"/>
  <c r="Y18" i="2"/>
  <c r="X18" i="2"/>
  <c r="W18" i="2"/>
  <c r="V18" i="2"/>
  <c r="S18" i="2"/>
  <c r="L18" i="2"/>
  <c r="T18" i="2" s="1"/>
  <c r="K18" i="2"/>
  <c r="K20" i="2" s="1"/>
  <c r="J15" i="2"/>
  <c r="X14" i="2"/>
  <c r="G6" i="2" s="1"/>
  <c r="V14" i="2"/>
  <c r="S14" i="2"/>
  <c r="L14" i="2"/>
  <c r="W14" i="2" s="1"/>
  <c r="K14" i="2"/>
  <c r="X13" i="2"/>
  <c r="Y13" i="2" s="1"/>
  <c r="V13" i="2"/>
  <c r="S13" i="2"/>
  <c r="M13" i="2"/>
  <c r="P13" i="2" s="1"/>
  <c r="L13" i="2"/>
  <c r="T13" i="2" s="1"/>
  <c r="K13" i="2"/>
  <c r="X12" i="2"/>
  <c r="V12" i="2"/>
  <c r="S12" i="2"/>
  <c r="R12" i="2"/>
  <c r="L12" i="2"/>
  <c r="Y12" i="2" s="1"/>
  <c r="K12" i="2"/>
  <c r="K15" i="2" s="1"/>
  <c r="I7" i="2"/>
  <c r="O35" i="2" s="1"/>
  <c r="G7" i="2"/>
  <c r="H4" i="2" s="1"/>
  <c r="E7" i="2"/>
  <c r="O26" i="2" s="1"/>
  <c r="O6" i="2"/>
  <c r="R14" i="2" s="1"/>
  <c r="K6" i="2"/>
  <c r="H6" i="2"/>
  <c r="O5" i="2"/>
  <c r="R19" i="2" s="1"/>
  <c r="M5" i="2"/>
  <c r="K5" i="2"/>
  <c r="G5" i="2"/>
  <c r="J7" i="2" s="1"/>
  <c r="F5" i="2"/>
  <c r="L5" i="2" s="1"/>
  <c r="O4" i="2"/>
  <c r="R18" i="2" s="1"/>
  <c r="K4" i="2"/>
  <c r="D14" i="2" s="1"/>
  <c r="G4" i="2"/>
  <c r="F4" i="2"/>
  <c r="L4" i="2" s="1"/>
  <c r="P12" i="6" l="1"/>
  <c r="P13" i="6"/>
  <c r="Q13" i="6"/>
  <c r="H5" i="6"/>
  <c r="H7" i="6" s="1"/>
  <c r="P18" i="6"/>
  <c r="P20" i="6" s="1"/>
  <c r="F18" i="6" s="1"/>
  <c r="V15" i="6"/>
  <c r="O36" i="6" s="1"/>
  <c r="Q19" i="6"/>
  <c r="F7" i="6"/>
  <c r="N5" i="6"/>
  <c r="L7" i="6"/>
  <c r="V20" i="6"/>
  <c r="O37" i="6" s="1"/>
  <c r="P15" i="6"/>
  <c r="E18" i="6" s="1"/>
  <c r="S20" i="6"/>
  <c r="T18" i="6" s="1"/>
  <c r="D23" i="6"/>
  <c r="Q32" i="6" s="1"/>
  <c r="J23" i="6"/>
  <c r="B46" i="6"/>
  <c r="J32" i="6"/>
  <c r="B47" i="6"/>
  <c r="B45" i="6"/>
  <c r="J25" i="6"/>
  <c r="D47" i="6"/>
  <c r="D46" i="6"/>
  <c r="D45" i="6"/>
  <c r="J34" i="6"/>
  <c r="D25" i="6"/>
  <c r="Q34" i="6" s="1"/>
  <c r="D24" i="6"/>
  <c r="Q33" i="6" s="1"/>
  <c r="J24" i="6"/>
  <c r="C47" i="6"/>
  <c r="C46" i="6"/>
  <c r="C45" i="6"/>
  <c r="J33" i="6"/>
  <c r="N4" i="6"/>
  <c r="Q18" i="6"/>
  <c r="Q12" i="6"/>
  <c r="E47" i="6"/>
  <c r="E46" i="6"/>
  <c r="E45" i="6"/>
  <c r="J35" i="6"/>
  <c r="D26" i="6"/>
  <c r="Q35" i="6" s="1"/>
  <c r="J26" i="6"/>
  <c r="Q4" i="6"/>
  <c r="P4" i="6"/>
  <c r="N6" i="6"/>
  <c r="Q14" i="6"/>
  <c r="E14" i="6"/>
  <c r="E15" i="6"/>
  <c r="E13" i="6"/>
  <c r="S15" i="6"/>
  <c r="T12" i="6" s="1"/>
  <c r="Q6" i="6"/>
  <c r="P6" i="6"/>
  <c r="F14" i="6"/>
  <c r="F15" i="6"/>
  <c r="F13" i="6"/>
  <c r="L19" i="4"/>
  <c r="G5" i="4"/>
  <c r="Y18" i="4"/>
  <c r="W18" i="4"/>
  <c r="W20" i="4" s="1"/>
  <c r="O37" i="4" s="1"/>
  <c r="K19" i="4"/>
  <c r="Q19" i="4" s="1"/>
  <c r="K18" i="4"/>
  <c r="K20" i="4" s="1"/>
  <c r="L14" i="4"/>
  <c r="J15" i="4"/>
  <c r="O27" i="4" s="1"/>
  <c r="Y13" i="4"/>
  <c r="K12" i="4"/>
  <c r="Y12" i="4"/>
  <c r="W12" i="4"/>
  <c r="G4" i="4"/>
  <c r="G7" i="4" s="1"/>
  <c r="H4" i="4" s="1"/>
  <c r="K13" i="4"/>
  <c r="Q13" i="4" s="1"/>
  <c r="Y19" i="2"/>
  <c r="R13" i="2"/>
  <c r="W19" i="2"/>
  <c r="W20" i="2" s="1"/>
  <c r="O37" i="2" s="1"/>
  <c r="D15" i="4"/>
  <c r="D13" i="4"/>
  <c r="M18" i="4"/>
  <c r="M12" i="4"/>
  <c r="P12" i="4" s="1"/>
  <c r="M4" i="4"/>
  <c r="D14" i="4"/>
  <c r="R18" i="4"/>
  <c r="R12" i="4"/>
  <c r="L4" i="4"/>
  <c r="L7" i="4" s="1"/>
  <c r="D16" i="4" s="1"/>
  <c r="M14" i="4"/>
  <c r="M6" i="4"/>
  <c r="N5" i="4"/>
  <c r="D12" i="4"/>
  <c r="T12" i="4"/>
  <c r="R13" i="4"/>
  <c r="T14" i="4"/>
  <c r="T18" i="4"/>
  <c r="W13" i="4"/>
  <c r="W19" i="4"/>
  <c r="H6" i="3"/>
  <c r="H4" i="3"/>
  <c r="H5" i="3"/>
  <c r="J7" i="3"/>
  <c r="K20" i="3"/>
  <c r="P18" i="3"/>
  <c r="P20" i="3" s="1"/>
  <c r="F18" i="3" s="1"/>
  <c r="D15" i="3"/>
  <c r="D13" i="3"/>
  <c r="M18" i="3"/>
  <c r="M12" i="3"/>
  <c r="P12" i="3" s="1"/>
  <c r="M4" i="3"/>
  <c r="N4" i="3" s="1"/>
  <c r="D14" i="3"/>
  <c r="R18" i="3"/>
  <c r="R12" i="3"/>
  <c r="K15" i="3"/>
  <c r="M14" i="3"/>
  <c r="P14" i="3" s="1"/>
  <c r="M6" i="3"/>
  <c r="Q14" i="3" s="1"/>
  <c r="W15" i="3"/>
  <c r="O36" i="3" s="1"/>
  <c r="Q19" i="3"/>
  <c r="L4" i="3"/>
  <c r="N5" i="3"/>
  <c r="L6" i="3"/>
  <c r="D12" i="3"/>
  <c r="T12" i="3"/>
  <c r="R13" i="3"/>
  <c r="T14" i="3"/>
  <c r="T18" i="3"/>
  <c r="W13" i="3"/>
  <c r="W19" i="3"/>
  <c r="W20" i="3" s="1"/>
  <c r="O37" i="3" s="1"/>
  <c r="Q4" i="2"/>
  <c r="P4" i="2"/>
  <c r="J25" i="2"/>
  <c r="D47" i="2"/>
  <c r="D46" i="2"/>
  <c r="D45" i="2"/>
  <c r="J34" i="2"/>
  <c r="D25" i="2"/>
  <c r="Q34" i="2" s="1"/>
  <c r="M14" i="2"/>
  <c r="P14" i="2" s="1"/>
  <c r="M6" i="2"/>
  <c r="Q14" i="2" s="1"/>
  <c r="W12" i="2"/>
  <c r="W15" i="2" s="1"/>
  <c r="O36" i="2" s="1"/>
  <c r="N4" i="2"/>
  <c r="Q19" i="2"/>
  <c r="D12" i="2"/>
  <c r="Y14" i="2"/>
  <c r="T14" i="2"/>
  <c r="O28" i="2"/>
  <c r="H5" i="2"/>
  <c r="N5" i="2"/>
  <c r="F6" i="2"/>
  <c r="F7" i="2" s="1"/>
  <c r="T12" i="2"/>
  <c r="D13" i="2"/>
  <c r="W13" i="2"/>
  <c r="Q13" i="2"/>
  <c r="D15" i="2"/>
  <c r="M18" i="2"/>
  <c r="M12" i="2"/>
  <c r="M4" i="2"/>
  <c r="Q6" i="2"/>
  <c r="P12" i="2"/>
  <c r="T20" i="2"/>
  <c r="U18" i="2" s="1"/>
  <c r="P6" i="2"/>
  <c r="O27" i="2"/>
  <c r="P5" i="6" l="1"/>
  <c r="P7" i="6" s="1"/>
  <c r="D18" i="6" s="1"/>
  <c r="Q5" i="6"/>
  <c r="H55" i="6"/>
  <c r="H56" i="6"/>
  <c r="L38" i="6"/>
  <c r="Q20" i="6"/>
  <c r="F19" i="6" s="1"/>
  <c r="L30" i="6" s="1"/>
  <c r="D34" i="6"/>
  <c r="Q25" i="6" s="1"/>
  <c r="D16" i="6"/>
  <c r="D27" i="6" s="1"/>
  <c r="Q36" i="6" s="1"/>
  <c r="L29" i="6"/>
  <c r="D33" i="6"/>
  <c r="Q24" i="6" s="1"/>
  <c r="N18" i="6"/>
  <c r="O18" i="6"/>
  <c r="D56" i="6"/>
  <c r="D55" i="6"/>
  <c r="F25" i="6"/>
  <c r="S34" i="6" s="1"/>
  <c r="L25" i="6"/>
  <c r="L34" i="6"/>
  <c r="E12" i="6"/>
  <c r="K32" i="6" s="1"/>
  <c r="T13" i="6"/>
  <c r="K34" i="6"/>
  <c r="D52" i="6"/>
  <c r="D51" i="6"/>
  <c r="D50" i="6"/>
  <c r="E25" i="6"/>
  <c r="R34" i="6" s="1"/>
  <c r="K25" i="6"/>
  <c r="F29" i="6"/>
  <c r="S38" i="6" s="1"/>
  <c r="T14" i="6"/>
  <c r="N12" i="6"/>
  <c r="O12" i="6"/>
  <c r="Q7" i="6"/>
  <c r="D19" i="6" s="1"/>
  <c r="F38" i="6"/>
  <c r="S29" i="6" s="1"/>
  <c r="N7" i="6"/>
  <c r="D17" i="6" s="1"/>
  <c r="L33" i="6"/>
  <c r="C56" i="6"/>
  <c r="C55" i="6"/>
  <c r="F24" i="6"/>
  <c r="S33" i="6" s="1"/>
  <c r="L24" i="6"/>
  <c r="K24" i="6"/>
  <c r="K33" i="6"/>
  <c r="C52" i="6"/>
  <c r="C51" i="6"/>
  <c r="C50" i="6"/>
  <c r="E24" i="6"/>
  <c r="R33" i="6" s="1"/>
  <c r="F12" i="6"/>
  <c r="T19" i="6"/>
  <c r="E56" i="6"/>
  <c r="E55" i="6"/>
  <c r="F26" i="6"/>
  <c r="S35" i="6" s="1"/>
  <c r="L26" i="6"/>
  <c r="L35" i="6"/>
  <c r="F30" i="6"/>
  <c r="S39" i="6" s="1"/>
  <c r="E52" i="6"/>
  <c r="E51" i="6"/>
  <c r="E50" i="6"/>
  <c r="E26" i="6"/>
  <c r="R35" i="6" s="1"/>
  <c r="K26" i="6"/>
  <c r="K35" i="6"/>
  <c r="D35" i="6"/>
  <c r="Q26" i="6" s="1"/>
  <c r="Q15" i="6"/>
  <c r="E19" i="6" s="1"/>
  <c r="D32" i="6"/>
  <c r="Q23" i="6" s="1"/>
  <c r="K29" i="6"/>
  <c r="H52" i="6"/>
  <c r="H51" i="6"/>
  <c r="H50" i="6"/>
  <c r="K38" i="6"/>
  <c r="E29" i="6"/>
  <c r="R38" i="6" s="1"/>
  <c r="P19" i="4"/>
  <c r="T19" i="4"/>
  <c r="T20" i="4" s="1"/>
  <c r="F29" i="4" s="1"/>
  <c r="S38" i="4" s="1"/>
  <c r="Y19" i="4"/>
  <c r="P18" i="4"/>
  <c r="P20" i="4" s="1"/>
  <c r="F18" i="4" s="1"/>
  <c r="H55" i="4" s="1"/>
  <c r="J7" i="4"/>
  <c r="H5" i="4"/>
  <c r="Q5" i="4" s="1"/>
  <c r="H6" i="4"/>
  <c r="K14" i="4"/>
  <c r="P14" i="4" s="1"/>
  <c r="Y14" i="4"/>
  <c r="W14" i="4"/>
  <c r="W15" i="4" s="1"/>
  <c r="O36" i="4" s="1"/>
  <c r="K15" i="4"/>
  <c r="P13" i="4"/>
  <c r="P15" i="4"/>
  <c r="E18" i="4" s="1"/>
  <c r="H51" i="4" s="1"/>
  <c r="L7" i="3"/>
  <c r="D16" i="3" s="1"/>
  <c r="F12" i="2"/>
  <c r="D23" i="4"/>
  <c r="Q32" i="4" s="1"/>
  <c r="J23" i="4"/>
  <c r="B46" i="4"/>
  <c r="J32" i="4"/>
  <c r="B47" i="4"/>
  <c r="B45" i="4"/>
  <c r="D27" i="4"/>
  <c r="Q36" i="4" s="1"/>
  <c r="J27" i="4"/>
  <c r="J36" i="4"/>
  <c r="F46" i="4"/>
  <c r="F47" i="4"/>
  <c r="F45" i="4"/>
  <c r="D24" i="4"/>
  <c r="Q33" i="4" s="1"/>
  <c r="J24" i="4"/>
  <c r="C47" i="4"/>
  <c r="C46" i="4"/>
  <c r="C45" i="4"/>
  <c r="J33" i="4"/>
  <c r="P5" i="4"/>
  <c r="N4" i="4"/>
  <c r="Q18" i="4"/>
  <c r="Q20" i="4" s="1"/>
  <c r="F19" i="4" s="1"/>
  <c r="Q12" i="4"/>
  <c r="E47" i="4"/>
  <c r="E46" i="4"/>
  <c r="E45" i="4"/>
  <c r="J35" i="4"/>
  <c r="D26" i="4"/>
  <c r="Q35" i="4" s="1"/>
  <c r="J26" i="4"/>
  <c r="J25" i="4"/>
  <c r="D47" i="4"/>
  <c r="D46" i="4"/>
  <c r="D45" i="4"/>
  <c r="D34" i="4" s="1"/>
  <c r="Q25" i="4" s="1"/>
  <c r="J34" i="4"/>
  <c r="D25" i="4"/>
  <c r="Q34" i="4" s="1"/>
  <c r="Q4" i="4"/>
  <c r="P4" i="4"/>
  <c r="N6" i="4"/>
  <c r="Q14" i="4"/>
  <c r="E14" i="4"/>
  <c r="E15" i="4"/>
  <c r="E13" i="4"/>
  <c r="T15" i="4"/>
  <c r="U12" i="4" s="1"/>
  <c r="F14" i="4"/>
  <c r="F15" i="4"/>
  <c r="F13" i="4"/>
  <c r="P15" i="3"/>
  <c r="E18" i="3" s="1"/>
  <c r="J25" i="3"/>
  <c r="D47" i="3"/>
  <c r="D46" i="3"/>
  <c r="D45" i="3"/>
  <c r="J34" i="3"/>
  <c r="D25" i="3"/>
  <c r="Q34" i="3" s="1"/>
  <c r="D24" i="3"/>
  <c r="Q33" i="3" s="1"/>
  <c r="J24" i="3"/>
  <c r="C47" i="3"/>
  <c r="C46" i="3"/>
  <c r="C45" i="3"/>
  <c r="J33" i="3"/>
  <c r="T20" i="3"/>
  <c r="U18" i="3"/>
  <c r="D23" i="3"/>
  <c r="Q32" i="3" s="1"/>
  <c r="J23" i="3"/>
  <c r="B46" i="3"/>
  <c r="J32" i="3"/>
  <c r="B47" i="3"/>
  <c r="B45" i="3"/>
  <c r="E14" i="3"/>
  <c r="E15" i="3"/>
  <c r="E13" i="3"/>
  <c r="L38" i="3"/>
  <c r="H56" i="3"/>
  <c r="H55" i="3"/>
  <c r="L29" i="3"/>
  <c r="H7" i="3"/>
  <c r="Q4" i="3"/>
  <c r="P4" i="3"/>
  <c r="N6" i="3"/>
  <c r="N7" i="3" s="1"/>
  <c r="D17" i="3" s="1"/>
  <c r="F14" i="3"/>
  <c r="F15" i="3"/>
  <c r="F13" i="3"/>
  <c r="Q6" i="3"/>
  <c r="P6" i="3"/>
  <c r="T15" i="3"/>
  <c r="D27" i="3"/>
  <c r="Q36" i="3" s="1"/>
  <c r="J27" i="3"/>
  <c r="J36" i="3"/>
  <c r="F47" i="3"/>
  <c r="F45" i="3"/>
  <c r="F46" i="3"/>
  <c r="Q18" i="3"/>
  <c r="Q20" i="3" s="1"/>
  <c r="F19" i="3" s="1"/>
  <c r="Q12" i="3"/>
  <c r="Q15" i="3" s="1"/>
  <c r="E19" i="3" s="1"/>
  <c r="E47" i="3"/>
  <c r="E46" i="3"/>
  <c r="E45" i="3"/>
  <c r="J35" i="3"/>
  <c r="D26" i="3"/>
  <c r="Q35" i="3" s="1"/>
  <c r="J26" i="3"/>
  <c r="P5" i="3"/>
  <c r="Q5" i="3"/>
  <c r="L23" i="2"/>
  <c r="L32" i="2"/>
  <c r="B56" i="2"/>
  <c r="B55" i="2"/>
  <c r="F23" i="2"/>
  <c r="S32" i="2" s="1"/>
  <c r="Q18" i="2"/>
  <c r="Q20" i="2" s="1"/>
  <c r="F19" i="2" s="1"/>
  <c r="Q12" i="2"/>
  <c r="Q15" i="2" s="1"/>
  <c r="E19" i="2" s="1"/>
  <c r="O18" i="2"/>
  <c r="U19" i="2"/>
  <c r="N6" i="2"/>
  <c r="L6" i="2"/>
  <c r="L7" i="2" s="1"/>
  <c r="D16" i="2" s="1"/>
  <c r="P15" i="2"/>
  <c r="E18" i="2" s="1"/>
  <c r="E14" i="2"/>
  <c r="E15" i="2"/>
  <c r="E13" i="2"/>
  <c r="D24" i="2"/>
  <c r="Q33" i="2" s="1"/>
  <c r="J24" i="2"/>
  <c r="C47" i="2"/>
  <c r="C46" i="2"/>
  <c r="C45" i="2"/>
  <c r="J33" i="2"/>
  <c r="N7" i="2"/>
  <c r="D34" i="2"/>
  <c r="Q25" i="2" s="1"/>
  <c r="F15" i="2"/>
  <c r="F13" i="2"/>
  <c r="F14" i="2"/>
  <c r="T15" i="2"/>
  <c r="U14" i="2" s="1"/>
  <c r="P5" i="2"/>
  <c r="P7" i="2" s="1"/>
  <c r="D18" i="2" s="1"/>
  <c r="Q5" i="2"/>
  <c r="Q7" i="2" s="1"/>
  <c r="D23" i="2"/>
  <c r="Q32" i="2" s="1"/>
  <c r="J23" i="2"/>
  <c r="B47" i="2"/>
  <c r="B46" i="2"/>
  <c r="B45" i="2"/>
  <c r="J32" i="2"/>
  <c r="P18" i="2"/>
  <c r="P20" i="2" s="1"/>
  <c r="F18" i="2" s="1"/>
  <c r="N18" i="2"/>
  <c r="U20" i="2"/>
  <c r="E47" i="2"/>
  <c r="E46" i="2"/>
  <c r="E45" i="2"/>
  <c r="J35" i="2"/>
  <c r="D26" i="2"/>
  <c r="Q35" i="2" s="1"/>
  <c r="J26" i="2"/>
  <c r="D17" i="2"/>
  <c r="H7" i="2"/>
  <c r="T15" i="6" l="1"/>
  <c r="I55" i="6"/>
  <c r="F39" i="6" s="1"/>
  <c r="S30" i="6" s="1"/>
  <c r="L39" i="6"/>
  <c r="I56" i="6"/>
  <c r="E35" i="6"/>
  <c r="R26" i="6" s="1"/>
  <c r="J36" i="6"/>
  <c r="J27" i="6"/>
  <c r="F45" i="6"/>
  <c r="F47" i="6"/>
  <c r="F46" i="6"/>
  <c r="E34" i="6"/>
  <c r="R25" i="6" s="1"/>
  <c r="F35" i="6"/>
  <c r="S26" i="6" s="1"/>
  <c r="F33" i="6"/>
  <c r="S24" i="6" s="1"/>
  <c r="F34" i="6"/>
  <c r="S25" i="6" s="1"/>
  <c r="N19" i="6"/>
  <c r="N20" i="6" s="1"/>
  <c r="O19" i="6"/>
  <c r="O20" i="6" s="1"/>
  <c r="E33" i="6"/>
  <c r="R24" i="6" s="1"/>
  <c r="E38" i="6"/>
  <c r="R29" i="6" s="1"/>
  <c r="L23" i="6"/>
  <c r="B56" i="6"/>
  <c r="L32" i="6"/>
  <c r="B55" i="6"/>
  <c r="F23" i="6"/>
  <c r="S32" i="6" s="1"/>
  <c r="N14" i="6"/>
  <c r="O14" i="6"/>
  <c r="I52" i="6"/>
  <c r="I51" i="6"/>
  <c r="I50" i="6"/>
  <c r="K39" i="6"/>
  <c r="E30" i="6"/>
  <c r="R39" i="6" s="1"/>
  <c r="K30" i="6"/>
  <c r="I47" i="6"/>
  <c r="I46" i="6"/>
  <c r="I45" i="6"/>
  <c r="J30" i="6"/>
  <c r="J39" i="6"/>
  <c r="D30" i="6"/>
  <c r="Q39" i="6" s="1"/>
  <c r="O13" i="6"/>
  <c r="N13" i="6"/>
  <c r="T20" i="6"/>
  <c r="J37" i="6"/>
  <c r="G47" i="6"/>
  <c r="G46" i="6"/>
  <c r="G45" i="6"/>
  <c r="D28" i="6"/>
  <c r="Q37" i="6" s="1"/>
  <c r="J28" i="6"/>
  <c r="D29" i="6"/>
  <c r="Q38" i="6" s="1"/>
  <c r="H47" i="6"/>
  <c r="H46" i="6"/>
  <c r="H45" i="6"/>
  <c r="J29" i="6"/>
  <c r="J38" i="6"/>
  <c r="E23" i="6"/>
  <c r="R32" i="6" s="1"/>
  <c r="K23" i="6"/>
  <c r="B52" i="6"/>
  <c r="B50" i="6"/>
  <c r="B51" i="6"/>
  <c r="H7" i="4"/>
  <c r="L29" i="4"/>
  <c r="L38" i="4"/>
  <c r="H56" i="4"/>
  <c r="F38" i="4" s="1"/>
  <c r="S29" i="4" s="1"/>
  <c r="P6" i="4"/>
  <c r="P7" i="4" s="1"/>
  <c r="D18" i="4" s="1"/>
  <c r="Q6" i="4"/>
  <c r="Q7" i="4" s="1"/>
  <c r="D19" i="4" s="1"/>
  <c r="Q15" i="4"/>
  <c r="E19" i="4" s="1"/>
  <c r="K39" i="4" s="1"/>
  <c r="E29" i="4"/>
  <c r="R38" i="4" s="1"/>
  <c r="U14" i="4"/>
  <c r="K38" i="4"/>
  <c r="K29" i="4"/>
  <c r="H52" i="4"/>
  <c r="H50" i="4"/>
  <c r="D36" i="3"/>
  <c r="Q27" i="3" s="1"/>
  <c r="F38" i="3"/>
  <c r="S29" i="3" s="1"/>
  <c r="D35" i="3"/>
  <c r="Q26" i="3" s="1"/>
  <c r="D19" i="2"/>
  <c r="I56" i="4"/>
  <c r="I55" i="4"/>
  <c r="F30" i="4"/>
  <c r="S39" i="4" s="1"/>
  <c r="L30" i="4"/>
  <c r="L39" i="4"/>
  <c r="L33" i="4"/>
  <c r="C56" i="4"/>
  <c r="C55" i="4"/>
  <c r="F33" i="4" s="1"/>
  <c r="S24" i="4" s="1"/>
  <c r="F24" i="4"/>
  <c r="S33" i="4" s="1"/>
  <c r="L24" i="4"/>
  <c r="K24" i="4"/>
  <c r="K33" i="4"/>
  <c r="C52" i="4"/>
  <c r="C51" i="4"/>
  <c r="C50" i="4"/>
  <c r="E24" i="4"/>
  <c r="R33" i="4" s="1"/>
  <c r="N7" i="4"/>
  <c r="D17" i="4" s="1"/>
  <c r="D32" i="4"/>
  <c r="Q23" i="4" s="1"/>
  <c r="N12" i="4"/>
  <c r="U15" i="4"/>
  <c r="O12" i="4"/>
  <c r="I51" i="4"/>
  <c r="I50" i="4"/>
  <c r="K30" i="4"/>
  <c r="N14" i="4"/>
  <c r="O14" i="4"/>
  <c r="E56" i="4"/>
  <c r="E55" i="4"/>
  <c r="F35" i="4" s="1"/>
  <c r="S26" i="4" s="1"/>
  <c r="F26" i="4"/>
  <c r="S35" i="4" s="1"/>
  <c r="L26" i="4"/>
  <c r="L35" i="4"/>
  <c r="E52" i="4"/>
  <c r="E51" i="4"/>
  <c r="E50" i="4"/>
  <c r="E26" i="4"/>
  <c r="R35" i="4" s="1"/>
  <c r="K26" i="4"/>
  <c r="K35" i="4"/>
  <c r="D33" i="4"/>
  <c r="Q24" i="4" s="1"/>
  <c r="F12" i="4"/>
  <c r="U19" i="4"/>
  <c r="D56" i="4"/>
  <c r="D55" i="4"/>
  <c r="F25" i="4"/>
  <c r="S34" i="4" s="1"/>
  <c r="L25" i="4"/>
  <c r="L34" i="4"/>
  <c r="E12" i="4"/>
  <c r="U13" i="4"/>
  <c r="K34" i="4"/>
  <c r="D52" i="4"/>
  <c r="D51" i="4"/>
  <c r="D50" i="4"/>
  <c r="E25" i="4"/>
  <c r="R34" i="4" s="1"/>
  <c r="K25" i="4"/>
  <c r="D35" i="4"/>
  <c r="Q26" i="4" s="1"/>
  <c r="D36" i="4"/>
  <c r="Q27" i="4" s="1"/>
  <c r="U18" i="4"/>
  <c r="J37" i="3"/>
  <c r="G47" i="3"/>
  <c r="G46" i="3"/>
  <c r="G45" i="3"/>
  <c r="D28" i="3"/>
  <c r="Q37" i="3" s="1"/>
  <c r="J28" i="3"/>
  <c r="I52" i="3"/>
  <c r="I51" i="3"/>
  <c r="I50" i="3"/>
  <c r="K39" i="3"/>
  <c r="E30" i="3"/>
  <c r="R39" i="3" s="1"/>
  <c r="K30" i="3"/>
  <c r="I56" i="3"/>
  <c r="I55" i="3"/>
  <c r="F30" i="3"/>
  <c r="S39" i="3" s="1"/>
  <c r="L30" i="3"/>
  <c r="L39" i="3"/>
  <c r="D56" i="3"/>
  <c r="D55" i="3"/>
  <c r="F25" i="3"/>
  <c r="S34" i="3" s="1"/>
  <c r="L25" i="3"/>
  <c r="L34" i="3"/>
  <c r="Q7" i="3"/>
  <c r="E52" i="3"/>
  <c r="E51" i="3"/>
  <c r="E50" i="3"/>
  <c r="E26" i="3"/>
  <c r="R35" i="3" s="1"/>
  <c r="K26" i="3"/>
  <c r="K35" i="3"/>
  <c r="N18" i="3"/>
  <c r="E12" i="3"/>
  <c r="U13" i="3"/>
  <c r="D19" i="3"/>
  <c r="K34" i="3"/>
  <c r="D52" i="3"/>
  <c r="D51" i="3"/>
  <c r="D50" i="3"/>
  <c r="E25" i="3"/>
  <c r="R34" i="3" s="1"/>
  <c r="K25" i="3"/>
  <c r="F12" i="3"/>
  <c r="U19" i="3"/>
  <c r="U20" i="3" s="1"/>
  <c r="U12" i="3"/>
  <c r="L33" i="3"/>
  <c r="C56" i="3"/>
  <c r="C55" i="3"/>
  <c r="F24" i="3"/>
  <c r="S33" i="3" s="1"/>
  <c r="L24" i="3"/>
  <c r="U14" i="3"/>
  <c r="D32" i="3"/>
  <c r="Q23" i="3" s="1"/>
  <c r="D34" i="3"/>
  <c r="Q25" i="3" s="1"/>
  <c r="K29" i="3"/>
  <c r="H52" i="3"/>
  <c r="H51" i="3"/>
  <c r="H50" i="3"/>
  <c r="K38" i="3"/>
  <c r="E29" i="3"/>
  <c r="R38" i="3" s="1"/>
  <c r="O18" i="3"/>
  <c r="E56" i="3"/>
  <c r="E55" i="3"/>
  <c r="F26" i="3"/>
  <c r="S35" i="3" s="1"/>
  <c r="L26" i="3"/>
  <c r="L35" i="3"/>
  <c r="P7" i="3"/>
  <c r="D18" i="3" s="1"/>
  <c r="F29" i="3"/>
  <c r="S38" i="3" s="1"/>
  <c r="K24" i="3"/>
  <c r="K33" i="3"/>
  <c r="C52" i="3"/>
  <c r="C51" i="3"/>
  <c r="C50" i="3"/>
  <c r="E24" i="3"/>
  <c r="R33" i="3" s="1"/>
  <c r="D33" i="3"/>
  <c r="Q24" i="3" s="1"/>
  <c r="D29" i="2"/>
  <c r="Q38" i="2" s="1"/>
  <c r="H47" i="2"/>
  <c r="H46" i="2"/>
  <c r="H45" i="2"/>
  <c r="J29" i="2"/>
  <c r="J38" i="2"/>
  <c r="O14" i="2"/>
  <c r="N14" i="2"/>
  <c r="L38" i="2"/>
  <c r="H56" i="2"/>
  <c r="H55" i="2"/>
  <c r="F29" i="2"/>
  <c r="S38" i="2" s="1"/>
  <c r="L29" i="2"/>
  <c r="D56" i="2"/>
  <c r="D55" i="2"/>
  <c r="F25" i="2"/>
  <c r="S34" i="2" s="1"/>
  <c r="L25" i="2"/>
  <c r="L34" i="2"/>
  <c r="K24" i="2"/>
  <c r="K33" i="2"/>
  <c r="C52" i="2"/>
  <c r="C51" i="2"/>
  <c r="C50" i="2"/>
  <c r="E24" i="2"/>
  <c r="R33" i="2" s="1"/>
  <c r="F32" i="2"/>
  <c r="S23" i="2" s="1"/>
  <c r="L33" i="2"/>
  <c r="C56" i="2"/>
  <c r="C55" i="2"/>
  <c r="F33" i="2" s="1"/>
  <c r="S24" i="2" s="1"/>
  <c r="F24" i="2"/>
  <c r="S33" i="2" s="1"/>
  <c r="L24" i="2"/>
  <c r="E52" i="2"/>
  <c r="E51" i="2"/>
  <c r="E50" i="2"/>
  <c r="E26" i="2"/>
  <c r="R35" i="2" s="1"/>
  <c r="K26" i="2"/>
  <c r="K35" i="2"/>
  <c r="D27" i="2"/>
  <c r="Q36" i="2" s="1"/>
  <c r="J27" i="2"/>
  <c r="J36" i="2"/>
  <c r="F47" i="2"/>
  <c r="F46" i="2"/>
  <c r="F45" i="2"/>
  <c r="D36" i="2" s="1"/>
  <c r="Q27" i="2" s="1"/>
  <c r="I52" i="2"/>
  <c r="I51" i="2"/>
  <c r="I50" i="2"/>
  <c r="K39" i="2"/>
  <c r="E30" i="2"/>
  <c r="R39" i="2" s="1"/>
  <c r="K30" i="2"/>
  <c r="I47" i="2"/>
  <c r="I46" i="2"/>
  <c r="I45" i="2"/>
  <c r="J30" i="2"/>
  <c r="J39" i="2"/>
  <c r="D30" i="2"/>
  <c r="Q39" i="2" s="1"/>
  <c r="E12" i="2"/>
  <c r="U13" i="2"/>
  <c r="E56" i="2"/>
  <c r="E55" i="2"/>
  <c r="F26" i="2"/>
  <c r="S35" i="2" s="1"/>
  <c r="L26" i="2"/>
  <c r="L35" i="2"/>
  <c r="K34" i="2"/>
  <c r="D52" i="2"/>
  <c r="D51" i="2"/>
  <c r="D50" i="2"/>
  <c r="E25" i="2"/>
  <c r="R34" i="2" s="1"/>
  <c r="K25" i="2"/>
  <c r="I56" i="2"/>
  <c r="I55" i="2"/>
  <c r="F30" i="2"/>
  <c r="S39" i="2" s="1"/>
  <c r="L30" i="2"/>
  <c r="L39" i="2"/>
  <c r="J37" i="2"/>
  <c r="G47" i="2"/>
  <c r="G46" i="2"/>
  <c r="G45" i="2"/>
  <c r="D28" i="2"/>
  <c r="Q37" i="2" s="1"/>
  <c r="J28" i="2"/>
  <c r="D35" i="2"/>
  <c r="Q26" i="2" s="1"/>
  <c r="D32" i="2"/>
  <c r="Q23" i="2" s="1"/>
  <c r="U12" i="2"/>
  <c r="D33" i="2"/>
  <c r="Q24" i="2" s="1"/>
  <c r="K29" i="2"/>
  <c r="H52" i="2"/>
  <c r="H51" i="2"/>
  <c r="H50" i="2"/>
  <c r="K38" i="2"/>
  <c r="E29" i="2"/>
  <c r="R38" i="2" s="1"/>
  <c r="N19" i="2"/>
  <c r="N20" i="2" s="1"/>
  <c r="F16" i="2" s="1"/>
  <c r="O19" i="2"/>
  <c r="O20" i="2" s="1"/>
  <c r="F17" i="2" s="1"/>
  <c r="N15" i="6" l="1"/>
  <c r="E16" i="6" s="1"/>
  <c r="K36" i="6" s="1"/>
  <c r="F17" i="6"/>
  <c r="O15" i="6"/>
  <c r="E17" i="6" s="1"/>
  <c r="G50" i="6" s="1"/>
  <c r="D36" i="6"/>
  <c r="Q27" i="6" s="1"/>
  <c r="F32" i="6"/>
  <c r="S23" i="6" s="1"/>
  <c r="D37" i="6"/>
  <c r="Q28" i="6" s="1"/>
  <c r="F16" i="6"/>
  <c r="F56" i="6" s="1"/>
  <c r="D39" i="6"/>
  <c r="Q30" i="6" s="1"/>
  <c r="E28" i="6"/>
  <c r="R37" i="6" s="1"/>
  <c r="G52" i="6"/>
  <c r="K37" i="6"/>
  <c r="E32" i="6"/>
  <c r="R23" i="6" s="1"/>
  <c r="F28" i="6"/>
  <c r="S37" i="6" s="1"/>
  <c r="L28" i="6"/>
  <c r="G56" i="6"/>
  <c r="G55" i="6"/>
  <c r="L37" i="6"/>
  <c r="D38" i="6"/>
  <c r="Q29" i="6" s="1"/>
  <c r="E39" i="6"/>
  <c r="R30" i="6" s="1"/>
  <c r="E30" i="4"/>
  <c r="R39" i="4" s="1"/>
  <c r="I52" i="4"/>
  <c r="E38" i="4"/>
  <c r="R29" i="4" s="1"/>
  <c r="D37" i="3"/>
  <c r="Q28" i="3" s="1"/>
  <c r="F35" i="3"/>
  <c r="S26" i="3" s="1"/>
  <c r="F39" i="2"/>
  <c r="S30" i="2" s="1"/>
  <c r="E34" i="2"/>
  <c r="R25" i="2" s="1"/>
  <c r="D37" i="2"/>
  <c r="Q28" i="2" s="1"/>
  <c r="E33" i="2"/>
  <c r="R24" i="2" s="1"/>
  <c r="F34" i="2"/>
  <c r="S25" i="2" s="1"/>
  <c r="F38" i="2"/>
  <c r="S29" i="2" s="1"/>
  <c r="N19" i="4"/>
  <c r="O19" i="4"/>
  <c r="E34" i="4"/>
  <c r="R25" i="4" s="1"/>
  <c r="O13" i="4"/>
  <c r="O15" i="4" s="1"/>
  <c r="E17" i="4" s="1"/>
  <c r="N13" i="4"/>
  <c r="N15" i="4" s="1"/>
  <c r="E16" i="4" s="1"/>
  <c r="L23" i="4"/>
  <c r="L32" i="4"/>
  <c r="B55" i="4"/>
  <c r="B56" i="4"/>
  <c r="F23" i="4"/>
  <c r="S32" i="4" s="1"/>
  <c r="E33" i="4"/>
  <c r="R24" i="4" s="1"/>
  <c r="D29" i="4"/>
  <c r="Q38" i="4" s="1"/>
  <c r="H47" i="4"/>
  <c r="H46" i="4"/>
  <c r="H45" i="4"/>
  <c r="J29" i="4"/>
  <c r="J38" i="4"/>
  <c r="E23" i="4"/>
  <c r="R32" i="4" s="1"/>
  <c r="K23" i="4"/>
  <c r="K32" i="4"/>
  <c r="B52" i="4"/>
  <c r="B50" i="4"/>
  <c r="B51" i="4"/>
  <c r="F34" i="4"/>
  <c r="S25" i="4" s="1"/>
  <c r="E35" i="4"/>
  <c r="R26" i="4" s="1"/>
  <c r="J37" i="4"/>
  <c r="G47" i="4"/>
  <c r="G46" i="4"/>
  <c r="G45" i="4"/>
  <c r="D28" i="4"/>
  <c r="Q37" i="4" s="1"/>
  <c r="J28" i="4"/>
  <c r="F39" i="4"/>
  <c r="S30" i="4" s="1"/>
  <c r="N18" i="4"/>
  <c r="U20" i="4"/>
  <c r="O18" i="4"/>
  <c r="E39" i="4"/>
  <c r="R30" i="4" s="1"/>
  <c r="I47" i="4"/>
  <c r="I46" i="4"/>
  <c r="I45" i="4"/>
  <c r="J30" i="4"/>
  <c r="J39" i="4"/>
  <c r="D30" i="4"/>
  <c r="Q39" i="4" s="1"/>
  <c r="D29" i="3"/>
  <c r="Q38" i="3" s="1"/>
  <c r="H47" i="3"/>
  <c r="H46" i="3"/>
  <c r="H45" i="3"/>
  <c r="J29" i="3"/>
  <c r="J38" i="3"/>
  <c r="E38" i="3"/>
  <c r="R29" i="3" s="1"/>
  <c r="N12" i="3"/>
  <c r="U15" i="3"/>
  <c r="O12" i="3"/>
  <c r="F34" i="3"/>
  <c r="S25" i="3" s="1"/>
  <c r="E23" i="3"/>
  <c r="R32" i="3" s="1"/>
  <c r="K23" i="3"/>
  <c r="K32" i="3"/>
  <c r="B52" i="3"/>
  <c r="B50" i="3"/>
  <c r="B51" i="3"/>
  <c r="E33" i="3"/>
  <c r="R24" i="3" s="1"/>
  <c r="O20" i="3"/>
  <c r="F17" i="3" s="1"/>
  <c r="F33" i="3"/>
  <c r="S24" i="3" s="1"/>
  <c r="N19" i="3"/>
  <c r="O19" i="3"/>
  <c r="E34" i="3"/>
  <c r="R25" i="3" s="1"/>
  <c r="I47" i="3"/>
  <c r="I46" i="3"/>
  <c r="I45" i="3"/>
  <c r="J30" i="3"/>
  <c r="J39" i="3"/>
  <c r="D30" i="3"/>
  <c r="Q39" i="3" s="1"/>
  <c r="N20" i="3"/>
  <c r="F16" i="3" s="1"/>
  <c r="E35" i="3"/>
  <c r="R26" i="3" s="1"/>
  <c r="F39" i="3"/>
  <c r="S30" i="3" s="1"/>
  <c r="N14" i="3"/>
  <c r="O14" i="3"/>
  <c r="L23" i="3"/>
  <c r="L32" i="3"/>
  <c r="B56" i="3"/>
  <c r="B55" i="3"/>
  <c r="F32" i="3" s="1"/>
  <c r="S23" i="3" s="1"/>
  <c r="F23" i="3"/>
  <c r="S32" i="3" s="1"/>
  <c r="O13" i="3"/>
  <c r="N13" i="3"/>
  <c r="E39" i="3"/>
  <c r="R30" i="3" s="1"/>
  <c r="F28" i="2"/>
  <c r="S37" i="2" s="1"/>
  <c r="L28" i="2"/>
  <c r="G56" i="2"/>
  <c r="G55" i="2"/>
  <c r="L37" i="2"/>
  <c r="U15" i="2"/>
  <c r="O12" i="2"/>
  <c r="N12" i="2"/>
  <c r="F35" i="2"/>
  <c r="S26" i="2" s="1"/>
  <c r="D39" i="2"/>
  <c r="Q30" i="2" s="1"/>
  <c r="D38" i="2"/>
  <c r="Q29" i="2" s="1"/>
  <c r="L36" i="2"/>
  <c r="F27" i="2"/>
  <c r="S36" i="2" s="1"/>
  <c r="F56" i="2"/>
  <c r="F55" i="2"/>
  <c r="L27" i="2"/>
  <c r="O13" i="2"/>
  <c r="N13" i="2"/>
  <c r="E39" i="2"/>
  <c r="R30" i="2" s="1"/>
  <c r="E35" i="2"/>
  <c r="R26" i="2" s="1"/>
  <c r="E38" i="2"/>
  <c r="R29" i="2" s="1"/>
  <c r="E23" i="2"/>
  <c r="R32" i="2" s="1"/>
  <c r="K23" i="2"/>
  <c r="K32" i="2"/>
  <c r="B52" i="2"/>
  <c r="B51" i="2"/>
  <c r="B50" i="2"/>
  <c r="K27" i="6" l="1"/>
  <c r="F51" i="6"/>
  <c r="G51" i="6"/>
  <c r="F50" i="6"/>
  <c r="E36" i="6" s="1"/>
  <c r="R27" i="6" s="1"/>
  <c r="F52" i="6"/>
  <c r="K28" i="6"/>
  <c r="E27" i="6"/>
  <c r="R36" i="6" s="1"/>
  <c r="F27" i="6"/>
  <c r="S36" i="6" s="1"/>
  <c r="F55" i="6"/>
  <c r="L27" i="6"/>
  <c r="L36" i="6"/>
  <c r="F36" i="6"/>
  <c r="S27" i="6" s="1"/>
  <c r="F37" i="6"/>
  <c r="S28" i="6" s="1"/>
  <c r="E37" i="6"/>
  <c r="R28" i="6" s="1"/>
  <c r="D39" i="4"/>
  <c r="Q30" i="4" s="1"/>
  <c r="D39" i="3"/>
  <c r="Q30" i="3" s="1"/>
  <c r="E28" i="4"/>
  <c r="R37" i="4" s="1"/>
  <c r="G52" i="4"/>
  <c r="G51" i="4"/>
  <c r="G50" i="4"/>
  <c r="K28" i="4"/>
  <c r="K37" i="4"/>
  <c r="K27" i="4"/>
  <c r="K36" i="4"/>
  <c r="F52" i="4"/>
  <c r="F50" i="4"/>
  <c r="F51" i="4"/>
  <c r="E27" i="4"/>
  <c r="R36" i="4" s="1"/>
  <c r="D38" i="4"/>
  <c r="Q29" i="4" s="1"/>
  <c r="N20" i="4"/>
  <c r="F16" i="4" s="1"/>
  <c r="D37" i="4"/>
  <c r="Q28" i="4" s="1"/>
  <c r="E32" i="4"/>
  <c r="R23" i="4" s="1"/>
  <c r="O20" i="4"/>
  <c r="F17" i="4" s="1"/>
  <c r="F32" i="4"/>
  <c r="S23" i="4" s="1"/>
  <c r="F28" i="3"/>
  <c r="S37" i="3" s="1"/>
  <c r="L28" i="3"/>
  <c r="G56" i="3"/>
  <c r="G55" i="3"/>
  <c r="L37" i="3"/>
  <c r="L36" i="3"/>
  <c r="F55" i="3"/>
  <c r="F27" i="3"/>
  <c r="S36" i="3" s="1"/>
  <c r="F56" i="3"/>
  <c r="L27" i="3"/>
  <c r="O15" i="3"/>
  <c r="E17" i="3" s="1"/>
  <c r="E32" i="3"/>
  <c r="R23" i="3" s="1"/>
  <c r="N15" i="3"/>
  <c r="E16" i="3" s="1"/>
  <c r="D38" i="3"/>
  <c r="Q29" i="3" s="1"/>
  <c r="N15" i="2"/>
  <c r="E16" i="2" s="1"/>
  <c r="F37" i="2"/>
  <c r="S28" i="2" s="1"/>
  <c r="E32" i="2"/>
  <c r="R23" i="2" s="1"/>
  <c r="F36" i="2"/>
  <c r="S27" i="2" s="1"/>
  <c r="O15" i="2"/>
  <c r="E17" i="2" s="1"/>
  <c r="E37" i="4" l="1"/>
  <c r="F37" i="3"/>
  <c r="S28" i="3" s="1"/>
  <c r="F28" i="4"/>
  <c r="S37" i="4" s="1"/>
  <c r="L28" i="4"/>
  <c r="G56" i="4"/>
  <c r="G55" i="4"/>
  <c r="L37" i="4"/>
  <c r="E36" i="4"/>
  <c r="R27" i="4" s="1"/>
  <c r="L36" i="4"/>
  <c r="F55" i="4"/>
  <c r="F27" i="4"/>
  <c r="S36" i="4" s="1"/>
  <c r="F56" i="4"/>
  <c r="L27" i="4"/>
  <c r="E28" i="3"/>
  <c r="R37" i="3" s="1"/>
  <c r="G52" i="3"/>
  <c r="G51" i="3"/>
  <c r="G50" i="3"/>
  <c r="E37" i="3" s="1"/>
  <c r="R28" i="3" s="1"/>
  <c r="K28" i="3"/>
  <c r="K37" i="3"/>
  <c r="F36" i="3"/>
  <c r="S27" i="3" s="1"/>
  <c r="K27" i="3"/>
  <c r="K36" i="3"/>
  <c r="F52" i="3"/>
  <c r="F51" i="3"/>
  <c r="E27" i="3"/>
  <c r="R36" i="3" s="1"/>
  <c r="F50" i="3"/>
  <c r="E28" i="2"/>
  <c r="R37" i="2" s="1"/>
  <c r="G52" i="2"/>
  <c r="G51" i="2"/>
  <c r="G50" i="2"/>
  <c r="K28" i="2"/>
  <c r="K37" i="2"/>
  <c r="K27" i="2"/>
  <c r="K36" i="2"/>
  <c r="F52" i="2"/>
  <c r="F51" i="2"/>
  <c r="F50" i="2"/>
  <c r="E27" i="2"/>
  <c r="R36" i="2" s="1"/>
  <c r="F36" i="4" l="1"/>
  <c r="S27" i="4" s="1"/>
  <c r="F37" i="4"/>
  <c r="S28" i="4" s="1"/>
  <c r="E36" i="2"/>
  <c r="R27" i="2" s="1"/>
  <c r="E36" i="3"/>
  <c r="R27" i="3" s="1"/>
  <c r="E37" i="2"/>
  <c r="R28" i="2" s="1"/>
  <c r="L12" i="1" l="1"/>
  <c r="J20" i="1" l="1"/>
  <c r="J15" i="1"/>
  <c r="X12" i="1"/>
  <c r="X13" i="1"/>
  <c r="X14" i="1"/>
  <c r="V12" i="1"/>
  <c r="V13" i="1"/>
  <c r="V14" i="1"/>
  <c r="S12" i="1"/>
  <c r="S13" i="1"/>
  <c r="S14" i="1"/>
  <c r="L13" i="1"/>
  <c r="L14" i="1"/>
  <c r="L18" i="1"/>
  <c r="L19" i="1"/>
  <c r="X18" i="1"/>
  <c r="X19" i="1"/>
  <c r="V18" i="1"/>
  <c r="V19" i="1"/>
  <c r="S18" i="1"/>
  <c r="S19" i="1"/>
  <c r="I7" i="1"/>
  <c r="O35" i="1" s="1"/>
  <c r="E7" i="1"/>
  <c r="O26" i="1" s="1"/>
  <c r="K12" i="1" l="1"/>
  <c r="O27" i="1"/>
  <c r="O28" i="1"/>
  <c r="K14" i="1"/>
  <c r="K13" i="1"/>
  <c r="K18" i="1"/>
  <c r="K19" i="1"/>
  <c r="F6" i="1"/>
  <c r="W18" i="1"/>
  <c r="F5" i="1"/>
  <c r="F4" i="1"/>
  <c r="T13" i="1"/>
  <c r="T12" i="1"/>
  <c r="Y13" i="1"/>
  <c r="T14" i="1"/>
  <c r="Y18" i="1"/>
  <c r="W12" i="1"/>
  <c r="Y14" i="1"/>
  <c r="T18" i="1"/>
  <c r="Y19" i="1"/>
  <c r="W14" i="1"/>
  <c r="W19" i="1"/>
  <c r="W13" i="1"/>
  <c r="Y12" i="1"/>
  <c r="T19" i="1"/>
  <c r="D12" i="1"/>
  <c r="G4" i="1"/>
  <c r="G5" i="1"/>
  <c r="G6" i="1"/>
  <c r="O4" i="1"/>
  <c r="R12" i="1" s="1"/>
  <c r="O5" i="1"/>
  <c r="R13" i="1" s="1"/>
  <c r="O6" i="1"/>
  <c r="R14" i="1" s="1"/>
  <c r="K4" i="1"/>
  <c r="K5" i="1"/>
  <c r="M5" i="1" s="1"/>
  <c r="K6" i="1"/>
  <c r="K15" i="1" l="1"/>
  <c r="J23" i="1"/>
  <c r="J32" i="1"/>
  <c r="Q19" i="1"/>
  <c r="K20" i="1"/>
  <c r="Q13" i="1"/>
  <c r="D23" i="1"/>
  <c r="Q32" i="1" s="1"/>
  <c r="B46" i="1"/>
  <c r="B45" i="1"/>
  <c r="B47" i="1"/>
  <c r="W15" i="1"/>
  <c r="O36" i="1" s="1"/>
  <c r="T15" i="1"/>
  <c r="W20" i="1"/>
  <c r="O37" i="1" s="1"/>
  <c r="T20" i="1"/>
  <c r="N5" i="1"/>
  <c r="M14" i="1"/>
  <c r="P14" i="1" s="1"/>
  <c r="M6" i="1"/>
  <c r="N6" i="1" s="1"/>
  <c r="M12" i="1"/>
  <c r="P12" i="1" s="1"/>
  <c r="M4" i="1"/>
  <c r="L5" i="1"/>
  <c r="M13" i="1"/>
  <c r="P13" i="1" s="1"/>
  <c r="L6" i="1"/>
  <c r="F7" i="1"/>
  <c r="L4" i="1"/>
  <c r="D14" i="1"/>
  <c r="D15" i="1"/>
  <c r="D13" i="1"/>
  <c r="J7" i="1"/>
  <c r="G7" i="1"/>
  <c r="R19" i="1"/>
  <c r="M19" i="1"/>
  <c r="P19" i="1" s="1"/>
  <c r="R18" i="1"/>
  <c r="M18" i="1"/>
  <c r="P18" i="1" s="1"/>
  <c r="J26" i="1" l="1"/>
  <c r="J35" i="1"/>
  <c r="J25" i="1"/>
  <c r="J34" i="1"/>
  <c r="J24" i="1"/>
  <c r="J33" i="1"/>
  <c r="U19" i="1"/>
  <c r="N19" i="1" s="1"/>
  <c r="P20" i="1"/>
  <c r="F18" i="1" s="1"/>
  <c r="L29" i="1" s="1"/>
  <c r="U14" i="1"/>
  <c r="N14" i="1" s="1"/>
  <c r="N4" i="1"/>
  <c r="N7" i="1" s="1"/>
  <c r="D17" i="1" s="1"/>
  <c r="Q12" i="1"/>
  <c r="Q14" i="1"/>
  <c r="P15" i="1"/>
  <c r="E18" i="1" s="1"/>
  <c r="K29" i="1" s="1"/>
  <c r="Q18" i="1"/>
  <c r="Q20" i="1" s="1"/>
  <c r="F19" i="1" s="1"/>
  <c r="L30" i="1" s="1"/>
  <c r="U18" i="1"/>
  <c r="O18" i="1" s="1"/>
  <c r="U13" i="1"/>
  <c r="U12" i="1"/>
  <c r="O12" i="1" s="1"/>
  <c r="E12" i="1"/>
  <c r="K23" i="1" s="1"/>
  <c r="H4" i="1"/>
  <c r="H5" i="1"/>
  <c r="F12" i="1"/>
  <c r="L23" i="1" s="1"/>
  <c r="H6" i="1"/>
  <c r="D32" i="1"/>
  <c r="Q23" i="1" s="1"/>
  <c r="D26" i="1"/>
  <c r="Q35" i="1" s="1"/>
  <c r="E46" i="1"/>
  <c r="E45" i="1"/>
  <c r="E47" i="1"/>
  <c r="D25" i="1"/>
  <c r="Q34" i="1" s="1"/>
  <c r="D47" i="1"/>
  <c r="D46" i="1"/>
  <c r="D45" i="1"/>
  <c r="D24" i="1"/>
  <c r="Q33" i="1" s="1"/>
  <c r="C47" i="1"/>
  <c r="C45" i="1"/>
  <c r="C46" i="1"/>
  <c r="E15" i="1"/>
  <c r="K35" i="1" s="1"/>
  <c r="E14" i="1"/>
  <c r="K34" i="1" s="1"/>
  <c r="E13" i="1"/>
  <c r="K33" i="1" s="1"/>
  <c r="F15" i="1"/>
  <c r="L35" i="1" s="1"/>
  <c r="F14" i="1"/>
  <c r="L34" i="1" s="1"/>
  <c r="F13" i="1"/>
  <c r="L33" i="1" s="1"/>
  <c r="L7" i="1"/>
  <c r="D16" i="1" s="1"/>
  <c r="O14" i="1" l="1"/>
  <c r="O19" i="1"/>
  <c r="O20" i="1" s="1"/>
  <c r="Q15" i="1"/>
  <c r="E19" i="1" s="1"/>
  <c r="K39" i="1" s="1"/>
  <c r="J27" i="1"/>
  <c r="J36" i="1"/>
  <c r="E23" i="1"/>
  <c r="R32" i="1" s="1"/>
  <c r="K32" i="1"/>
  <c r="K24" i="1"/>
  <c r="L25" i="1"/>
  <c r="J28" i="1"/>
  <c r="J37" i="1"/>
  <c r="F23" i="1"/>
  <c r="S32" i="1" s="1"/>
  <c r="L32" i="1"/>
  <c r="E29" i="1"/>
  <c r="R38" i="1" s="1"/>
  <c r="K38" i="1"/>
  <c r="K25" i="1"/>
  <c r="L26" i="1"/>
  <c r="F30" i="1"/>
  <c r="S39" i="1" s="1"/>
  <c r="I56" i="1"/>
  <c r="L39" i="1"/>
  <c r="I55" i="1"/>
  <c r="F29" i="1"/>
  <c r="S38" i="1" s="1"/>
  <c r="L38" i="1"/>
  <c r="H55" i="1"/>
  <c r="H56" i="1"/>
  <c r="K26" i="1"/>
  <c r="L24" i="1"/>
  <c r="I52" i="1"/>
  <c r="E30" i="1"/>
  <c r="R39" i="1" s="1"/>
  <c r="H51" i="1"/>
  <c r="H52" i="1"/>
  <c r="H50" i="1"/>
  <c r="N13" i="1"/>
  <c r="O13" i="1"/>
  <c r="O15" i="1" s="1"/>
  <c r="U20" i="1"/>
  <c r="N18" i="1"/>
  <c r="N20" i="1" s="1"/>
  <c r="U15" i="1"/>
  <c r="N12" i="1"/>
  <c r="D34" i="1"/>
  <c r="Q25" i="1" s="1"/>
  <c r="B52" i="1"/>
  <c r="B51" i="1"/>
  <c r="D35" i="1"/>
  <c r="Q26" i="1" s="1"/>
  <c r="B50" i="1"/>
  <c r="B55" i="1"/>
  <c r="B56" i="1"/>
  <c r="P5" i="1"/>
  <c r="Q5" i="1"/>
  <c r="P6" i="1"/>
  <c r="Q6" i="1"/>
  <c r="Q4" i="1"/>
  <c r="P4" i="1"/>
  <c r="D33" i="1"/>
  <c r="Q24" i="1" s="1"/>
  <c r="H7" i="1"/>
  <c r="D28" i="1"/>
  <c r="Q37" i="1" s="1"/>
  <c r="G47" i="1"/>
  <c r="G45" i="1"/>
  <c r="G46" i="1"/>
  <c r="F24" i="1"/>
  <c r="S33" i="1" s="1"/>
  <c r="C55" i="1"/>
  <c r="C56" i="1"/>
  <c r="E25" i="1"/>
  <c r="R34" i="1" s="1"/>
  <c r="D52" i="1"/>
  <c r="D50" i="1"/>
  <c r="D51" i="1"/>
  <c r="D27" i="1"/>
  <c r="Q36" i="1" s="1"/>
  <c r="F46" i="1"/>
  <c r="F45" i="1"/>
  <c r="F47" i="1"/>
  <c r="F25" i="1"/>
  <c r="S34" i="1" s="1"/>
  <c r="D55" i="1"/>
  <c r="D56" i="1"/>
  <c r="E26" i="1"/>
  <c r="R35" i="1" s="1"/>
  <c r="E51" i="1"/>
  <c r="E50" i="1"/>
  <c r="E52" i="1"/>
  <c r="E24" i="1"/>
  <c r="R33" i="1" s="1"/>
  <c r="C52" i="1"/>
  <c r="C51" i="1"/>
  <c r="C50" i="1"/>
  <c r="F26" i="1"/>
  <c r="S35" i="1" s="1"/>
  <c r="E56" i="1"/>
  <c r="E55" i="1"/>
  <c r="F17" i="1" l="1"/>
  <c r="F35" i="1"/>
  <c r="S26" i="1" s="1"/>
  <c r="I51" i="1"/>
  <c r="F32" i="1"/>
  <c r="S23" i="1" s="1"/>
  <c r="I50" i="1"/>
  <c r="F39" i="1"/>
  <c r="S30" i="1" s="1"/>
  <c r="K30" i="1"/>
  <c r="F16" i="1"/>
  <c r="F27" i="1" s="1"/>
  <c r="S36" i="1" s="1"/>
  <c r="E38" i="1"/>
  <c r="R29" i="1" s="1"/>
  <c r="F33" i="1"/>
  <c r="S24" i="1" s="1"/>
  <c r="F28" i="1"/>
  <c r="S37" i="1" s="1"/>
  <c r="G56" i="1"/>
  <c r="L37" i="1"/>
  <c r="G55" i="1"/>
  <c r="L28" i="1"/>
  <c r="F34" i="1"/>
  <c r="S25" i="1" s="1"/>
  <c r="F38" i="1"/>
  <c r="S29" i="1" s="1"/>
  <c r="E34" i="1"/>
  <c r="R25" i="1" s="1"/>
  <c r="E35" i="1"/>
  <c r="R26" i="1" s="1"/>
  <c r="E32" i="1"/>
  <c r="R23" i="1" s="1"/>
  <c r="E33" i="1"/>
  <c r="R24" i="1" s="1"/>
  <c r="N15" i="1"/>
  <c r="E16" i="1" s="1"/>
  <c r="E17" i="1"/>
  <c r="D36" i="1"/>
  <c r="Q27" i="1" s="1"/>
  <c r="D37" i="1"/>
  <c r="Q28" i="1" s="1"/>
  <c r="P7" i="1"/>
  <c r="D18" i="1" s="1"/>
  <c r="Q7" i="1"/>
  <c r="D19" i="1" s="1"/>
  <c r="F56" i="1" l="1"/>
  <c r="L36" i="1"/>
  <c r="L27" i="1"/>
  <c r="E39" i="1"/>
  <c r="R30" i="1" s="1"/>
  <c r="F55" i="1"/>
  <c r="J30" i="1"/>
  <c r="J39" i="1"/>
  <c r="E28" i="1"/>
  <c r="R37" i="1" s="1"/>
  <c r="K37" i="1"/>
  <c r="K28" i="1"/>
  <c r="J29" i="1"/>
  <c r="J38" i="1"/>
  <c r="F37" i="1"/>
  <c r="S28" i="1" s="1"/>
  <c r="E27" i="1"/>
  <c r="R36" i="1" s="1"/>
  <c r="K36" i="1"/>
  <c r="K27" i="1"/>
  <c r="F36" i="1"/>
  <c r="S27" i="1" s="1"/>
  <c r="F52" i="1"/>
  <c r="F51" i="1"/>
  <c r="F50" i="1"/>
  <c r="G52" i="1"/>
  <c r="G51" i="1"/>
  <c r="G50" i="1"/>
  <c r="I47" i="1"/>
  <c r="I46" i="1"/>
  <c r="I45" i="1"/>
  <c r="D30" i="1"/>
  <c r="Q39" i="1" s="1"/>
  <c r="H46" i="1"/>
  <c r="H45" i="1"/>
  <c r="H47" i="1"/>
  <c r="D29" i="1"/>
  <c r="Q38" i="1" s="1"/>
  <c r="E36" i="1" l="1"/>
  <c r="R27" i="1" s="1"/>
  <c r="E37" i="1"/>
  <c r="R28" i="1" s="1"/>
  <c r="D39" i="1"/>
  <c r="Q30" i="1" s="1"/>
  <c r="D38" i="1"/>
  <c r="Q29" i="1" s="1"/>
</calcChain>
</file>

<file path=xl/sharedStrings.xml><?xml version="1.0" encoding="utf-8"?>
<sst xmlns="http://schemas.openxmlformats.org/spreadsheetml/2006/main" count="884" uniqueCount="59">
  <si>
    <t>Mkt</t>
  </si>
  <si>
    <t>Loan A</t>
  </si>
  <si>
    <t>Loan B</t>
  </si>
  <si>
    <t>Loan C</t>
  </si>
  <si>
    <t>Loan</t>
  </si>
  <si>
    <t>Rate</t>
  </si>
  <si>
    <t>ARV</t>
  </si>
  <si>
    <t>Port A</t>
  </si>
  <si>
    <t>Port B</t>
  </si>
  <si>
    <t>Cost</t>
  </si>
  <si>
    <t>LTV</t>
  </si>
  <si>
    <t>LTC</t>
  </si>
  <si>
    <t>LenderFund</t>
  </si>
  <si>
    <t>Funded</t>
  </si>
  <si>
    <t>Own</t>
  </si>
  <si>
    <t>Realized</t>
  </si>
  <si>
    <t>Mean</t>
  </si>
  <si>
    <t>GeoMean</t>
  </si>
  <si>
    <t>Hmean</t>
  </si>
  <si>
    <t>Owned Loan</t>
  </si>
  <si>
    <t>Owned Cost</t>
  </si>
  <si>
    <t>L_w</t>
  </si>
  <si>
    <t>w_LTV</t>
  </si>
  <si>
    <t>w_Mean</t>
  </si>
  <si>
    <t>w_Hmean</t>
  </si>
  <si>
    <t>rec_LTV</t>
  </si>
  <si>
    <t>wrec_LTV</t>
  </si>
  <si>
    <t>Owned ARV</t>
  </si>
  <si>
    <t>Attempt to reverse calc</t>
  </si>
  <si>
    <t>SUM(ARV*MEAN)</t>
  </si>
  <si>
    <t>=SUM(Loan)</t>
  </si>
  <si>
    <t>SUM(Loan)/Mean</t>
  </si>
  <si>
    <t>= SUM(ARV)</t>
  </si>
  <si>
    <t>fw_Mean</t>
  </si>
  <si>
    <t>fw_Hmean</t>
  </si>
  <si>
    <t>F_w</t>
  </si>
  <si>
    <t>fw_LTV</t>
  </si>
  <si>
    <t>fwrec_LTV</t>
  </si>
  <si>
    <t>lf_w</t>
  </si>
  <si>
    <t>olw_LTV</t>
  </si>
  <si>
    <t>ol_w</t>
  </si>
  <si>
    <t>lfw_LTV</t>
  </si>
  <si>
    <t>olwr_LTV</t>
  </si>
  <si>
    <t>lfwr_LTV</t>
  </si>
  <si>
    <t>SUM(ARV)*Mean</t>
  </si>
  <si>
    <t>= SUM(Loan)</t>
  </si>
  <si>
    <t>SUM(Loan/Mean)</t>
  </si>
  <si>
    <t>Key:</t>
  </si>
  <si>
    <t>Underest.</t>
  </si>
  <si>
    <t>Overest.</t>
  </si>
  <si>
    <t>Equal</t>
  </si>
  <si>
    <t>PortA</t>
  </si>
  <si>
    <t>PortB</t>
  </si>
  <si>
    <t>% of Mkt Loan</t>
  </si>
  <si>
    <t>% of Mkt ARV</t>
  </si>
  <si>
    <t>Reversed SUM(ARV)/%OwnedARV</t>
  </si>
  <si>
    <t>= Mkt ARV</t>
  </si>
  <si>
    <t>Reversed SUM(Loan)/%OwnedLoan</t>
  </si>
  <si>
    <t>= Mkt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</si>
</sst>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10" fontId="0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2" fillId="2" borderId="0" xfId="2"/>
    <xf numFmtId="0" fontId="2" fillId="0" borderId="0" xfId="2" applyFill="1"/>
    <xf numFmtId="0" fontId="0" fillId="0" borderId="0" xfId="0" applyFill="1"/>
    <xf numFmtId="0" fontId="3" fillId="3" borderId="0" xfId="3"/>
    <xf numFmtId="0" fontId="4" fillId="4" borderId="0" xfId="4"/>
    <xf numFmtId="0" fontId="5" fillId="0" borderId="0" xfId="0" applyNumberFormat="1" applyFont="1" applyAlignment="1">
      <alignment horizontal="right"/>
    </xf>
    <xf numFmtId="0" fontId="5" fillId="0" borderId="0" xfId="0" quotePrefix="1" applyNumberFormat="1" applyFont="1" applyAlignment="1">
      <alignment horizontal="right"/>
    </xf>
    <xf numFmtId="1" fontId="0" fillId="0" borderId="0" xfId="0" applyNumberForma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48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02003-DA36-4113-A2A7-D1315C36F104}" name="Mkt" displayName="Mkt" ref="C3:Q7" totalsRowCount="1">
  <autoFilter ref="C3:Q6" xr:uid="{E8123F1F-BA0E-496B-A940-B7DC66773847}"/>
  <tableColumns count="15">
    <tableColumn id="1" xr3:uid="{ADD331E4-8EDE-48E2-B8F1-1DE2017CDA57}" name="Mkt"/>
    <tableColumn id="2" xr3:uid="{236AAC08-526D-4C64-8CB3-60DB881DF4CB}" name="Rate"/>
    <tableColumn id="3" xr3:uid="{D2B8D5FA-E58D-4A36-846C-D30FB9934DA3}" name="Loan" totalsRowFunction="custom">
      <totalsRowFormula>SUM(Mkt[Loan])</totalsRowFormula>
    </tableColumn>
    <tableColumn id="10" xr3:uid="{3E654376-69B9-4B75-B8FB-9AED91457F6A}" name="L_w" totalsRowFunction="sum" dataDxfId="456">
      <calculatedColumnFormula>Mkt[[#This Row],[Loan]]/Mkt[[#Totals],[Loan]]</calculatedColumnFormula>
    </tableColumn>
    <tableColumn id="8" xr3:uid="{6CD019CA-4A8F-46E2-86B0-BE4BB4B3FB31}" name="Funded" totalsRowFunction="custom" dataDxfId="455">
      <calculatedColumnFormula>J12+J18</calculatedColumnFormula>
      <totalsRowFormula>SUM(Mkt[Funded])</totalsRowFormula>
    </tableColumn>
    <tableColumn id="13" xr3:uid="{48BB3695-DAA9-4514-9C22-C4E43A9F95C8}" name="F_w" totalsRowFunction="sum" dataDxfId="454">
      <calculatedColumnFormula>Mkt[[#This Row],[Funded]]/Mkt[[#Totals],[Funded]]</calculatedColumnFormula>
    </tableColumn>
    <tableColumn id="4" xr3:uid="{21783D63-6C63-4366-A2A8-B68FB622C4B1}" name="ARV" totalsRowFunction="custom">
      <totalsRowFormula>SUM(Mkt[ARV])</totalsRowFormula>
    </tableColumn>
    <tableColumn id="5" xr3:uid="{27DA64F5-4D79-47B2-845E-B382B9097BEA}" name="Cost" totalsRowFunction="custom">
      <totalsRowFormula>SUM(Mkt[Funded])</totalsRowFormula>
    </tableColumn>
    <tableColumn id="6" xr3:uid="{4B124A66-88A1-40E5-B7D4-C8C3C5585009}" name="LTV" dataDxfId="453" totalsRowDxfId="452">
      <calculatedColumnFormula>Mkt[[#This Row],[Loan]]/Mkt[[#This Row],[ARV]]</calculatedColumnFormula>
    </tableColumn>
    <tableColumn id="9" xr3:uid="{D5130F64-3E2B-4056-87A7-049953C59897}" name="w_LTV" totalsRowFunction="sum" dataDxfId="451" totalsRowDxfId="450">
      <calculatedColumnFormula>Mkt[[#This Row],[L_w]]*Mkt[[#This Row],[LTV]]</calculatedColumnFormula>
    </tableColumn>
    <tableColumn id="11" xr3:uid="{2CE4445A-E029-419D-838C-6D1C723154F2}" name="rec_LTV" dataDxfId="449" totalsRowDxfId="448">
      <calculatedColumnFormula>1/Mkt[[#This Row],[LTV]]</calculatedColumnFormula>
    </tableColumn>
    <tableColumn id="12" xr3:uid="{4ED08D50-5112-4BBA-A623-02CBB112C3A0}" name="wrec_LTV" totalsRowFunction="sum" dataDxfId="447" totalsRowDxfId="446">
      <calculatedColumnFormula>Mkt[[#This Row],[L_w]]*Mkt[[#This Row],[rec_LTV]]</calculatedColumnFormula>
    </tableColumn>
    <tableColumn id="7" xr3:uid="{9F7C477B-F3ED-4CA5-BB69-9E187FB1CDB9}" name="LTC" dataDxfId="445" totalsRowDxfId="444">
      <calculatedColumnFormula>Mkt[[#This Row],[Loan]]/Mkt[[#This Row],[Cost]]</calculatedColumnFormula>
    </tableColumn>
    <tableColumn id="14" xr3:uid="{FDE129A9-580F-45D3-8D53-C4D8B1B668FA}" name="fw_LTV" totalsRowFunction="sum" dataDxfId="443">
      <calculatedColumnFormula>Mkt[[#This Row],[F_w]]*Mkt[[#This Row],[LTV]]</calculatedColumnFormula>
    </tableColumn>
    <tableColumn id="15" xr3:uid="{9A799F77-F8A9-4742-8FB3-95A0CD9FE169}" name="fwrec_LTV" totalsRowFunction="sum" dataDxfId="442">
      <calculatedColumnFormula>Mkt[[#This Row],[F_w]]*Mkt[[#This Row],[rec_LTV]]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019FF9-12E1-483C-9A84-05E9F9E49DF3}" name="Mkt_5811" displayName="Mkt_5811" ref="C3:Q7" totalsRowCount="1">
  <autoFilter ref="C3:Q6" xr:uid="{E8123F1F-BA0E-496B-A940-B7DC66773847}"/>
  <tableColumns count="15">
    <tableColumn id="1" xr3:uid="{6E80652D-2F88-4E45-A140-E45A12EF7FC1}" name="Mkt"/>
    <tableColumn id="2" xr3:uid="{A23E286B-293F-4D18-8478-9241D119E35B}" name="Rate"/>
    <tableColumn id="3" xr3:uid="{AC1B9AEC-E0B6-499F-ADDD-231CD0CB5926}" name="Loan" totalsRowFunction="custom">
      <totalsRowFormula>SUM(Mkt_5811[Loan])</totalsRowFormula>
    </tableColumn>
    <tableColumn id="10" xr3:uid="{67CE13B4-36F9-4C6D-80D7-119ED89AEBF1}" name="L_w" totalsRowFunction="sum" dataDxfId="159">
      <calculatedColumnFormula>Mkt_5811[[#This Row],[Loan]]/Mkt_5811[[#Totals],[Loan]]</calculatedColumnFormula>
    </tableColumn>
    <tableColumn id="8" xr3:uid="{1D7516C5-D7AE-4AA1-AC85-83108D3F167A}" name="Funded" totalsRowFunction="custom" dataDxfId="158">
      <calculatedColumnFormula>J12+J18</calculatedColumnFormula>
      <totalsRowFormula>SUM(Mkt_5811[Funded])</totalsRowFormula>
    </tableColumn>
    <tableColumn id="13" xr3:uid="{D9EA9DD3-59D3-4D41-B0C5-4E102A48266D}" name="F_w" totalsRowFunction="sum" dataDxfId="157">
      <calculatedColumnFormula>Mkt_5811[[#This Row],[Funded]]/Mkt_5811[[#Totals],[Funded]]</calculatedColumnFormula>
    </tableColumn>
    <tableColumn id="4" xr3:uid="{CF9417DA-02D3-482A-9E9C-ECFA6180A3E3}" name="ARV" totalsRowFunction="custom">
      <totalsRowFormula>SUM(Mkt_5811[ARV])</totalsRowFormula>
    </tableColumn>
    <tableColumn id="5" xr3:uid="{11499520-6B0A-4096-9DE9-4E0D6FA7CCD7}" name="Cost" totalsRowFunction="custom">
      <totalsRowFormula>SUM(Mkt_5811[Funded])</totalsRowFormula>
    </tableColumn>
    <tableColumn id="6" xr3:uid="{F0646FD9-6697-45F6-B54D-3A5BAD51D3C2}" name="LTV" dataDxfId="156" totalsRowDxfId="155">
      <calculatedColumnFormula>Mkt_5811[[#This Row],[Loan]]/Mkt_5811[[#This Row],[ARV]]</calculatedColumnFormula>
    </tableColumn>
    <tableColumn id="9" xr3:uid="{07C57248-2F0E-4B3E-A9B2-E24D63B96335}" name="w_LTV" totalsRowFunction="sum" dataDxfId="154" totalsRowDxfId="153">
      <calculatedColumnFormula>Mkt_5811[[#This Row],[L_w]]*Mkt_5811[[#This Row],[LTV]]</calculatedColumnFormula>
    </tableColumn>
    <tableColumn id="11" xr3:uid="{D473AE73-4F30-4B4B-9C0F-E2B3B1CCA166}" name="rec_LTV" dataDxfId="152" totalsRowDxfId="151">
      <calculatedColumnFormula>1/Mkt_5811[[#This Row],[LTV]]</calculatedColumnFormula>
    </tableColumn>
    <tableColumn id="12" xr3:uid="{3190403E-E83B-4881-9BA6-22617FEA5DFB}" name="wrec_LTV" totalsRowFunction="sum" dataDxfId="150" totalsRowDxfId="149">
      <calculatedColumnFormula>Mkt_5811[[#This Row],[L_w]]*Mkt_5811[[#This Row],[rec_LTV]]</calculatedColumnFormula>
    </tableColumn>
    <tableColumn id="7" xr3:uid="{B37514FE-1DD9-40EF-8A9E-F3FE1DBCC3ED}" name="LTC" dataDxfId="148" totalsRowDxfId="147">
      <calculatedColumnFormula>Mkt_5811[[#This Row],[Loan]]/Mkt_5811[[#This Row],[Cost]]</calculatedColumnFormula>
    </tableColumn>
    <tableColumn id="14" xr3:uid="{3AD17EAE-4BFF-44C6-AA96-A1EB24ECB5BA}" name="fw_LTV" totalsRowFunction="sum" dataDxfId="146">
      <calculatedColumnFormula>Mkt_5811[[#This Row],[F_w]]*Mkt_5811[[#This Row],[LTV]]</calculatedColumnFormula>
    </tableColumn>
    <tableColumn id="15" xr3:uid="{F9C2C8E3-ED89-4F53-9206-FAA2B7C44E75}" name="fwrec_LTV" totalsRowFunction="sum" dataDxfId="145">
      <calculatedColumnFormula>Mkt_5811[[#This Row],[F_w]]*Mkt_5811[[#This Row],[rec_LTV]]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1DA1A79-5D69-4BB1-8010-1C1848F9B8CF}" name="PortA6912" displayName="PortA6912" ref="I11:Y15" totalsRowCount="1">
  <autoFilter ref="I11:Y14" xr:uid="{85EEC4B1-8D50-4B3F-9136-3B202AA7F708}"/>
  <tableColumns count="17">
    <tableColumn id="1" xr3:uid="{33C7E370-F9CA-4954-848A-960BBD9EEA0F}" name="Port A"/>
    <tableColumn id="2" xr3:uid="{B40A3191-978D-49B8-942D-C1D4A676EA2C}" name="LenderFund" totalsRowFunction="sum"/>
    <tableColumn id="12" xr3:uid="{4B6AC957-A18F-4122-9CC9-3B3B1EAA3220}" name="lf_w" totalsRowFunction="sum" dataDxfId="144">
      <calculatedColumnFormula>PortA6912[[#This Row],[LenderFund]]/PortA6912[[#Totals],[LenderFund]]</calculatedColumnFormula>
    </tableColumn>
    <tableColumn id="3" xr3:uid="{E77EDC69-DEDD-4323-A690-A51AC7C5A6B3}" name="Own" dataDxfId="143" totalsRowDxfId="142" dataCellStyle="Percent">
      <calculatedColumnFormula>PortA6912[[#This Row],[LenderFund]]/E4</calculatedColumnFormula>
    </tableColumn>
    <tableColumn id="4" xr3:uid="{94D297E3-2712-44A9-906A-3AC6F2998A21}" name="LTV" dataDxfId="141" totalsRowDxfId="140">
      <calculatedColumnFormula>K4</calculatedColumnFormula>
    </tableColumn>
    <tableColumn id="15" xr3:uid="{45B2DE27-1383-4899-8BE7-97ADDFD84B3E}" name="olw_LTV" totalsRowFunction="sum" dataDxfId="139" totalsRowDxfId="138">
      <calculatedColumnFormula>PortA6912[[#This Row],[ol_w]]*PortA6912[[#This Row],[LTV]]</calculatedColumnFormula>
    </tableColumn>
    <tableColumn id="16" xr3:uid="{9803754A-188D-4E6E-8594-97E6C7B386F4}" name="olwr_LTV" totalsRowFunction="sum" dataDxfId="137" totalsRowDxfId="136">
      <calculatedColumnFormula>PortA6912[[#This Row],[ol_w]]*(1/PortA6912[[#This Row],[LTV]])</calculatedColumnFormula>
    </tableColumn>
    <tableColumn id="14" xr3:uid="{A09A3DA6-1558-4959-8ECC-49565D3C1118}" name="lfw_LTV" totalsRowFunction="sum" dataDxfId="135" totalsRowDxfId="134">
      <calculatedColumnFormula>PortA6912[[#This Row],[lf_w]]*PortA6912[[#This Row],[LTV]]</calculatedColumnFormula>
    </tableColumn>
    <tableColumn id="17" xr3:uid="{DBC3044E-B665-41FF-91DB-8E058AAD8F46}" name="lfwr_LTV" totalsRowFunction="sum" dataDxfId="133" totalsRowDxfId="132">
      <calculatedColumnFormula>PortA6912[[#This Row],[lf_w]]*M4</calculatedColumnFormula>
    </tableColumn>
    <tableColumn id="5" xr3:uid="{47238262-82FA-4A69-8A87-2FEEADA2ED47}" name="LTC" dataDxfId="131" totalsRowDxfId="130">
      <calculatedColumnFormula>O4</calculatedColumnFormula>
    </tableColumn>
    <tableColumn id="6" xr3:uid="{B52F03C1-88AF-451F-9C89-68CDD525AAAE}" name="Loan" dataDxfId="129" totalsRowDxfId="128">
      <calculatedColumnFormula>E4</calculatedColumnFormula>
    </tableColumn>
    <tableColumn id="9" xr3:uid="{16A5FBF8-48F1-4CED-9046-6BA4A30C509A}" name="Owned Loan" totalsRowFunction="custom" dataDxfId="127" totalsRowDxfId="126">
      <calculatedColumnFormula>PortA6912[[#This Row],[Own]]*PortA6912[[#This Row],[Loan]]</calculatedColumnFormula>
      <totalsRowFormula>SUM(PortA6912[Owned Loan])</totalsRowFormula>
    </tableColumn>
    <tableColumn id="13" xr3:uid="{233D9C1E-3D1D-4C8C-8CCA-70DDEE617A84}" name="ol_w" totalsRowFunction="sum" dataDxfId="125" totalsRowDxfId="124">
      <calculatedColumnFormula>PortA6912[[#This Row],[Owned Loan]]/PortA6912[[#Totals],[Owned Loan]]</calculatedColumnFormula>
    </tableColumn>
    <tableColumn id="7" xr3:uid="{F8F3ABAF-B35B-4036-9FC9-F02EC274B7D9}" name="ARV" dataDxfId="123" totalsRowDxfId="122">
      <calculatedColumnFormula>I4</calculatedColumnFormula>
    </tableColumn>
    <tableColumn id="10" xr3:uid="{FC2F6272-8381-4B01-A2C4-2649735EEBB1}" name="Owned ARV" totalsRowFunction="custom" dataDxfId="121" totalsRowDxfId="120">
      <calculatedColumnFormula>PortA6912[[#This Row],[Own]]*PortA6912[[#This Row],[ARV]]</calculatedColumnFormula>
      <totalsRowFormula>SUM(PortA6912[Owned ARV])</totalsRowFormula>
    </tableColumn>
    <tableColumn id="8" xr3:uid="{B0F2DFFE-177A-42A6-A957-E6114EF73B64}" name="Cost" dataDxfId="119" totalsRowDxfId="118">
      <calculatedColumnFormula>J4</calculatedColumnFormula>
    </tableColumn>
    <tableColumn id="11" xr3:uid="{8560FD51-6B67-4881-8388-CAFBF5376226}" name="Owned Cost" dataDxfId="117" totalsRowDxfId="116">
      <calculatedColumnFormula>PortA6912[[#This Row],[Own]]*PortA6912[[#This Row],[Cost]]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202CF8-08DE-42DA-A710-1AD0AD4287C9}" name="PortB71013" displayName="PortB71013" ref="I17:Y20" totalsRowCount="1">
  <autoFilter ref="I17:Y19" xr:uid="{CE0871AD-FE92-4C33-A0C8-0A78AAEC10EC}"/>
  <tableColumns count="17">
    <tableColumn id="1" xr3:uid="{5664736E-F276-4C83-A7E0-B152CFE42F08}" name="Port B"/>
    <tableColumn id="2" xr3:uid="{7CE3CF56-02A6-4FCA-8EF0-6978EE8F19A1}" name="LenderFund" totalsRowFunction="sum"/>
    <tableColumn id="12" xr3:uid="{382D6072-0CE7-4C1C-B403-ADB070C412BF}" name="lf_w" totalsRowFunction="sum" dataDxfId="115">
      <calculatedColumnFormula>PortB71013[[#This Row],[LenderFund]]/PortB71013[[#Totals],[LenderFund]]</calculatedColumnFormula>
    </tableColumn>
    <tableColumn id="3" xr3:uid="{CA4E5B9A-187F-4AA1-85B3-C887C35D492E}" name="Own" dataDxfId="114" totalsRowDxfId="113" dataCellStyle="Percent">
      <calculatedColumnFormula>PortB71013[[#This Row],[LenderFund]]/E4</calculatedColumnFormula>
    </tableColumn>
    <tableColumn id="4" xr3:uid="{F840AA64-78DE-4A63-8C86-6D70AEF42D65}" name="LTV" dataDxfId="112" totalsRowDxfId="111">
      <calculatedColumnFormula>K4</calculatedColumnFormula>
    </tableColumn>
    <tableColumn id="15" xr3:uid="{25282CD6-98BD-496F-A0CE-FC7479C46BA8}" name="olw_LTV" totalsRowFunction="sum" dataDxfId="110" totalsRowDxfId="109">
      <calculatedColumnFormula>PortB71013[[#This Row],[ol_w]]*PortB71013[[#This Row],[LTV]]</calculatedColumnFormula>
    </tableColumn>
    <tableColumn id="16" xr3:uid="{97DD0D49-D3D5-4F99-AD79-DB8926557897}" name="olwr_LTV" totalsRowFunction="sum" dataDxfId="108" totalsRowDxfId="107">
      <calculatedColumnFormula>PortB71013[[#This Row],[ol_w]]*M4</calculatedColumnFormula>
    </tableColumn>
    <tableColumn id="14" xr3:uid="{A3CF3EB7-B9E9-450E-B62E-5F7F0B9A2FF2}" name="lfw_LTV" totalsRowFunction="sum" dataDxfId="106" totalsRowDxfId="105">
      <calculatedColumnFormula>PortB71013[[#This Row],[lf_w]]*PortB71013[[#This Row],[LTV]]</calculatedColumnFormula>
    </tableColumn>
    <tableColumn id="17" xr3:uid="{2252024C-9F0F-4142-AF66-C114ADC71F84}" name="lfwr_LTV" totalsRowFunction="sum" dataDxfId="104" totalsRowDxfId="103">
      <calculatedColumnFormula>PortB71013[[#This Row],[lf_w]]*M4</calculatedColumnFormula>
    </tableColumn>
    <tableColumn id="5" xr3:uid="{0B7A3031-1846-43C9-910E-0CF282B88B16}" name="LTC" dataDxfId="102" totalsRowDxfId="101">
      <calculatedColumnFormula>O4</calculatedColumnFormula>
    </tableColumn>
    <tableColumn id="6" xr3:uid="{ADF3708D-B4E2-4A3B-ACDE-28FA75C13C96}" name="Loan" dataDxfId="100" totalsRowDxfId="99">
      <calculatedColumnFormula>E4</calculatedColumnFormula>
    </tableColumn>
    <tableColumn id="9" xr3:uid="{7C711725-FDEA-4D00-A3BB-3CCD0C5537CD}" name="Owned Loan" totalsRowFunction="custom" dataDxfId="98" totalsRowDxfId="97">
      <calculatedColumnFormula>PortB71013[[#This Row],[Own]]*PortB71013[[#This Row],[Loan]]</calculatedColumnFormula>
      <totalsRowFormula>SUM(PortB71013[Owned Loan])</totalsRowFormula>
    </tableColumn>
    <tableColumn id="13" xr3:uid="{06BC9315-420E-4CA9-9CCD-C2662013926F}" name="ol_w" totalsRowFunction="sum" dataDxfId="96" totalsRowDxfId="95">
      <calculatedColumnFormula>PortB71013[[#This Row],[Owned Loan]]/PortB71013[[#Totals],[Owned Loan]]</calculatedColumnFormula>
    </tableColumn>
    <tableColumn id="7" xr3:uid="{34C1F534-C418-43BB-BF86-06FDF74ADE86}" name="ARV" dataDxfId="94" totalsRowDxfId="93">
      <calculatedColumnFormula>I4</calculatedColumnFormula>
    </tableColumn>
    <tableColumn id="10" xr3:uid="{4C6F7083-4093-4DC2-85C3-FAD89231AD24}" name="Owned ARV" totalsRowFunction="sum" dataDxfId="92" totalsRowDxfId="91">
      <calculatedColumnFormula>PortB71013[[#This Row],[Own]]*PortB71013[[#This Row],[ARV]]</calculatedColumnFormula>
    </tableColumn>
    <tableColumn id="8" xr3:uid="{5E15E603-35BC-4A39-9850-842799AEF54F}" name="Cost" dataDxfId="90" totalsRowDxfId="89">
      <calculatedColumnFormula>J4</calculatedColumnFormula>
    </tableColumn>
    <tableColumn id="11" xr3:uid="{0B9F1AF9-A26C-4948-97FA-A6D9664DFC71}" name="Owned Cost" dataDxfId="88" totalsRowDxfId="87">
      <calculatedColumnFormula>PortB71013[[#This Row],[Own]]*PortB71013[[#This Row],[Cost]]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7ECB8F8-2C4B-4419-9365-971FF51437EE}" name="Mkt_14" displayName="Mkt_14" ref="C3:Q7" totalsRowCount="1">
  <autoFilter ref="C3:Q6" xr:uid="{E8123F1F-BA0E-496B-A940-B7DC66773847}"/>
  <tableColumns count="15">
    <tableColumn id="1" xr3:uid="{B3F47744-302A-40F2-838F-100D48058441}" name="Mkt"/>
    <tableColumn id="2" xr3:uid="{D476830D-A03B-42CD-B9ED-0D239F0D5F39}" name="Rate"/>
    <tableColumn id="3" xr3:uid="{8F84BE1D-8338-4B82-AD5C-DAFA99731D97}" name="Loan" totalsRowFunction="custom">
      <totalsRowFormula>SUM(Mkt_14[Loan])</totalsRowFormula>
    </tableColumn>
    <tableColumn id="10" xr3:uid="{AE251BF5-FDA6-49AB-B9D8-F0684B2B262D}" name="L_w" totalsRowFunction="sum" dataDxfId="60">
      <calculatedColumnFormula>Mkt_14[[#This Row],[Loan]]/Mkt_14[[#Totals],[Loan]]</calculatedColumnFormula>
    </tableColumn>
    <tableColumn id="8" xr3:uid="{954B18F8-7DAC-4CE0-B1E8-1D14F0D96E88}" name="Funded" totalsRowFunction="custom" dataDxfId="59">
      <calculatedColumnFormula>J12+#REF!</calculatedColumnFormula>
      <totalsRowFormula>SUM(Mkt_14[Funded])</totalsRowFormula>
    </tableColumn>
    <tableColumn id="13" xr3:uid="{3C8C19D4-84CB-4E31-BFFD-B20178E5E2BF}" name="F_w" totalsRowFunction="sum" dataDxfId="58">
      <calculatedColumnFormula>Mkt_14[[#This Row],[Funded]]/Mkt_14[[#Totals],[Funded]]</calculatedColumnFormula>
    </tableColumn>
    <tableColumn id="4" xr3:uid="{1A3E5F25-6B51-49FF-92B3-5D97A4DA3864}" name="ARV" totalsRowFunction="custom">
      <totalsRowFormula>SUM(Mkt_14[ARV])</totalsRowFormula>
    </tableColumn>
    <tableColumn id="5" xr3:uid="{D15E8793-E62F-4DCC-AA35-E94129E9FF4C}" name="Cost" totalsRowFunction="custom">
      <totalsRowFormula>SUM(Mkt_14[Funded])</totalsRowFormula>
    </tableColumn>
    <tableColumn id="6" xr3:uid="{CF036EEB-0105-431C-B2A9-E174B6B40A47}" name="LTV" dataDxfId="57" totalsRowDxfId="56">
      <calculatedColumnFormula>Mkt_14[[#This Row],[Loan]]/Mkt_14[[#This Row],[ARV]]</calculatedColumnFormula>
    </tableColumn>
    <tableColumn id="9" xr3:uid="{EB55AA9A-F6B6-4F9E-A418-85924B780C2E}" name="w_LTV" totalsRowFunction="sum" dataDxfId="55" totalsRowDxfId="54">
      <calculatedColumnFormula>Mkt_14[[#This Row],[L_w]]*Mkt_14[[#This Row],[LTV]]</calculatedColumnFormula>
    </tableColumn>
    <tableColumn id="11" xr3:uid="{AD30DC11-105D-471A-ADE3-BA7B4EA7FBAC}" name="rec_LTV" dataDxfId="53" totalsRowDxfId="52">
      <calculatedColumnFormula>1/Mkt_14[[#This Row],[LTV]]</calculatedColumnFormula>
    </tableColumn>
    <tableColumn id="12" xr3:uid="{51750C4D-1C81-4461-A5EF-9E219C1EE999}" name="wrec_LTV" totalsRowFunction="sum" dataDxfId="51" totalsRowDxfId="50">
      <calculatedColumnFormula>Mkt_14[[#This Row],[L_w]]*Mkt_14[[#This Row],[rec_LTV]]</calculatedColumnFormula>
    </tableColumn>
    <tableColumn id="7" xr3:uid="{1FE95042-92D4-4EEA-8F3F-54DAD3A5E96A}" name="LTC" dataDxfId="49" totalsRowDxfId="48">
      <calculatedColumnFormula>Mkt_14[[#This Row],[Loan]]/Mkt_14[[#This Row],[Cost]]</calculatedColumnFormula>
    </tableColumn>
    <tableColumn id="14" xr3:uid="{22626745-3FC3-470D-B0EB-269D10737483}" name="fw_LTV" totalsRowFunction="sum" dataDxfId="47">
      <calculatedColumnFormula>Mkt_14[[#This Row],[F_w]]*Mkt_14[[#This Row],[LTV]]</calculatedColumnFormula>
    </tableColumn>
    <tableColumn id="15" xr3:uid="{E35A845D-0104-40CF-A351-0FBF5EF86173}" name="fwrec_LTV" totalsRowFunction="sum" dataDxfId="46">
      <calculatedColumnFormula>Mkt_14[[#This Row],[F_w]]*Mkt_14[[#This Row],[rec_LTV]]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224910F-3F3B-4E90-BBE7-840444F67CA0}" name="PortA15" displayName="PortA15" ref="I11:V15" totalsRowCount="1">
  <autoFilter ref="I11:V14" xr:uid="{85EEC4B1-8D50-4B3F-9136-3B202AA7F708}"/>
  <tableColumns count="14">
    <tableColumn id="1" xr3:uid="{B9EC0ABE-2224-4187-8FD7-CE2B03DACB1B}" name="Port A"/>
    <tableColumn id="2" xr3:uid="{9AB86898-255C-428E-8A60-31967E075BBE}" name="LenderFund" totalsRowFunction="sum"/>
    <tableColumn id="12" xr3:uid="{C363574B-AF98-4B03-A32E-CD79939FC06C}" name="lf_w" totalsRowFunction="sum" dataDxfId="45">
      <calculatedColumnFormula>PortA15[[#This Row],[LenderFund]]/PortA15[[#Totals],[LenderFund]]</calculatedColumnFormula>
    </tableColumn>
    <tableColumn id="3" xr3:uid="{A9EB087B-D04C-4022-9C51-F291A5D5A773}" name="Own" dataDxfId="44" totalsRowDxfId="43" dataCellStyle="Percent">
      <calculatedColumnFormula>PortA15[[#This Row],[LenderFund]]/E4</calculatedColumnFormula>
    </tableColumn>
    <tableColumn id="4" xr3:uid="{ECFB604E-C898-4821-9804-1B5DF317AF1B}" name="LTV" dataDxfId="42" totalsRowDxfId="41">
      <calculatedColumnFormula>K4</calculatedColumnFormula>
    </tableColumn>
    <tableColumn id="15" xr3:uid="{7D2456D2-77D5-47A3-A0DF-2FEAEA6186F0}" name="olw_LTV" totalsRowFunction="sum" dataDxfId="40" totalsRowDxfId="39">
      <calculatedColumnFormula>PortA15[[#This Row],[ol_w]]*PortA15[[#This Row],[LTV]]</calculatedColumnFormula>
    </tableColumn>
    <tableColumn id="16" xr3:uid="{979A899A-641E-4A80-82E2-4B45EF3700B7}" name="olwr_LTV" totalsRowFunction="sum" dataDxfId="38" totalsRowDxfId="37">
      <calculatedColumnFormula>PortA15[[#This Row],[ol_w]]*(1/PortA15[[#This Row],[LTV]])</calculatedColumnFormula>
    </tableColumn>
    <tableColumn id="14" xr3:uid="{6B659CD1-7E30-43E6-BD1F-E2FAED1F9CFB}" name="lfw_LTV" totalsRowFunction="sum" dataDxfId="36" totalsRowDxfId="35">
      <calculatedColumnFormula>PortA15[[#This Row],[lf_w]]*PortA15[[#This Row],[LTV]]</calculatedColumnFormula>
    </tableColumn>
    <tableColumn id="17" xr3:uid="{7E46FAA9-9F3A-44E7-B60A-EAE719C4681F}" name="lfwr_LTV" totalsRowFunction="sum" dataDxfId="34" totalsRowDxfId="33">
      <calculatedColumnFormula>PortA15[[#This Row],[lf_w]]*M4</calculatedColumnFormula>
    </tableColumn>
    <tableColumn id="6" xr3:uid="{A6C4A9BD-6B5E-4C0D-844D-2EE69D1C9CC4}" name="Loan" dataDxfId="32" totalsRowDxfId="31">
      <calculatedColumnFormula>E4</calculatedColumnFormula>
    </tableColumn>
    <tableColumn id="9" xr3:uid="{FFC0A053-2987-475B-B084-6AB47D34A9AC}" name="Owned Loan" totalsRowFunction="custom" dataDxfId="30" totalsRowDxfId="29">
      <calculatedColumnFormula>PortA15[[#This Row],[Own]]*PortA15[[#This Row],[Loan]]</calculatedColumnFormula>
      <totalsRowFormula>SUM(PortA15[Owned Loan])</totalsRowFormula>
    </tableColumn>
    <tableColumn id="13" xr3:uid="{7671A705-E025-481A-83B5-3C816321B25D}" name="ol_w" totalsRowFunction="sum" dataDxfId="28" totalsRowDxfId="27">
      <calculatedColumnFormula>PortA15[[#This Row],[Owned Loan]]/PortA15[[#Totals],[Owned Loan]]</calculatedColumnFormula>
    </tableColumn>
    <tableColumn id="7" xr3:uid="{B2CCD6BD-29F2-4111-84FA-9BC59DF77CFE}" name="ARV" dataDxfId="26" totalsRowDxfId="25">
      <calculatedColumnFormula>I4</calculatedColumnFormula>
    </tableColumn>
    <tableColumn id="10" xr3:uid="{2A8E1065-1383-4ED2-8326-DB02DF784099}" name="Owned ARV" totalsRowFunction="custom" dataDxfId="24" totalsRowDxfId="23">
      <calculatedColumnFormula>PortA15[[#This Row],[Own]]*PortA15[[#This Row],[ARV]]</calculatedColumnFormula>
      <totalsRowFormula>SUM(PortA15[Owned ARV])</totalsRow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3FA0BCC-8C7B-45D8-BDF5-203CDE71FEAB}" name="PortB16" displayName="PortB16" ref="I17:V20" totalsRowCount="1">
  <autoFilter ref="I17:V19" xr:uid="{CE0871AD-FE92-4C33-A0C8-0A78AAEC10EC}"/>
  <tableColumns count="14">
    <tableColumn id="1" xr3:uid="{A42199B6-941C-4E63-9B2F-E5476B4B2696}" name="Port B"/>
    <tableColumn id="2" xr3:uid="{CA59C81F-7AC2-4E07-BAD9-21F1E50828CF}" name="LenderFund" totalsRowFunction="sum"/>
    <tableColumn id="12" xr3:uid="{AEE6916F-1CB8-4EFE-A9E6-5A6E96755EE8}" name="lf_w" totalsRowFunction="sum" dataDxfId="22">
      <calculatedColumnFormula>PortB16[[#This Row],[LenderFund]]/PortB16[[#Totals],[LenderFund]]</calculatedColumnFormula>
    </tableColumn>
    <tableColumn id="3" xr3:uid="{F44F1468-386A-43A1-9511-78EBE244929D}" name="Own" dataDxfId="21" totalsRowDxfId="20" dataCellStyle="Percent">
      <calculatedColumnFormula>PortB16[[#This Row],[LenderFund]]/E4</calculatedColumnFormula>
    </tableColumn>
    <tableColumn id="4" xr3:uid="{08B6F0FC-FCC2-4FA1-BE42-25B42F35A3D7}" name="LTV" dataDxfId="19" totalsRowDxfId="18">
      <calculatedColumnFormula>K4</calculatedColumnFormula>
    </tableColumn>
    <tableColumn id="15" xr3:uid="{1B6F7EAD-005E-4695-AA2D-1186E7D65D41}" name="olw_LTV" totalsRowFunction="sum" dataDxfId="17" totalsRowDxfId="16">
      <calculatedColumnFormula>PortB16[[#This Row],[ol_w]]*PortB16[[#This Row],[LTV]]</calculatedColumnFormula>
    </tableColumn>
    <tableColumn id="16" xr3:uid="{B6F5BAA6-ED05-4DF6-BEED-4553371994B5}" name="olwr_LTV" totalsRowFunction="sum" dataDxfId="15" totalsRowDxfId="14">
      <calculatedColumnFormula>PortB16[[#This Row],[ol_w]]*M4</calculatedColumnFormula>
    </tableColumn>
    <tableColumn id="14" xr3:uid="{87BB7B9C-1AAD-4ACA-80D0-9908211D64DD}" name="lfw_LTV" totalsRowFunction="sum" dataDxfId="13" totalsRowDxfId="12">
      <calculatedColumnFormula>PortB16[[#This Row],[lf_w]]*PortB16[[#This Row],[LTV]]</calculatedColumnFormula>
    </tableColumn>
    <tableColumn id="17" xr3:uid="{7CC408AD-2319-482E-867D-800FA695D511}" name="lfwr_LTV" totalsRowFunction="sum" dataDxfId="11" totalsRowDxfId="10">
      <calculatedColumnFormula>PortB16[[#This Row],[lf_w]]*M4</calculatedColumnFormula>
    </tableColumn>
    <tableColumn id="6" xr3:uid="{7A56AD71-2917-4F31-B52E-4B89EBFC05AC}" name="Loan" dataDxfId="9" totalsRowDxfId="8">
      <calculatedColumnFormula>E4</calculatedColumnFormula>
    </tableColumn>
    <tableColumn id="9" xr3:uid="{435CDD93-9BF2-4448-B582-B03B8145B3A3}" name="Owned Loan" totalsRowFunction="custom" dataDxfId="7" totalsRowDxfId="6">
      <calculatedColumnFormula>PortB16[[#This Row],[Own]]*PortB16[[#This Row],[Loan]]</calculatedColumnFormula>
      <totalsRowFormula>SUM(PortB16[Owned Loan])</totalsRowFormula>
    </tableColumn>
    <tableColumn id="13" xr3:uid="{06FD87A1-F02D-4DBF-9A4E-502302FA9E00}" name="ol_w" totalsRowFunction="sum" dataDxfId="5" totalsRowDxfId="4">
      <calculatedColumnFormula>PortB16[[#This Row],[Owned Loan]]/PortB16[[#Totals],[Owned Loan]]</calculatedColumnFormula>
    </tableColumn>
    <tableColumn id="7" xr3:uid="{1D7F520A-B3FC-422B-B895-7CE27F19A42B}" name="ARV" dataDxfId="3" totalsRowDxfId="2">
      <calculatedColumnFormula>I4</calculatedColumnFormula>
    </tableColumn>
    <tableColumn id="10" xr3:uid="{F9CBDF81-59AC-4B57-803E-FDA398D41A95}" name="Owned ARV" totalsRowFunction="sum" dataDxfId="1" totalsRowDxfId="0">
      <calculatedColumnFormula>PortB16[[#This Row],[Own]]*PortB16[[#This Row],[ARV]]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D598BD-CD0A-44E5-8901-5C6BEA75F6FE}" name="PortA" displayName="PortA" ref="I11:Y15" totalsRowCount="1">
  <autoFilter ref="I11:Y14" xr:uid="{85EEC4B1-8D50-4B3F-9136-3B202AA7F708}"/>
  <tableColumns count="17">
    <tableColumn id="1" xr3:uid="{88814286-9AE1-43D4-BEAB-F179C3C1929D}" name="Port A"/>
    <tableColumn id="2" xr3:uid="{2700CB0A-5650-4D81-95D7-7B4AE803B6D2}" name="LenderFund" totalsRowFunction="sum"/>
    <tableColumn id="12" xr3:uid="{AE83D05D-97F0-451E-A9EC-7811E4886FDF}" name="lf_w" totalsRowFunction="sum" dataDxfId="441">
      <calculatedColumnFormula>PortA[[#This Row],[LenderFund]]/PortA[[#Totals],[LenderFund]]</calculatedColumnFormula>
    </tableColumn>
    <tableColumn id="3" xr3:uid="{3A8ED47A-BAD5-4DBB-A5E7-D924361D93A7}" name="Own" dataDxfId="440" totalsRowDxfId="439" dataCellStyle="Percent">
      <calculatedColumnFormula>PortA[[#This Row],[LenderFund]]/E4</calculatedColumnFormula>
    </tableColumn>
    <tableColumn id="4" xr3:uid="{5841A99B-D0C7-41B7-8FE8-80556D1DE9AE}" name="LTV" dataDxfId="438" totalsRowDxfId="437">
      <calculatedColumnFormula>K4</calculatedColumnFormula>
    </tableColumn>
    <tableColumn id="15" xr3:uid="{B449AB72-41CD-4496-8660-B9B2930FF806}" name="olw_LTV" totalsRowFunction="sum" dataDxfId="436" totalsRowDxfId="435">
      <calculatedColumnFormula>PortA[[#This Row],[ol_w]]*PortA[[#This Row],[LTV]]</calculatedColumnFormula>
    </tableColumn>
    <tableColumn id="16" xr3:uid="{3242CEE2-3D6C-4351-BCA2-DA3D37C77834}" name="olwr_LTV" totalsRowFunction="sum" dataDxfId="434" totalsRowDxfId="433">
      <calculatedColumnFormula>PortA[[#This Row],[ol_w]]*(1/PortA[[#This Row],[LTV]])</calculatedColumnFormula>
    </tableColumn>
    <tableColumn id="14" xr3:uid="{1885FE15-2B4B-42BC-969F-824BD533F062}" name="lfw_LTV" totalsRowFunction="sum" dataDxfId="432" totalsRowDxfId="431">
      <calculatedColumnFormula>PortA[[#This Row],[lf_w]]*PortA[[#This Row],[LTV]]</calculatedColumnFormula>
    </tableColumn>
    <tableColumn id="17" xr3:uid="{BDCDCE6F-BC7B-4B7B-9609-C3981193F504}" name="lfwr_LTV" totalsRowFunction="sum" dataDxfId="430" totalsRowDxfId="429">
      <calculatedColumnFormula>PortA[[#This Row],[lf_w]]*M4</calculatedColumnFormula>
    </tableColumn>
    <tableColumn id="5" xr3:uid="{30F0D34A-41EF-4107-8B8E-CCF5E8E58E4A}" name="LTC" dataDxfId="428" totalsRowDxfId="427">
      <calculatedColumnFormula>O4</calculatedColumnFormula>
    </tableColumn>
    <tableColumn id="6" xr3:uid="{0A54C007-1841-4178-AF64-766A68A5C4B5}" name="Loan" dataDxfId="426" totalsRowDxfId="425">
      <calculatedColumnFormula>E4</calculatedColumnFormula>
    </tableColumn>
    <tableColumn id="9" xr3:uid="{B8425E01-4FB8-4F08-95AA-99CAF4FF9262}" name="Owned Loan" totalsRowFunction="custom" dataDxfId="424" totalsRowDxfId="423">
      <calculatedColumnFormula>PortA[[#This Row],[Own]]*PortA[[#This Row],[Loan]]</calculatedColumnFormula>
      <totalsRowFormula>SUM(PortA[Owned Loan])</totalsRowFormula>
    </tableColumn>
    <tableColumn id="13" xr3:uid="{043E775D-463B-48C2-9DFC-BC5D942C66C6}" name="ol_w" totalsRowFunction="sum" dataDxfId="422" totalsRowDxfId="421">
      <calculatedColumnFormula>PortA[[#This Row],[Owned Loan]]/PortA[[#Totals],[Owned Loan]]</calculatedColumnFormula>
    </tableColumn>
    <tableColumn id="7" xr3:uid="{EE78749D-2429-41ED-B3AD-0106083120DF}" name="ARV" dataDxfId="420" totalsRowDxfId="419">
      <calculatedColumnFormula>I4</calculatedColumnFormula>
    </tableColumn>
    <tableColumn id="10" xr3:uid="{6FB2F83E-940E-4AF9-9EFA-80258C7635F3}" name="Owned ARV" totalsRowFunction="custom" dataDxfId="418" totalsRowDxfId="417">
      <calculatedColumnFormula>PortA[[#This Row],[Own]]*PortA[[#This Row],[ARV]]</calculatedColumnFormula>
      <totalsRowFormula>SUM(PortA[Owned ARV])</totalsRowFormula>
    </tableColumn>
    <tableColumn id="8" xr3:uid="{C2B4D6FE-B07B-4F7A-9D87-321E569D9BD0}" name="Cost" dataDxfId="416" totalsRowDxfId="415">
      <calculatedColumnFormula>J4</calculatedColumnFormula>
    </tableColumn>
    <tableColumn id="11" xr3:uid="{B972803D-7059-410C-8156-76558789AE43}" name="Owned Cost" dataDxfId="414" totalsRowDxfId="413">
      <calculatedColumnFormula>PortA[[#This Row],[Own]]*PortA[[#This Row],[Cost]]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8BF139-E16A-4984-9A74-D5A32E98B4EB}" name="PortB" displayName="PortB" ref="I17:Y20" totalsRowCount="1">
  <autoFilter ref="I17:Y19" xr:uid="{CE0871AD-FE92-4C33-A0C8-0A78AAEC10EC}"/>
  <tableColumns count="17">
    <tableColumn id="1" xr3:uid="{A2C9E29E-45EA-458D-ABB7-08E096B7C943}" name="Port B"/>
    <tableColumn id="2" xr3:uid="{72D08AAD-FFE4-4CEF-80C8-43032E15A718}" name="LenderFund" totalsRowFunction="sum"/>
    <tableColumn id="12" xr3:uid="{01504B9C-8E01-4451-9DD0-DF3D5BDB7648}" name="lf_w" totalsRowFunction="sum" dataDxfId="412">
      <calculatedColumnFormula>PortB[[#This Row],[LenderFund]]/PortB[[#Totals],[LenderFund]]</calculatedColumnFormula>
    </tableColumn>
    <tableColumn id="3" xr3:uid="{0B2DF22B-F28B-4EAA-86C2-59EED5CCEB2A}" name="Own" dataDxfId="411" totalsRowDxfId="410" dataCellStyle="Percent">
      <calculatedColumnFormula>PortB[[#This Row],[LenderFund]]/E4</calculatedColumnFormula>
    </tableColumn>
    <tableColumn id="4" xr3:uid="{40A39FD8-16DB-4606-9E70-B2CBE771316F}" name="LTV" dataDxfId="409" totalsRowDxfId="408">
      <calculatedColumnFormula>K4</calculatedColumnFormula>
    </tableColumn>
    <tableColumn id="15" xr3:uid="{5C0945BE-2420-4C27-80E1-C9DCF65ACED4}" name="olw_LTV" totalsRowFunction="sum" dataDxfId="407" totalsRowDxfId="406">
      <calculatedColumnFormula>PortB[[#This Row],[ol_w]]*PortB[[#This Row],[LTV]]</calculatedColumnFormula>
    </tableColumn>
    <tableColumn id="16" xr3:uid="{448FC941-858C-47B5-9AF7-97BD5D0DC912}" name="olwr_LTV" totalsRowFunction="sum" dataDxfId="405" totalsRowDxfId="404">
      <calculatedColumnFormula>PortB[[#This Row],[ol_w]]*M4</calculatedColumnFormula>
    </tableColumn>
    <tableColumn id="14" xr3:uid="{2E16FFCA-8086-432A-A0DA-1BAAF9A878E8}" name="lfw_LTV" totalsRowFunction="sum" dataDxfId="403" totalsRowDxfId="402">
      <calculatedColumnFormula>PortB[[#This Row],[lf_w]]*PortB[[#This Row],[LTV]]</calculatedColumnFormula>
    </tableColumn>
    <tableColumn id="17" xr3:uid="{DEBCC45F-E96A-4F76-944D-D4AD8238B07C}" name="lfwr_LTV" totalsRowFunction="sum" dataDxfId="401" totalsRowDxfId="400">
      <calculatedColumnFormula>PortB[[#This Row],[lf_w]]*M4</calculatedColumnFormula>
    </tableColumn>
    <tableColumn id="5" xr3:uid="{BF6C3088-67DF-4D2C-AFC7-1EE84596B539}" name="LTC" dataDxfId="399" totalsRowDxfId="398">
      <calculatedColumnFormula>O4</calculatedColumnFormula>
    </tableColumn>
    <tableColumn id="6" xr3:uid="{8DD3C536-25F9-4535-9E19-34DEE173B48F}" name="Loan" dataDxfId="397" totalsRowDxfId="396">
      <calculatedColumnFormula>E4</calculatedColumnFormula>
    </tableColumn>
    <tableColumn id="9" xr3:uid="{4A26AE8A-585C-4A2C-AC2F-B911747219F1}" name="Owned Loan" totalsRowFunction="custom" dataDxfId="395" totalsRowDxfId="394">
      <calculatedColumnFormula>PortB[[#This Row],[Own]]*PortB[[#This Row],[Loan]]</calculatedColumnFormula>
      <totalsRowFormula>SUM(PortB[Owned Loan])</totalsRowFormula>
    </tableColumn>
    <tableColumn id="13" xr3:uid="{23166E3D-4BEF-470B-9824-A81F03D4EC19}" name="ol_w" totalsRowFunction="sum" dataDxfId="393" totalsRowDxfId="392">
      <calculatedColumnFormula>PortB[[#This Row],[Owned Loan]]/PortB[[#Totals],[Owned Loan]]</calculatedColumnFormula>
    </tableColumn>
    <tableColumn id="7" xr3:uid="{F9BF8BC7-636F-462E-B732-60CF08AB3EA1}" name="ARV" dataDxfId="391" totalsRowDxfId="390">
      <calculatedColumnFormula>I4</calculatedColumnFormula>
    </tableColumn>
    <tableColumn id="10" xr3:uid="{B98DA5A1-A3F2-4A0F-A360-D5D5CB2BA504}" name="Owned ARV" totalsRowFunction="sum" dataDxfId="389" totalsRowDxfId="388">
      <calculatedColumnFormula>PortB[[#This Row],[Own]]*PortB[[#This Row],[ARV]]</calculatedColumnFormula>
    </tableColumn>
    <tableColumn id="8" xr3:uid="{001328D5-8D01-4014-BD6F-0493F7441B70}" name="Cost" dataDxfId="387" totalsRowDxfId="386">
      <calculatedColumnFormula>J4</calculatedColumnFormula>
    </tableColumn>
    <tableColumn id="11" xr3:uid="{8B41CD80-FBC7-412F-ADBF-D368B364F596}" name="Owned Cost" dataDxfId="385" totalsRowDxfId="384">
      <calculatedColumnFormula>PortB[[#This Row],[Own]]*PortB[[#This Row],[Cost]]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BF8D69-3503-4E32-9A46-7D68027A4A44}" name="Mkt_5" displayName="Mkt_5" ref="C3:Q7" totalsRowCount="1">
  <autoFilter ref="C3:Q6" xr:uid="{E8123F1F-BA0E-496B-A940-B7DC66773847}"/>
  <tableColumns count="15">
    <tableColumn id="1" xr3:uid="{57110A28-A9C7-4A7B-95BB-A3A4129F20F1}" name="Mkt"/>
    <tableColumn id="2" xr3:uid="{83CC603A-7C94-492A-92DF-5A5C2C0C09ED}" name="Rate"/>
    <tableColumn id="3" xr3:uid="{05F40B80-436D-4682-A833-3FB988504A46}" name="Loan" totalsRowFunction="custom">
      <totalsRowFormula>SUM(Mkt_5[Loan])</totalsRowFormula>
    </tableColumn>
    <tableColumn id="10" xr3:uid="{25D7DCA8-894F-4E3A-9A1A-5727A09884AD}" name="L_w" totalsRowFunction="sum" dataDxfId="357">
      <calculatedColumnFormula>Mkt_5[[#This Row],[Loan]]/Mkt_5[[#Totals],[Loan]]</calculatedColumnFormula>
    </tableColumn>
    <tableColumn id="8" xr3:uid="{0BB0FE6C-3C17-4D7E-B25A-8FEFF2CDB202}" name="Funded" totalsRowFunction="custom" dataDxfId="356">
      <calculatedColumnFormula>J12+J18</calculatedColumnFormula>
      <totalsRowFormula>SUM(Mkt_5[Funded])</totalsRowFormula>
    </tableColumn>
    <tableColumn id="13" xr3:uid="{51F351EA-A7B5-4EB4-8343-2A2A73C8D1B0}" name="F_w" totalsRowFunction="sum" dataDxfId="355">
      <calculatedColumnFormula>Mkt_5[[#This Row],[Funded]]/Mkt_5[[#Totals],[Funded]]</calculatedColumnFormula>
    </tableColumn>
    <tableColumn id="4" xr3:uid="{4B253AFA-0579-431B-8F6F-0B3DB9D57F17}" name="ARV" totalsRowFunction="custom">
      <totalsRowFormula>SUM(Mkt_5[ARV])</totalsRowFormula>
    </tableColumn>
    <tableColumn id="5" xr3:uid="{95CCE8F2-6CEA-4C8E-8C9A-C1281038EA84}" name="Cost" totalsRowFunction="custom">
      <totalsRowFormula>SUM(Mkt_5[Funded])</totalsRowFormula>
    </tableColumn>
    <tableColumn id="6" xr3:uid="{3D7101BC-095E-4E84-8250-732B4DDE0425}" name="LTV" dataDxfId="354" totalsRowDxfId="353">
      <calculatedColumnFormula>Mkt_5[[#This Row],[Loan]]/Mkt_5[[#This Row],[ARV]]</calculatedColumnFormula>
    </tableColumn>
    <tableColumn id="9" xr3:uid="{8D60811E-2C0C-4198-9708-7A14DB9AA947}" name="w_LTV" totalsRowFunction="sum" dataDxfId="352" totalsRowDxfId="351">
      <calculatedColumnFormula>Mkt_5[[#This Row],[L_w]]*Mkt_5[[#This Row],[LTV]]</calculatedColumnFormula>
    </tableColumn>
    <tableColumn id="11" xr3:uid="{E3672FAF-6408-48B1-84E4-B50C2272C48F}" name="rec_LTV" dataDxfId="350" totalsRowDxfId="349">
      <calculatedColumnFormula>1/Mkt_5[[#This Row],[LTV]]</calculatedColumnFormula>
    </tableColumn>
    <tableColumn id="12" xr3:uid="{972716C6-5AD3-4706-8617-FA59BACEAA76}" name="wrec_LTV" totalsRowFunction="sum" dataDxfId="348" totalsRowDxfId="347">
      <calculatedColumnFormula>Mkt_5[[#This Row],[L_w]]*Mkt_5[[#This Row],[rec_LTV]]</calculatedColumnFormula>
    </tableColumn>
    <tableColumn id="7" xr3:uid="{1392FDE5-AE23-452D-AB0D-27221565E3EC}" name="LTC" dataDxfId="346" totalsRowDxfId="345">
      <calculatedColumnFormula>Mkt_5[[#This Row],[Loan]]/Mkt_5[[#This Row],[Cost]]</calculatedColumnFormula>
    </tableColumn>
    <tableColumn id="14" xr3:uid="{78DA316D-1D57-4655-B45A-01EE3BE34B8F}" name="fw_LTV" totalsRowFunction="sum" dataDxfId="344">
      <calculatedColumnFormula>Mkt_5[[#This Row],[F_w]]*Mkt_5[[#This Row],[LTV]]</calculatedColumnFormula>
    </tableColumn>
    <tableColumn id="15" xr3:uid="{98C0BEF4-E8BA-432D-B9E9-40ACEAFE4EF3}" name="fwrec_LTV" totalsRowFunction="sum" dataDxfId="343">
      <calculatedColumnFormula>Mkt_5[[#This Row],[F_w]]*Mkt_5[[#This Row],[rec_LTV]]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5D67040-198C-4726-B9BB-4A243F40D31F}" name="PortA6" displayName="PortA6" ref="I11:Y15" totalsRowCount="1">
  <autoFilter ref="I11:Y14" xr:uid="{85EEC4B1-8D50-4B3F-9136-3B202AA7F708}"/>
  <tableColumns count="17">
    <tableColumn id="1" xr3:uid="{6704157C-7B09-45C9-AB15-BC2A68A76DDF}" name="Port A"/>
    <tableColumn id="2" xr3:uid="{071ABDBD-C0FA-45A7-B746-D7FDDDE3CDD8}" name="LenderFund" totalsRowFunction="sum"/>
    <tableColumn id="12" xr3:uid="{8D9C0B1C-7886-49C9-BF9F-020140178698}" name="lf_w" totalsRowFunction="sum" dataDxfId="342">
      <calculatedColumnFormula>PortA6[[#This Row],[LenderFund]]/PortA6[[#Totals],[LenderFund]]</calculatedColumnFormula>
    </tableColumn>
    <tableColumn id="3" xr3:uid="{D18D9ADA-7614-4658-9397-947DDB42016C}" name="Own" dataDxfId="341" totalsRowDxfId="340" dataCellStyle="Percent">
      <calculatedColumnFormula>PortA6[[#This Row],[LenderFund]]/E4</calculatedColumnFormula>
    </tableColumn>
    <tableColumn id="4" xr3:uid="{BBD98C4E-13AD-4F6A-A92A-4316CB462599}" name="LTV" dataDxfId="339" totalsRowDxfId="338">
      <calculatedColumnFormula>K4</calculatedColumnFormula>
    </tableColumn>
    <tableColumn id="15" xr3:uid="{CA537570-F872-4C53-974B-F6C1B31AF6C5}" name="olw_LTV" totalsRowFunction="sum" dataDxfId="337" totalsRowDxfId="336">
      <calculatedColumnFormula>PortA6[[#This Row],[ol_w]]*PortA6[[#This Row],[LTV]]</calculatedColumnFormula>
    </tableColumn>
    <tableColumn id="16" xr3:uid="{6C3705A0-601F-4669-819E-579C5F372559}" name="olwr_LTV" totalsRowFunction="sum" dataDxfId="335" totalsRowDxfId="334">
      <calculatedColumnFormula>PortA6[[#This Row],[ol_w]]*(1/PortA6[[#This Row],[LTV]])</calculatedColumnFormula>
    </tableColumn>
    <tableColumn id="14" xr3:uid="{A26163D5-F14A-4DFB-A01F-7BBCEC74C8E9}" name="lfw_LTV" totalsRowFunction="sum" dataDxfId="333" totalsRowDxfId="332">
      <calculatedColumnFormula>PortA6[[#This Row],[lf_w]]*PortA6[[#This Row],[LTV]]</calculatedColumnFormula>
    </tableColumn>
    <tableColumn id="17" xr3:uid="{8EA5A551-D983-4A36-B9B0-9156B0B8ED72}" name="lfwr_LTV" totalsRowFunction="sum" dataDxfId="331" totalsRowDxfId="330">
      <calculatedColumnFormula>PortA6[[#This Row],[lf_w]]*M4</calculatedColumnFormula>
    </tableColumn>
    <tableColumn id="5" xr3:uid="{FD49A7AD-DC1E-43D6-B743-9875DE2BF981}" name="LTC" dataDxfId="329" totalsRowDxfId="328">
      <calculatedColumnFormula>O4</calculatedColumnFormula>
    </tableColumn>
    <tableColumn id="6" xr3:uid="{3C2432BD-FDF6-4FF1-A999-F39015F0621D}" name="Loan" dataDxfId="327" totalsRowDxfId="326">
      <calculatedColumnFormula>E4</calculatedColumnFormula>
    </tableColumn>
    <tableColumn id="9" xr3:uid="{7D1E48B2-83FE-4409-9748-A51982514C1E}" name="Owned Loan" totalsRowFunction="custom" dataDxfId="325" totalsRowDxfId="324">
      <calculatedColumnFormula>PortA6[[#This Row],[Own]]*PortA6[[#This Row],[Loan]]</calculatedColumnFormula>
      <totalsRowFormula>SUM(PortA6[Owned Loan])</totalsRowFormula>
    </tableColumn>
    <tableColumn id="13" xr3:uid="{4196404C-C042-41EC-AE7B-D87DAD2672E6}" name="ol_w" totalsRowFunction="sum" dataDxfId="323" totalsRowDxfId="322">
      <calculatedColumnFormula>PortA6[[#This Row],[Owned Loan]]/PortA6[[#Totals],[Owned Loan]]</calculatedColumnFormula>
    </tableColumn>
    <tableColumn id="7" xr3:uid="{DC8EDA1E-4396-4581-BF19-E11648B39248}" name="ARV" dataDxfId="321" totalsRowDxfId="320">
      <calculatedColumnFormula>I4</calculatedColumnFormula>
    </tableColumn>
    <tableColumn id="10" xr3:uid="{2CDE9FC0-A819-4B73-BC12-98B6D9E52C13}" name="Owned ARV" totalsRowFunction="custom" dataDxfId="319" totalsRowDxfId="318">
      <calculatedColumnFormula>PortA6[[#This Row],[Own]]*PortA6[[#This Row],[ARV]]</calculatedColumnFormula>
      <totalsRowFormula>SUM(PortA6[Owned ARV])</totalsRowFormula>
    </tableColumn>
    <tableColumn id="8" xr3:uid="{02679A95-4BD0-4109-BEDA-C8456090D769}" name="Cost" dataDxfId="317" totalsRowDxfId="316">
      <calculatedColumnFormula>J4</calculatedColumnFormula>
    </tableColumn>
    <tableColumn id="11" xr3:uid="{A5CCE4E0-E403-4184-BE8B-F8434DAF57D7}" name="Owned Cost" dataDxfId="315" totalsRowDxfId="314">
      <calculatedColumnFormula>PortA6[[#This Row],[Own]]*PortA6[[#This Row],[Cost]]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F82891-E39A-43DD-9B60-8387BB5311F5}" name="PortB7" displayName="PortB7" ref="I17:Y20" totalsRowCount="1">
  <autoFilter ref="I17:Y19" xr:uid="{CE0871AD-FE92-4C33-A0C8-0A78AAEC10EC}"/>
  <tableColumns count="17">
    <tableColumn id="1" xr3:uid="{D5C6DDD9-FED4-4258-ACC2-38363E7AF270}" name="Port B"/>
    <tableColumn id="2" xr3:uid="{6DD1C908-6EB2-4D80-92CF-C75E11EFF323}" name="LenderFund" totalsRowFunction="sum"/>
    <tableColumn id="12" xr3:uid="{408C612C-3D6C-451F-9E86-DDB1BD4BFB74}" name="lf_w" totalsRowFunction="sum" dataDxfId="313">
      <calculatedColumnFormula>PortB7[[#This Row],[LenderFund]]/PortB7[[#Totals],[LenderFund]]</calculatedColumnFormula>
    </tableColumn>
    <tableColumn id="3" xr3:uid="{24A7EF79-0737-405B-9DCB-54D80369F48A}" name="Own" dataDxfId="312" totalsRowDxfId="311" dataCellStyle="Percent">
      <calculatedColumnFormula>PortB7[[#This Row],[LenderFund]]/E4</calculatedColumnFormula>
    </tableColumn>
    <tableColumn id="4" xr3:uid="{ED8E92A9-9683-4769-A9CE-6E4976F08C17}" name="LTV" dataDxfId="310" totalsRowDxfId="309">
      <calculatedColumnFormula>K4</calculatedColumnFormula>
    </tableColumn>
    <tableColumn id="15" xr3:uid="{AA51AB77-E8BA-4275-B908-5D99AF3F2A80}" name="olw_LTV" totalsRowFunction="sum" dataDxfId="308" totalsRowDxfId="307">
      <calculatedColumnFormula>PortB7[[#This Row],[ol_w]]*PortB7[[#This Row],[LTV]]</calculatedColumnFormula>
    </tableColumn>
    <tableColumn id="16" xr3:uid="{D0463083-971B-4815-A4DB-D73ADA1CAF5F}" name="olwr_LTV" totalsRowFunction="sum" dataDxfId="306" totalsRowDxfId="305">
      <calculatedColumnFormula>PortB7[[#This Row],[ol_w]]*M4</calculatedColumnFormula>
    </tableColumn>
    <tableColumn id="14" xr3:uid="{9F62F4F8-198A-4EA6-A2D7-C4E6D43897B9}" name="lfw_LTV" totalsRowFunction="sum" dataDxfId="304" totalsRowDxfId="303">
      <calculatedColumnFormula>PortB7[[#This Row],[lf_w]]*PortB7[[#This Row],[LTV]]</calculatedColumnFormula>
    </tableColumn>
    <tableColumn id="17" xr3:uid="{93EE97DC-F955-4F31-8CEC-B17B13213B6D}" name="lfwr_LTV" totalsRowFunction="sum" dataDxfId="302" totalsRowDxfId="301">
      <calculatedColumnFormula>PortB7[[#This Row],[lf_w]]*M4</calculatedColumnFormula>
    </tableColumn>
    <tableColumn id="5" xr3:uid="{3523C0AE-39F4-4692-8740-A1FB93AC9895}" name="LTC" dataDxfId="300" totalsRowDxfId="299">
      <calculatedColumnFormula>O4</calculatedColumnFormula>
    </tableColumn>
    <tableColumn id="6" xr3:uid="{FDE7B042-2113-42DA-91DF-7B1C5725125E}" name="Loan" dataDxfId="298" totalsRowDxfId="297">
      <calculatedColumnFormula>E4</calculatedColumnFormula>
    </tableColumn>
    <tableColumn id="9" xr3:uid="{FFA0BEE7-12B4-4AFC-A73D-A6C3BBEEDD79}" name="Owned Loan" totalsRowFunction="custom" dataDxfId="296" totalsRowDxfId="295">
      <calculatedColumnFormula>PortB7[[#This Row],[Own]]*PortB7[[#This Row],[Loan]]</calculatedColumnFormula>
      <totalsRowFormula>SUM(PortB7[Owned Loan])</totalsRowFormula>
    </tableColumn>
    <tableColumn id="13" xr3:uid="{EE6141BB-59B9-44C6-920B-AD655BC80F94}" name="ol_w" totalsRowFunction="sum" dataDxfId="294" totalsRowDxfId="293">
      <calculatedColumnFormula>PortB7[[#This Row],[Owned Loan]]/PortB7[[#Totals],[Owned Loan]]</calculatedColumnFormula>
    </tableColumn>
    <tableColumn id="7" xr3:uid="{BE7EE266-1E22-4DA4-A6F0-681E854A2FD0}" name="ARV" dataDxfId="292" totalsRowDxfId="291">
      <calculatedColumnFormula>I4</calculatedColumnFormula>
    </tableColumn>
    <tableColumn id="10" xr3:uid="{D98EDDB8-C5D3-48D0-8AF2-25D19A7139AB}" name="Owned ARV" totalsRowFunction="sum" dataDxfId="290" totalsRowDxfId="289">
      <calculatedColumnFormula>PortB7[[#This Row],[Own]]*PortB7[[#This Row],[ARV]]</calculatedColumnFormula>
    </tableColumn>
    <tableColumn id="8" xr3:uid="{6E4B3409-9634-49DE-858A-7077E20D2CD0}" name="Cost" dataDxfId="288" totalsRowDxfId="287">
      <calculatedColumnFormula>J4</calculatedColumnFormula>
    </tableColumn>
    <tableColumn id="11" xr3:uid="{962A0ADA-B151-451C-ADC0-37703C7B1219}" name="Owned Cost" dataDxfId="286" totalsRowDxfId="285">
      <calculatedColumnFormula>PortB7[[#This Row],[Own]]*PortB7[[#This Row],[Cost]]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E7C29C-02BC-432E-96F9-D5B7C45E6E79}" name="Mkt_58" displayName="Mkt_58" ref="C3:Q7" totalsRowCount="1">
  <autoFilter ref="C3:Q6" xr:uid="{E8123F1F-BA0E-496B-A940-B7DC66773847}"/>
  <tableColumns count="15">
    <tableColumn id="1" xr3:uid="{FE887523-3C98-42D7-820C-E4129D7E1FA5}" name="Mkt"/>
    <tableColumn id="2" xr3:uid="{7D84E5AB-A48A-4995-B77A-FF18349F2B5C}" name="Rate"/>
    <tableColumn id="3" xr3:uid="{9F74DD36-BA84-416B-8442-D61AB656058B}" name="Loan" totalsRowFunction="custom">
      <totalsRowFormula>SUM(Mkt_58[Loan])</totalsRowFormula>
    </tableColumn>
    <tableColumn id="10" xr3:uid="{AF832E3F-507E-4644-AB51-4BD541B4A573}" name="L_w" totalsRowFunction="sum" dataDxfId="258">
      <calculatedColumnFormula>Mkt_58[[#This Row],[Loan]]/Mkt_58[[#Totals],[Loan]]</calculatedColumnFormula>
    </tableColumn>
    <tableColumn id="8" xr3:uid="{B2B9030F-04AF-4175-852A-C4230B9C70FB}" name="Funded" totalsRowFunction="custom" dataDxfId="257">
      <calculatedColumnFormula>J12+J18</calculatedColumnFormula>
      <totalsRowFormula>SUM(Mkt_58[Funded])</totalsRowFormula>
    </tableColumn>
    <tableColumn id="13" xr3:uid="{EED85443-6C82-432D-AF58-6DCF518D187B}" name="F_w" totalsRowFunction="sum" dataDxfId="256">
      <calculatedColumnFormula>Mkt_58[[#This Row],[Funded]]/Mkt_58[[#Totals],[Funded]]</calculatedColumnFormula>
    </tableColumn>
    <tableColumn id="4" xr3:uid="{6C5DCBA9-3008-40E4-9B6B-2D3A8DF4B7D7}" name="ARV" totalsRowFunction="custom">
      <totalsRowFormula>SUM(Mkt_58[ARV])</totalsRowFormula>
    </tableColumn>
    <tableColumn id="5" xr3:uid="{A3F1089A-5FCE-40E4-AC56-614929E0ADB5}" name="Cost" totalsRowFunction="custom">
      <totalsRowFormula>SUM(Mkt_58[Funded])</totalsRowFormula>
    </tableColumn>
    <tableColumn id="6" xr3:uid="{6ABDBEEA-A847-4E5C-8F65-AE8CBEEFB64E}" name="LTV" dataDxfId="255" totalsRowDxfId="254">
      <calculatedColumnFormula>Mkt_58[[#This Row],[Loan]]/Mkt_58[[#This Row],[ARV]]</calculatedColumnFormula>
    </tableColumn>
    <tableColumn id="9" xr3:uid="{259B0167-C562-4205-B852-B451566B2CFC}" name="w_LTV" totalsRowFunction="sum" dataDxfId="253" totalsRowDxfId="252">
      <calculatedColumnFormula>Mkt_58[[#This Row],[L_w]]*Mkt_58[[#This Row],[LTV]]</calculatedColumnFormula>
    </tableColumn>
    <tableColumn id="11" xr3:uid="{D91FEE5F-1184-422B-B5EF-509A327EF41F}" name="rec_LTV" dataDxfId="251" totalsRowDxfId="250">
      <calculatedColumnFormula>1/Mkt_58[[#This Row],[LTV]]</calculatedColumnFormula>
    </tableColumn>
    <tableColumn id="12" xr3:uid="{84D472B9-5FC6-4CD3-ADDC-DE52D9CF647F}" name="wrec_LTV" totalsRowFunction="sum" dataDxfId="249" totalsRowDxfId="248">
      <calculatedColumnFormula>Mkt_58[[#This Row],[L_w]]*Mkt_58[[#This Row],[rec_LTV]]</calculatedColumnFormula>
    </tableColumn>
    <tableColumn id="7" xr3:uid="{2B3BCE57-7A12-41C5-B411-EF57EDBED70F}" name="LTC" dataDxfId="247" totalsRowDxfId="246">
      <calculatedColumnFormula>Mkt_58[[#This Row],[Loan]]/Mkt_58[[#This Row],[Cost]]</calculatedColumnFormula>
    </tableColumn>
    <tableColumn id="14" xr3:uid="{AB5AC30F-04F3-4AE2-8C76-29FDE4EC28C2}" name="fw_LTV" totalsRowFunction="sum" dataDxfId="245">
      <calculatedColumnFormula>Mkt_58[[#This Row],[F_w]]*Mkt_58[[#This Row],[LTV]]</calculatedColumnFormula>
    </tableColumn>
    <tableColumn id="15" xr3:uid="{1E085801-D565-4C38-926F-FAC331D9A7E1}" name="fwrec_LTV" totalsRowFunction="sum" dataDxfId="244">
      <calculatedColumnFormula>Mkt_58[[#This Row],[F_w]]*Mkt_58[[#This Row],[rec_LTV]]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E299F0C-4FE8-4F33-9D49-CDB6FA110FED}" name="PortA69" displayName="PortA69" ref="I11:Y15" totalsRowCount="1">
  <autoFilter ref="I11:Y14" xr:uid="{85EEC4B1-8D50-4B3F-9136-3B202AA7F708}"/>
  <tableColumns count="17">
    <tableColumn id="1" xr3:uid="{C3E1B107-B4DA-4709-9F1A-6D420DEB9923}" name="Port A"/>
    <tableColumn id="2" xr3:uid="{3BF66134-BFD7-4A80-9D68-689C120A8E3C}" name="LenderFund" totalsRowFunction="sum"/>
    <tableColumn id="12" xr3:uid="{78B2C334-C51C-46E3-B220-247A693C5DFF}" name="lf_w" totalsRowFunction="sum" dataDxfId="243">
      <calculatedColumnFormula>PortA69[[#This Row],[LenderFund]]/PortA69[[#Totals],[LenderFund]]</calculatedColumnFormula>
    </tableColumn>
    <tableColumn id="3" xr3:uid="{4BA06E05-745B-438C-B598-B8862B3C7D49}" name="Own" dataDxfId="242" totalsRowDxfId="241" dataCellStyle="Percent">
      <calculatedColumnFormula>PortA69[[#This Row],[LenderFund]]/E4</calculatedColumnFormula>
    </tableColumn>
    <tableColumn id="4" xr3:uid="{609E94D5-EC17-401A-9E8D-272D85E22E7F}" name="LTV" dataDxfId="240" totalsRowDxfId="239">
      <calculatedColumnFormula>K4</calculatedColumnFormula>
    </tableColumn>
    <tableColumn id="15" xr3:uid="{6CAB4C81-51C0-4929-AAFB-C040CB6D2E74}" name="olw_LTV" totalsRowFunction="sum" dataDxfId="238" totalsRowDxfId="237">
      <calculatedColumnFormula>PortA69[[#This Row],[ol_w]]*PortA69[[#This Row],[LTV]]</calculatedColumnFormula>
    </tableColumn>
    <tableColumn id="16" xr3:uid="{43738849-2DC9-4813-866D-E7C3C9C20B20}" name="olwr_LTV" totalsRowFunction="sum" dataDxfId="236" totalsRowDxfId="235">
      <calculatedColumnFormula>PortA69[[#This Row],[ol_w]]*(1/PortA69[[#This Row],[LTV]])</calculatedColumnFormula>
    </tableColumn>
    <tableColumn id="14" xr3:uid="{FAEFDC43-977F-4943-9373-087AE32E4F47}" name="lfw_LTV" totalsRowFunction="sum" dataDxfId="234" totalsRowDxfId="233">
      <calculatedColumnFormula>PortA69[[#This Row],[lf_w]]*PortA69[[#This Row],[LTV]]</calculatedColumnFormula>
    </tableColumn>
    <tableColumn id="17" xr3:uid="{7054DEEA-5B4B-44BB-A15E-D9A9F2840B53}" name="lfwr_LTV" totalsRowFunction="sum" dataDxfId="232" totalsRowDxfId="231">
      <calculatedColumnFormula>PortA69[[#This Row],[lf_w]]*M4</calculatedColumnFormula>
    </tableColumn>
    <tableColumn id="5" xr3:uid="{8E996C96-9F55-4077-8982-0438BC36CA97}" name="LTC" dataDxfId="230" totalsRowDxfId="229">
      <calculatedColumnFormula>O4</calculatedColumnFormula>
    </tableColumn>
    <tableColumn id="6" xr3:uid="{F827A592-C740-45DD-9289-3F94A1529B12}" name="Loan" dataDxfId="228" totalsRowDxfId="227">
      <calculatedColumnFormula>E4</calculatedColumnFormula>
    </tableColumn>
    <tableColumn id="9" xr3:uid="{4643F0E2-5ED8-42A6-ABB7-D4D860D08D09}" name="Owned Loan" totalsRowFunction="custom" dataDxfId="226" totalsRowDxfId="225">
      <calculatedColumnFormula>PortA69[[#This Row],[Own]]*PortA69[[#This Row],[Loan]]</calculatedColumnFormula>
      <totalsRowFormula>SUM(PortA69[Owned Loan])</totalsRowFormula>
    </tableColumn>
    <tableColumn id="13" xr3:uid="{126D1D0A-29BF-4C58-9139-35915D55C703}" name="ol_w" totalsRowFunction="sum" dataDxfId="224" totalsRowDxfId="223">
      <calculatedColumnFormula>PortA69[[#This Row],[Owned Loan]]/PortA69[[#Totals],[Owned Loan]]</calculatedColumnFormula>
    </tableColumn>
    <tableColumn id="7" xr3:uid="{5D0F848D-4E75-4232-A1E8-AF42EBC5CAA3}" name="ARV" dataDxfId="222" totalsRowDxfId="221">
      <calculatedColumnFormula>I4</calculatedColumnFormula>
    </tableColumn>
    <tableColumn id="10" xr3:uid="{B5500D2E-79DF-4664-B2E1-D54584925835}" name="Owned ARV" totalsRowFunction="custom" dataDxfId="220" totalsRowDxfId="219">
      <calculatedColumnFormula>PortA69[[#This Row],[Own]]*PortA69[[#This Row],[ARV]]</calculatedColumnFormula>
      <totalsRowFormula>SUM(PortA69[Owned ARV])</totalsRowFormula>
    </tableColumn>
    <tableColumn id="8" xr3:uid="{80C2A8F1-5A5A-493D-B0D1-381E2DE69669}" name="Cost" dataDxfId="218" totalsRowDxfId="217">
      <calculatedColumnFormula>J4</calculatedColumnFormula>
    </tableColumn>
    <tableColumn id="11" xr3:uid="{4FC7ECC0-9314-498E-94F6-A4A117EC23BD}" name="Owned Cost" dataDxfId="216" totalsRowDxfId="215">
      <calculatedColumnFormula>PortA69[[#This Row],[Own]]*PortA69[[#This Row],[Cost]]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1D2CB70-41CC-430C-902F-EF917B4CFA9E}" name="PortB710" displayName="PortB710" ref="I17:Y20" totalsRowCount="1">
  <autoFilter ref="I17:Y19" xr:uid="{CE0871AD-FE92-4C33-A0C8-0A78AAEC10EC}"/>
  <tableColumns count="17">
    <tableColumn id="1" xr3:uid="{065CE303-955E-48D8-99CC-FB3B5B7FBEC7}" name="Port B"/>
    <tableColumn id="2" xr3:uid="{B1D0E547-22F5-4AF1-8561-FA7927D87442}" name="LenderFund" totalsRowFunction="sum"/>
    <tableColumn id="12" xr3:uid="{55745E97-20B8-4AD0-A85D-E2567B08E3C6}" name="lf_w" totalsRowFunction="sum" dataDxfId="214">
      <calculatedColumnFormula>PortB710[[#This Row],[LenderFund]]/PortB710[[#Totals],[LenderFund]]</calculatedColumnFormula>
    </tableColumn>
    <tableColumn id="3" xr3:uid="{A11091BD-DA6E-496A-A525-5565B5741D58}" name="Own" dataDxfId="213" totalsRowDxfId="212" dataCellStyle="Percent">
      <calculatedColumnFormula>PortB710[[#This Row],[LenderFund]]/E4</calculatedColumnFormula>
    </tableColumn>
    <tableColumn id="4" xr3:uid="{BA60FF73-4F8E-4B5A-A00F-150F2A98B6DD}" name="LTV" dataDxfId="211" totalsRowDxfId="210">
      <calculatedColumnFormula>K4</calculatedColumnFormula>
    </tableColumn>
    <tableColumn id="15" xr3:uid="{DEF87C18-54A1-4535-8C5B-99E18EBBECEE}" name="olw_LTV" totalsRowFunction="sum" dataDxfId="209" totalsRowDxfId="208">
      <calculatedColumnFormula>PortB710[[#This Row],[ol_w]]*PortB710[[#This Row],[LTV]]</calculatedColumnFormula>
    </tableColumn>
    <tableColumn id="16" xr3:uid="{E63BDDBB-B8B2-4BE9-BE1A-306F088F92DF}" name="olwr_LTV" totalsRowFunction="sum" dataDxfId="207" totalsRowDxfId="206">
      <calculatedColumnFormula>PortB710[[#This Row],[ol_w]]*M4</calculatedColumnFormula>
    </tableColumn>
    <tableColumn id="14" xr3:uid="{95AA47D0-43D2-4F21-8B41-FBEE61F514C2}" name="lfw_LTV" totalsRowFunction="sum" dataDxfId="205" totalsRowDxfId="204">
      <calculatedColumnFormula>PortB710[[#This Row],[lf_w]]*PortB710[[#This Row],[LTV]]</calculatedColumnFormula>
    </tableColumn>
    <tableColumn id="17" xr3:uid="{77E48296-AD3D-4D82-8C83-8074F86FFAC3}" name="lfwr_LTV" totalsRowFunction="sum" dataDxfId="203" totalsRowDxfId="202">
      <calculatedColumnFormula>PortB710[[#This Row],[lf_w]]*M4</calculatedColumnFormula>
    </tableColumn>
    <tableColumn id="5" xr3:uid="{9E60075D-F10B-455C-BA50-152791F34DD5}" name="LTC" dataDxfId="201" totalsRowDxfId="200">
      <calculatedColumnFormula>O4</calculatedColumnFormula>
    </tableColumn>
    <tableColumn id="6" xr3:uid="{5E4C6E12-2674-44AF-B4C1-D19ACEDBFD4D}" name="Loan" dataDxfId="199" totalsRowDxfId="198">
      <calculatedColumnFormula>E4</calculatedColumnFormula>
    </tableColumn>
    <tableColumn id="9" xr3:uid="{361F59AD-EFDB-48F7-80A4-2B586E488CE6}" name="Owned Loan" totalsRowFunction="custom" dataDxfId="197" totalsRowDxfId="196">
      <calculatedColumnFormula>PortB710[[#This Row],[Own]]*PortB710[[#This Row],[Loan]]</calculatedColumnFormula>
      <totalsRowFormula>SUM(PortB710[Owned Loan])</totalsRowFormula>
    </tableColumn>
    <tableColumn id="13" xr3:uid="{807962AA-6A4B-47AA-9063-62663A3C926C}" name="ol_w" totalsRowFunction="sum" dataDxfId="195" totalsRowDxfId="194">
      <calculatedColumnFormula>PortB710[[#This Row],[Owned Loan]]/PortB710[[#Totals],[Owned Loan]]</calculatedColumnFormula>
    </tableColumn>
    <tableColumn id="7" xr3:uid="{E85BE4F6-391D-42C7-BB7C-2AE2BF76936B}" name="ARV" dataDxfId="193" totalsRowDxfId="192">
      <calculatedColumnFormula>I4</calculatedColumnFormula>
    </tableColumn>
    <tableColumn id="10" xr3:uid="{F4BD89D2-B6D0-4E2E-BD8A-12FE0035E89A}" name="Owned ARV" totalsRowFunction="sum" dataDxfId="191" totalsRowDxfId="190">
      <calculatedColumnFormula>PortB710[[#This Row],[Own]]*PortB710[[#This Row],[ARV]]</calculatedColumnFormula>
    </tableColumn>
    <tableColumn id="8" xr3:uid="{B09F8703-1837-4661-8469-1B61C5024D38}" name="Cost" dataDxfId="189" totalsRowDxfId="188">
      <calculatedColumnFormula>J4</calculatedColumnFormula>
    </tableColumn>
    <tableColumn id="11" xr3:uid="{E2EEF438-D5AD-468D-98B6-AC4782465175}" name="Owned Cost" dataDxfId="187" totalsRowDxfId="186">
      <calculatedColumnFormula>PortB710[[#This Row],[Own]]*PortB710[[#This Row],[Cost]]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9E554-859B-4032-82EB-3C9956F1C899}">
  <dimension ref="A3:Y56"/>
  <sheetViews>
    <sheetView tabSelected="1" workbookViewId="0">
      <selection activeCell="F39" sqref="F39"/>
    </sheetView>
  </sheetViews>
  <sheetFormatPr defaultRowHeight="15" x14ac:dyDescent="0.25"/>
  <cols>
    <col min="7" max="7" width="11.7109375" customWidth="1"/>
    <col min="15" max="15" width="14.140625" customWidth="1"/>
    <col min="16" max="16" width="14" customWidth="1"/>
    <col min="17" max="17" width="15" customWidth="1"/>
    <col min="18" max="18" width="13.7109375" customWidth="1"/>
    <col min="19" max="19" width="14" customWidth="1"/>
    <col min="24" max="24" width="13.7109375" customWidth="1"/>
  </cols>
  <sheetData>
    <row r="3" spans="3:25" x14ac:dyDescent="0.25">
      <c r="C3" t="s">
        <v>0</v>
      </c>
      <c r="D3" t="s">
        <v>5</v>
      </c>
      <c r="E3" t="s">
        <v>4</v>
      </c>
      <c r="F3" t="s">
        <v>21</v>
      </c>
      <c r="G3" t="s">
        <v>13</v>
      </c>
      <c r="H3" t="s">
        <v>35</v>
      </c>
      <c r="I3" t="s">
        <v>6</v>
      </c>
      <c r="J3" t="s">
        <v>9</v>
      </c>
      <c r="K3" t="s">
        <v>10</v>
      </c>
      <c r="L3" t="s">
        <v>22</v>
      </c>
      <c r="M3" t="s">
        <v>25</v>
      </c>
      <c r="N3" t="s">
        <v>26</v>
      </c>
      <c r="O3" t="s">
        <v>11</v>
      </c>
      <c r="P3" t="s">
        <v>36</v>
      </c>
      <c r="Q3" t="s">
        <v>37</v>
      </c>
    </row>
    <row r="4" spans="3:25" x14ac:dyDescent="0.25">
      <c r="C4" t="s">
        <v>1</v>
      </c>
      <c r="D4">
        <v>10</v>
      </c>
      <c r="E4">
        <v>1000</v>
      </c>
      <c r="F4">
        <f>Mkt[[#This Row],[Loan]]/Mkt[[#Totals],[Loan]]</f>
        <v>0.43010752688172044</v>
      </c>
      <c r="G4">
        <f>J12+J18</f>
        <v>880</v>
      </c>
      <c r="H4">
        <f>Mkt[[#This Row],[Funded]]/Mkt[[#Totals],[Funded]]</f>
        <v>0.46933333333333332</v>
      </c>
      <c r="I4">
        <v>1425</v>
      </c>
      <c r="J4">
        <v>1115</v>
      </c>
      <c r="K4">
        <f>Mkt[[#This Row],[Loan]]/Mkt[[#This Row],[ARV]]</f>
        <v>0.70175438596491224</v>
      </c>
      <c r="L4">
        <f>Mkt[[#This Row],[L_w]]*Mkt[[#This Row],[LTV]]</f>
        <v>0.30182984342576868</v>
      </c>
      <c r="M4">
        <f>1/Mkt[[#This Row],[LTV]]</f>
        <v>1.425</v>
      </c>
      <c r="N4">
        <f>Mkt[[#This Row],[L_w]]*Mkt[[#This Row],[rec_LTV]]</f>
        <v>0.61290322580645162</v>
      </c>
      <c r="O4">
        <f>Mkt[[#This Row],[Loan]]/Mkt[[#This Row],[Cost]]</f>
        <v>0.89686098654708524</v>
      </c>
      <c r="P4" s="2">
        <f>Mkt[[#This Row],[F_w]]*Mkt[[#This Row],[LTV]]</f>
        <v>0.32935672514619879</v>
      </c>
      <c r="Q4" s="2">
        <f>Mkt[[#This Row],[F_w]]*Mkt[[#This Row],[rec_LTV]]</f>
        <v>0.66880000000000006</v>
      </c>
    </row>
    <row r="5" spans="3:25" x14ac:dyDescent="0.25">
      <c r="C5" t="s">
        <v>2</v>
      </c>
      <c r="D5">
        <v>12.5</v>
      </c>
      <c r="E5">
        <v>1125</v>
      </c>
      <c r="F5">
        <f>Mkt[[#This Row],[Loan]]/Mkt[[#Totals],[Loan]]</f>
        <v>0.4838709677419355</v>
      </c>
      <c r="G5">
        <f>J13+J19</f>
        <v>570</v>
      </c>
      <c r="H5">
        <f>Mkt[[#This Row],[Funded]]/Mkt[[#Totals],[Funded]]</f>
        <v>0.30399999999999999</v>
      </c>
      <c r="I5">
        <v>2000</v>
      </c>
      <c r="J5">
        <v>1500</v>
      </c>
      <c r="K5">
        <f>Mkt[[#This Row],[Loan]]/Mkt[[#This Row],[ARV]]</f>
        <v>0.5625</v>
      </c>
      <c r="L5">
        <f>Mkt[[#This Row],[L_w]]*Mkt[[#This Row],[LTV]]</f>
        <v>0.27217741935483875</v>
      </c>
      <c r="M5">
        <f>1/Mkt[[#This Row],[LTV]]</f>
        <v>1.7777777777777777</v>
      </c>
      <c r="N5">
        <f>Mkt[[#This Row],[L_w]]*Mkt[[#This Row],[rec_LTV]]</f>
        <v>0.86021505376344087</v>
      </c>
      <c r="O5">
        <f>Mkt[[#This Row],[Loan]]/Mkt[[#This Row],[Cost]]</f>
        <v>0.75</v>
      </c>
      <c r="P5" s="2">
        <f>Mkt[[#This Row],[F_w]]*Mkt[[#This Row],[LTV]]</f>
        <v>0.17099999999999999</v>
      </c>
      <c r="Q5" s="2">
        <f>Mkt[[#This Row],[F_w]]*Mkt[[#This Row],[rec_LTV]]</f>
        <v>0.54044444444444439</v>
      </c>
    </row>
    <row r="6" spans="3:25" x14ac:dyDescent="0.25">
      <c r="C6" t="s">
        <v>3</v>
      </c>
      <c r="D6">
        <v>11</v>
      </c>
      <c r="E6">
        <v>200</v>
      </c>
      <c r="F6">
        <f>Mkt[[#This Row],[Loan]]/Mkt[[#Totals],[Loan]]</f>
        <v>8.6021505376344093E-2</v>
      </c>
      <c r="G6">
        <f>J14+X14</f>
        <v>425</v>
      </c>
      <c r="H6">
        <f>Mkt[[#This Row],[Funded]]/Mkt[[#Totals],[Funded]]</f>
        <v>0.22666666666666666</v>
      </c>
      <c r="I6">
        <v>290</v>
      </c>
      <c r="J6">
        <v>225</v>
      </c>
      <c r="K6">
        <f>Mkt[[#This Row],[Loan]]/Mkt[[#This Row],[ARV]]</f>
        <v>0.68965517241379315</v>
      </c>
      <c r="L6">
        <f>Mkt[[#This Row],[L_w]]*Mkt[[#This Row],[LTV]]</f>
        <v>5.932517612161662E-2</v>
      </c>
      <c r="M6">
        <f>1/Mkt[[#This Row],[LTV]]</f>
        <v>1.45</v>
      </c>
      <c r="N6">
        <f>Mkt[[#This Row],[L_w]]*Mkt[[#This Row],[rec_LTV]]</f>
        <v>0.12473118279569893</v>
      </c>
      <c r="O6">
        <f>Mkt[[#This Row],[Loan]]/Mkt[[#This Row],[Cost]]</f>
        <v>0.88888888888888884</v>
      </c>
      <c r="P6" s="2">
        <f>Mkt[[#This Row],[F_w]]*Mkt[[#This Row],[LTV]]</f>
        <v>0.15632183908045977</v>
      </c>
      <c r="Q6" s="2">
        <f>Mkt[[#This Row],[F_w]]*Mkt[[#This Row],[rec_LTV]]</f>
        <v>0.32866666666666666</v>
      </c>
    </row>
    <row r="7" spans="3:25" x14ac:dyDescent="0.25">
      <c r="E7">
        <f>SUM(Mkt[Loan])</f>
        <v>2325</v>
      </c>
      <c r="F7">
        <f>SUBTOTAL(109,Mkt[L_w])</f>
        <v>1</v>
      </c>
      <c r="G7">
        <f>SUM(Mkt[Funded])</f>
        <v>1875</v>
      </c>
      <c r="H7">
        <f>SUBTOTAL(109,Mkt[F_w])</f>
        <v>1</v>
      </c>
      <c r="I7">
        <f>SUM(Mkt[ARV])</f>
        <v>3715</v>
      </c>
      <c r="J7">
        <f>SUM(Mkt[Funded])</f>
        <v>1875</v>
      </c>
      <c r="K7" s="2"/>
      <c r="L7" s="2">
        <f>SUBTOTAL(109,Mkt[w_LTV])</f>
        <v>0.63333243890222402</v>
      </c>
      <c r="M7" s="2"/>
      <c r="N7" s="2">
        <f>SUBTOTAL(109,Mkt[wrec_LTV])</f>
        <v>1.5978494623655914</v>
      </c>
      <c r="O7" s="2"/>
      <c r="P7">
        <f>SUBTOTAL(109,Mkt[fw_LTV])</f>
        <v>0.6566785642266586</v>
      </c>
      <c r="Q7">
        <f>SUBTOTAL(109,Mkt[fwrec_LTV])</f>
        <v>1.537911111111111</v>
      </c>
    </row>
    <row r="10" spans="3:25" x14ac:dyDescent="0.25">
      <c r="D10" t="s">
        <v>0</v>
      </c>
      <c r="E10" t="s">
        <v>7</v>
      </c>
      <c r="F10" t="s">
        <v>8</v>
      </c>
    </row>
    <row r="11" spans="3:25" x14ac:dyDescent="0.25">
      <c r="C11" t="s">
        <v>10</v>
      </c>
      <c r="I11" t="s">
        <v>7</v>
      </c>
      <c r="J11" t="s">
        <v>12</v>
      </c>
      <c r="K11" t="s">
        <v>38</v>
      </c>
      <c r="L11" t="s">
        <v>14</v>
      </c>
      <c r="M11" t="s">
        <v>10</v>
      </c>
      <c r="N11" t="s">
        <v>39</v>
      </c>
      <c r="O11" t="s">
        <v>42</v>
      </c>
      <c r="P11" t="s">
        <v>41</v>
      </c>
      <c r="Q11" t="s">
        <v>43</v>
      </c>
      <c r="R11" t="s">
        <v>11</v>
      </c>
      <c r="S11" t="s">
        <v>4</v>
      </c>
      <c r="T11" t="s">
        <v>19</v>
      </c>
      <c r="U11" t="s">
        <v>40</v>
      </c>
      <c r="V11" t="s">
        <v>6</v>
      </c>
      <c r="W11" t="s">
        <v>27</v>
      </c>
      <c r="X11" t="s">
        <v>9</v>
      </c>
      <c r="Y11" t="s">
        <v>20</v>
      </c>
    </row>
    <row r="12" spans="3:25" x14ac:dyDescent="0.25">
      <c r="C12" t="s">
        <v>15</v>
      </c>
      <c r="D12">
        <f>Mkt[[#Totals],[Loan]]/Mkt[[#Totals],[ARV]]</f>
        <v>0.62584118438761771</v>
      </c>
      <c r="E12">
        <f>PortA[[#Totals],[Owned Loan]]/PortA[[#Totals],[Owned ARV]]</f>
        <v>0.64990254656995883</v>
      </c>
      <c r="F12">
        <f>PortB[[#Totals],[Owned Loan]]/PortB[[#Totals],[Owned ARV]]</f>
        <v>0.63522225992534787</v>
      </c>
      <c r="I12" t="s">
        <v>1</v>
      </c>
      <c r="J12">
        <v>580</v>
      </c>
      <c r="K12">
        <f>PortA[[#This Row],[LenderFund]]/PortA[[#Totals],[LenderFund]]</f>
        <v>0.51327433628318586</v>
      </c>
      <c r="L12" s="1">
        <f>PortA[[#This Row],[LenderFund]]/E4</f>
        <v>0.57999999999999996</v>
      </c>
      <c r="M12">
        <f t="shared" ref="M12:M14" si="0">K4</f>
        <v>0.70175438596491224</v>
      </c>
      <c r="N12">
        <f>PortA[[#This Row],[ol_w]]*PortA[[#This Row],[LTV]]</f>
        <v>0.36019251668995494</v>
      </c>
      <c r="O12">
        <f>PortA[[#This Row],[ol_w]]*(1/PortA[[#This Row],[LTV]])</f>
        <v>0.73141592920353993</v>
      </c>
      <c r="P12">
        <f>PortA[[#This Row],[lf_w]]*PortA[[#This Row],[LTV]]</f>
        <v>0.36019251668995494</v>
      </c>
      <c r="Q12">
        <f>PortA[[#This Row],[lf_w]]*M4</f>
        <v>0.73141592920353993</v>
      </c>
      <c r="R12">
        <f t="shared" ref="R12:R14" si="1">O4</f>
        <v>0.89686098654708524</v>
      </c>
      <c r="S12">
        <f t="shared" ref="S12:S14" si="2">E4</f>
        <v>1000</v>
      </c>
      <c r="T12">
        <f>PortA[[#This Row],[Own]]*PortA[[#This Row],[Loan]]</f>
        <v>580</v>
      </c>
      <c r="U12">
        <f>PortA[[#This Row],[Owned Loan]]/PortA[[#Totals],[Owned Loan]]</f>
        <v>0.51327433628318586</v>
      </c>
      <c r="V12">
        <f t="shared" ref="V12:V14" si="3">I4</f>
        <v>1425</v>
      </c>
      <c r="W12">
        <f>PortA[[#This Row],[Own]]*PortA[[#This Row],[ARV]]</f>
        <v>826.49999999999989</v>
      </c>
      <c r="X12">
        <f t="shared" ref="X12:X14" si="4">J4</f>
        <v>1115</v>
      </c>
      <c r="Y12" s="2">
        <f>PortA[[#This Row],[Own]]*PortA[[#This Row],[Cost]]</f>
        <v>646.69999999999993</v>
      </c>
    </row>
    <row r="13" spans="3:25" x14ac:dyDescent="0.25">
      <c r="C13" t="s">
        <v>16</v>
      </c>
      <c r="D13">
        <f>AVERAGE(Mkt[LTV])</f>
        <v>0.65130318612623517</v>
      </c>
      <c r="E13">
        <f>AVERAGE(PortA[LTV])</f>
        <v>0.65130318612623517</v>
      </c>
      <c r="F13">
        <f>AVERAGE(PortB[LTV])</f>
        <v>0.63212719298245612</v>
      </c>
      <c r="I13" t="s">
        <v>2</v>
      </c>
      <c r="J13">
        <v>350</v>
      </c>
      <c r="K13">
        <f>PortA[[#This Row],[LenderFund]]/PortA[[#Totals],[LenderFund]]</f>
        <v>0.30973451327433627</v>
      </c>
      <c r="L13" s="1">
        <f>PortA[[#This Row],[LenderFund]]/E5</f>
        <v>0.31111111111111112</v>
      </c>
      <c r="M13">
        <f t="shared" si="0"/>
        <v>0.5625</v>
      </c>
      <c r="N13">
        <f>PortA[[#This Row],[ol_w]]*PortA[[#This Row],[LTV]]</f>
        <v>0.17422566371681414</v>
      </c>
      <c r="O13">
        <f>PortA[[#This Row],[ol_w]]*(1/PortA[[#This Row],[LTV]])</f>
        <v>0.55063913470993109</v>
      </c>
      <c r="P13">
        <f>PortA[[#This Row],[lf_w]]*PortA[[#This Row],[LTV]]</f>
        <v>0.17422566371681414</v>
      </c>
      <c r="Q13">
        <f>PortA[[#This Row],[lf_w]]*M5</f>
        <v>0.55063913470993109</v>
      </c>
      <c r="R13">
        <f t="shared" si="1"/>
        <v>0.75</v>
      </c>
      <c r="S13">
        <f t="shared" si="2"/>
        <v>1125</v>
      </c>
      <c r="T13">
        <f>PortA[[#This Row],[Own]]*PortA[[#This Row],[Loan]]</f>
        <v>350</v>
      </c>
      <c r="U13">
        <f>PortA[[#This Row],[Owned Loan]]/PortA[[#Totals],[Owned Loan]]</f>
        <v>0.30973451327433627</v>
      </c>
      <c r="V13">
        <f t="shared" si="3"/>
        <v>2000</v>
      </c>
      <c r="W13">
        <f>PortA[[#This Row],[Own]]*PortA[[#This Row],[ARV]]</f>
        <v>622.22222222222229</v>
      </c>
      <c r="X13">
        <f t="shared" si="4"/>
        <v>1500</v>
      </c>
      <c r="Y13" s="2">
        <f>PortA[[#This Row],[Own]]*PortA[[#This Row],[Cost]]</f>
        <v>466.66666666666669</v>
      </c>
    </row>
    <row r="14" spans="3:25" x14ac:dyDescent="0.25">
      <c r="C14" t="s">
        <v>17</v>
      </c>
      <c r="D14">
        <f>GEOMEAN(Mkt[LTV])</f>
        <v>0.64810676308597481</v>
      </c>
      <c r="E14">
        <f>GEOMEAN(PortA[LTV])</f>
        <v>0.64810676308597481</v>
      </c>
      <c r="F14">
        <f>GEOMEAN(PortB[LTV])</f>
        <v>0.62828086243754322</v>
      </c>
      <c r="I14" t="s">
        <v>3</v>
      </c>
      <c r="J14">
        <v>200</v>
      </c>
      <c r="K14">
        <f>PortA[[#This Row],[LenderFund]]/PortA[[#Totals],[LenderFund]]</f>
        <v>0.17699115044247787</v>
      </c>
      <c r="L14" s="1">
        <f>PortA[[#This Row],[LenderFund]]/E6</f>
        <v>1</v>
      </c>
      <c r="M14">
        <f t="shared" si="0"/>
        <v>0.68965517241379315</v>
      </c>
      <c r="N14">
        <f>PortA[[#This Row],[ol_w]]*PortA[[#This Row],[LTV]]</f>
        <v>0.12206286237412269</v>
      </c>
      <c r="O14">
        <f>PortA[[#This Row],[ol_w]]*(1/PortA[[#This Row],[LTV]])</f>
        <v>0.25663716814159293</v>
      </c>
      <c r="P14">
        <f>PortA[[#This Row],[lf_w]]*PortA[[#This Row],[LTV]]</f>
        <v>0.12206286237412269</v>
      </c>
      <c r="Q14">
        <f>PortA[[#This Row],[lf_w]]*M6</f>
        <v>0.25663716814159293</v>
      </c>
      <c r="R14">
        <f t="shared" si="1"/>
        <v>0.88888888888888884</v>
      </c>
      <c r="S14">
        <f t="shared" si="2"/>
        <v>200</v>
      </c>
      <c r="T14">
        <f>PortA[[#This Row],[Own]]*PortA[[#This Row],[Loan]]</f>
        <v>200</v>
      </c>
      <c r="U14">
        <f>PortA[[#This Row],[Owned Loan]]/PortA[[#Totals],[Owned Loan]]</f>
        <v>0.17699115044247787</v>
      </c>
      <c r="V14">
        <f t="shared" si="3"/>
        <v>290</v>
      </c>
      <c r="W14">
        <f>PortA[[#This Row],[Own]]*PortA[[#This Row],[ARV]]</f>
        <v>290</v>
      </c>
      <c r="X14">
        <f t="shared" si="4"/>
        <v>225</v>
      </c>
      <c r="Y14" s="2">
        <f>PortA[[#This Row],[Own]]*PortA[[#This Row],[Cost]]</f>
        <v>225</v>
      </c>
    </row>
    <row r="15" spans="3:25" x14ac:dyDescent="0.25">
      <c r="C15" t="s">
        <v>18</v>
      </c>
      <c r="D15">
        <f>HARMEAN(Mkt[LTV])</f>
        <v>0.64477611940298507</v>
      </c>
      <c r="E15">
        <f>HARMEAN(PortA[LTV])</f>
        <v>0.64477611940298507</v>
      </c>
      <c r="F15">
        <f>HARMEAN(PortB[LTV])</f>
        <v>0.62445793581960107</v>
      </c>
      <c r="J15">
        <f>SUBTOTAL(109,PortA[LenderFund])</f>
        <v>1130</v>
      </c>
      <c r="K15">
        <f>SUBTOTAL(109,PortA[lf_w])</f>
        <v>1</v>
      </c>
      <c r="L15" s="3"/>
      <c r="M15" s="2"/>
      <c r="N15" s="2">
        <f>SUBTOTAL(109,PortA[olw_LTV])</f>
        <v>0.65648104278089181</v>
      </c>
      <c r="O15" s="2">
        <f>SUBTOTAL(109,PortA[olwr_LTV])</f>
        <v>1.538692232055064</v>
      </c>
      <c r="P15" s="2">
        <f>SUBTOTAL(109,PortA[lfw_LTV])</f>
        <v>0.65648104278089181</v>
      </c>
      <c r="Q15" s="2">
        <f>SUBTOTAL(109,PortA[lfwr_LTV])</f>
        <v>1.538692232055064</v>
      </c>
      <c r="R15" s="2"/>
      <c r="S15" s="2"/>
      <c r="T15" s="2">
        <f>SUM(PortA[Owned Loan])</f>
        <v>1130</v>
      </c>
      <c r="U15" s="2">
        <f>SUBTOTAL(109,PortA[ol_w])</f>
        <v>1</v>
      </c>
      <c r="V15" s="2"/>
      <c r="W15" s="2">
        <f>SUM(PortA[Owned ARV])</f>
        <v>1738.7222222222222</v>
      </c>
      <c r="X15" s="2"/>
      <c r="Y15" s="2"/>
    </row>
    <row r="16" spans="3:25" x14ac:dyDescent="0.25">
      <c r="C16" t="s">
        <v>23</v>
      </c>
      <c r="D16">
        <f>Mkt[[#Totals],[w_LTV]]/Mkt[[#Totals],[L_w]]</f>
        <v>0.63333243890222402</v>
      </c>
      <c r="E16">
        <f>PortA[[#Totals],[olw_LTV]]/PortA[[#Totals],[ol_w]]</f>
        <v>0.65648104278089181</v>
      </c>
      <c r="F16">
        <f>PortB[[#Totals],[olw_LTV]]/PortB[[#Totals],[ol_w]]</f>
        <v>0.64283906882591091</v>
      </c>
    </row>
    <row r="17" spans="1:25" x14ac:dyDescent="0.25">
      <c r="C17" t="s">
        <v>24</v>
      </c>
      <c r="D17">
        <f>Mkt[[#Totals],[L_w]]/Mkt[[#Totals],[wrec_LTV]]</f>
        <v>0.62584118438761771</v>
      </c>
      <c r="E17">
        <f>PortA[[#Totals],[ol_w]]/PortA[[#Totals],[olwr_LTV]]</f>
        <v>0.64990254656995872</v>
      </c>
      <c r="F17">
        <f>PortB[[#Totals],[ol_w]]/PortB[[#Totals],[olwr_LTV]]</f>
        <v>0.63522225992534787</v>
      </c>
      <c r="G17" s="2"/>
      <c r="I17" t="s">
        <v>8</v>
      </c>
      <c r="J17" t="s">
        <v>12</v>
      </c>
      <c r="K17" t="s">
        <v>38</v>
      </c>
      <c r="L17" t="s">
        <v>14</v>
      </c>
      <c r="M17" t="s">
        <v>10</v>
      </c>
      <c r="N17" t="s">
        <v>39</v>
      </c>
      <c r="O17" t="s">
        <v>42</v>
      </c>
      <c r="P17" t="s">
        <v>41</v>
      </c>
      <c r="Q17" t="s">
        <v>43</v>
      </c>
      <c r="R17" t="s">
        <v>11</v>
      </c>
      <c r="S17" t="s">
        <v>4</v>
      </c>
      <c r="T17" t="s">
        <v>19</v>
      </c>
      <c r="U17" t="s">
        <v>40</v>
      </c>
      <c r="V17" t="s">
        <v>6</v>
      </c>
      <c r="W17" t="s">
        <v>27</v>
      </c>
      <c r="X17" t="s">
        <v>9</v>
      </c>
      <c r="Y17" t="s">
        <v>20</v>
      </c>
    </row>
    <row r="18" spans="1:25" x14ac:dyDescent="0.25">
      <c r="C18" t="s">
        <v>33</v>
      </c>
      <c r="D18">
        <f>Mkt[[#Totals],[fw_LTV]]/Mkt[[#Totals],[F_w]]</f>
        <v>0.6566785642266586</v>
      </c>
      <c r="E18">
        <f>PortA[[#Totals],[lfw_LTV]]/PortA[[#Totals],[lf_w]]</f>
        <v>0.65648104278089181</v>
      </c>
      <c r="F18">
        <f>PortB[[#Totals],[lfw_LTV]]/PortB[[#Totals],[lf_w]]</f>
        <v>0.64283906882591091</v>
      </c>
      <c r="I18" t="s">
        <v>1</v>
      </c>
      <c r="J18">
        <v>300</v>
      </c>
      <c r="K18">
        <f>PortB[[#This Row],[LenderFund]]/PortB[[#Totals],[LenderFund]]</f>
        <v>0.57692307692307687</v>
      </c>
      <c r="L18" s="1">
        <f>PortB[[#This Row],[LenderFund]]/E4</f>
        <v>0.3</v>
      </c>
      <c r="M18">
        <f t="shared" ref="M18:M19" si="5">K4</f>
        <v>0.70175438596491224</v>
      </c>
      <c r="N18">
        <f>PortB[[#This Row],[ol_w]]*PortB[[#This Row],[LTV]]</f>
        <v>0.40485829959514164</v>
      </c>
      <c r="O18">
        <f>PortB[[#This Row],[ol_w]]*M4</f>
        <v>0.82211538461538458</v>
      </c>
      <c r="P18">
        <f>PortB[[#This Row],[lf_w]]*PortB[[#This Row],[LTV]]</f>
        <v>0.40485829959514164</v>
      </c>
      <c r="Q18">
        <f>PortB[[#This Row],[lf_w]]*M4</f>
        <v>0.82211538461538458</v>
      </c>
      <c r="R18">
        <f t="shared" ref="R18:R19" si="6">O4</f>
        <v>0.89686098654708524</v>
      </c>
      <c r="S18">
        <f t="shared" ref="S18:S19" si="7">E4</f>
        <v>1000</v>
      </c>
      <c r="T18">
        <f>PortB[[#This Row],[Own]]*PortB[[#This Row],[Loan]]</f>
        <v>300</v>
      </c>
      <c r="U18">
        <f>PortB[[#This Row],[Owned Loan]]/PortB[[#Totals],[Owned Loan]]</f>
        <v>0.57692307692307687</v>
      </c>
      <c r="V18">
        <f t="shared" ref="V18:V19" si="8">I4</f>
        <v>1425</v>
      </c>
      <c r="W18">
        <f>PortB[[#This Row],[Own]]*PortB[[#This Row],[ARV]]</f>
        <v>427.5</v>
      </c>
      <c r="X18">
        <f t="shared" ref="X18:X19" si="9">J4</f>
        <v>1115</v>
      </c>
      <c r="Y18" s="2">
        <f>PortB[[#This Row],[Own]]*PortB[[#This Row],[Cost]]</f>
        <v>334.5</v>
      </c>
    </row>
    <row r="19" spans="1:25" x14ac:dyDescent="0.25">
      <c r="C19" t="s">
        <v>34</v>
      </c>
      <c r="D19">
        <f>Mkt[[#Totals],[F_w]]/Mkt[[#Totals],[fwrec_LTV]]</f>
        <v>0.65023263878854443</v>
      </c>
      <c r="E19">
        <f>PortA[[#Totals],[lf_w]]/PortA[[#Totals],[lfwr_LTV]]</f>
        <v>0.64990254656995872</v>
      </c>
      <c r="F19">
        <f>PortB[[#Totals],[lf_w]]/PortB[[#Totals],[lfwr_LTV]]</f>
        <v>0.63522225992534787</v>
      </c>
      <c r="I19" t="s">
        <v>2</v>
      </c>
      <c r="J19">
        <v>220</v>
      </c>
      <c r="K19">
        <f>PortB[[#This Row],[LenderFund]]/PortB[[#Totals],[LenderFund]]</f>
        <v>0.42307692307692307</v>
      </c>
      <c r="L19" s="1">
        <f>PortB[[#This Row],[LenderFund]]/E5</f>
        <v>0.19555555555555557</v>
      </c>
      <c r="M19">
        <f t="shared" si="5"/>
        <v>0.5625</v>
      </c>
      <c r="N19">
        <f>PortB[[#This Row],[ol_w]]*PortB[[#This Row],[LTV]]</f>
        <v>0.23798076923076922</v>
      </c>
      <c r="O19">
        <f>PortB[[#This Row],[ol_w]]*M5</f>
        <v>0.75213675213675213</v>
      </c>
      <c r="P19">
        <f>PortB[[#This Row],[lf_w]]*PortB[[#This Row],[LTV]]</f>
        <v>0.23798076923076922</v>
      </c>
      <c r="Q19">
        <f>PortB[[#This Row],[lf_w]]*M5</f>
        <v>0.75213675213675213</v>
      </c>
      <c r="R19">
        <f t="shared" si="6"/>
        <v>0.75</v>
      </c>
      <c r="S19">
        <f t="shared" si="7"/>
        <v>1125</v>
      </c>
      <c r="T19">
        <f>PortB[[#This Row],[Own]]*PortB[[#This Row],[Loan]]</f>
        <v>220</v>
      </c>
      <c r="U19">
        <f>PortB[[#This Row],[Owned Loan]]/PortB[[#Totals],[Owned Loan]]</f>
        <v>0.42307692307692307</v>
      </c>
      <c r="V19">
        <f t="shared" si="8"/>
        <v>2000</v>
      </c>
      <c r="W19">
        <f>PortB[[#This Row],[Own]]*PortB[[#This Row],[ARV]]</f>
        <v>391.11111111111114</v>
      </c>
      <c r="X19">
        <f t="shared" si="9"/>
        <v>1500</v>
      </c>
      <c r="Y19" s="2">
        <f>PortB[[#This Row],[Own]]*PortB[[#This Row],[Cost]]</f>
        <v>293.33333333333337</v>
      </c>
    </row>
    <row r="20" spans="1:25" x14ac:dyDescent="0.25">
      <c r="J20">
        <f>SUBTOTAL(109,PortB[LenderFund])</f>
        <v>520</v>
      </c>
      <c r="K20">
        <f>SUBTOTAL(109,PortB[lf_w])</f>
        <v>1</v>
      </c>
      <c r="L20" s="3"/>
      <c r="M20" s="2"/>
      <c r="N20" s="2">
        <f>SUBTOTAL(109,PortB[olw_LTV])</f>
        <v>0.64283906882591091</v>
      </c>
      <c r="O20" s="2">
        <f>SUBTOTAL(109,PortB[olwr_LTV])</f>
        <v>1.5742521367521367</v>
      </c>
      <c r="P20" s="2">
        <f>SUBTOTAL(109,PortB[lfw_LTV])</f>
        <v>0.64283906882591091</v>
      </c>
      <c r="Q20" s="2">
        <f>SUBTOTAL(109,PortB[lfwr_LTV])</f>
        <v>1.5742521367521367</v>
      </c>
      <c r="R20" s="2"/>
      <c r="S20" s="2"/>
      <c r="T20" s="2">
        <f>SUM(PortB[Owned Loan])</f>
        <v>520</v>
      </c>
      <c r="U20" s="2">
        <f>SUBTOTAL(109,PortB[ol_w])</f>
        <v>1</v>
      </c>
      <c r="V20" s="2"/>
      <c r="W20" s="2">
        <f>SUBTOTAL(109,PortB[Owned ARV])</f>
        <v>818.61111111111109</v>
      </c>
      <c r="X20" s="2"/>
      <c r="Y20" s="2"/>
    </row>
    <row r="21" spans="1:25" x14ac:dyDescent="0.25">
      <c r="B21" t="s">
        <v>28</v>
      </c>
      <c r="N21" s="2"/>
      <c r="O21" s="2"/>
    </row>
    <row r="22" spans="1:25" x14ac:dyDescent="0.25">
      <c r="D22" t="s">
        <v>0</v>
      </c>
      <c r="E22" t="s">
        <v>7</v>
      </c>
      <c r="F22" t="s">
        <v>8</v>
      </c>
      <c r="J22" t="s">
        <v>0</v>
      </c>
      <c r="K22" t="s">
        <v>7</v>
      </c>
      <c r="L22" t="s">
        <v>8</v>
      </c>
      <c r="N22" s="2"/>
      <c r="O22" s="2"/>
      <c r="Q22" t="s">
        <v>0</v>
      </c>
      <c r="R22" t="s">
        <v>7</v>
      </c>
      <c r="S22" t="s">
        <v>8</v>
      </c>
    </row>
    <row r="23" spans="1:25" x14ac:dyDescent="0.25">
      <c r="B23" s="4" t="s">
        <v>31</v>
      </c>
      <c r="C23" t="s">
        <v>15</v>
      </c>
      <c r="D23" s="7">
        <f>Mkt[[#Totals],[Loan]]/D12</f>
        <v>3715.0000000000005</v>
      </c>
      <c r="E23" s="7">
        <f>PortA[[#Totals],[Owned Loan]]/E12</f>
        <v>1738.7222222222222</v>
      </c>
      <c r="F23" s="7">
        <f>PortB[[#Totals],[Owned Loan]]/F12</f>
        <v>818.61111111111109</v>
      </c>
      <c r="H23" s="4" t="s">
        <v>44</v>
      </c>
      <c r="I23" t="s">
        <v>15</v>
      </c>
      <c r="J23" s="7">
        <f>Mkt[[#Totals],[ARV]]*D12</f>
        <v>2325</v>
      </c>
      <c r="K23" s="7">
        <f>PortA[[#Totals],[Owned ARV]]*E12</f>
        <v>1130</v>
      </c>
      <c r="L23" s="7">
        <f>PortB[[#Totals],[Owned ARV]]*F12</f>
        <v>520</v>
      </c>
      <c r="N23" s="2"/>
      <c r="O23" s="11" t="s">
        <v>57</v>
      </c>
      <c r="P23" t="s">
        <v>15</v>
      </c>
      <c r="Q23" s="7">
        <f>D32/$O$26</f>
        <v>2325</v>
      </c>
      <c r="R23" s="7">
        <f t="shared" ref="R23:R30" si="10">E32/$O$27</f>
        <v>2325</v>
      </c>
      <c r="S23" s="7">
        <f>F32/$O$28</f>
        <v>2325</v>
      </c>
    </row>
    <row r="24" spans="1:25" x14ac:dyDescent="0.25">
      <c r="B24" s="5" t="s">
        <v>32</v>
      </c>
      <c r="C24" t="s">
        <v>16</v>
      </c>
      <c r="D24" s="8">
        <f>Mkt[[#Totals],[Loan]]/D13</f>
        <v>3569.7660467906417</v>
      </c>
      <c r="E24" s="8">
        <f>PortA[[#Totals],[Owned Loan]]/E13</f>
        <v>1734.9830679025483</v>
      </c>
      <c r="F24" s="8">
        <f>PortB[[#Totals],[Owned Loan]]/F13</f>
        <v>822.61925411968775</v>
      </c>
      <c r="H24" s="5" t="s">
        <v>45</v>
      </c>
      <c r="I24" t="s">
        <v>16</v>
      </c>
      <c r="J24" s="8">
        <f>Mkt[[#Totals],[ARV]]*D13</f>
        <v>2419.5913364589637</v>
      </c>
      <c r="K24" s="8">
        <f>PortA[[#Totals],[Owned ARV]]*E13</f>
        <v>1132.4353231218213</v>
      </c>
      <c r="L24" s="8">
        <f>PortB[[#Totals],[Owned ARV]]*F13</f>
        <v>517.4663438109161</v>
      </c>
      <c r="N24" s="2"/>
      <c r="O24" s="12" t="s">
        <v>58</v>
      </c>
      <c r="P24" t="s">
        <v>16</v>
      </c>
      <c r="Q24" s="7">
        <f t="shared" ref="Q24:Q30" si="11">D33/$O$26</f>
        <v>2419.5913364589633</v>
      </c>
      <c r="R24" s="7">
        <f t="shared" si="10"/>
        <v>2330.0107312019768</v>
      </c>
      <c r="S24" s="7">
        <f t="shared" ref="S24:S30" si="12">F33/$O$28</f>
        <v>2313.6716333853465</v>
      </c>
    </row>
    <row r="25" spans="1:25" x14ac:dyDescent="0.25">
      <c r="C25" t="s">
        <v>17</v>
      </c>
      <c r="D25" s="8">
        <f>Mkt[[#Totals],[Loan]]/D14</f>
        <v>3587.3719152836188</v>
      </c>
      <c r="E25" s="8">
        <f>PortA[[#Totals],[Owned Loan]]/E14</f>
        <v>1743.5398986109631</v>
      </c>
      <c r="F25" s="8">
        <f>PortB[[#Totals],[Owned Loan]]/F14</f>
        <v>827.65532278439036</v>
      </c>
      <c r="I25" t="s">
        <v>17</v>
      </c>
      <c r="J25" s="8">
        <f>Mkt[[#Totals],[ARV]]*D14</f>
        <v>2407.7166248643966</v>
      </c>
      <c r="K25" s="8">
        <f>PortA[[#Totals],[Owned ARV]]*E14</f>
        <v>1126.8776313500973</v>
      </c>
      <c r="L25" s="8">
        <f>PortB[[#Totals],[Owned ARV]]*F14</f>
        <v>514.31769488984435</v>
      </c>
      <c r="N25" t="s">
        <v>53</v>
      </c>
      <c r="P25" t="s">
        <v>17</v>
      </c>
      <c r="Q25" s="7">
        <f t="shared" si="11"/>
        <v>2407.7166248643966</v>
      </c>
      <c r="R25" s="7">
        <f t="shared" si="10"/>
        <v>2318.5756574238731</v>
      </c>
      <c r="S25" s="7">
        <f t="shared" si="12"/>
        <v>2299.5935396517084</v>
      </c>
    </row>
    <row r="26" spans="1:25" x14ac:dyDescent="0.25">
      <c r="C26" t="s">
        <v>18</v>
      </c>
      <c r="D26" s="8">
        <f>Mkt[[#Totals],[Loan]]/D15</f>
        <v>3605.9027777777778</v>
      </c>
      <c r="E26" s="8">
        <f>PortA[[#Totals],[Owned Loan]]/E15</f>
        <v>1752.5462962962963</v>
      </c>
      <c r="F26" s="8">
        <f>PortB[[#Totals],[Owned Loan]]/F15</f>
        <v>832.72222222222217</v>
      </c>
      <c r="I26" t="s">
        <v>18</v>
      </c>
      <c r="J26" s="8">
        <f>Mkt[[#Totals],[ARV]]*D15</f>
        <v>2395.3432835820895</v>
      </c>
      <c r="K26" s="8">
        <f>PortA[[#Totals],[Owned ARV]]*E15</f>
        <v>1121.0865671641791</v>
      </c>
      <c r="L26" s="8">
        <f>PortB[[#Totals],[Owned ARV]]*F15</f>
        <v>511.18820468343455</v>
      </c>
      <c r="N26" t="s">
        <v>0</v>
      </c>
      <c r="O26">
        <f>Mkt[[#Totals],[Loan]]/Mkt[[#Totals],[Loan]]</f>
        <v>1</v>
      </c>
      <c r="P26" t="s">
        <v>18</v>
      </c>
      <c r="Q26" s="7">
        <f t="shared" si="11"/>
        <v>2395.3432835820895</v>
      </c>
      <c r="R26" s="7">
        <f t="shared" si="10"/>
        <v>2306.6604147404569</v>
      </c>
      <c r="S26" s="7">
        <f t="shared" si="12"/>
        <v>2285.601107478818</v>
      </c>
    </row>
    <row r="27" spans="1:25" x14ac:dyDescent="0.25">
      <c r="A27" t="s">
        <v>47</v>
      </c>
      <c r="C27" t="s">
        <v>23</v>
      </c>
      <c r="D27" s="8">
        <f>Mkt[[#Totals],[Loan]]/D16</f>
        <v>3671.0578160657601</v>
      </c>
      <c r="E27" s="8">
        <f>PortA[[#Totals],[Owned Loan]]/E16</f>
        <v>1721.2987525325245</v>
      </c>
      <c r="F27" s="8">
        <f>PortB[[#Totals],[Owned Loan]]/F16</f>
        <v>808.91163156858886</v>
      </c>
      <c r="I27" t="s">
        <v>23</v>
      </c>
      <c r="J27" s="8">
        <f>Mkt[[#Totals],[ARV]]*D16</f>
        <v>2352.8300105217622</v>
      </c>
      <c r="K27" s="8">
        <f>PortA[[#Totals],[Owned ARV]]*E16</f>
        <v>1141.4381775507538</v>
      </c>
      <c r="L27" s="8">
        <f>PortB[[#Totals],[Owned ARV]]*F16</f>
        <v>526.23520439721096</v>
      </c>
      <c r="N27" t="s">
        <v>51</v>
      </c>
      <c r="O27">
        <f>PortA[[#Totals],[LenderFund]]/Mkt[[#Totals],[Loan]]</f>
        <v>0.48602150537634409</v>
      </c>
      <c r="P27" t="s">
        <v>23</v>
      </c>
      <c r="Q27" s="7">
        <f t="shared" si="11"/>
        <v>2352.8300105217622</v>
      </c>
      <c r="R27" s="7">
        <f t="shared" si="10"/>
        <v>2348.5343033677013</v>
      </c>
      <c r="S27" s="7">
        <f t="shared" si="12"/>
        <v>2352.878558122145</v>
      </c>
    </row>
    <row r="28" spans="1:25" x14ac:dyDescent="0.25">
      <c r="A28" s="9" t="s">
        <v>48</v>
      </c>
      <c r="C28" t="s">
        <v>24</v>
      </c>
      <c r="D28" s="7">
        <f>Mkt[[#Totals],[Loan]]/D17</f>
        <v>3715.0000000000005</v>
      </c>
      <c r="E28" s="7">
        <f>PortA[[#Totals],[Owned Loan]]/E17</f>
        <v>1738.7222222222224</v>
      </c>
      <c r="F28" s="7">
        <f>PortB[[#Totals],[Owned Loan]]/F17</f>
        <v>818.61111111111109</v>
      </c>
      <c r="I28" t="s">
        <v>24</v>
      </c>
      <c r="J28" s="7">
        <f>Mkt[[#Totals],[ARV]]*D17</f>
        <v>2325</v>
      </c>
      <c r="K28" s="7">
        <f>PortA[[#Totals],[Owned ARV]]*E17</f>
        <v>1129.9999999999998</v>
      </c>
      <c r="L28" s="7">
        <f>PortB[[#Totals],[Owned ARV]]*F17</f>
        <v>520</v>
      </c>
      <c r="N28" t="s">
        <v>52</v>
      </c>
      <c r="O28">
        <f>PortB[[#Totals],[LenderFund]]/Mkt[[#Totals],[Loan]]</f>
        <v>0.22365591397849463</v>
      </c>
      <c r="P28" t="s">
        <v>24</v>
      </c>
      <c r="Q28" s="7">
        <f t="shared" si="11"/>
        <v>2325</v>
      </c>
      <c r="R28" s="7">
        <f t="shared" si="10"/>
        <v>2324.9999999999995</v>
      </c>
      <c r="S28" s="7">
        <f t="shared" si="12"/>
        <v>2325</v>
      </c>
    </row>
    <row r="29" spans="1:25" x14ac:dyDescent="0.25">
      <c r="A29" s="10" t="s">
        <v>49</v>
      </c>
      <c r="C29" t="s">
        <v>33</v>
      </c>
      <c r="D29" s="8">
        <f>Mkt[[#Totals],[Loan]]/D18</f>
        <v>3540.5449890663785</v>
      </c>
      <c r="E29" s="8">
        <f>PortA[[#Totals],[Owned Loan]]/E18</f>
        <v>1721.2987525325245</v>
      </c>
      <c r="F29" s="8">
        <f>PortB[[#Totals],[Owned Loan]]/F18</f>
        <v>808.91163156858886</v>
      </c>
      <c r="I29" t="s">
        <v>33</v>
      </c>
      <c r="J29" s="8">
        <f>Mkt[[#Totals],[ARV]]*D18</f>
        <v>2439.5608661020369</v>
      </c>
      <c r="K29" s="8">
        <f>PortA[[#Totals],[Owned ARV]]*E18</f>
        <v>1141.4381775507538</v>
      </c>
      <c r="L29" s="8">
        <f>PortB[[#Totals],[Owned ARV]]*F18</f>
        <v>526.23520439721096</v>
      </c>
      <c r="P29" t="s">
        <v>33</v>
      </c>
      <c r="Q29" s="7">
        <f t="shared" si="11"/>
        <v>2439.5608661020369</v>
      </c>
      <c r="R29" s="7">
        <f t="shared" si="10"/>
        <v>2348.5343033677013</v>
      </c>
      <c r="S29" s="7">
        <f t="shared" si="12"/>
        <v>2352.878558122145</v>
      </c>
    </row>
    <row r="30" spans="1:25" x14ac:dyDescent="0.25">
      <c r="A30" s="6" t="s">
        <v>50</v>
      </c>
      <c r="C30" t="s">
        <v>34</v>
      </c>
      <c r="D30" s="8">
        <f>Mkt[[#Totals],[Loan]]/D19</f>
        <v>3575.643333333333</v>
      </c>
      <c r="E30" s="7">
        <f>PortA[[#Totals],[Owned Loan]]/E19</f>
        <v>1738.7222222222224</v>
      </c>
      <c r="F30" s="7">
        <f>PortB[[#Totals],[Owned Loan]]/F19</f>
        <v>818.61111111111109</v>
      </c>
      <c r="I30" t="s">
        <v>34</v>
      </c>
      <c r="J30" s="8">
        <f>Mkt[[#Totals],[ARV]]*D19</f>
        <v>2415.6142530994425</v>
      </c>
      <c r="K30" s="7">
        <f>PortA[[#Totals],[Owned ARV]]*E19</f>
        <v>1129.9999999999998</v>
      </c>
      <c r="L30" s="7">
        <f>PortB[[#Totals],[Owned ARV]]*F19</f>
        <v>520</v>
      </c>
      <c r="P30" t="s">
        <v>34</v>
      </c>
      <c r="Q30" s="7">
        <f t="shared" si="11"/>
        <v>2415.6142530994425</v>
      </c>
      <c r="R30" s="7">
        <f t="shared" si="10"/>
        <v>2324.9999999999995</v>
      </c>
      <c r="S30" s="7">
        <f t="shared" si="12"/>
        <v>2325</v>
      </c>
    </row>
    <row r="32" spans="1:25" x14ac:dyDescent="0.25">
      <c r="B32" s="4" t="s">
        <v>29</v>
      </c>
      <c r="C32" t="s">
        <v>15</v>
      </c>
      <c r="D32" s="7">
        <f>SUMPRODUCT(Mkt[ARV],B45:B47)</f>
        <v>2325</v>
      </c>
      <c r="E32" s="7">
        <f>SUMPRODUCT(PortA[Owned ARV],B50:B52)</f>
        <v>1130</v>
      </c>
      <c r="F32" s="7">
        <f>SUMPRODUCT(PortB[Owned ARV],B55:B56)</f>
        <v>520</v>
      </c>
      <c r="H32" s="4" t="s">
        <v>46</v>
      </c>
      <c r="I32" t="s">
        <v>15</v>
      </c>
      <c r="J32" s="7">
        <f>$E$4/D12+$E$5/D12+$E$6/D12</f>
        <v>3715.0000000000005</v>
      </c>
      <c r="K32" s="7">
        <f>$J$12/E12+$J$13/E12+$J$14/E12</f>
        <v>1738.7222222222222</v>
      </c>
      <c r="L32" s="7">
        <f>$J$18/F12+$J$19/F12</f>
        <v>818.61111111111109</v>
      </c>
      <c r="O32" s="11" t="s">
        <v>55</v>
      </c>
      <c r="P32" t="s">
        <v>15</v>
      </c>
      <c r="Q32" s="7">
        <f>D23/$O$35</f>
        <v>3715.0000000000005</v>
      </c>
      <c r="R32" s="7">
        <f>E23/$O$36</f>
        <v>3715</v>
      </c>
      <c r="S32" s="7">
        <f>F23/$O$37</f>
        <v>3715</v>
      </c>
    </row>
    <row r="33" spans="1:19" x14ac:dyDescent="0.25">
      <c r="B33" s="5" t="s">
        <v>30</v>
      </c>
      <c r="C33" t="s">
        <v>16</v>
      </c>
      <c r="D33" s="8">
        <f>SUMPRODUCT(Mkt[ARV]*C45:C47)</f>
        <v>2419.5913364589633</v>
      </c>
      <c r="E33" s="8">
        <f>SUMPRODUCT(PortA[Owned ARV],C50:C52)</f>
        <v>1132.4353231218211</v>
      </c>
      <c r="F33" s="8">
        <f>SUMPRODUCT(PortB[Owned ARV],C55:C56)</f>
        <v>517.46634381091621</v>
      </c>
      <c r="H33" s="5" t="s">
        <v>32</v>
      </c>
      <c r="I33" t="s">
        <v>16</v>
      </c>
      <c r="J33" s="8">
        <f t="shared" ref="J33:J39" si="13">$E$4/D13+$E$5/D13+$E$6/D13</f>
        <v>3569.7660467906417</v>
      </c>
      <c r="K33" s="8">
        <f t="shared" ref="K33:K39" si="14">$J$12/E13+$J$13/E13+$J$14/E13</f>
        <v>1734.9830679025486</v>
      </c>
      <c r="L33" s="8">
        <f t="shared" ref="L33:L39" si="15">$J$18/F13+$J$19/F13</f>
        <v>822.61925411968787</v>
      </c>
      <c r="O33" s="12" t="s">
        <v>56</v>
      </c>
      <c r="P33" t="s">
        <v>16</v>
      </c>
      <c r="Q33" s="7">
        <f t="shared" ref="Q33:Q39" si="16">D24/$O$35</f>
        <v>3569.7660467906417</v>
      </c>
      <c r="R33" s="7">
        <f t="shared" ref="R33:R39" si="17">E24/$O$36</f>
        <v>3707.0108237416816</v>
      </c>
      <c r="S33" s="7">
        <f t="shared" ref="S33:S39" si="18">F24/$O$37</f>
        <v>3733.1896520518167</v>
      </c>
    </row>
    <row r="34" spans="1:19" x14ac:dyDescent="0.25">
      <c r="C34" t="s">
        <v>17</v>
      </c>
      <c r="D34" s="8">
        <f>SUMPRODUCT(Mkt[ARV],D45:D47)</f>
        <v>2407.7166248643966</v>
      </c>
      <c r="E34" s="8">
        <f>SUMPRODUCT(PortA[Owned ARV],D50:D52)</f>
        <v>1126.8776313500975</v>
      </c>
      <c r="F34" s="8">
        <f>SUMPRODUCT(PortB[Owned ARV],D55:D56)</f>
        <v>514.31769488984446</v>
      </c>
      <c r="I34" t="s">
        <v>17</v>
      </c>
      <c r="J34" s="8">
        <f t="shared" si="13"/>
        <v>3587.3719152836188</v>
      </c>
      <c r="K34" s="8">
        <f t="shared" si="14"/>
        <v>1743.5398986109633</v>
      </c>
      <c r="L34" s="8">
        <f t="shared" si="15"/>
        <v>827.65532278439036</v>
      </c>
      <c r="N34" t="s">
        <v>54</v>
      </c>
      <c r="P34" t="s">
        <v>17</v>
      </c>
      <c r="Q34" s="7">
        <f t="shared" si="16"/>
        <v>3587.3719152836188</v>
      </c>
      <c r="R34" s="7">
        <f t="shared" si="17"/>
        <v>3725.293575106723</v>
      </c>
      <c r="S34" s="7">
        <f t="shared" si="18"/>
        <v>3756.044210016436</v>
      </c>
    </row>
    <row r="35" spans="1:19" x14ac:dyDescent="0.25">
      <c r="C35" t="s">
        <v>18</v>
      </c>
      <c r="D35" s="8">
        <f>SUMPRODUCT(Mkt[ARV],E45:E47)</f>
        <v>2395.3432835820895</v>
      </c>
      <c r="E35" s="8">
        <f>SUMPRODUCT(PortA[Owned ARV],E50:E52)</f>
        <v>1121.0865671641791</v>
      </c>
      <c r="F35" s="8">
        <f>SUMPRODUCT(PortB[Owned ARV],E55:E56)</f>
        <v>511.18820468343461</v>
      </c>
      <c r="I35" t="s">
        <v>18</v>
      </c>
      <c r="J35" s="8">
        <f t="shared" si="13"/>
        <v>3605.9027777777778</v>
      </c>
      <c r="K35" s="8">
        <f t="shared" si="14"/>
        <v>1752.5462962962965</v>
      </c>
      <c r="L35" s="8">
        <f t="shared" si="15"/>
        <v>832.72222222222217</v>
      </c>
      <c r="N35" t="s">
        <v>0</v>
      </c>
      <c r="O35">
        <f>Mkt[[#Totals],[ARV]]/Mkt[[#Totals],[ARV]]</f>
        <v>1</v>
      </c>
      <c r="P35" t="s">
        <v>18</v>
      </c>
      <c r="Q35" s="7">
        <f t="shared" si="16"/>
        <v>3605.9027777777778</v>
      </c>
      <c r="R35" s="7">
        <f t="shared" si="17"/>
        <v>3744.5368831943429</v>
      </c>
      <c r="S35" s="7">
        <f t="shared" si="18"/>
        <v>3779.0386834068545</v>
      </c>
    </row>
    <row r="36" spans="1:19" x14ac:dyDescent="0.25">
      <c r="C36" t="s">
        <v>23</v>
      </c>
      <c r="D36" s="8">
        <f>SUMPRODUCT(Mkt[ARV],F45:F47)</f>
        <v>2352.8300105217622</v>
      </c>
      <c r="E36" s="8">
        <f>SUMPRODUCT(PortA[Owned ARV],F50:F52)</f>
        <v>1141.4381775507538</v>
      </c>
      <c r="F36" s="8">
        <f>SUMPRODUCT(PortB[Owned ARV],F55:F56)</f>
        <v>526.23520439721096</v>
      </c>
      <c r="I36" t="s">
        <v>23</v>
      </c>
      <c r="J36" s="8">
        <f t="shared" si="13"/>
        <v>3671.0578160657606</v>
      </c>
      <c r="K36" s="8">
        <f t="shared" si="14"/>
        <v>1721.2987525325248</v>
      </c>
      <c r="L36" s="8">
        <f t="shared" si="15"/>
        <v>808.91163156858897</v>
      </c>
      <c r="N36" t="s">
        <v>51</v>
      </c>
      <c r="O36">
        <f>PortA[[#Totals],[Owned ARV]]/Mkt[[#Totals],[ARV]]</f>
        <v>0.46802751607596826</v>
      </c>
      <c r="P36" t="s">
        <v>23</v>
      </c>
      <c r="Q36" s="7">
        <f t="shared" si="16"/>
        <v>3671.0578160657601</v>
      </c>
      <c r="R36" s="7">
        <f t="shared" si="17"/>
        <v>3677.772552699937</v>
      </c>
      <c r="S36" s="7">
        <f t="shared" si="18"/>
        <v>3670.9820701046174</v>
      </c>
    </row>
    <row r="37" spans="1:19" x14ac:dyDescent="0.25">
      <c r="C37" t="s">
        <v>24</v>
      </c>
      <c r="D37" s="7">
        <f>SUMPRODUCT(Mkt[ARV],G45:G47)</f>
        <v>2325</v>
      </c>
      <c r="E37" s="7">
        <f>SUMPRODUCT(PortA[Owned ARV],G50:G52)</f>
        <v>1129.9999999999998</v>
      </c>
      <c r="F37" s="7">
        <f>SUMPRODUCT(PortB[Owned ARV],G55:G56)</f>
        <v>520</v>
      </c>
      <c r="I37" t="s">
        <v>24</v>
      </c>
      <c r="J37" s="7">
        <f t="shared" si="13"/>
        <v>3715.0000000000005</v>
      </c>
      <c r="K37" s="7">
        <f t="shared" si="14"/>
        <v>1738.7222222222224</v>
      </c>
      <c r="L37" s="7">
        <f t="shared" si="15"/>
        <v>818.61111111111109</v>
      </c>
      <c r="N37" t="s">
        <v>52</v>
      </c>
      <c r="O37">
        <f>PortB[[#Totals],[Owned ARV]]/Mkt[[#Totals],[ARV]]</f>
        <v>0.22035292358307162</v>
      </c>
      <c r="P37" t="s">
        <v>24</v>
      </c>
      <c r="Q37" s="7">
        <f t="shared" si="16"/>
        <v>3715.0000000000005</v>
      </c>
      <c r="R37" s="7">
        <f t="shared" si="17"/>
        <v>3715.0000000000005</v>
      </c>
      <c r="S37" s="7">
        <f t="shared" si="18"/>
        <v>3715</v>
      </c>
    </row>
    <row r="38" spans="1:19" x14ac:dyDescent="0.25">
      <c r="C38" t="s">
        <v>33</v>
      </c>
      <c r="D38" s="8">
        <f>SUMPRODUCT(Mkt[ARV],H45:H47)</f>
        <v>2439.5608661020369</v>
      </c>
      <c r="E38" s="8">
        <f>SUMPRODUCT(PortA[Owned ARV],H50:H52)</f>
        <v>1141.4381775507538</v>
      </c>
      <c r="F38" s="8">
        <f>SUMPRODUCT(PortB[Owned ARV],H55:H56)</f>
        <v>526.23520439721096</v>
      </c>
      <c r="I38" t="s">
        <v>33</v>
      </c>
      <c r="J38" s="8">
        <f t="shared" si="13"/>
        <v>3540.5449890663781</v>
      </c>
      <c r="K38" s="8">
        <f t="shared" si="14"/>
        <v>1721.2987525325248</v>
      </c>
      <c r="L38" s="8">
        <f t="shared" si="15"/>
        <v>808.91163156858897</v>
      </c>
      <c r="P38" t="s">
        <v>33</v>
      </c>
      <c r="Q38" s="7">
        <f t="shared" si="16"/>
        <v>3540.5449890663785</v>
      </c>
      <c r="R38" s="7">
        <f t="shared" si="17"/>
        <v>3677.772552699937</v>
      </c>
      <c r="S38" s="7">
        <f t="shared" si="18"/>
        <v>3670.9820701046174</v>
      </c>
    </row>
    <row r="39" spans="1:19" x14ac:dyDescent="0.25">
      <c r="C39" t="s">
        <v>34</v>
      </c>
      <c r="D39" s="8">
        <f>SUMPRODUCT(Mkt[ARV],I45:I47)</f>
        <v>2415.6142530994425</v>
      </c>
      <c r="E39" s="7">
        <f>SUMPRODUCT(PortA[Owned ARV],I50:I52)</f>
        <v>1129.9999999999998</v>
      </c>
      <c r="F39" s="7">
        <f>SUMPRODUCT(PortB[Owned ARV],I55:I56)</f>
        <v>520</v>
      </c>
      <c r="I39" t="s">
        <v>34</v>
      </c>
      <c r="J39" s="8">
        <f t="shared" si="13"/>
        <v>3575.643333333333</v>
      </c>
      <c r="K39" s="7">
        <f t="shared" si="14"/>
        <v>1738.7222222222224</v>
      </c>
      <c r="L39" s="7">
        <f t="shared" si="15"/>
        <v>818.61111111111109</v>
      </c>
      <c r="P39" t="s">
        <v>34</v>
      </c>
      <c r="Q39" s="7">
        <f t="shared" si="16"/>
        <v>3575.643333333333</v>
      </c>
      <c r="R39" s="7">
        <f t="shared" si="17"/>
        <v>3715.0000000000005</v>
      </c>
      <c r="S39" s="7">
        <f t="shared" si="18"/>
        <v>3715</v>
      </c>
    </row>
    <row r="43" spans="1:19" x14ac:dyDescent="0.25">
      <c r="A43" t="s">
        <v>0</v>
      </c>
    </row>
    <row r="44" spans="1:19" x14ac:dyDescent="0.25">
      <c r="B44" t="s">
        <v>15</v>
      </c>
      <c r="C44" t="s">
        <v>16</v>
      </c>
      <c r="D44" t="s">
        <v>17</v>
      </c>
      <c r="E44" t="s">
        <v>18</v>
      </c>
      <c r="F44" t="s">
        <v>23</v>
      </c>
      <c r="G44" t="s">
        <v>24</v>
      </c>
      <c r="H44" t="s">
        <v>33</v>
      </c>
      <c r="I44" t="s">
        <v>34</v>
      </c>
    </row>
    <row r="45" spans="1:19" x14ac:dyDescent="0.25">
      <c r="B45">
        <f>$D$12</f>
        <v>0.62584118438761771</v>
      </c>
      <c r="C45">
        <f>$D$13</f>
        <v>0.65130318612623517</v>
      </c>
      <c r="D45">
        <f>$D$14</f>
        <v>0.64810676308597481</v>
      </c>
      <c r="E45">
        <f>$D$15</f>
        <v>0.64477611940298507</v>
      </c>
      <c r="F45">
        <f>$D$16</f>
        <v>0.63333243890222402</v>
      </c>
      <c r="G45">
        <f>$D$17</f>
        <v>0.62584118438761771</v>
      </c>
      <c r="H45">
        <f>$D$18</f>
        <v>0.6566785642266586</v>
      </c>
      <c r="I45">
        <f>$D$19</f>
        <v>0.65023263878854443</v>
      </c>
    </row>
    <row r="46" spans="1:19" x14ac:dyDescent="0.25">
      <c r="B46">
        <f t="shared" ref="B46:B47" si="19">$D$12</f>
        <v>0.62584118438761771</v>
      </c>
      <c r="C46">
        <f t="shared" ref="C46:C47" si="20">$D$13</f>
        <v>0.65130318612623517</v>
      </c>
      <c r="D46">
        <f t="shared" ref="D46:D47" si="21">$D$14</f>
        <v>0.64810676308597481</v>
      </c>
      <c r="E46">
        <f t="shared" ref="E46:E47" si="22">$D$15</f>
        <v>0.64477611940298507</v>
      </c>
      <c r="F46">
        <f t="shared" ref="F46:F47" si="23">$D$16</f>
        <v>0.63333243890222402</v>
      </c>
      <c r="G46">
        <f t="shared" ref="G46:G47" si="24">$D$17</f>
        <v>0.62584118438761771</v>
      </c>
      <c r="H46">
        <f t="shared" ref="H46:H47" si="25">$D$18</f>
        <v>0.6566785642266586</v>
      </c>
      <c r="I46">
        <f t="shared" ref="I46:I47" si="26">$D$19</f>
        <v>0.65023263878854443</v>
      </c>
    </row>
    <row r="47" spans="1:19" x14ac:dyDescent="0.25">
      <c r="B47">
        <f t="shared" si="19"/>
        <v>0.62584118438761771</v>
      </c>
      <c r="C47">
        <f t="shared" si="20"/>
        <v>0.65130318612623517</v>
      </c>
      <c r="D47">
        <f t="shared" si="21"/>
        <v>0.64810676308597481</v>
      </c>
      <c r="E47">
        <f t="shared" si="22"/>
        <v>0.64477611940298507</v>
      </c>
      <c r="F47">
        <f t="shared" si="23"/>
        <v>0.63333243890222402</v>
      </c>
      <c r="G47">
        <f t="shared" si="24"/>
        <v>0.62584118438761771</v>
      </c>
      <c r="H47">
        <f t="shared" si="25"/>
        <v>0.6566785642266586</v>
      </c>
      <c r="I47">
        <f t="shared" si="26"/>
        <v>0.65023263878854443</v>
      </c>
    </row>
    <row r="48" spans="1:19" x14ac:dyDescent="0.25">
      <c r="A48" t="s">
        <v>7</v>
      </c>
    </row>
    <row r="49" spans="1:9" x14ac:dyDescent="0.25">
      <c r="B49" t="s">
        <v>15</v>
      </c>
      <c r="C49" t="s">
        <v>16</v>
      </c>
      <c r="D49" t="s">
        <v>17</v>
      </c>
      <c r="E49" t="s">
        <v>18</v>
      </c>
      <c r="F49" t="s">
        <v>23</v>
      </c>
      <c r="G49" t="s">
        <v>24</v>
      </c>
      <c r="H49" t="s">
        <v>33</v>
      </c>
      <c r="I49" t="s">
        <v>34</v>
      </c>
    </row>
    <row r="50" spans="1:9" x14ac:dyDescent="0.25">
      <c r="B50">
        <f>$E$12</f>
        <v>0.64990254656995883</v>
      </c>
      <c r="C50">
        <f>$E$13</f>
        <v>0.65130318612623517</v>
      </c>
      <c r="D50">
        <f>$E$14</f>
        <v>0.64810676308597481</v>
      </c>
      <c r="E50">
        <f>$E$15</f>
        <v>0.64477611940298507</v>
      </c>
      <c r="F50">
        <f>$E$16</f>
        <v>0.65648104278089181</v>
      </c>
      <c r="G50">
        <f>$E$17</f>
        <v>0.64990254656995872</v>
      </c>
      <c r="H50">
        <f>$E$18</f>
        <v>0.65648104278089181</v>
      </c>
      <c r="I50">
        <f>$E$19</f>
        <v>0.64990254656995872</v>
      </c>
    </row>
    <row r="51" spans="1:9" x14ac:dyDescent="0.25">
      <c r="B51">
        <f t="shared" ref="B51:B52" si="27">$E$12</f>
        <v>0.64990254656995883</v>
      </c>
      <c r="C51">
        <f t="shared" ref="C51:C52" si="28">$E$13</f>
        <v>0.65130318612623517</v>
      </c>
      <c r="D51">
        <f t="shared" ref="D51:D52" si="29">$E$14</f>
        <v>0.64810676308597481</v>
      </c>
      <c r="E51">
        <f t="shared" ref="E51:E52" si="30">$E$15</f>
        <v>0.64477611940298507</v>
      </c>
      <c r="F51">
        <f t="shared" ref="F51:F52" si="31">$E$16</f>
        <v>0.65648104278089181</v>
      </c>
      <c r="G51">
        <f t="shared" ref="G51:G52" si="32">$E$17</f>
        <v>0.64990254656995872</v>
      </c>
      <c r="H51">
        <f t="shared" ref="H51:H52" si="33">$E$18</f>
        <v>0.65648104278089181</v>
      </c>
      <c r="I51">
        <f t="shared" ref="I51:I52" si="34">$E$19</f>
        <v>0.64990254656995872</v>
      </c>
    </row>
    <row r="52" spans="1:9" x14ac:dyDescent="0.25">
      <c r="B52">
        <f t="shared" si="27"/>
        <v>0.64990254656995883</v>
      </c>
      <c r="C52">
        <f t="shared" si="28"/>
        <v>0.65130318612623517</v>
      </c>
      <c r="D52">
        <f t="shared" si="29"/>
        <v>0.64810676308597481</v>
      </c>
      <c r="E52">
        <f t="shared" si="30"/>
        <v>0.64477611940298507</v>
      </c>
      <c r="F52">
        <f t="shared" si="31"/>
        <v>0.65648104278089181</v>
      </c>
      <c r="G52">
        <f t="shared" si="32"/>
        <v>0.64990254656995872</v>
      </c>
      <c r="H52">
        <f t="shared" si="33"/>
        <v>0.65648104278089181</v>
      </c>
      <c r="I52">
        <f t="shared" si="34"/>
        <v>0.64990254656995872</v>
      </c>
    </row>
    <row r="53" spans="1:9" x14ac:dyDescent="0.25">
      <c r="A53" t="s">
        <v>8</v>
      </c>
    </row>
    <row r="54" spans="1:9" x14ac:dyDescent="0.25">
      <c r="B54" t="s">
        <v>15</v>
      </c>
      <c r="C54" t="s">
        <v>16</v>
      </c>
      <c r="D54" t="s">
        <v>17</v>
      </c>
      <c r="E54" t="s">
        <v>18</v>
      </c>
      <c r="F54" t="s">
        <v>23</v>
      </c>
      <c r="G54" t="s">
        <v>24</v>
      </c>
      <c r="H54" t="s">
        <v>33</v>
      </c>
      <c r="I54" t="s">
        <v>34</v>
      </c>
    </row>
    <row r="55" spans="1:9" x14ac:dyDescent="0.25">
      <c r="B55">
        <f>$F$12</f>
        <v>0.63522225992534787</v>
      </c>
      <c r="C55">
        <f>$F$13</f>
        <v>0.63212719298245612</v>
      </c>
      <c r="D55">
        <f>$F$14</f>
        <v>0.62828086243754322</v>
      </c>
      <c r="E55">
        <f>$F$15</f>
        <v>0.62445793581960107</v>
      </c>
      <c r="F55">
        <f>$F$16</f>
        <v>0.64283906882591091</v>
      </c>
      <c r="G55">
        <f>$F$17</f>
        <v>0.63522225992534787</v>
      </c>
      <c r="H55">
        <f>$F$18</f>
        <v>0.64283906882591091</v>
      </c>
      <c r="I55">
        <f>$F$19</f>
        <v>0.63522225992534787</v>
      </c>
    </row>
    <row r="56" spans="1:9" x14ac:dyDescent="0.25">
      <c r="B56">
        <f t="shared" ref="B56" si="35">$F$12</f>
        <v>0.63522225992534787</v>
      </c>
      <c r="C56">
        <f t="shared" ref="C56" si="36">$F$13</f>
        <v>0.63212719298245612</v>
      </c>
      <c r="D56">
        <f t="shared" ref="D56" si="37">$F$14</f>
        <v>0.62828086243754322</v>
      </c>
      <c r="E56">
        <f t="shared" ref="E56" si="38">$F$15</f>
        <v>0.62445793581960107</v>
      </c>
      <c r="F56">
        <f t="shared" ref="F56" si="39">$F$16</f>
        <v>0.64283906882591091</v>
      </c>
      <c r="G56">
        <f>$F$17</f>
        <v>0.63522225992534787</v>
      </c>
      <c r="H56">
        <f t="shared" ref="H56" si="40">$F$18</f>
        <v>0.64283906882591091</v>
      </c>
      <c r="I56">
        <f t="shared" ref="I56" si="41">$F$19</f>
        <v>0.63522225992534787</v>
      </c>
    </row>
  </sheetData>
  <conditionalFormatting sqref="D23">
    <cfRule type="cellIs" dxfId="482" priority="35" operator="greaterThan">
      <formula>$I$7</formula>
    </cfRule>
  </conditionalFormatting>
  <conditionalFormatting sqref="D23:D30 J32:J39">
    <cfRule type="cellIs" dxfId="481" priority="32" operator="equal">
      <formula>$I$7</formula>
    </cfRule>
    <cfRule type="cellIs" dxfId="480" priority="33" operator="lessThan">
      <formula>$I$7</formula>
    </cfRule>
    <cfRule type="cellIs" dxfId="479" priority="34" operator="greaterThan">
      <formula>$I$7</formula>
    </cfRule>
  </conditionalFormatting>
  <conditionalFormatting sqref="J23:J30 D32:D39">
    <cfRule type="cellIs" dxfId="478" priority="29" operator="equal">
      <formula>$E$7</formula>
    </cfRule>
    <cfRule type="cellIs" dxfId="477" priority="30" operator="lessThan">
      <formula>$E$7</formula>
    </cfRule>
    <cfRule type="cellIs" dxfId="476" priority="31" operator="greaterThan">
      <formula>$E$7</formula>
    </cfRule>
  </conditionalFormatting>
  <conditionalFormatting sqref="E23:E30 K32:K39">
    <cfRule type="cellIs" dxfId="475" priority="26" operator="lessThan">
      <formula>$W$15</formula>
    </cfRule>
    <cfRule type="cellIs" dxfId="474" priority="27" operator="greaterThan">
      <formula>$W$15</formula>
    </cfRule>
    <cfRule type="cellIs" dxfId="473" priority="28" operator="equal">
      <formula>$W$15</formula>
    </cfRule>
  </conditionalFormatting>
  <conditionalFormatting sqref="E32:E39 K23:K30">
    <cfRule type="cellIs" dxfId="472" priority="23" operator="equal">
      <formula>$J$15</formula>
    </cfRule>
    <cfRule type="cellIs" dxfId="471" priority="24" operator="lessThan">
      <formula>$J$15</formula>
    </cfRule>
    <cfRule type="cellIs" dxfId="470" priority="25" operator="greaterThan">
      <formula>$J$15</formula>
    </cfRule>
  </conditionalFormatting>
  <conditionalFormatting sqref="F23:F30 L32:L39">
    <cfRule type="cellIs" dxfId="469" priority="20" operator="equal">
      <formula>$W$20</formula>
    </cfRule>
    <cfRule type="cellIs" dxfId="468" priority="21" operator="lessThan">
      <formula>$W$20</formula>
    </cfRule>
    <cfRule type="cellIs" dxfId="467" priority="22" operator="greaterThan">
      <formula>$W$20</formula>
    </cfRule>
  </conditionalFormatting>
  <conditionalFormatting sqref="F32:F39 L23:L30">
    <cfRule type="cellIs" dxfId="466" priority="17" operator="equal">
      <formula>$J$20</formula>
    </cfRule>
    <cfRule type="cellIs" dxfId="465" priority="18" operator="lessThan">
      <formula>$J$20</formula>
    </cfRule>
    <cfRule type="cellIs" dxfId="464" priority="19" operator="greaterThan">
      <formula>$J$20</formula>
    </cfRule>
  </conditionalFormatting>
  <conditionalFormatting sqref="Q23:S30">
    <cfRule type="cellIs" dxfId="463" priority="5" operator="equal">
      <formula>$E$7</formula>
    </cfRule>
    <cfRule type="cellIs" dxfId="462" priority="6" operator="lessThan">
      <formula>$E$7</formula>
    </cfRule>
    <cfRule type="cellIs" dxfId="461" priority="7" operator="greaterThan">
      <formula>$E$7</formula>
    </cfRule>
  </conditionalFormatting>
  <conditionalFormatting sqref="Q32:S39">
    <cfRule type="cellIs" dxfId="460" priority="4" operator="greaterThan">
      <formula>$I$7</formula>
    </cfRule>
  </conditionalFormatting>
  <conditionalFormatting sqref="Q32:S39">
    <cfRule type="cellIs" dxfId="459" priority="1" operator="equal">
      <formula>$I$7</formula>
    </cfRule>
    <cfRule type="cellIs" dxfId="458" priority="2" operator="lessThan">
      <formula>$I$7</formula>
    </cfRule>
    <cfRule type="cellIs" dxfId="457" priority="3" operator="greaterThan">
      <formula>$I$7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415EC-D243-4275-B4D0-6749F80FB9D3}">
  <dimension ref="A3:Y56"/>
  <sheetViews>
    <sheetView workbookViewId="0">
      <selection activeCell="E23" sqref="E23"/>
    </sheetView>
  </sheetViews>
  <sheetFormatPr defaultRowHeight="15" x14ac:dyDescent="0.25"/>
  <cols>
    <col min="7" max="7" width="11.7109375" customWidth="1"/>
    <col min="15" max="15" width="14.140625" customWidth="1"/>
    <col min="16" max="16" width="14" customWidth="1"/>
    <col min="17" max="17" width="15" customWidth="1"/>
    <col min="18" max="18" width="13.7109375" customWidth="1"/>
    <col min="19" max="19" width="14" customWidth="1"/>
    <col min="24" max="24" width="13.7109375" customWidth="1"/>
  </cols>
  <sheetData>
    <row r="3" spans="3:25" x14ac:dyDescent="0.25">
      <c r="C3" t="s">
        <v>0</v>
      </c>
      <c r="D3" t="s">
        <v>5</v>
      </c>
      <c r="E3" t="s">
        <v>4</v>
      </c>
      <c r="F3" t="s">
        <v>21</v>
      </c>
      <c r="G3" t="s">
        <v>13</v>
      </c>
      <c r="H3" t="s">
        <v>35</v>
      </c>
      <c r="I3" t="s">
        <v>6</v>
      </c>
      <c r="J3" t="s">
        <v>9</v>
      </c>
      <c r="K3" t="s">
        <v>10</v>
      </c>
      <c r="L3" t="s">
        <v>22</v>
      </c>
      <c r="M3" t="s">
        <v>25</v>
      </c>
      <c r="N3" t="s">
        <v>26</v>
      </c>
      <c r="O3" t="s">
        <v>11</v>
      </c>
      <c r="P3" t="s">
        <v>36</v>
      </c>
      <c r="Q3" t="s">
        <v>37</v>
      </c>
    </row>
    <row r="4" spans="3:25" x14ac:dyDescent="0.25">
      <c r="C4" t="s">
        <v>1</v>
      </c>
      <c r="D4">
        <v>10</v>
      </c>
      <c r="E4">
        <v>1000</v>
      </c>
      <c r="F4">
        <f>Mkt_5[[#This Row],[Loan]]/Mkt_5[[#Totals],[Loan]]</f>
        <v>0.33333333333333331</v>
      </c>
      <c r="G4">
        <f>J12+J18</f>
        <v>880</v>
      </c>
      <c r="H4">
        <f>Mkt_5[[#This Row],[Funded]]/Mkt_5[[#Totals],[Funded]]</f>
        <v>0.46933333333333332</v>
      </c>
      <c r="I4">
        <v>1425</v>
      </c>
      <c r="J4">
        <v>1115</v>
      </c>
      <c r="K4">
        <f>Mkt_5[[#This Row],[Loan]]/Mkt_5[[#This Row],[ARV]]</f>
        <v>0.70175438596491224</v>
      </c>
      <c r="L4">
        <f>Mkt_5[[#This Row],[L_w]]*Mkt_5[[#This Row],[LTV]]</f>
        <v>0.23391812865497075</v>
      </c>
      <c r="M4">
        <f>1/Mkt_5[[#This Row],[LTV]]</f>
        <v>1.425</v>
      </c>
      <c r="N4">
        <f>Mkt_5[[#This Row],[L_w]]*Mkt_5[[#This Row],[rec_LTV]]</f>
        <v>0.47499999999999998</v>
      </c>
      <c r="O4">
        <f>Mkt_5[[#This Row],[Loan]]/Mkt_5[[#This Row],[Cost]]</f>
        <v>0.89686098654708524</v>
      </c>
      <c r="P4" s="2">
        <f>Mkt_5[[#This Row],[F_w]]*Mkt_5[[#This Row],[LTV]]</f>
        <v>0.32935672514619879</v>
      </c>
      <c r="Q4" s="2">
        <f>Mkt_5[[#This Row],[F_w]]*Mkt_5[[#This Row],[rec_LTV]]</f>
        <v>0.66880000000000006</v>
      </c>
    </row>
    <row r="5" spans="3:25" x14ac:dyDescent="0.25">
      <c r="C5" t="s">
        <v>2</v>
      </c>
      <c r="D5">
        <v>12.5</v>
      </c>
      <c r="E5">
        <v>1000</v>
      </c>
      <c r="F5">
        <f>Mkt_5[[#This Row],[Loan]]/Mkt_5[[#Totals],[Loan]]</f>
        <v>0.33333333333333331</v>
      </c>
      <c r="G5">
        <f>J13+J19</f>
        <v>570</v>
      </c>
      <c r="H5">
        <f>Mkt_5[[#This Row],[Funded]]/Mkt_5[[#Totals],[Funded]]</f>
        <v>0.30399999999999999</v>
      </c>
      <c r="I5">
        <v>2000</v>
      </c>
      <c r="J5">
        <v>1500</v>
      </c>
      <c r="K5">
        <f>Mkt_5[[#This Row],[Loan]]/Mkt_5[[#This Row],[ARV]]</f>
        <v>0.5</v>
      </c>
      <c r="L5">
        <f>Mkt_5[[#This Row],[L_w]]*Mkt_5[[#This Row],[LTV]]</f>
        <v>0.16666666666666666</v>
      </c>
      <c r="M5">
        <f>1/Mkt_5[[#This Row],[LTV]]</f>
        <v>2</v>
      </c>
      <c r="N5">
        <f>Mkt_5[[#This Row],[L_w]]*Mkt_5[[#This Row],[rec_LTV]]</f>
        <v>0.66666666666666663</v>
      </c>
      <c r="O5">
        <f>Mkt_5[[#This Row],[Loan]]/Mkt_5[[#This Row],[Cost]]</f>
        <v>0.66666666666666663</v>
      </c>
      <c r="P5" s="2">
        <f>Mkt_5[[#This Row],[F_w]]*Mkt_5[[#This Row],[LTV]]</f>
        <v>0.152</v>
      </c>
      <c r="Q5" s="2">
        <f>Mkt_5[[#This Row],[F_w]]*Mkt_5[[#This Row],[rec_LTV]]</f>
        <v>0.60799999999999998</v>
      </c>
    </row>
    <row r="6" spans="3:25" x14ac:dyDescent="0.25">
      <c r="C6" t="s">
        <v>3</v>
      </c>
      <c r="D6">
        <v>11</v>
      </c>
      <c r="E6">
        <v>1000</v>
      </c>
      <c r="F6">
        <f>Mkt_5[[#This Row],[Loan]]/Mkt_5[[#Totals],[Loan]]</f>
        <v>0.33333333333333331</v>
      </c>
      <c r="G6">
        <f>J14+X14</f>
        <v>425</v>
      </c>
      <c r="H6">
        <f>Mkt_5[[#This Row],[Funded]]/Mkt_5[[#Totals],[Funded]]</f>
        <v>0.22666666666666666</v>
      </c>
      <c r="I6">
        <v>290</v>
      </c>
      <c r="J6">
        <v>225</v>
      </c>
      <c r="K6">
        <f>Mkt_5[[#This Row],[Loan]]/Mkt_5[[#This Row],[ARV]]</f>
        <v>3.4482758620689653</v>
      </c>
      <c r="L6">
        <f>Mkt_5[[#This Row],[L_w]]*Mkt_5[[#This Row],[LTV]]</f>
        <v>1.1494252873563218</v>
      </c>
      <c r="M6">
        <f>1/Mkt_5[[#This Row],[LTV]]</f>
        <v>0.29000000000000004</v>
      </c>
      <c r="N6">
        <f>Mkt_5[[#This Row],[L_w]]*Mkt_5[[#This Row],[rec_LTV]]</f>
        <v>9.6666666666666679E-2</v>
      </c>
      <c r="O6">
        <f>Mkt_5[[#This Row],[Loan]]/Mkt_5[[#This Row],[Cost]]</f>
        <v>4.4444444444444446</v>
      </c>
      <c r="P6" s="2">
        <f>Mkt_5[[#This Row],[F_w]]*Mkt_5[[#This Row],[LTV]]</f>
        <v>0.78160919540229878</v>
      </c>
      <c r="Q6" s="2">
        <f>Mkt_5[[#This Row],[F_w]]*Mkt_5[[#This Row],[rec_LTV]]</f>
        <v>6.5733333333333338E-2</v>
      </c>
    </row>
    <row r="7" spans="3:25" x14ac:dyDescent="0.25">
      <c r="E7">
        <f>SUM(Mkt_5[Loan])</f>
        <v>3000</v>
      </c>
      <c r="F7">
        <f>SUBTOTAL(109,Mkt_5[L_w])</f>
        <v>1</v>
      </c>
      <c r="G7">
        <f>SUM(Mkt_5[Funded])</f>
        <v>1875</v>
      </c>
      <c r="H7">
        <f>SUBTOTAL(109,Mkt_5[F_w])</f>
        <v>1</v>
      </c>
      <c r="I7">
        <f>SUM(Mkt_5[ARV])</f>
        <v>3715</v>
      </c>
      <c r="J7">
        <f>SUM(Mkt_5[Funded])</f>
        <v>1875</v>
      </c>
      <c r="K7" s="2"/>
      <c r="L7" s="2">
        <f>SUBTOTAL(109,Mkt_5[w_LTV])</f>
        <v>1.550010082677959</v>
      </c>
      <c r="M7" s="2"/>
      <c r="N7" s="2">
        <f>SUBTOTAL(109,Mkt_5[wrec_LTV])</f>
        <v>1.2383333333333333</v>
      </c>
      <c r="O7" s="2"/>
      <c r="P7">
        <f>SUBTOTAL(109,Mkt_5[fw_LTV])</f>
        <v>1.2629659205484975</v>
      </c>
      <c r="Q7">
        <f>SUBTOTAL(109,Mkt_5[fwrec_LTV])</f>
        <v>1.3425333333333336</v>
      </c>
    </row>
    <row r="10" spans="3:25" x14ac:dyDescent="0.25">
      <c r="D10" t="s">
        <v>0</v>
      </c>
      <c r="E10" t="s">
        <v>7</v>
      </c>
      <c r="F10" t="s">
        <v>8</v>
      </c>
    </row>
    <row r="11" spans="3:25" x14ac:dyDescent="0.25">
      <c r="C11" t="s">
        <v>10</v>
      </c>
      <c r="I11" t="s">
        <v>7</v>
      </c>
      <c r="J11" t="s">
        <v>12</v>
      </c>
      <c r="K11" t="s">
        <v>38</v>
      </c>
      <c r="L11" t="s">
        <v>14</v>
      </c>
      <c r="M11" t="s">
        <v>10</v>
      </c>
      <c r="N11" t="s">
        <v>39</v>
      </c>
      <c r="O11" t="s">
        <v>42</v>
      </c>
      <c r="P11" t="s">
        <v>41</v>
      </c>
      <c r="Q11" t="s">
        <v>43</v>
      </c>
      <c r="R11" t="s">
        <v>11</v>
      </c>
      <c r="S11" t="s">
        <v>4</v>
      </c>
      <c r="T11" t="s">
        <v>19</v>
      </c>
      <c r="U11" t="s">
        <v>40</v>
      </c>
      <c r="V11" t="s">
        <v>6</v>
      </c>
      <c r="W11" t="s">
        <v>27</v>
      </c>
      <c r="X11" t="s">
        <v>9</v>
      </c>
      <c r="Y11" t="s">
        <v>20</v>
      </c>
    </row>
    <row r="12" spans="3:25" x14ac:dyDescent="0.25">
      <c r="C12" t="s">
        <v>15</v>
      </c>
      <c r="D12">
        <f>Mkt_5[[#Totals],[Loan]]/Mkt_5[[#Totals],[ARV]]</f>
        <v>0.80753701211305517</v>
      </c>
      <c r="E12">
        <f>PortA6[[#Totals],[Owned Loan]]/PortA6[[#Totals],[Owned ARV]]</f>
        <v>0.71315872514988954</v>
      </c>
      <c r="F12">
        <f>PortB7[[#Totals],[Owned Loan]]/PortB7[[#Totals],[Owned ARV]]</f>
        <v>0.59942363112391928</v>
      </c>
      <c r="I12" t="s">
        <v>1</v>
      </c>
      <c r="J12">
        <v>580</v>
      </c>
      <c r="K12">
        <f>PortA6[[#This Row],[LenderFund]]/PortA6[[#Totals],[LenderFund]]</f>
        <v>0.51327433628318586</v>
      </c>
      <c r="L12" s="1">
        <f>PortA6[[#This Row],[LenderFund]]/E4</f>
        <v>0.57999999999999996</v>
      </c>
      <c r="M12">
        <f t="shared" ref="M12:M14" si="0">K4</f>
        <v>0.70175438596491224</v>
      </c>
      <c r="N12">
        <f>PortA6[[#This Row],[ol_w]]*PortA6[[#This Row],[LTV]]</f>
        <v>0.36019251668995494</v>
      </c>
      <c r="O12">
        <f>PortA6[[#This Row],[ol_w]]*(1/PortA6[[#This Row],[LTV]])</f>
        <v>0.73141592920353993</v>
      </c>
      <c r="P12">
        <f>PortA6[[#This Row],[lf_w]]*PortA6[[#This Row],[LTV]]</f>
        <v>0.36019251668995494</v>
      </c>
      <c r="Q12">
        <f>PortA6[[#This Row],[lf_w]]*M4</f>
        <v>0.73141592920353993</v>
      </c>
      <c r="R12">
        <f t="shared" ref="R12:R14" si="1">O4</f>
        <v>0.89686098654708524</v>
      </c>
      <c r="S12">
        <f t="shared" ref="S12:S14" si="2">E4</f>
        <v>1000</v>
      </c>
      <c r="T12">
        <f>PortA6[[#This Row],[Own]]*PortA6[[#This Row],[Loan]]</f>
        <v>580</v>
      </c>
      <c r="U12">
        <f>PortA6[[#This Row],[Owned Loan]]/PortA6[[#Totals],[Owned Loan]]</f>
        <v>0.51327433628318586</v>
      </c>
      <c r="V12">
        <f t="shared" ref="V12:V14" si="3">I4</f>
        <v>1425</v>
      </c>
      <c r="W12">
        <f>PortA6[[#This Row],[Own]]*PortA6[[#This Row],[ARV]]</f>
        <v>826.49999999999989</v>
      </c>
      <c r="X12">
        <f t="shared" ref="X12:X14" si="4">J4</f>
        <v>1115</v>
      </c>
      <c r="Y12" s="2">
        <f>PortA6[[#This Row],[Own]]*PortA6[[#This Row],[Cost]]</f>
        <v>646.69999999999993</v>
      </c>
    </row>
    <row r="13" spans="3:25" x14ac:dyDescent="0.25">
      <c r="C13" t="s">
        <v>16</v>
      </c>
      <c r="D13">
        <f>AVERAGE(Mkt_5[LTV])</f>
        <v>1.550010082677959</v>
      </c>
      <c r="E13">
        <f>AVERAGE(PortA6[LTV])</f>
        <v>1.550010082677959</v>
      </c>
      <c r="F13">
        <f>AVERAGE(PortB7[LTV])</f>
        <v>0.60087719298245612</v>
      </c>
      <c r="I13" t="s">
        <v>2</v>
      </c>
      <c r="J13">
        <v>350</v>
      </c>
      <c r="K13">
        <f>PortA6[[#This Row],[LenderFund]]/PortA6[[#Totals],[LenderFund]]</f>
        <v>0.30973451327433627</v>
      </c>
      <c r="L13" s="1">
        <f>PortA6[[#This Row],[LenderFund]]/E5</f>
        <v>0.35</v>
      </c>
      <c r="M13">
        <f t="shared" si="0"/>
        <v>0.5</v>
      </c>
      <c r="N13">
        <f>PortA6[[#This Row],[ol_w]]*PortA6[[#This Row],[LTV]]</f>
        <v>0.15486725663716813</v>
      </c>
      <c r="O13">
        <f>PortA6[[#This Row],[ol_w]]*(1/PortA6[[#This Row],[LTV]])</f>
        <v>0.61946902654867253</v>
      </c>
      <c r="P13">
        <f>PortA6[[#This Row],[lf_w]]*PortA6[[#This Row],[LTV]]</f>
        <v>0.15486725663716813</v>
      </c>
      <c r="Q13">
        <f>PortA6[[#This Row],[lf_w]]*M5</f>
        <v>0.61946902654867253</v>
      </c>
      <c r="R13">
        <f t="shared" si="1"/>
        <v>0.66666666666666663</v>
      </c>
      <c r="S13">
        <f t="shared" si="2"/>
        <v>1000</v>
      </c>
      <c r="T13">
        <f>PortA6[[#This Row],[Own]]*PortA6[[#This Row],[Loan]]</f>
        <v>350</v>
      </c>
      <c r="U13">
        <f>PortA6[[#This Row],[Owned Loan]]/PortA6[[#Totals],[Owned Loan]]</f>
        <v>0.30973451327433627</v>
      </c>
      <c r="V13">
        <f t="shared" si="3"/>
        <v>2000</v>
      </c>
      <c r="W13">
        <f>PortA6[[#This Row],[Own]]*PortA6[[#This Row],[ARV]]</f>
        <v>700</v>
      </c>
      <c r="X13">
        <f t="shared" si="4"/>
        <v>1500</v>
      </c>
      <c r="Y13" s="2">
        <f>PortA6[[#This Row],[Own]]*PortA6[[#This Row],[Cost]]</f>
        <v>525</v>
      </c>
    </row>
    <row r="14" spans="3:25" x14ac:dyDescent="0.25">
      <c r="C14" t="s">
        <v>17</v>
      </c>
      <c r="D14">
        <f>GEOMEAN(Mkt_5[LTV])</f>
        <v>1.0655791497185789</v>
      </c>
      <c r="E14">
        <f>GEOMEAN(PortA6[LTV])</f>
        <v>1.0655791497185789</v>
      </c>
      <c r="F14">
        <f>GEOMEAN(PortB7[LTV])</f>
        <v>0.59234887775909228</v>
      </c>
      <c r="I14" t="s">
        <v>3</v>
      </c>
      <c r="J14">
        <v>200</v>
      </c>
      <c r="K14">
        <f>PortA6[[#This Row],[LenderFund]]/PortA6[[#Totals],[LenderFund]]</f>
        <v>0.17699115044247787</v>
      </c>
      <c r="L14" s="1">
        <f>PortA6[[#This Row],[LenderFund]]/E6</f>
        <v>0.2</v>
      </c>
      <c r="M14">
        <f t="shared" si="0"/>
        <v>3.4482758620689653</v>
      </c>
      <c r="N14">
        <f>PortA6[[#This Row],[ol_w]]*PortA6[[#This Row],[LTV]]</f>
        <v>0.61031431187061336</v>
      </c>
      <c r="O14">
        <f>PortA6[[#This Row],[ol_w]]*(1/PortA6[[#This Row],[LTV]])</f>
        <v>5.132743362831859E-2</v>
      </c>
      <c r="P14">
        <f>PortA6[[#This Row],[lf_w]]*PortA6[[#This Row],[LTV]]</f>
        <v>0.61031431187061336</v>
      </c>
      <c r="Q14">
        <f>PortA6[[#This Row],[lf_w]]*M6</f>
        <v>5.132743362831859E-2</v>
      </c>
      <c r="R14">
        <f t="shared" si="1"/>
        <v>4.4444444444444446</v>
      </c>
      <c r="S14">
        <f t="shared" si="2"/>
        <v>1000</v>
      </c>
      <c r="T14">
        <f>PortA6[[#This Row],[Own]]*PortA6[[#This Row],[Loan]]</f>
        <v>200</v>
      </c>
      <c r="U14">
        <f>PortA6[[#This Row],[Owned Loan]]/PortA6[[#Totals],[Owned Loan]]</f>
        <v>0.17699115044247787</v>
      </c>
      <c r="V14">
        <f t="shared" si="3"/>
        <v>290</v>
      </c>
      <c r="W14">
        <f>PortA6[[#This Row],[Own]]*PortA6[[#This Row],[ARV]]</f>
        <v>58</v>
      </c>
      <c r="X14">
        <f t="shared" si="4"/>
        <v>225</v>
      </c>
      <c r="Y14" s="2">
        <f>PortA6[[#This Row],[Own]]*PortA6[[#This Row],[Cost]]</f>
        <v>45</v>
      </c>
    </row>
    <row r="15" spans="3:25" x14ac:dyDescent="0.25">
      <c r="C15" t="s">
        <v>18</v>
      </c>
      <c r="D15">
        <f>HARMEAN(Mkt_5[LTV])</f>
        <v>0.80753701211305517</v>
      </c>
      <c r="E15">
        <f>HARMEAN(PortA6[LTV])</f>
        <v>0.80753701211305517</v>
      </c>
      <c r="F15">
        <f>HARMEAN(PortB7[LTV])</f>
        <v>0.58394160583941612</v>
      </c>
      <c r="J15">
        <f>SUBTOTAL(109,PortA6[LenderFund])</f>
        <v>1130</v>
      </c>
      <c r="K15">
        <f>SUBTOTAL(109,PortA6[lf_w])</f>
        <v>1</v>
      </c>
      <c r="L15" s="3"/>
      <c r="M15" s="2"/>
      <c r="N15" s="2">
        <f>SUBTOTAL(109,PortA6[olw_LTV])</f>
        <v>1.1253740851977363</v>
      </c>
      <c r="O15" s="2">
        <f>SUBTOTAL(109,PortA6[olwr_LTV])</f>
        <v>1.4022123893805309</v>
      </c>
      <c r="P15" s="2">
        <f>SUBTOTAL(109,PortA6[lfw_LTV])</f>
        <v>1.1253740851977363</v>
      </c>
      <c r="Q15" s="2">
        <f>SUBTOTAL(109,PortA6[lfwr_LTV])</f>
        <v>1.4022123893805309</v>
      </c>
      <c r="R15" s="2"/>
      <c r="S15" s="2"/>
      <c r="T15" s="2">
        <f>SUM(PortA6[Owned Loan])</f>
        <v>1130</v>
      </c>
      <c r="U15" s="2">
        <f>SUBTOTAL(109,PortA6[ol_w])</f>
        <v>1</v>
      </c>
      <c r="V15" s="2"/>
      <c r="W15" s="2">
        <f>SUM(PortA6[Owned ARV])</f>
        <v>1584.5</v>
      </c>
      <c r="X15" s="2"/>
      <c r="Y15" s="2"/>
    </row>
    <row r="16" spans="3:25" x14ac:dyDescent="0.25">
      <c r="C16" t="s">
        <v>23</v>
      </c>
      <c r="D16">
        <f>Mkt_5[[#Totals],[w_LTV]]/Mkt_5[[#Totals],[L_w]]</f>
        <v>1.550010082677959</v>
      </c>
      <c r="E16">
        <f>PortA6[[#Totals],[olw_LTV]]/PortA6[[#Totals],[ol_w]]</f>
        <v>1.1253740851977363</v>
      </c>
      <c r="F16">
        <f>PortB7[[#Totals],[olw_LTV]]/PortB7[[#Totals],[ol_w]]</f>
        <v>0.6163967611336032</v>
      </c>
    </row>
    <row r="17" spans="1:25" x14ac:dyDescent="0.25">
      <c r="C17" t="s">
        <v>24</v>
      </c>
      <c r="D17">
        <f>Mkt_5[[#Totals],[L_w]]/Mkt_5[[#Totals],[wrec_LTV]]</f>
        <v>0.80753701211305517</v>
      </c>
      <c r="E17">
        <f>PortA6[[#Totals],[ol_w]]/PortA6[[#Totals],[olwr_LTV]]</f>
        <v>0.71315872514988954</v>
      </c>
      <c r="F17">
        <f>PortB7[[#Totals],[ol_w]]/PortB7[[#Totals],[olwr_LTV]]</f>
        <v>0.59942363112391928</v>
      </c>
      <c r="G17" s="2"/>
      <c r="I17" t="s">
        <v>8</v>
      </c>
      <c r="J17" t="s">
        <v>12</v>
      </c>
      <c r="K17" t="s">
        <v>38</v>
      </c>
      <c r="L17" t="s">
        <v>14</v>
      </c>
      <c r="M17" t="s">
        <v>10</v>
      </c>
      <c r="N17" t="s">
        <v>39</v>
      </c>
      <c r="O17" t="s">
        <v>42</v>
      </c>
      <c r="P17" t="s">
        <v>41</v>
      </c>
      <c r="Q17" t="s">
        <v>43</v>
      </c>
      <c r="R17" t="s">
        <v>11</v>
      </c>
      <c r="S17" t="s">
        <v>4</v>
      </c>
      <c r="T17" t="s">
        <v>19</v>
      </c>
      <c r="U17" t="s">
        <v>40</v>
      </c>
      <c r="V17" t="s">
        <v>6</v>
      </c>
      <c r="W17" t="s">
        <v>27</v>
      </c>
      <c r="X17" t="s">
        <v>9</v>
      </c>
      <c r="Y17" t="s">
        <v>20</v>
      </c>
    </row>
    <row r="18" spans="1:25" x14ac:dyDescent="0.25">
      <c r="C18" t="s">
        <v>33</v>
      </c>
      <c r="D18">
        <f>Mkt_5[[#Totals],[fw_LTV]]/Mkt_5[[#Totals],[F_w]]</f>
        <v>1.2629659205484975</v>
      </c>
      <c r="E18">
        <f>PortA6[[#Totals],[lfw_LTV]]/PortA6[[#Totals],[lf_w]]</f>
        <v>1.1253740851977363</v>
      </c>
      <c r="F18">
        <f>PortB7[[#Totals],[lfw_LTV]]/PortB7[[#Totals],[lf_w]]</f>
        <v>0.6163967611336032</v>
      </c>
      <c r="I18" t="s">
        <v>1</v>
      </c>
      <c r="J18">
        <v>300</v>
      </c>
      <c r="K18">
        <f>PortB7[[#This Row],[LenderFund]]/PortB7[[#Totals],[LenderFund]]</f>
        <v>0.57692307692307687</v>
      </c>
      <c r="L18" s="1">
        <f>PortB7[[#This Row],[LenderFund]]/E4</f>
        <v>0.3</v>
      </c>
      <c r="M18">
        <f t="shared" ref="M18:M19" si="5">K4</f>
        <v>0.70175438596491224</v>
      </c>
      <c r="N18">
        <f>PortB7[[#This Row],[ol_w]]*PortB7[[#This Row],[LTV]]</f>
        <v>0.40485829959514164</v>
      </c>
      <c r="O18">
        <f>PortB7[[#This Row],[ol_w]]*M4</f>
        <v>0.82211538461538458</v>
      </c>
      <c r="P18">
        <f>PortB7[[#This Row],[lf_w]]*PortB7[[#This Row],[LTV]]</f>
        <v>0.40485829959514164</v>
      </c>
      <c r="Q18">
        <f>PortB7[[#This Row],[lf_w]]*M4</f>
        <v>0.82211538461538458</v>
      </c>
      <c r="R18">
        <f t="shared" ref="R18:R19" si="6">O4</f>
        <v>0.89686098654708524</v>
      </c>
      <c r="S18">
        <f t="shared" ref="S18:S19" si="7">E4</f>
        <v>1000</v>
      </c>
      <c r="T18">
        <f>PortB7[[#This Row],[Own]]*PortB7[[#This Row],[Loan]]</f>
        <v>300</v>
      </c>
      <c r="U18">
        <f>PortB7[[#This Row],[Owned Loan]]/PortB7[[#Totals],[Owned Loan]]</f>
        <v>0.57692307692307687</v>
      </c>
      <c r="V18">
        <f t="shared" ref="V18:V19" si="8">I4</f>
        <v>1425</v>
      </c>
      <c r="W18">
        <f>PortB7[[#This Row],[Own]]*PortB7[[#This Row],[ARV]]</f>
        <v>427.5</v>
      </c>
      <c r="X18">
        <f t="shared" ref="X18:X19" si="9">J4</f>
        <v>1115</v>
      </c>
      <c r="Y18" s="2">
        <f>PortB7[[#This Row],[Own]]*PortB7[[#This Row],[Cost]]</f>
        <v>334.5</v>
      </c>
    </row>
    <row r="19" spans="1:25" x14ac:dyDescent="0.25">
      <c r="C19" t="s">
        <v>34</v>
      </c>
      <c r="D19">
        <f>Mkt_5[[#Totals],[F_w]]/Mkt_5[[#Totals],[fwrec_LTV]]</f>
        <v>0.74486046280663409</v>
      </c>
      <c r="E19">
        <f>PortA6[[#Totals],[lf_w]]/PortA6[[#Totals],[lfwr_LTV]]</f>
        <v>0.71315872514988954</v>
      </c>
      <c r="F19">
        <f>PortB7[[#Totals],[lf_w]]/PortB7[[#Totals],[lfwr_LTV]]</f>
        <v>0.59942363112391928</v>
      </c>
      <c r="I19" t="s">
        <v>2</v>
      </c>
      <c r="J19">
        <v>220</v>
      </c>
      <c r="K19">
        <f>PortB7[[#This Row],[LenderFund]]/PortB7[[#Totals],[LenderFund]]</f>
        <v>0.42307692307692307</v>
      </c>
      <c r="L19" s="1">
        <f>PortB7[[#This Row],[LenderFund]]/E5</f>
        <v>0.22</v>
      </c>
      <c r="M19">
        <f t="shared" si="5"/>
        <v>0.5</v>
      </c>
      <c r="N19">
        <f>PortB7[[#This Row],[ol_w]]*PortB7[[#This Row],[LTV]]</f>
        <v>0.21153846153846154</v>
      </c>
      <c r="O19">
        <f>PortB7[[#This Row],[ol_w]]*M5</f>
        <v>0.84615384615384615</v>
      </c>
      <c r="P19">
        <f>PortB7[[#This Row],[lf_w]]*PortB7[[#This Row],[LTV]]</f>
        <v>0.21153846153846154</v>
      </c>
      <c r="Q19">
        <f>PortB7[[#This Row],[lf_w]]*M5</f>
        <v>0.84615384615384615</v>
      </c>
      <c r="R19">
        <f t="shared" si="6"/>
        <v>0.66666666666666663</v>
      </c>
      <c r="S19">
        <f t="shared" si="7"/>
        <v>1000</v>
      </c>
      <c r="T19">
        <f>PortB7[[#This Row],[Own]]*PortB7[[#This Row],[Loan]]</f>
        <v>220</v>
      </c>
      <c r="U19">
        <f>PortB7[[#This Row],[Owned Loan]]/PortB7[[#Totals],[Owned Loan]]</f>
        <v>0.42307692307692307</v>
      </c>
      <c r="V19">
        <f t="shared" si="8"/>
        <v>2000</v>
      </c>
      <c r="W19">
        <f>PortB7[[#This Row],[Own]]*PortB7[[#This Row],[ARV]]</f>
        <v>440</v>
      </c>
      <c r="X19">
        <f t="shared" si="9"/>
        <v>1500</v>
      </c>
      <c r="Y19" s="2">
        <f>PortB7[[#This Row],[Own]]*PortB7[[#This Row],[Cost]]</f>
        <v>330</v>
      </c>
    </row>
    <row r="20" spans="1:25" x14ac:dyDescent="0.25">
      <c r="J20">
        <f>SUBTOTAL(109,PortB7[LenderFund])</f>
        <v>520</v>
      </c>
      <c r="K20">
        <f>SUBTOTAL(109,PortB7[lf_w])</f>
        <v>1</v>
      </c>
      <c r="L20" s="3"/>
      <c r="M20" s="2"/>
      <c r="N20" s="2">
        <f>SUBTOTAL(109,PortB7[olw_LTV])</f>
        <v>0.6163967611336032</v>
      </c>
      <c r="O20" s="2">
        <f>SUBTOTAL(109,PortB7[olwr_LTV])</f>
        <v>1.6682692307692308</v>
      </c>
      <c r="P20" s="2">
        <f>SUBTOTAL(109,PortB7[lfw_LTV])</f>
        <v>0.6163967611336032</v>
      </c>
      <c r="Q20" s="2">
        <f>SUBTOTAL(109,PortB7[lfwr_LTV])</f>
        <v>1.6682692307692308</v>
      </c>
      <c r="R20" s="2"/>
      <c r="S20" s="2"/>
      <c r="T20" s="2">
        <f>SUM(PortB7[Owned Loan])</f>
        <v>520</v>
      </c>
      <c r="U20" s="2">
        <f>SUBTOTAL(109,PortB7[ol_w])</f>
        <v>1</v>
      </c>
      <c r="V20" s="2"/>
      <c r="W20" s="2">
        <f>SUBTOTAL(109,PortB7[Owned ARV])</f>
        <v>867.5</v>
      </c>
      <c r="X20" s="2"/>
      <c r="Y20" s="2"/>
    </row>
    <row r="21" spans="1:25" x14ac:dyDescent="0.25">
      <c r="B21" t="s">
        <v>28</v>
      </c>
      <c r="N21" s="2"/>
      <c r="O21" s="2"/>
    </row>
    <row r="22" spans="1:25" x14ac:dyDescent="0.25">
      <c r="D22" t="s">
        <v>0</v>
      </c>
      <c r="E22" t="s">
        <v>7</v>
      </c>
      <c r="F22" t="s">
        <v>8</v>
      </c>
      <c r="J22" t="s">
        <v>0</v>
      </c>
      <c r="K22" t="s">
        <v>7</v>
      </c>
      <c r="L22" t="s">
        <v>8</v>
      </c>
      <c r="N22" s="2"/>
      <c r="O22" s="2"/>
      <c r="Q22" t="s">
        <v>0</v>
      </c>
      <c r="R22" t="s">
        <v>7</v>
      </c>
      <c r="S22" t="s">
        <v>8</v>
      </c>
    </row>
    <row r="23" spans="1:25" x14ac:dyDescent="0.25">
      <c r="B23" s="4" t="s">
        <v>31</v>
      </c>
      <c r="C23" t="s">
        <v>15</v>
      </c>
      <c r="D23" s="7">
        <f>Mkt_5[[#Totals],[Loan]]/D12</f>
        <v>3715</v>
      </c>
      <c r="E23" s="7">
        <f>PortA6[[#Totals],[Owned Loan]]/E12</f>
        <v>1584.5</v>
      </c>
      <c r="F23" s="7">
        <f>PortB7[[#Totals],[Owned Loan]]/F12</f>
        <v>867.5</v>
      </c>
      <c r="H23" s="4" t="s">
        <v>44</v>
      </c>
      <c r="I23" t="s">
        <v>15</v>
      </c>
      <c r="J23" s="7">
        <f>Mkt_5[[#Totals],[ARV]]*D12</f>
        <v>3000</v>
      </c>
      <c r="K23" s="7">
        <f>PortA6[[#Totals],[Owned ARV]]*E12</f>
        <v>1130</v>
      </c>
      <c r="L23" s="7">
        <f>PortB7[[#Totals],[Owned ARV]]*F12</f>
        <v>520</v>
      </c>
      <c r="N23" s="2"/>
      <c r="O23" s="11" t="s">
        <v>57</v>
      </c>
      <c r="P23" t="s">
        <v>15</v>
      </c>
      <c r="Q23" s="7">
        <f>D32/$O$26</f>
        <v>3000</v>
      </c>
      <c r="R23" s="7">
        <f t="shared" ref="R23:R30" si="10">E32/$O$27</f>
        <v>2999.9999999999995</v>
      </c>
      <c r="S23" s="7">
        <f>F32/$O$28</f>
        <v>3000</v>
      </c>
    </row>
    <row r="24" spans="1:25" x14ac:dyDescent="0.25">
      <c r="B24" s="5" t="s">
        <v>32</v>
      </c>
      <c r="C24" t="s">
        <v>16</v>
      </c>
      <c r="D24" s="8">
        <f>Mkt_5[[#Totals],[Loan]]/D13</f>
        <v>1935.471280817017</v>
      </c>
      <c r="E24" s="8">
        <f>PortA6[[#Totals],[Owned Loan]]/E13</f>
        <v>729.02751577440984</v>
      </c>
      <c r="F24" s="8">
        <f>PortB7[[#Totals],[Owned Loan]]/F13</f>
        <v>865.40145985401466</v>
      </c>
      <c r="H24" s="5" t="s">
        <v>45</v>
      </c>
      <c r="I24" t="s">
        <v>16</v>
      </c>
      <c r="J24" s="8">
        <f>Mkt_5[[#Totals],[ARV]]*D13</f>
        <v>5758.2874571486182</v>
      </c>
      <c r="K24" s="8">
        <f>PortA6[[#Totals],[Owned ARV]]*E13</f>
        <v>2455.990976003226</v>
      </c>
      <c r="L24" s="8">
        <f>PortB7[[#Totals],[Owned ARV]]*F13</f>
        <v>521.26096491228066</v>
      </c>
      <c r="N24" s="2"/>
      <c r="O24" s="12" t="s">
        <v>58</v>
      </c>
      <c r="P24" t="s">
        <v>16</v>
      </c>
      <c r="Q24" s="7">
        <f t="shared" ref="Q24:Q30" si="11">D33/$O$26</f>
        <v>5758.2874571486172</v>
      </c>
      <c r="R24" s="7">
        <f t="shared" si="10"/>
        <v>6520.3300247873258</v>
      </c>
      <c r="S24" s="7">
        <f t="shared" ref="S24:S30" si="12">F33/$O$28</f>
        <v>3007.2747975708503</v>
      </c>
    </row>
    <row r="25" spans="1:25" x14ac:dyDescent="0.25">
      <c r="C25" t="s">
        <v>17</v>
      </c>
      <c r="D25" s="8">
        <f>Mkt_5[[#Totals],[Loan]]/D14</f>
        <v>2815.3704028389675</v>
      </c>
      <c r="E25" s="8">
        <f>PortA6[[#Totals],[Owned Loan]]/E14</f>
        <v>1060.4561850693444</v>
      </c>
      <c r="F25" s="8">
        <f>PortB7[[#Totals],[Owned Loan]]/F14</f>
        <v>877.861036838975</v>
      </c>
      <c r="I25" t="s">
        <v>17</v>
      </c>
      <c r="J25" s="8">
        <f>Mkt_5[[#Totals],[ARV]]*D14</f>
        <v>3958.6265412045209</v>
      </c>
      <c r="K25" s="8">
        <f>PortA6[[#Totals],[Owned ARV]]*E14</f>
        <v>1688.4101627290884</v>
      </c>
      <c r="L25" s="8">
        <f>PortB7[[#Totals],[Owned ARV]]*F14</f>
        <v>513.8626514560126</v>
      </c>
      <c r="N25" t="s">
        <v>53</v>
      </c>
      <c r="P25" t="s">
        <v>17</v>
      </c>
      <c r="Q25" s="7">
        <f t="shared" si="11"/>
        <v>3958.6265412045209</v>
      </c>
      <c r="R25" s="7">
        <f t="shared" si="10"/>
        <v>4482.5048568028897</v>
      </c>
      <c r="S25" s="7">
        <f t="shared" si="12"/>
        <v>2964.5922199385341</v>
      </c>
    </row>
    <row r="26" spans="1:25" x14ac:dyDescent="0.25">
      <c r="C26" t="s">
        <v>18</v>
      </c>
      <c r="D26" s="8">
        <f>Mkt_5[[#Totals],[Loan]]/D15</f>
        <v>3715</v>
      </c>
      <c r="E26" s="8">
        <f>PortA6[[#Totals],[Owned Loan]]/E15</f>
        <v>1399.3166666666666</v>
      </c>
      <c r="F26" s="8">
        <f>PortB7[[#Totals],[Owned Loan]]/F15</f>
        <v>890.49999999999989</v>
      </c>
      <c r="I26" t="s">
        <v>18</v>
      </c>
      <c r="J26" s="8">
        <f>Mkt_5[[#Totals],[ARV]]*D15</f>
        <v>3000</v>
      </c>
      <c r="K26" s="8">
        <f>PortA6[[#Totals],[Owned ARV]]*E15</f>
        <v>1279.5423956931359</v>
      </c>
      <c r="L26" s="8">
        <f>PortB7[[#Totals],[Owned ARV]]*F15</f>
        <v>506.56934306569349</v>
      </c>
      <c r="N26" t="s">
        <v>0</v>
      </c>
      <c r="O26">
        <f>Mkt_5[[#Totals],[Loan]]/Mkt_5[[#Totals],[Loan]]</f>
        <v>1</v>
      </c>
      <c r="P26" t="s">
        <v>18</v>
      </c>
      <c r="Q26" s="7">
        <f t="shared" si="11"/>
        <v>3000</v>
      </c>
      <c r="R26" s="7">
        <f t="shared" si="10"/>
        <v>3397.0152098047856</v>
      </c>
      <c r="S26" s="7">
        <f t="shared" si="12"/>
        <v>2922.515440763616</v>
      </c>
    </row>
    <row r="27" spans="1:25" x14ac:dyDescent="0.25">
      <c r="A27" t="s">
        <v>47</v>
      </c>
      <c r="C27" t="s">
        <v>23</v>
      </c>
      <c r="D27" s="8">
        <f>Mkt_5[[#Totals],[Loan]]/D16</f>
        <v>1935.471280817017</v>
      </c>
      <c r="E27" s="8">
        <f>PortA6[[#Totals],[Owned Loan]]/E16</f>
        <v>1004.1105574254012</v>
      </c>
      <c r="F27" s="8">
        <f>PortB7[[#Totals],[Owned Loan]]/F16</f>
        <v>843.61247947454854</v>
      </c>
      <c r="I27" t="s">
        <v>23</v>
      </c>
      <c r="J27" s="8">
        <f>Mkt_5[[#Totals],[ARV]]*D16</f>
        <v>5758.2874571486182</v>
      </c>
      <c r="K27" s="8">
        <f>PortA6[[#Totals],[Owned ARV]]*E16</f>
        <v>1783.1552379958132</v>
      </c>
      <c r="L27" s="8">
        <f>PortB7[[#Totals],[Owned ARV]]*F16</f>
        <v>534.72419028340073</v>
      </c>
      <c r="N27" t="s">
        <v>51</v>
      </c>
      <c r="O27">
        <f>PortA6[[#Totals],[LenderFund]]/Mkt_5[[#Totals],[Loan]]</f>
        <v>0.37666666666666665</v>
      </c>
      <c r="P27" t="s">
        <v>23</v>
      </c>
      <c r="Q27" s="7">
        <f t="shared" si="11"/>
        <v>5758.2874571486172</v>
      </c>
      <c r="R27" s="7">
        <f t="shared" si="10"/>
        <v>4734.040454856141</v>
      </c>
      <c r="S27" s="7">
        <f t="shared" si="12"/>
        <v>3084.9472516350042</v>
      </c>
    </row>
    <row r="28" spans="1:25" x14ac:dyDescent="0.25">
      <c r="A28" s="9" t="s">
        <v>48</v>
      </c>
      <c r="C28" t="s">
        <v>24</v>
      </c>
      <c r="D28" s="7">
        <f>Mkt_5[[#Totals],[Loan]]/D17</f>
        <v>3715</v>
      </c>
      <c r="E28" s="7">
        <f>PortA6[[#Totals],[Owned Loan]]/E17</f>
        <v>1584.5</v>
      </c>
      <c r="F28" s="7">
        <f>PortB7[[#Totals],[Owned Loan]]/F17</f>
        <v>867.5</v>
      </c>
      <c r="I28" t="s">
        <v>24</v>
      </c>
      <c r="J28" s="7">
        <f>Mkt_5[[#Totals],[ARV]]*D17</f>
        <v>3000</v>
      </c>
      <c r="K28" s="7">
        <f>PortA6[[#Totals],[Owned ARV]]*E17</f>
        <v>1130</v>
      </c>
      <c r="L28" s="7">
        <f>PortB7[[#Totals],[Owned ARV]]*F17</f>
        <v>520</v>
      </c>
      <c r="N28" t="s">
        <v>52</v>
      </c>
      <c r="O28">
        <f>PortB7[[#Totals],[LenderFund]]/Mkt_5[[#Totals],[Loan]]</f>
        <v>0.17333333333333334</v>
      </c>
      <c r="P28" t="s">
        <v>24</v>
      </c>
      <c r="Q28" s="7">
        <f t="shared" si="11"/>
        <v>3000</v>
      </c>
      <c r="R28" s="7">
        <f t="shared" si="10"/>
        <v>2999.9999999999995</v>
      </c>
      <c r="S28" s="7">
        <f t="shared" si="12"/>
        <v>3000</v>
      </c>
    </row>
    <row r="29" spans="1:25" x14ac:dyDescent="0.25">
      <c r="A29" s="10" t="s">
        <v>49</v>
      </c>
      <c r="C29" t="s">
        <v>33</v>
      </c>
      <c r="D29" s="8">
        <f>Mkt_5[[#Totals],[Loan]]/D18</f>
        <v>2375.3610063342962</v>
      </c>
      <c r="E29" s="8">
        <f>PortA6[[#Totals],[Owned Loan]]/E18</f>
        <v>1004.1105574254012</v>
      </c>
      <c r="F29" s="8">
        <f>PortB7[[#Totals],[Owned Loan]]/F18</f>
        <v>843.61247947454854</v>
      </c>
      <c r="I29" t="s">
        <v>33</v>
      </c>
      <c r="J29" s="8">
        <f>Mkt_5[[#Totals],[ARV]]*D18</f>
        <v>4691.9183948376685</v>
      </c>
      <c r="K29" s="8">
        <f>PortA6[[#Totals],[Owned ARV]]*E18</f>
        <v>1783.1552379958132</v>
      </c>
      <c r="L29" s="8">
        <f>PortB7[[#Totals],[Owned ARV]]*F18</f>
        <v>534.72419028340073</v>
      </c>
      <c r="P29" t="s">
        <v>33</v>
      </c>
      <c r="Q29" s="7">
        <f t="shared" si="11"/>
        <v>4691.9183948376685</v>
      </c>
      <c r="R29" s="7">
        <f t="shared" si="10"/>
        <v>4734.040454856141</v>
      </c>
      <c r="S29" s="7">
        <f t="shared" si="12"/>
        <v>3084.9472516350042</v>
      </c>
    </row>
    <row r="30" spans="1:25" x14ac:dyDescent="0.25">
      <c r="A30" s="6" t="s">
        <v>50</v>
      </c>
      <c r="C30" t="s">
        <v>34</v>
      </c>
      <c r="D30" s="8">
        <f>Mkt_5[[#Totals],[Loan]]/D19</f>
        <v>4027.6000000000008</v>
      </c>
      <c r="E30" s="7">
        <f>PortA6[[#Totals],[Owned Loan]]/E19</f>
        <v>1584.5</v>
      </c>
      <c r="F30" s="7">
        <f>PortB7[[#Totals],[Owned Loan]]/F19</f>
        <v>867.5</v>
      </c>
      <c r="I30" t="s">
        <v>34</v>
      </c>
      <c r="J30" s="8">
        <f>Mkt_5[[#Totals],[ARV]]*D19</f>
        <v>2767.1566193266458</v>
      </c>
      <c r="K30" s="7">
        <f>PortA6[[#Totals],[Owned ARV]]*E19</f>
        <v>1130</v>
      </c>
      <c r="L30" s="7">
        <f>PortB7[[#Totals],[Owned ARV]]*F19</f>
        <v>520</v>
      </c>
      <c r="P30" t="s">
        <v>34</v>
      </c>
      <c r="Q30" s="7">
        <f t="shared" si="11"/>
        <v>2767.1566193266458</v>
      </c>
      <c r="R30" s="7">
        <f t="shared" si="10"/>
        <v>2999.9999999999995</v>
      </c>
      <c r="S30" s="7">
        <f t="shared" si="12"/>
        <v>3000</v>
      </c>
    </row>
    <row r="32" spans="1:25" x14ac:dyDescent="0.25">
      <c r="B32" s="4" t="s">
        <v>29</v>
      </c>
      <c r="C32" t="s">
        <v>15</v>
      </c>
      <c r="D32" s="7">
        <f>SUMPRODUCT(Mkt_5[ARV],B45:B47)</f>
        <v>3000</v>
      </c>
      <c r="E32" s="7">
        <f>SUMPRODUCT(PortA6[Owned ARV],B50:B52)</f>
        <v>1129.9999999999998</v>
      </c>
      <c r="F32" s="7">
        <f>SUMPRODUCT(PortB7[Owned ARV],B55:B56)</f>
        <v>520</v>
      </c>
      <c r="H32" s="4" t="s">
        <v>46</v>
      </c>
      <c r="I32" t="s">
        <v>15</v>
      </c>
      <c r="J32" s="7">
        <f>$E$4/D12+$E$5/D12+$E$6/D12</f>
        <v>3715</v>
      </c>
      <c r="K32" s="7">
        <f>$J$12/E12+$J$13/E12+$J$14/E12</f>
        <v>1584.5</v>
      </c>
      <c r="L32" s="7">
        <f>$J$18/F12+$J$19/F12</f>
        <v>867.5</v>
      </c>
      <c r="O32" s="11" t="s">
        <v>55</v>
      </c>
      <c r="P32" t="s">
        <v>15</v>
      </c>
      <c r="Q32" s="7">
        <f>D23/$O$35</f>
        <v>3715</v>
      </c>
      <c r="R32" s="7">
        <f>E23/$O$36</f>
        <v>3715</v>
      </c>
      <c r="S32" s="7">
        <f>F23/$O$37</f>
        <v>3715</v>
      </c>
    </row>
    <row r="33" spans="1:19" x14ac:dyDescent="0.25">
      <c r="B33" s="5" t="s">
        <v>30</v>
      </c>
      <c r="C33" t="s">
        <v>16</v>
      </c>
      <c r="D33" s="8">
        <f>SUMPRODUCT(Mkt_5[ARV]*C45:C47)</f>
        <v>5758.2874571486172</v>
      </c>
      <c r="E33" s="8">
        <f>SUMPRODUCT(PortA6[Owned ARV],C50:C52)</f>
        <v>2455.990976003226</v>
      </c>
      <c r="F33" s="8">
        <f>SUMPRODUCT(PortB7[Owned ARV],C55:C56)</f>
        <v>521.26096491228077</v>
      </c>
      <c r="H33" s="5" t="s">
        <v>32</v>
      </c>
      <c r="I33" t="s">
        <v>16</v>
      </c>
      <c r="J33" s="8">
        <f t="shared" ref="J33:J39" si="13">$E$4/D13+$E$5/D13+$E$6/D13</f>
        <v>1935.471280817017</v>
      </c>
      <c r="K33" s="8">
        <f t="shared" ref="K33:K39" si="14">$J$12/E13+$J$13/E13+$J$14/E13</f>
        <v>729.02751577440984</v>
      </c>
      <c r="L33" s="8">
        <f t="shared" ref="L33:L39" si="15">$J$18/F13+$J$19/F13</f>
        <v>865.40145985401466</v>
      </c>
      <c r="O33" s="12" t="s">
        <v>56</v>
      </c>
      <c r="P33" t="s">
        <v>16</v>
      </c>
      <c r="Q33" s="7">
        <f t="shared" ref="Q33:Q39" si="16">D24/$O$35</f>
        <v>1935.471280817017</v>
      </c>
      <c r="R33" s="7">
        <f t="shared" ref="R33:R39" si="17">E24/$O$36</f>
        <v>1709.2693096257069</v>
      </c>
      <c r="S33" s="7">
        <f t="shared" ref="S33:S39" si="18">F24/$O$37</f>
        <v>3706.0131681356361</v>
      </c>
    </row>
    <row r="34" spans="1:19" x14ac:dyDescent="0.25">
      <c r="C34" t="s">
        <v>17</v>
      </c>
      <c r="D34" s="8">
        <f>SUMPRODUCT(Mkt_5[ARV],D45:D47)</f>
        <v>3958.6265412045209</v>
      </c>
      <c r="E34" s="8">
        <f>SUMPRODUCT(PortA6[Owned ARV],D50:D52)</f>
        <v>1688.4101627290884</v>
      </c>
      <c r="F34" s="8">
        <f>SUMPRODUCT(PortB7[Owned ARV],D55:D56)</f>
        <v>513.8626514560126</v>
      </c>
      <c r="I34" t="s">
        <v>17</v>
      </c>
      <c r="J34" s="8">
        <f t="shared" si="13"/>
        <v>2815.3704028389675</v>
      </c>
      <c r="K34" s="8">
        <f t="shared" si="14"/>
        <v>1060.4561850693444</v>
      </c>
      <c r="L34" s="8">
        <f t="shared" si="15"/>
        <v>877.861036838975</v>
      </c>
      <c r="N34" t="s">
        <v>54</v>
      </c>
      <c r="P34" t="s">
        <v>17</v>
      </c>
      <c r="Q34" s="7">
        <f t="shared" si="16"/>
        <v>2815.3704028389675</v>
      </c>
      <c r="R34" s="7">
        <f t="shared" si="17"/>
        <v>2486.3330561897219</v>
      </c>
      <c r="S34" s="7">
        <f t="shared" si="18"/>
        <v>3759.370319143276</v>
      </c>
    </row>
    <row r="35" spans="1:19" x14ac:dyDescent="0.25">
      <c r="C35" t="s">
        <v>18</v>
      </c>
      <c r="D35" s="8">
        <f>SUMPRODUCT(Mkt_5[ARV],E45:E47)</f>
        <v>3000</v>
      </c>
      <c r="E35" s="8">
        <f>SUMPRODUCT(PortA6[Owned ARV],E50:E52)</f>
        <v>1279.5423956931359</v>
      </c>
      <c r="F35" s="8">
        <f>SUMPRODUCT(PortB7[Owned ARV],E55:E56)</f>
        <v>506.56934306569349</v>
      </c>
      <c r="I35" t="s">
        <v>18</v>
      </c>
      <c r="J35" s="8">
        <f t="shared" si="13"/>
        <v>3715</v>
      </c>
      <c r="K35" s="8">
        <f t="shared" si="14"/>
        <v>1399.3166666666668</v>
      </c>
      <c r="L35" s="8">
        <f t="shared" si="15"/>
        <v>890.5</v>
      </c>
      <c r="N35" t="s">
        <v>0</v>
      </c>
      <c r="O35">
        <f>Mkt_5[[#Totals],[ARV]]/Mkt_5[[#Totals],[ARV]]</f>
        <v>1</v>
      </c>
      <c r="P35" t="s">
        <v>18</v>
      </c>
      <c r="Q35" s="7">
        <f t="shared" si="16"/>
        <v>3715</v>
      </c>
      <c r="R35" s="7">
        <f t="shared" si="17"/>
        <v>3280.8213421689279</v>
      </c>
      <c r="S35" s="7">
        <f t="shared" si="18"/>
        <v>3813.495677233429</v>
      </c>
    </row>
    <row r="36" spans="1:19" x14ac:dyDescent="0.25">
      <c r="C36" t="s">
        <v>23</v>
      </c>
      <c r="D36" s="8">
        <f>SUMPRODUCT(Mkt_5[ARV],F45:F47)</f>
        <v>5758.2874571486172</v>
      </c>
      <c r="E36" s="8">
        <f>SUMPRODUCT(PortA6[Owned ARV],F50:F52)</f>
        <v>1783.155237995813</v>
      </c>
      <c r="F36" s="8">
        <f>SUMPRODUCT(PortB7[Owned ARV],F55:F56)</f>
        <v>534.72419028340073</v>
      </c>
      <c r="I36" t="s">
        <v>23</v>
      </c>
      <c r="J36" s="8">
        <f t="shared" si="13"/>
        <v>1935.471280817017</v>
      </c>
      <c r="K36" s="8">
        <f t="shared" si="14"/>
        <v>1004.1105574254013</v>
      </c>
      <c r="L36" s="8">
        <f t="shared" si="15"/>
        <v>843.61247947454854</v>
      </c>
      <c r="N36" t="s">
        <v>51</v>
      </c>
      <c r="O36">
        <f>PortA6[[#Totals],[Owned ARV]]/Mkt_5[[#Totals],[ARV]]</f>
        <v>0.42651413189771198</v>
      </c>
      <c r="P36" t="s">
        <v>23</v>
      </c>
      <c r="Q36" s="7">
        <f t="shared" si="16"/>
        <v>1935.471280817017</v>
      </c>
      <c r="R36" s="7">
        <f t="shared" si="17"/>
        <v>2354.2257625972643</v>
      </c>
      <c r="S36" s="7">
        <f t="shared" si="18"/>
        <v>3612.7035864529657</v>
      </c>
    </row>
    <row r="37" spans="1:19" x14ac:dyDescent="0.25">
      <c r="C37" t="s">
        <v>24</v>
      </c>
      <c r="D37" s="7">
        <f>SUMPRODUCT(Mkt_5[ARV],G45:G47)</f>
        <v>3000</v>
      </c>
      <c r="E37" s="7">
        <f>SUMPRODUCT(PortA6[Owned ARV],G50:G52)</f>
        <v>1129.9999999999998</v>
      </c>
      <c r="F37" s="7">
        <f>SUMPRODUCT(PortB7[Owned ARV],G55:G56)</f>
        <v>520</v>
      </c>
      <c r="I37" t="s">
        <v>24</v>
      </c>
      <c r="J37" s="7">
        <f t="shared" si="13"/>
        <v>3715</v>
      </c>
      <c r="K37" s="7">
        <f t="shared" si="14"/>
        <v>1584.5</v>
      </c>
      <c r="L37" s="7">
        <f t="shared" si="15"/>
        <v>867.5</v>
      </c>
      <c r="N37" t="s">
        <v>52</v>
      </c>
      <c r="O37">
        <f>PortB7[[#Totals],[Owned ARV]]/Mkt_5[[#Totals],[ARV]]</f>
        <v>0.23351278600269179</v>
      </c>
      <c r="P37" t="s">
        <v>24</v>
      </c>
      <c r="Q37" s="7">
        <f t="shared" si="16"/>
        <v>3715</v>
      </c>
      <c r="R37" s="7">
        <f t="shared" si="17"/>
        <v>3715</v>
      </c>
      <c r="S37" s="7">
        <f t="shared" si="18"/>
        <v>3715</v>
      </c>
    </row>
    <row r="38" spans="1:19" x14ac:dyDescent="0.25">
      <c r="C38" t="s">
        <v>33</v>
      </c>
      <c r="D38" s="8">
        <f>SUMPRODUCT(Mkt_5[ARV],H45:H47)</f>
        <v>4691.9183948376685</v>
      </c>
      <c r="E38" s="8">
        <f>SUMPRODUCT(PortA6[Owned ARV],H50:H52)</f>
        <v>1783.155237995813</v>
      </c>
      <c r="F38" s="8">
        <f>SUMPRODUCT(PortB7[Owned ARV],H55:H56)</f>
        <v>534.72419028340073</v>
      </c>
      <c r="I38" t="s">
        <v>33</v>
      </c>
      <c r="J38" s="8">
        <f t="shared" si="13"/>
        <v>2375.3610063342962</v>
      </c>
      <c r="K38" s="8">
        <f t="shared" si="14"/>
        <v>1004.1105574254013</v>
      </c>
      <c r="L38" s="8">
        <f t="shared" si="15"/>
        <v>843.61247947454854</v>
      </c>
      <c r="P38" t="s">
        <v>33</v>
      </c>
      <c r="Q38" s="7">
        <f t="shared" si="16"/>
        <v>2375.3610063342962</v>
      </c>
      <c r="R38" s="7">
        <f t="shared" si="17"/>
        <v>2354.2257625972643</v>
      </c>
      <c r="S38" s="7">
        <f t="shared" si="18"/>
        <v>3612.7035864529657</v>
      </c>
    </row>
    <row r="39" spans="1:19" x14ac:dyDescent="0.25">
      <c r="C39" t="s">
        <v>34</v>
      </c>
      <c r="D39" s="8">
        <f>SUMPRODUCT(Mkt_5[ARV],I45:I47)</f>
        <v>2767.1566193266458</v>
      </c>
      <c r="E39" s="7">
        <f>SUMPRODUCT(PortA6[Owned ARV],I50:I52)</f>
        <v>1129.9999999999998</v>
      </c>
      <c r="F39" s="7">
        <f>SUMPRODUCT(PortB7[Owned ARV],I55:I56)</f>
        <v>520</v>
      </c>
      <c r="I39" t="s">
        <v>34</v>
      </c>
      <c r="J39" s="8">
        <f t="shared" si="13"/>
        <v>4027.6000000000004</v>
      </c>
      <c r="K39" s="7">
        <f t="shared" si="14"/>
        <v>1584.5</v>
      </c>
      <c r="L39" s="7">
        <f t="shared" si="15"/>
        <v>867.5</v>
      </c>
      <c r="P39" t="s">
        <v>34</v>
      </c>
      <c r="Q39" s="7">
        <f t="shared" si="16"/>
        <v>4027.6000000000008</v>
      </c>
      <c r="R39" s="7">
        <f t="shared" si="17"/>
        <v>3715</v>
      </c>
      <c r="S39" s="7">
        <f t="shared" si="18"/>
        <v>3715</v>
      </c>
    </row>
    <row r="43" spans="1:19" x14ac:dyDescent="0.25">
      <c r="A43" t="s">
        <v>0</v>
      </c>
    </row>
    <row r="44" spans="1:19" x14ac:dyDescent="0.25">
      <c r="B44" t="s">
        <v>15</v>
      </c>
      <c r="C44" t="s">
        <v>16</v>
      </c>
      <c r="D44" t="s">
        <v>17</v>
      </c>
      <c r="E44" t="s">
        <v>18</v>
      </c>
      <c r="F44" t="s">
        <v>23</v>
      </c>
      <c r="G44" t="s">
        <v>24</v>
      </c>
      <c r="H44" t="s">
        <v>33</v>
      </c>
      <c r="I44" t="s">
        <v>34</v>
      </c>
    </row>
    <row r="45" spans="1:19" x14ac:dyDescent="0.25">
      <c r="B45">
        <f>$D$12</f>
        <v>0.80753701211305517</v>
      </c>
      <c r="C45">
        <f>$D$13</f>
        <v>1.550010082677959</v>
      </c>
      <c r="D45">
        <f>$D$14</f>
        <v>1.0655791497185789</v>
      </c>
      <c r="E45">
        <f>$D$15</f>
        <v>0.80753701211305517</v>
      </c>
      <c r="F45">
        <f>$D$16</f>
        <v>1.550010082677959</v>
      </c>
      <c r="G45">
        <f>$D$17</f>
        <v>0.80753701211305517</v>
      </c>
      <c r="H45">
        <f>$D$18</f>
        <v>1.2629659205484975</v>
      </c>
      <c r="I45">
        <f>$D$19</f>
        <v>0.74486046280663409</v>
      </c>
    </row>
    <row r="46" spans="1:19" x14ac:dyDescent="0.25">
      <c r="B46">
        <f t="shared" ref="B46:B47" si="19">$D$12</f>
        <v>0.80753701211305517</v>
      </c>
      <c r="C46">
        <f t="shared" ref="C46:C47" si="20">$D$13</f>
        <v>1.550010082677959</v>
      </c>
      <c r="D46">
        <f t="shared" ref="D46:D47" si="21">$D$14</f>
        <v>1.0655791497185789</v>
      </c>
      <c r="E46">
        <f t="shared" ref="E46:E47" si="22">$D$15</f>
        <v>0.80753701211305517</v>
      </c>
      <c r="F46">
        <f t="shared" ref="F46:F47" si="23">$D$16</f>
        <v>1.550010082677959</v>
      </c>
      <c r="G46">
        <f t="shared" ref="G46:G47" si="24">$D$17</f>
        <v>0.80753701211305517</v>
      </c>
      <c r="H46">
        <f t="shared" ref="H46:H47" si="25">$D$18</f>
        <v>1.2629659205484975</v>
      </c>
      <c r="I46">
        <f t="shared" ref="I46:I47" si="26">$D$19</f>
        <v>0.74486046280663409</v>
      </c>
    </row>
    <row r="47" spans="1:19" x14ac:dyDescent="0.25">
      <c r="B47">
        <f t="shared" si="19"/>
        <v>0.80753701211305517</v>
      </c>
      <c r="C47">
        <f t="shared" si="20"/>
        <v>1.550010082677959</v>
      </c>
      <c r="D47">
        <f t="shared" si="21"/>
        <v>1.0655791497185789</v>
      </c>
      <c r="E47">
        <f t="shared" si="22"/>
        <v>0.80753701211305517</v>
      </c>
      <c r="F47">
        <f t="shared" si="23"/>
        <v>1.550010082677959</v>
      </c>
      <c r="G47">
        <f t="shared" si="24"/>
        <v>0.80753701211305517</v>
      </c>
      <c r="H47">
        <f t="shared" si="25"/>
        <v>1.2629659205484975</v>
      </c>
      <c r="I47">
        <f t="shared" si="26"/>
        <v>0.74486046280663409</v>
      </c>
    </row>
    <row r="48" spans="1:19" x14ac:dyDescent="0.25">
      <c r="A48" t="s">
        <v>7</v>
      </c>
    </row>
    <row r="49" spans="1:9" x14ac:dyDescent="0.25">
      <c r="B49" t="s">
        <v>15</v>
      </c>
      <c r="C49" t="s">
        <v>16</v>
      </c>
      <c r="D49" t="s">
        <v>17</v>
      </c>
      <c r="E49" t="s">
        <v>18</v>
      </c>
      <c r="F49" t="s">
        <v>23</v>
      </c>
      <c r="G49" t="s">
        <v>24</v>
      </c>
      <c r="H49" t="s">
        <v>33</v>
      </c>
      <c r="I49" t="s">
        <v>34</v>
      </c>
    </row>
    <row r="50" spans="1:9" x14ac:dyDescent="0.25">
      <c r="B50">
        <f>$E$12</f>
        <v>0.71315872514988954</v>
      </c>
      <c r="C50">
        <f>$E$13</f>
        <v>1.550010082677959</v>
      </c>
      <c r="D50">
        <f>$E$14</f>
        <v>1.0655791497185789</v>
      </c>
      <c r="E50">
        <f>$E$15</f>
        <v>0.80753701211305517</v>
      </c>
      <c r="F50">
        <f>$E$16</f>
        <v>1.1253740851977363</v>
      </c>
      <c r="G50">
        <f>$E$17</f>
        <v>0.71315872514988954</v>
      </c>
      <c r="H50">
        <f>$E$18</f>
        <v>1.1253740851977363</v>
      </c>
      <c r="I50">
        <f>$E$19</f>
        <v>0.71315872514988954</v>
      </c>
    </row>
    <row r="51" spans="1:9" x14ac:dyDescent="0.25">
      <c r="B51">
        <f t="shared" ref="B51:B52" si="27">$E$12</f>
        <v>0.71315872514988954</v>
      </c>
      <c r="C51">
        <f t="shared" ref="C51:C52" si="28">$E$13</f>
        <v>1.550010082677959</v>
      </c>
      <c r="D51">
        <f t="shared" ref="D51:D52" si="29">$E$14</f>
        <v>1.0655791497185789</v>
      </c>
      <c r="E51">
        <f t="shared" ref="E51:E52" si="30">$E$15</f>
        <v>0.80753701211305517</v>
      </c>
      <c r="F51">
        <f t="shared" ref="F51:F52" si="31">$E$16</f>
        <v>1.1253740851977363</v>
      </c>
      <c r="G51">
        <f t="shared" ref="G51:G52" si="32">$E$17</f>
        <v>0.71315872514988954</v>
      </c>
      <c r="H51">
        <f t="shared" ref="H51:H52" si="33">$E$18</f>
        <v>1.1253740851977363</v>
      </c>
      <c r="I51">
        <f t="shared" ref="I51:I52" si="34">$E$19</f>
        <v>0.71315872514988954</v>
      </c>
    </row>
    <row r="52" spans="1:9" x14ac:dyDescent="0.25">
      <c r="B52">
        <f t="shared" si="27"/>
        <v>0.71315872514988954</v>
      </c>
      <c r="C52">
        <f t="shared" si="28"/>
        <v>1.550010082677959</v>
      </c>
      <c r="D52">
        <f t="shared" si="29"/>
        <v>1.0655791497185789</v>
      </c>
      <c r="E52">
        <f t="shared" si="30"/>
        <v>0.80753701211305517</v>
      </c>
      <c r="F52">
        <f t="shared" si="31"/>
        <v>1.1253740851977363</v>
      </c>
      <c r="G52">
        <f t="shared" si="32"/>
        <v>0.71315872514988954</v>
      </c>
      <c r="H52">
        <f t="shared" si="33"/>
        <v>1.1253740851977363</v>
      </c>
      <c r="I52">
        <f t="shared" si="34"/>
        <v>0.71315872514988954</v>
      </c>
    </row>
    <row r="53" spans="1:9" x14ac:dyDescent="0.25">
      <c r="A53" t="s">
        <v>8</v>
      </c>
    </row>
    <row r="54" spans="1:9" x14ac:dyDescent="0.25">
      <c r="B54" t="s">
        <v>15</v>
      </c>
      <c r="C54" t="s">
        <v>16</v>
      </c>
      <c r="D54" t="s">
        <v>17</v>
      </c>
      <c r="E54" t="s">
        <v>18</v>
      </c>
      <c r="F54" t="s">
        <v>23</v>
      </c>
      <c r="G54" t="s">
        <v>24</v>
      </c>
      <c r="H54" t="s">
        <v>33</v>
      </c>
      <c r="I54" t="s">
        <v>34</v>
      </c>
    </row>
    <row r="55" spans="1:9" x14ac:dyDescent="0.25">
      <c r="B55">
        <f>$F$12</f>
        <v>0.59942363112391928</v>
      </c>
      <c r="C55">
        <f>$F$13</f>
        <v>0.60087719298245612</v>
      </c>
      <c r="D55">
        <f>$F$14</f>
        <v>0.59234887775909228</v>
      </c>
      <c r="E55">
        <f>$F$15</f>
        <v>0.58394160583941612</v>
      </c>
      <c r="F55">
        <f>$F$16</f>
        <v>0.6163967611336032</v>
      </c>
      <c r="G55">
        <f>$F$17</f>
        <v>0.59942363112391928</v>
      </c>
      <c r="H55">
        <f>$F$18</f>
        <v>0.6163967611336032</v>
      </c>
      <c r="I55">
        <f>$F$19</f>
        <v>0.59942363112391928</v>
      </c>
    </row>
    <row r="56" spans="1:9" x14ac:dyDescent="0.25">
      <c r="B56">
        <f t="shared" ref="B56" si="35">$F$12</f>
        <v>0.59942363112391928</v>
      </c>
      <c r="C56">
        <f t="shared" ref="C56" si="36">$F$13</f>
        <v>0.60087719298245612</v>
      </c>
      <c r="D56">
        <f t="shared" ref="D56" si="37">$F$14</f>
        <v>0.59234887775909228</v>
      </c>
      <c r="E56">
        <f t="shared" ref="E56" si="38">$F$15</f>
        <v>0.58394160583941612</v>
      </c>
      <c r="F56">
        <f t="shared" ref="F56" si="39">$F$16</f>
        <v>0.6163967611336032</v>
      </c>
      <c r="G56">
        <f>$F$17</f>
        <v>0.59942363112391928</v>
      </c>
      <c r="H56">
        <f t="shared" ref="H56" si="40">$F$18</f>
        <v>0.6163967611336032</v>
      </c>
      <c r="I56">
        <f t="shared" ref="I56" si="41">$F$19</f>
        <v>0.59942363112391928</v>
      </c>
    </row>
  </sheetData>
  <conditionalFormatting sqref="D23">
    <cfRule type="cellIs" dxfId="383" priority="26" operator="greaterThan">
      <formula>$I$7</formula>
    </cfRule>
  </conditionalFormatting>
  <conditionalFormatting sqref="D23:D30 J32:J39">
    <cfRule type="cellIs" dxfId="382" priority="23" operator="equal">
      <formula>$I$7</formula>
    </cfRule>
    <cfRule type="cellIs" dxfId="381" priority="24" operator="lessThan">
      <formula>$I$7</formula>
    </cfRule>
    <cfRule type="cellIs" dxfId="380" priority="25" operator="greaterThan">
      <formula>$I$7</formula>
    </cfRule>
  </conditionalFormatting>
  <conditionalFormatting sqref="J23:J30 D32:D39">
    <cfRule type="cellIs" dxfId="379" priority="20" operator="equal">
      <formula>$E$7</formula>
    </cfRule>
    <cfRule type="cellIs" dxfId="378" priority="21" operator="lessThan">
      <formula>$E$7</formula>
    </cfRule>
    <cfRule type="cellIs" dxfId="377" priority="22" operator="greaterThan">
      <formula>$E$7</formula>
    </cfRule>
  </conditionalFormatting>
  <conditionalFormatting sqref="E23:E30 K32:K39">
    <cfRule type="cellIs" dxfId="376" priority="17" operator="lessThan">
      <formula>$W$15</formula>
    </cfRule>
    <cfRule type="cellIs" dxfId="375" priority="18" operator="greaterThan">
      <formula>$W$15</formula>
    </cfRule>
    <cfRule type="cellIs" dxfId="374" priority="19" operator="equal">
      <formula>$W$15</formula>
    </cfRule>
  </conditionalFormatting>
  <conditionalFormatting sqref="E32:E39 K23:K30">
    <cfRule type="cellIs" dxfId="373" priority="14" operator="equal">
      <formula>$J$15</formula>
    </cfRule>
    <cfRule type="cellIs" dxfId="372" priority="15" operator="lessThan">
      <formula>$J$15</formula>
    </cfRule>
    <cfRule type="cellIs" dxfId="371" priority="16" operator="greaterThan">
      <formula>$J$15</formula>
    </cfRule>
  </conditionalFormatting>
  <conditionalFormatting sqref="F23:F30 L32:L39">
    <cfRule type="cellIs" dxfId="370" priority="11" operator="equal">
      <formula>$W$20</formula>
    </cfRule>
    <cfRule type="cellIs" dxfId="369" priority="12" operator="lessThan">
      <formula>$W$20</formula>
    </cfRule>
    <cfRule type="cellIs" dxfId="368" priority="13" operator="greaterThan">
      <formula>$W$20</formula>
    </cfRule>
  </conditionalFormatting>
  <conditionalFormatting sqref="F32:F39 L23:L30">
    <cfRule type="cellIs" dxfId="367" priority="8" operator="equal">
      <formula>$J$20</formula>
    </cfRule>
    <cfRule type="cellIs" dxfId="366" priority="9" operator="lessThan">
      <formula>$J$20</formula>
    </cfRule>
    <cfRule type="cellIs" dxfId="365" priority="10" operator="greaterThan">
      <formula>$J$20</formula>
    </cfRule>
  </conditionalFormatting>
  <conditionalFormatting sqref="Q23:S30">
    <cfRule type="cellIs" dxfId="364" priority="5" operator="equal">
      <formula>$E$7</formula>
    </cfRule>
    <cfRule type="cellIs" dxfId="363" priority="6" operator="lessThan">
      <formula>$E$7</formula>
    </cfRule>
    <cfRule type="cellIs" dxfId="362" priority="7" operator="greaterThan">
      <formula>$E$7</formula>
    </cfRule>
  </conditionalFormatting>
  <conditionalFormatting sqref="Q32:S39">
    <cfRule type="cellIs" dxfId="361" priority="4" operator="greaterThan">
      <formula>$I$7</formula>
    </cfRule>
  </conditionalFormatting>
  <conditionalFormatting sqref="Q32:S39">
    <cfRule type="cellIs" dxfId="360" priority="1" operator="equal">
      <formula>$I$7</formula>
    </cfRule>
    <cfRule type="cellIs" dxfId="359" priority="2" operator="lessThan">
      <formula>$I$7</formula>
    </cfRule>
    <cfRule type="cellIs" dxfId="358" priority="3" operator="greaterThan">
      <formula>$I$7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F30D2-43A4-4B3E-BA9A-B1F44F4CB007}">
  <dimension ref="A3:Y56"/>
  <sheetViews>
    <sheetView topLeftCell="A7" workbookViewId="0">
      <selection activeCell="D28" sqref="D28"/>
    </sheetView>
  </sheetViews>
  <sheetFormatPr defaultRowHeight="15" x14ac:dyDescent="0.25"/>
  <cols>
    <col min="7" max="7" width="11.7109375" customWidth="1"/>
    <col min="15" max="15" width="14.140625" customWidth="1"/>
    <col min="16" max="16" width="14" customWidth="1"/>
    <col min="17" max="17" width="15" customWidth="1"/>
    <col min="18" max="18" width="13.7109375" customWidth="1"/>
    <col min="19" max="19" width="14" customWidth="1"/>
    <col min="24" max="24" width="13.7109375" customWidth="1"/>
  </cols>
  <sheetData>
    <row r="3" spans="3:25" x14ac:dyDescent="0.25">
      <c r="C3" t="s">
        <v>0</v>
      </c>
      <c r="D3" t="s">
        <v>5</v>
      </c>
      <c r="E3" t="s">
        <v>4</v>
      </c>
      <c r="F3" t="s">
        <v>21</v>
      </c>
      <c r="G3" t="s">
        <v>13</v>
      </c>
      <c r="H3" t="s">
        <v>35</v>
      </c>
      <c r="I3" t="s">
        <v>6</v>
      </c>
      <c r="J3" t="s">
        <v>9</v>
      </c>
      <c r="K3" t="s">
        <v>10</v>
      </c>
      <c r="L3" t="s">
        <v>22</v>
      </c>
      <c r="M3" t="s">
        <v>25</v>
      </c>
      <c r="N3" t="s">
        <v>26</v>
      </c>
      <c r="O3" t="s">
        <v>11</v>
      </c>
      <c r="P3" t="s">
        <v>36</v>
      </c>
      <c r="Q3" t="s">
        <v>37</v>
      </c>
    </row>
    <row r="4" spans="3:25" x14ac:dyDescent="0.25">
      <c r="C4" t="s">
        <v>1</v>
      </c>
      <c r="D4">
        <v>10</v>
      </c>
      <c r="E4">
        <v>1000</v>
      </c>
      <c r="F4">
        <f>Mkt_58[[#This Row],[Loan]]/Mkt_58[[#Totals],[Loan]]</f>
        <v>0.43010752688172044</v>
      </c>
      <c r="G4">
        <f>J12+J18</f>
        <v>880</v>
      </c>
      <c r="H4">
        <f>Mkt_58[[#This Row],[Funded]]/Mkt_58[[#Totals],[Funded]]</f>
        <v>0.46933333333333332</v>
      </c>
      <c r="I4">
        <v>2000</v>
      </c>
      <c r="J4">
        <v>1115</v>
      </c>
      <c r="K4">
        <f>Mkt_58[[#This Row],[Loan]]/Mkt_58[[#This Row],[ARV]]</f>
        <v>0.5</v>
      </c>
      <c r="L4">
        <f>Mkt_58[[#This Row],[L_w]]*Mkt_58[[#This Row],[LTV]]</f>
        <v>0.21505376344086022</v>
      </c>
      <c r="M4">
        <f>1/Mkt_58[[#This Row],[LTV]]</f>
        <v>2</v>
      </c>
      <c r="N4">
        <f>Mkt_58[[#This Row],[L_w]]*Mkt_58[[#This Row],[rec_LTV]]</f>
        <v>0.86021505376344087</v>
      </c>
      <c r="O4">
        <f>Mkt_58[[#This Row],[Loan]]/Mkt_58[[#This Row],[Cost]]</f>
        <v>0.89686098654708524</v>
      </c>
      <c r="P4" s="2">
        <f>Mkt_58[[#This Row],[F_w]]*Mkt_58[[#This Row],[LTV]]</f>
        <v>0.23466666666666666</v>
      </c>
      <c r="Q4" s="2">
        <f>Mkt_58[[#This Row],[F_w]]*Mkt_58[[#This Row],[rec_LTV]]</f>
        <v>0.93866666666666665</v>
      </c>
    </row>
    <row r="5" spans="3:25" x14ac:dyDescent="0.25">
      <c r="C5" t="s">
        <v>2</v>
      </c>
      <c r="D5">
        <v>12.5</v>
      </c>
      <c r="E5">
        <v>1125</v>
      </c>
      <c r="F5">
        <f>Mkt_58[[#This Row],[Loan]]/Mkt_58[[#Totals],[Loan]]</f>
        <v>0.4838709677419355</v>
      </c>
      <c r="G5">
        <f>J13+J19</f>
        <v>570</v>
      </c>
      <c r="H5">
        <f>Mkt_58[[#This Row],[Funded]]/Mkt_58[[#Totals],[Funded]]</f>
        <v>0.30399999999999999</v>
      </c>
      <c r="I5">
        <v>2000</v>
      </c>
      <c r="J5">
        <v>1500</v>
      </c>
      <c r="K5">
        <f>Mkt_58[[#This Row],[Loan]]/Mkt_58[[#This Row],[ARV]]</f>
        <v>0.5625</v>
      </c>
      <c r="L5">
        <f>Mkt_58[[#This Row],[L_w]]*Mkt_58[[#This Row],[LTV]]</f>
        <v>0.27217741935483875</v>
      </c>
      <c r="M5">
        <f>1/Mkt_58[[#This Row],[LTV]]</f>
        <v>1.7777777777777777</v>
      </c>
      <c r="N5">
        <f>Mkt_58[[#This Row],[L_w]]*Mkt_58[[#This Row],[rec_LTV]]</f>
        <v>0.86021505376344087</v>
      </c>
      <c r="O5">
        <f>Mkt_58[[#This Row],[Loan]]/Mkt_58[[#This Row],[Cost]]</f>
        <v>0.75</v>
      </c>
      <c r="P5" s="2">
        <f>Mkt_58[[#This Row],[F_w]]*Mkt_58[[#This Row],[LTV]]</f>
        <v>0.17099999999999999</v>
      </c>
      <c r="Q5" s="2">
        <f>Mkt_58[[#This Row],[F_w]]*Mkt_58[[#This Row],[rec_LTV]]</f>
        <v>0.54044444444444439</v>
      </c>
    </row>
    <row r="6" spans="3:25" x14ac:dyDescent="0.25">
      <c r="C6" t="s">
        <v>3</v>
      </c>
      <c r="D6">
        <v>11</v>
      </c>
      <c r="E6">
        <v>200</v>
      </c>
      <c r="F6">
        <f>Mkt_58[[#This Row],[Loan]]/Mkt_58[[#Totals],[Loan]]</f>
        <v>8.6021505376344093E-2</v>
      </c>
      <c r="G6">
        <f>J14+X14</f>
        <v>425</v>
      </c>
      <c r="H6">
        <f>Mkt_58[[#This Row],[Funded]]/Mkt_58[[#Totals],[Funded]]</f>
        <v>0.22666666666666666</v>
      </c>
      <c r="I6">
        <v>2000</v>
      </c>
      <c r="J6">
        <v>225</v>
      </c>
      <c r="K6">
        <f>Mkt_58[[#This Row],[Loan]]/Mkt_58[[#This Row],[ARV]]</f>
        <v>0.1</v>
      </c>
      <c r="L6">
        <f>Mkt_58[[#This Row],[L_w]]*Mkt_58[[#This Row],[LTV]]</f>
        <v>8.6021505376344103E-3</v>
      </c>
      <c r="M6">
        <f>1/Mkt_58[[#This Row],[LTV]]</f>
        <v>10</v>
      </c>
      <c r="N6">
        <f>Mkt_58[[#This Row],[L_w]]*Mkt_58[[#This Row],[rec_LTV]]</f>
        <v>0.86021505376344098</v>
      </c>
      <c r="O6">
        <f>Mkt_58[[#This Row],[Loan]]/Mkt_58[[#This Row],[Cost]]</f>
        <v>0.88888888888888884</v>
      </c>
      <c r="P6" s="2">
        <f>Mkt_58[[#This Row],[F_w]]*Mkt_58[[#This Row],[LTV]]</f>
        <v>2.2666666666666668E-2</v>
      </c>
      <c r="Q6" s="2">
        <f>Mkt_58[[#This Row],[F_w]]*Mkt_58[[#This Row],[rec_LTV]]</f>
        <v>2.2666666666666666</v>
      </c>
    </row>
    <row r="7" spans="3:25" x14ac:dyDescent="0.25">
      <c r="E7">
        <f>SUM(Mkt_58[Loan])</f>
        <v>2325</v>
      </c>
      <c r="F7">
        <f>SUBTOTAL(109,Mkt_58[L_w])</f>
        <v>1</v>
      </c>
      <c r="G7">
        <f>SUM(Mkt_58[Funded])</f>
        <v>1875</v>
      </c>
      <c r="H7">
        <f>SUBTOTAL(109,Mkt_58[F_w])</f>
        <v>1</v>
      </c>
      <c r="I7">
        <f>SUM(Mkt_58[ARV])</f>
        <v>6000</v>
      </c>
      <c r="J7">
        <f>SUM(Mkt_58[Funded])</f>
        <v>1875</v>
      </c>
      <c r="K7" s="2"/>
      <c r="L7" s="2">
        <f>SUBTOTAL(109,Mkt_58[w_LTV])</f>
        <v>0.4958333333333334</v>
      </c>
      <c r="M7" s="2"/>
      <c r="N7" s="2">
        <f>SUBTOTAL(109,Mkt_58[wrec_LTV])</f>
        <v>2.580645161290323</v>
      </c>
      <c r="O7" s="2"/>
      <c r="P7">
        <f>SUBTOTAL(109,Mkt_58[fw_LTV])</f>
        <v>0.42833333333333329</v>
      </c>
      <c r="Q7">
        <f>SUBTOTAL(109,Mkt_58[fwrec_LTV])</f>
        <v>3.7457777777777777</v>
      </c>
    </row>
    <row r="10" spans="3:25" x14ac:dyDescent="0.25">
      <c r="D10" t="s">
        <v>0</v>
      </c>
      <c r="E10" t="s">
        <v>7</v>
      </c>
      <c r="F10" t="s">
        <v>8</v>
      </c>
    </row>
    <row r="11" spans="3:25" x14ac:dyDescent="0.25">
      <c r="C11" t="s">
        <v>10</v>
      </c>
      <c r="I11" t="s">
        <v>7</v>
      </c>
      <c r="J11" t="s">
        <v>12</v>
      </c>
      <c r="K11" t="s">
        <v>38</v>
      </c>
      <c r="L11" t="s">
        <v>14</v>
      </c>
      <c r="M11" t="s">
        <v>10</v>
      </c>
      <c r="N11" t="s">
        <v>39</v>
      </c>
      <c r="O11" t="s">
        <v>42</v>
      </c>
      <c r="P11" t="s">
        <v>41</v>
      </c>
      <c r="Q11" t="s">
        <v>43</v>
      </c>
      <c r="R11" t="s">
        <v>11</v>
      </c>
      <c r="S11" t="s">
        <v>4</v>
      </c>
      <c r="T11" t="s">
        <v>19</v>
      </c>
      <c r="U11" t="s">
        <v>40</v>
      </c>
      <c r="V11" t="s">
        <v>6</v>
      </c>
      <c r="W11" t="s">
        <v>27</v>
      </c>
      <c r="X11" t="s">
        <v>9</v>
      </c>
      <c r="Y11" t="s">
        <v>20</v>
      </c>
    </row>
    <row r="12" spans="3:25" x14ac:dyDescent="0.25">
      <c r="C12" t="s">
        <v>15</v>
      </c>
      <c r="D12">
        <f>Mkt_58[[#Totals],[Loan]]/Mkt_58[[#Totals],[ARV]]</f>
        <v>0.38750000000000001</v>
      </c>
      <c r="E12">
        <f>PortA69[[#Totals],[Owned Loan]]/PortA69[[#Totals],[Owned ARV]]</f>
        <v>0.29876615746180962</v>
      </c>
      <c r="F12">
        <f>PortB710[[#Totals],[Owned Loan]]/PortB710[[#Totals],[Owned ARV]]</f>
        <v>0.5246636771300448</v>
      </c>
      <c r="I12" t="s">
        <v>1</v>
      </c>
      <c r="J12">
        <v>580</v>
      </c>
      <c r="K12">
        <f>PortA69[[#This Row],[LenderFund]]/PortA69[[#Totals],[LenderFund]]</f>
        <v>0.51327433628318586</v>
      </c>
      <c r="L12" s="1">
        <f>PortA69[[#This Row],[LenderFund]]/E4</f>
        <v>0.57999999999999996</v>
      </c>
      <c r="M12">
        <f t="shared" ref="M12:M14" si="0">K4</f>
        <v>0.5</v>
      </c>
      <c r="N12">
        <f>PortA69[[#This Row],[ol_w]]*PortA69[[#This Row],[LTV]]</f>
        <v>0.25663716814159293</v>
      </c>
      <c r="O12">
        <f>PortA69[[#This Row],[ol_w]]*(1/PortA69[[#This Row],[LTV]])</f>
        <v>1.0265486725663717</v>
      </c>
      <c r="P12">
        <f>PortA69[[#This Row],[lf_w]]*PortA69[[#This Row],[LTV]]</f>
        <v>0.25663716814159293</v>
      </c>
      <c r="Q12">
        <f>PortA69[[#This Row],[lf_w]]*M4</f>
        <v>1.0265486725663717</v>
      </c>
      <c r="R12">
        <f t="shared" ref="R12:R14" si="1">O4</f>
        <v>0.89686098654708524</v>
      </c>
      <c r="S12">
        <f t="shared" ref="S12:S14" si="2">E4</f>
        <v>1000</v>
      </c>
      <c r="T12">
        <f>PortA69[[#This Row],[Own]]*PortA69[[#This Row],[Loan]]</f>
        <v>580</v>
      </c>
      <c r="U12">
        <f>PortA69[[#This Row],[Owned Loan]]/PortA69[[#Totals],[Owned Loan]]</f>
        <v>0.51327433628318586</v>
      </c>
      <c r="V12">
        <f t="shared" ref="V12:V14" si="3">I4</f>
        <v>2000</v>
      </c>
      <c r="W12">
        <f>PortA69[[#This Row],[Own]]*PortA69[[#This Row],[ARV]]</f>
        <v>1160</v>
      </c>
      <c r="X12">
        <f t="shared" ref="X12:X14" si="4">J4</f>
        <v>1115</v>
      </c>
      <c r="Y12" s="2">
        <f>PortA69[[#This Row],[Own]]*PortA69[[#This Row],[Cost]]</f>
        <v>646.69999999999993</v>
      </c>
    </row>
    <row r="13" spans="3:25" x14ac:dyDescent="0.25">
      <c r="C13" t="s">
        <v>16</v>
      </c>
      <c r="D13">
        <f>AVERAGE(Mkt_58[LTV])</f>
        <v>0.38750000000000001</v>
      </c>
      <c r="E13">
        <f>AVERAGE(PortA69[LTV])</f>
        <v>0.38750000000000001</v>
      </c>
      <c r="F13">
        <f>AVERAGE(PortB710[LTV])</f>
        <v>0.53125</v>
      </c>
      <c r="I13" t="s">
        <v>2</v>
      </c>
      <c r="J13">
        <v>350</v>
      </c>
      <c r="K13">
        <f>PortA69[[#This Row],[LenderFund]]/PortA69[[#Totals],[LenderFund]]</f>
        <v>0.30973451327433627</v>
      </c>
      <c r="L13" s="1">
        <f>PortA69[[#This Row],[LenderFund]]/E5</f>
        <v>0.31111111111111112</v>
      </c>
      <c r="M13">
        <f t="shared" si="0"/>
        <v>0.5625</v>
      </c>
      <c r="N13">
        <f>PortA69[[#This Row],[ol_w]]*PortA69[[#This Row],[LTV]]</f>
        <v>0.17422566371681414</v>
      </c>
      <c r="O13">
        <f>PortA69[[#This Row],[ol_w]]*(1/PortA69[[#This Row],[LTV]])</f>
        <v>0.55063913470993109</v>
      </c>
      <c r="P13">
        <f>PortA69[[#This Row],[lf_w]]*PortA69[[#This Row],[LTV]]</f>
        <v>0.17422566371681414</v>
      </c>
      <c r="Q13">
        <f>PortA69[[#This Row],[lf_w]]*M5</f>
        <v>0.55063913470993109</v>
      </c>
      <c r="R13">
        <f t="shared" si="1"/>
        <v>0.75</v>
      </c>
      <c r="S13">
        <f t="shared" si="2"/>
        <v>1125</v>
      </c>
      <c r="T13">
        <f>PortA69[[#This Row],[Own]]*PortA69[[#This Row],[Loan]]</f>
        <v>350</v>
      </c>
      <c r="U13">
        <f>PortA69[[#This Row],[Owned Loan]]/PortA69[[#Totals],[Owned Loan]]</f>
        <v>0.30973451327433627</v>
      </c>
      <c r="V13">
        <f t="shared" si="3"/>
        <v>2000</v>
      </c>
      <c r="W13">
        <f>PortA69[[#This Row],[Own]]*PortA69[[#This Row],[ARV]]</f>
        <v>622.22222222222229</v>
      </c>
      <c r="X13">
        <f t="shared" si="4"/>
        <v>1500</v>
      </c>
      <c r="Y13" s="2">
        <f>PortA69[[#This Row],[Own]]*PortA69[[#This Row],[Cost]]</f>
        <v>466.66666666666669</v>
      </c>
    </row>
    <row r="14" spans="3:25" x14ac:dyDescent="0.25">
      <c r="C14" t="s">
        <v>17</v>
      </c>
      <c r="D14">
        <f>GEOMEAN(Mkt_58[LTV])</f>
        <v>0.30411009977866998</v>
      </c>
      <c r="E14">
        <f>GEOMEAN(PortA69[LTV])</f>
        <v>0.30411009977866998</v>
      </c>
      <c r="F14">
        <f>GEOMEAN(PortB710[LTV])</f>
        <v>0.5303300858899106</v>
      </c>
      <c r="I14" t="s">
        <v>3</v>
      </c>
      <c r="J14">
        <v>200</v>
      </c>
      <c r="K14">
        <f>PortA69[[#This Row],[LenderFund]]/PortA69[[#Totals],[LenderFund]]</f>
        <v>0.17699115044247787</v>
      </c>
      <c r="L14" s="1">
        <f>PortA69[[#This Row],[LenderFund]]/E6</f>
        <v>1</v>
      </c>
      <c r="M14">
        <f t="shared" si="0"/>
        <v>0.1</v>
      </c>
      <c r="N14">
        <f>PortA69[[#This Row],[ol_w]]*PortA69[[#This Row],[LTV]]</f>
        <v>1.7699115044247787E-2</v>
      </c>
      <c r="O14">
        <f>PortA69[[#This Row],[ol_w]]*(1/PortA69[[#This Row],[LTV]])</f>
        <v>1.7699115044247788</v>
      </c>
      <c r="P14">
        <f>PortA69[[#This Row],[lf_w]]*PortA69[[#This Row],[LTV]]</f>
        <v>1.7699115044247787E-2</v>
      </c>
      <c r="Q14">
        <f>PortA69[[#This Row],[lf_w]]*M6</f>
        <v>1.7699115044247788</v>
      </c>
      <c r="R14">
        <f t="shared" si="1"/>
        <v>0.88888888888888884</v>
      </c>
      <c r="S14">
        <f t="shared" si="2"/>
        <v>200</v>
      </c>
      <c r="T14">
        <f>PortA69[[#This Row],[Own]]*PortA69[[#This Row],[Loan]]</f>
        <v>200</v>
      </c>
      <c r="U14">
        <f>PortA69[[#This Row],[Owned Loan]]/PortA69[[#Totals],[Owned Loan]]</f>
        <v>0.17699115044247787</v>
      </c>
      <c r="V14">
        <f t="shared" si="3"/>
        <v>2000</v>
      </c>
      <c r="W14">
        <f>PortA69[[#This Row],[Own]]*PortA69[[#This Row],[ARV]]</f>
        <v>2000</v>
      </c>
      <c r="X14">
        <f t="shared" si="4"/>
        <v>225</v>
      </c>
      <c r="Y14" s="2">
        <f>PortA69[[#This Row],[Own]]*PortA69[[#This Row],[Cost]]</f>
        <v>225</v>
      </c>
    </row>
    <row r="15" spans="3:25" x14ac:dyDescent="0.25">
      <c r="C15" t="s">
        <v>18</v>
      </c>
      <c r="D15">
        <f>HARMEAN(Mkt_58[LTV])</f>
        <v>0.21774193548387097</v>
      </c>
      <c r="E15">
        <f>HARMEAN(PortA69[LTV])</f>
        <v>0.21774193548387097</v>
      </c>
      <c r="F15">
        <f>HARMEAN(PortB710[LTV])</f>
        <v>0.52941176470588236</v>
      </c>
      <c r="J15">
        <f>SUBTOTAL(109,PortA69[LenderFund])</f>
        <v>1130</v>
      </c>
      <c r="K15">
        <f>SUBTOTAL(109,PortA69[lf_w])</f>
        <v>1</v>
      </c>
      <c r="L15" s="3"/>
      <c r="M15" s="2"/>
      <c r="N15" s="2">
        <f>SUBTOTAL(109,PortA69[olw_LTV])</f>
        <v>0.44856194690265483</v>
      </c>
      <c r="O15" s="2">
        <f>SUBTOTAL(109,PortA69[olwr_LTV])</f>
        <v>3.3470993117010819</v>
      </c>
      <c r="P15" s="2">
        <f>SUBTOTAL(109,PortA69[lfw_LTV])</f>
        <v>0.44856194690265483</v>
      </c>
      <c r="Q15" s="2">
        <f>SUBTOTAL(109,PortA69[lfwr_LTV])</f>
        <v>3.3470993117010819</v>
      </c>
      <c r="R15" s="2"/>
      <c r="S15" s="2"/>
      <c r="T15" s="2">
        <f>SUM(PortA69[Owned Loan])</f>
        <v>1130</v>
      </c>
      <c r="U15" s="2">
        <f>SUBTOTAL(109,PortA69[ol_w])</f>
        <v>1</v>
      </c>
      <c r="V15" s="2"/>
      <c r="W15" s="2">
        <f>SUM(PortA69[Owned ARV])</f>
        <v>3782.2222222222222</v>
      </c>
      <c r="X15" s="2"/>
      <c r="Y15" s="2"/>
    </row>
    <row r="16" spans="3:25" x14ac:dyDescent="0.25">
      <c r="C16" t="s">
        <v>23</v>
      </c>
      <c r="D16">
        <f>Mkt_58[[#Totals],[w_LTV]]/Mkt_58[[#Totals],[L_w]]</f>
        <v>0.4958333333333334</v>
      </c>
      <c r="E16">
        <f>PortA69[[#Totals],[olw_LTV]]/PortA69[[#Totals],[ol_w]]</f>
        <v>0.44856194690265483</v>
      </c>
      <c r="F16">
        <f>PortB710[[#Totals],[olw_LTV]]/PortB710[[#Totals],[ol_w]]</f>
        <v>0.52644230769230771</v>
      </c>
    </row>
    <row r="17" spans="1:25" x14ac:dyDescent="0.25">
      <c r="C17" t="s">
        <v>24</v>
      </c>
      <c r="D17">
        <f>Mkt_58[[#Totals],[L_w]]/Mkt_58[[#Totals],[wrec_LTV]]</f>
        <v>0.38749999999999996</v>
      </c>
      <c r="E17">
        <f>PortA69[[#Totals],[ol_w]]/PortA69[[#Totals],[olwr_LTV]]</f>
        <v>0.29876615746180962</v>
      </c>
      <c r="F17">
        <f>PortB710[[#Totals],[ol_w]]/PortB710[[#Totals],[olwr_LTV]]</f>
        <v>0.52466367713004491</v>
      </c>
      <c r="G17" s="2"/>
      <c r="I17" t="s">
        <v>8</v>
      </c>
      <c r="J17" t="s">
        <v>12</v>
      </c>
      <c r="K17" t="s">
        <v>38</v>
      </c>
      <c r="L17" t="s">
        <v>14</v>
      </c>
      <c r="M17" t="s">
        <v>10</v>
      </c>
      <c r="N17" t="s">
        <v>39</v>
      </c>
      <c r="O17" t="s">
        <v>42</v>
      </c>
      <c r="P17" t="s">
        <v>41</v>
      </c>
      <c r="Q17" t="s">
        <v>43</v>
      </c>
      <c r="R17" t="s">
        <v>11</v>
      </c>
      <c r="S17" t="s">
        <v>4</v>
      </c>
      <c r="T17" t="s">
        <v>19</v>
      </c>
      <c r="U17" t="s">
        <v>40</v>
      </c>
      <c r="V17" t="s">
        <v>6</v>
      </c>
      <c r="W17" t="s">
        <v>27</v>
      </c>
      <c r="X17" t="s">
        <v>9</v>
      </c>
      <c r="Y17" t="s">
        <v>20</v>
      </c>
    </row>
    <row r="18" spans="1:25" x14ac:dyDescent="0.25">
      <c r="C18" t="s">
        <v>33</v>
      </c>
      <c r="D18">
        <f>Mkt_58[[#Totals],[fw_LTV]]/Mkt_58[[#Totals],[F_w]]</f>
        <v>0.42833333333333329</v>
      </c>
      <c r="E18">
        <f>PortA69[[#Totals],[lfw_LTV]]/PortA69[[#Totals],[lf_w]]</f>
        <v>0.44856194690265483</v>
      </c>
      <c r="F18">
        <f>PortB710[[#Totals],[lfw_LTV]]/PortB710[[#Totals],[lf_w]]</f>
        <v>0.52644230769230771</v>
      </c>
      <c r="I18" t="s">
        <v>1</v>
      </c>
      <c r="J18">
        <v>300</v>
      </c>
      <c r="K18">
        <f>PortB710[[#This Row],[LenderFund]]/PortB710[[#Totals],[LenderFund]]</f>
        <v>0.57692307692307687</v>
      </c>
      <c r="L18" s="1">
        <f>PortB710[[#This Row],[LenderFund]]/E4</f>
        <v>0.3</v>
      </c>
      <c r="M18">
        <f t="shared" ref="M18:M19" si="5">K4</f>
        <v>0.5</v>
      </c>
      <c r="N18">
        <f>PortB710[[#This Row],[ol_w]]*PortB710[[#This Row],[LTV]]</f>
        <v>0.28846153846153844</v>
      </c>
      <c r="O18">
        <f>PortB710[[#This Row],[ol_w]]*M4</f>
        <v>1.1538461538461537</v>
      </c>
      <c r="P18">
        <f>PortB710[[#This Row],[lf_w]]*PortB710[[#This Row],[LTV]]</f>
        <v>0.28846153846153844</v>
      </c>
      <c r="Q18">
        <f>PortB710[[#This Row],[lf_w]]*M4</f>
        <v>1.1538461538461537</v>
      </c>
      <c r="R18">
        <f t="shared" ref="R18:R19" si="6">O4</f>
        <v>0.89686098654708524</v>
      </c>
      <c r="S18">
        <f t="shared" ref="S18:S19" si="7">E4</f>
        <v>1000</v>
      </c>
      <c r="T18">
        <f>PortB710[[#This Row],[Own]]*PortB710[[#This Row],[Loan]]</f>
        <v>300</v>
      </c>
      <c r="U18">
        <f>PortB710[[#This Row],[Owned Loan]]/PortB710[[#Totals],[Owned Loan]]</f>
        <v>0.57692307692307687</v>
      </c>
      <c r="V18">
        <f t="shared" ref="V18:V19" si="8">I4</f>
        <v>2000</v>
      </c>
      <c r="W18">
        <f>PortB710[[#This Row],[Own]]*PortB710[[#This Row],[ARV]]</f>
        <v>600</v>
      </c>
      <c r="X18">
        <f t="shared" ref="X18:X19" si="9">J4</f>
        <v>1115</v>
      </c>
      <c r="Y18" s="2">
        <f>PortB710[[#This Row],[Own]]*PortB710[[#This Row],[Cost]]</f>
        <v>334.5</v>
      </c>
    </row>
    <row r="19" spans="1:25" x14ac:dyDescent="0.25">
      <c r="C19" t="s">
        <v>34</v>
      </c>
      <c r="D19">
        <f>Mkt_58[[#Totals],[F_w]]/Mkt_58[[#Totals],[fwrec_LTV]]</f>
        <v>0.26696725201708593</v>
      </c>
      <c r="E19">
        <f>PortA69[[#Totals],[lf_w]]/PortA69[[#Totals],[lfwr_LTV]]</f>
        <v>0.29876615746180962</v>
      </c>
      <c r="F19">
        <f>PortB710[[#Totals],[lf_w]]/PortB710[[#Totals],[lfwr_LTV]]</f>
        <v>0.52466367713004491</v>
      </c>
      <c r="I19" t="s">
        <v>2</v>
      </c>
      <c r="J19">
        <v>220</v>
      </c>
      <c r="K19">
        <f>PortB710[[#This Row],[LenderFund]]/PortB710[[#Totals],[LenderFund]]</f>
        <v>0.42307692307692307</v>
      </c>
      <c r="L19" s="1">
        <f>PortB710[[#This Row],[LenderFund]]/E5</f>
        <v>0.19555555555555557</v>
      </c>
      <c r="M19">
        <f t="shared" si="5"/>
        <v>0.5625</v>
      </c>
      <c r="N19">
        <f>PortB710[[#This Row],[ol_w]]*PortB710[[#This Row],[LTV]]</f>
        <v>0.23798076923076922</v>
      </c>
      <c r="O19">
        <f>PortB710[[#This Row],[ol_w]]*M5</f>
        <v>0.75213675213675213</v>
      </c>
      <c r="P19">
        <f>PortB710[[#This Row],[lf_w]]*PortB710[[#This Row],[LTV]]</f>
        <v>0.23798076923076922</v>
      </c>
      <c r="Q19">
        <f>PortB710[[#This Row],[lf_w]]*M5</f>
        <v>0.75213675213675213</v>
      </c>
      <c r="R19">
        <f t="shared" si="6"/>
        <v>0.75</v>
      </c>
      <c r="S19">
        <f t="shared" si="7"/>
        <v>1125</v>
      </c>
      <c r="T19">
        <f>PortB710[[#This Row],[Own]]*PortB710[[#This Row],[Loan]]</f>
        <v>220</v>
      </c>
      <c r="U19">
        <f>PortB710[[#This Row],[Owned Loan]]/PortB710[[#Totals],[Owned Loan]]</f>
        <v>0.42307692307692307</v>
      </c>
      <c r="V19">
        <f t="shared" si="8"/>
        <v>2000</v>
      </c>
      <c r="W19">
        <f>PortB710[[#This Row],[Own]]*PortB710[[#This Row],[ARV]]</f>
        <v>391.11111111111114</v>
      </c>
      <c r="X19">
        <f t="shared" si="9"/>
        <v>1500</v>
      </c>
      <c r="Y19" s="2">
        <f>PortB710[[#This Row],[Own]]*PortB710[[#This Row],[Cost]]</f>
        <v>293.33333333333337</v>
      </c>
    </row>
    <row r="20" spans="1:25" x14ac:dyDescent="0.25">
      <c r="J20">
        <f>SUBTOTAL(109,PortB710[LenderFund])</f>
        <v>520</v>
      </c>
      <c r="K20">
        <f>SUBTOTAL(109,PortB710[lf_w])</f>
        <v>1</v>
      </c>
      <c r="L20" s="3"/>
      <c r="M20" s="2"/>
      <c r="N20" s="2">
        <f>SUBTOTAL(109,PortB710[olw_LTV])</f>
        <v>0.52644230769230771</v>
      </c>
      <c r="O20" s="2">
        <f>SUBTOTAL(109,PortB710[olwr_LTV])</f>
        <v>1.9059829059829059</v>
      </c>
      <c r="P20" s="2">
        <f>SUBTOTAL(109,PortB710[lfw_LTV])</f>
        <v>0.52644230769230771</v>
      </c>
      <c r="Q20" s="2">
        <f>SUBTOTAL(109,PortB710[lfwr_LTV])</f>
        <v>1.9059829059829059</v>
      </c>
      <c r="R20" s="2"/>
      <c r="S20" s="2"/>
      <c r="T20" s="2">
        <f>SUM(PortB710[Owned Loan])</f>
        <v>520</v>
      </c>
      <c r="U20" s="2">
        <f>SUBTOTAL(109,PortB710[ol_w])</f>
        <v>1</v>
      </c>
      <c r="V20" s="2"/>
      <c r="W20" s="2">
        <f>SUBTOTAL(109,PortB710[Owned ARV])</f>
        <v>991.11111111111109</v>
      </c>
      <c r="X20" s="2"/>
      <c r="Y20" s="2"/>
    </row>
    <row r="21" spans="1:25" x14ac:dyDescent="0.25">
      <c r="B21" t="s">
        <v>28</v>
      </c>
      <c r="N21" s="2"/>
      <c r="O21" s="2"/>
    </row>
    <row r="22" spans="1:25" x14ac:dyDescent="0.25">
      <c r="D22" t="s">
        <v>0</v>
      </c>
      <c r="E22" t="s">
        <v>7</v>
      </c>
      <c r="F22" t="s">
        <v>8</v>
      </c>
      <c r="J22" t="s">
        <v>0</v>
      </c>
      <c r="K22" t="s">
        <v>7</v>
      </c>
      <c r="L22" t="s">
        <v>8</v>
      </c>
      <c r="N22" s="2"/>
      <c r="O22" s="2"/>
      <c r="Q22" t="s">
        <v>0</v>
      </c>
      <c r="R22" t="s">
        <v>7</v>
      </c>
      <c r="S22" t="s">
        <v>8</v>
      </c>
    </row>
    <row r="23" spans="1:25" x14ac:dyDescent="0.25">
      <c r="B23" s="4" t="s">
        <v>31</v>
      </c>
      <c r="C23" t="s">
        <v>15</v>
      </c>
      <c r="D23" s="7">
        <f>Mkt_58[[#Totals],[Loan]]/D12</f>
        <v>6000</v>
      </c>
      <c r="E23" s="7">
        <f>PortA69[[#Totals],[Owned Loan]]/E12</f>
        <v>3782.2222222222222</v>
      </c>
      <c r="F23" s="7">
        <f>PortB710[[#Totals],[Owned Loan]]/F12</f>
        <v>991.1111111111112</v>
      </c>
      <c r="H23" s="4" t="s">
        <v>44</v>
      </c>
      <c r="I23" t="s">
        <v>15</v>
      </c>
      <c r="J23" s="7">
        <f>Mkt_58[[#Totals],[ARV]]*D12</f>
        <v>2325</v>
      </c>
      <c r="K23" s="7">
        <f>PortA69[[#Totals],[Owned ARV]]*E12</f>
        <v>1130</v>
      </c>
      <c r="L23" s="7">
        <f>PortB710[[#Totals],[Owned ARV]]*F12</f>
        <v>520</v>
      </c>
      <c r="N23" s="2"/>
      <c r="O23" s="11" t="s">
        <v>57</v>
      </c>
      <c r="P23" t="s">
        <v>15</v>
      </c>
      <c r="Q23" s="7">
        <f>D32/$O$26</f>
        <v>2325</v>
      </c>
      <c r="R23" s="7">
        <f t="shared" ref="R23:R30" si="10">E32/$O$27</f>
        <v>2325</v>
      </c>
      <c r="S23" s="7">
        <f>F32/$O$28</f>
        <v>2325</v>
      </c>
    </row>
    <row r="24" spans="1:25" x14ac:dyDescent="0.25">
      <c r="B24" s="5" t="s">
        <v>32</v>
      </c>
      <c r="C24" t="s">
        <v>16</v>
      </c>
      <c r="D24" s="8">
        <f>Mkt_58[[#Totals],[Loan]]/D13</f>
        <v>6000</v>
      </c>
      <c r="E24" s="8">
        <f>PortA69[[#Totals],[Owned Loan]]/E13</f>
        <v>2916.1290322580644</v>
      </c>
      <c r="F24" s="8">
        <f>PortB710[[#Totals],[Owned Loan]]/F13</f>
        <v>978.82352941176475</v>
      </c>
      <c r="H24" s="5" t="s">
        <v>45</v>
      </c>
      <c r="I24" t="s">
        <v>16</v>
      </c>
      <c r="J24" s="8">
        <f>Mkt_58[[#Totals],[ARV]]*D13</f>
        <v>2325</v>
      </c>
      <c r="K24" s="8">
        <f>PortA69[[#Totals],[Owned ARV]]*E13</f>
        <v>1465.6111111111111</v>
      </c>
      <c r="L24" s="8">
        <f>PortB710[[#Totals],[Owned ARV]]*F13</f>
        <v>526.52777777777771</v>
      </c>
      <c r="N24" s="2"/>
      <c r="O24" s="12" t="s">
        <v>58</v>
      </c>
      <c r="P24" t="s">
        <v>16</v>
      </c>
      <c r="Q24" s="7">
        <f t="shared" ref="Q24:Q30" si="11">D33/$O$26</f>
        <v>2325</v>
      </c>
      <c r="R24" s="7">
        <f t="shared" si="10"/>
        <v>3015.527286135693</v>
      </c>
      <c r="S24" s="7">
        <f t="shared" ref="S24:S30" si="12">F33/$O$28</f>
        <v>2354.1866987179487</v>
      </c>
    </row>
    <row r="25" spans="1:25" x14ac:dyDescent="0.25">
      <c r="C25" t="s">
        <v>17</v>
      </c>
      <c r="D25" s="8">
        <f>Mkt_58[[#Totals],[Loan]]/D14</f>
        <v>7645.2574304244581</v>
      </c>
      <c r="E25" s="8">
        <f>PortA69[[#Totals],[Owned Loan]]/E14</f>
        <v>3715.7595253245754</v>
      </c>
      <c r="F25" s="8">
        <f>PortB710[[#Totals],[Owned Loan]]/F14</f>
        <v>980.52140324534594</v>
      </c>
      <c r="I25" t="s">
        <v>17</v>
      </c>
      <c r="J25" s="8">
        <f>Mkt_58[[#Totals],[ARV]]*D14</f>
        <v>1824.6605986720199</v>
      </c>
      <c r="K25" s="8">
        <f>PortA69[[#Totals],[Owned ARV]]*E14</f>
        <v>1150.211977385103</v>
      </c>
      <c r="L25" s="8">
        <f>PortB710[[#Totals],[Owned ARV]]*F14</f>
        <v>525.61604068200029</v>
      </c>
      <c r="N25" t="s">
        <v>53</v>
      </c>
      <c r="P25" t="s">
        <v>17</v>
      </c>
      <c r="Q25" s="7">
        <f t="shared" si="11"/>
        <v>1824.6605986720197</v>
      </c>
      <c r="R25" s="7">
        <f t="shared" si="10"/>
        <v>2366.5865906374902</v>
      </c>
      <c r="S25" s="7">
        <f t="shared" si="12"/>
        <v>2350.1101818954821</v>
      </c>
    </row>
    <row r="26" spans="1:25" x14ac:dyDescent="0.25">
      <c r="C26" t="s">
        <v>18</v>
      </c>
      <c r="D26" s="8">
        <f>Mkt_58[[#Totals],[Loan]]/D15</f>
        <v>10677.777777777777</v>
      </c>
      <c r="E26" s="8">
        <f>PortA69[[#Totals],[Owned Loan]]/E15</f>
        <v>5189.6296296296296</v>
      </c>
      <c r="F26" s="8">
        <f>PortB710[[#Totals],[Owned Loan]]/F15</f>
        <v>982.22222222222217</v>
      </c>
      <c r="I26" t="s">
        <v>18</v>
      </c>
      <c r="J26" s="8">
        <f>Mkt_58[[#Totals],[ARV]]*D15</f>
        <v>1306.4516129032259</v>
      </c>
      <c r="K26" s="8">
        <f>PortA69[[#Totals],[Owned ARV]]*E15</f>
        <v>823.54838709677415</v>
      </c>
      <c r="L26" s="8">
        <f>PortB710[[#Totals],[Owned ARV]]*F15</f>
        <v>524.70588235294122</v>
      </c>
      <c r="N26" t="s">
        <v>0</v>
      </c>
      <c r="O26">
        <f>Mkt_58[[#Totals],[Loan]]/Mkt_58[[#Totals],[Loan]]</f>
        <v>1</v>
      </c>
      <c r="P26" t="s">
        <v>18</v>
      </c>
      <c r="Q26" s="7">
        <f t="shared" si="11"/>
        <v>1306.4516129032259</v>
      </c>
      <c r="R26" s="7">
        <f t="shared" si="10"/>
        <v>1694.4690265486727</v>
      </c>
      <c r="S26" s="7">
        <f t="shared" si="12"/>
        <v>2346.0407239819006</v>
      </c>
    </row>
    <row r="27" spans="1:25" x14ac:dyDescent="0.25">
      <c r="A27" t="s">
        <v>47</v>
      </c>
      <c r="C27" t="s">
        <v>23</v>
      </c>
      <c r="D27" s="8">
        <f>Mkt_58[[#Totals],[Loan]]/D16</f>
        <v>4689.0756302521004</v>
      </c>
      <c r="E27" s="8">
        <f>PortA69[[#Totals],[Owned Loan]]/E16</f>
        <v>2519.1615289765723</v>
      </c>
      <c r="F27" s="8">
        <f>PortB710[[#Totals],[Owned Loan]]/F16</f>
        <v>987.7625570776255</v>
      </c>
      <c r="I27" t="s">
        <v>23</v>
      </c>
      <c r="J27" s="8">
        <f>Mkt_58[[#Totals],[ARV]]*D16</f>
        <v>2975.0000000000005</v>
      </c>
      <c r="K27" s="8">
        <f>PortA69[[#Totals],[Owned ARV]]*E16</f>
        <v>1696.5609636184856</v>
      </c>
      <c r="L27" s="8">
        <f>PortB710[[#Totals],[Owned ARV]]*F16</f>
        <v>521.76282051282055</v>
      </c>
      <c r="N27" t="s">
        <v>51</v>
      </c>
      <c r="O27">
        <f>PortA69[[#Totals],[LenderFund]]/Mkt_58[[#Totals],[Loan]]</f>
        <v>0.48602150537634409</v>
      </c>
      <c r="P27" t="s">
        <v>23</v>
      </c>
      <c r="Q27" s="7">
        <f t="shared" si="11"/>
        <v>2975.0000000000005</v>
      </c>
      <c r="R27" s="7">
        <f t="shared" si="10"/>
        <v>3490.7117171796276</v>
      </c>
      <c r="S27" s="7">
        <f t="shared" si="12"/>
        <v>2332.8818417159764</v>
      </c>
    </row>
    <row r="28" spans="1:25" x14ac:dyDescent="0.25">
      <c r="A28" s="9" t="s">
        <v>48</v>
      </c>
      <c r="C28" t="s">
        <v>24</v>
      </c>
      <c r="D28" s="7">
        <f>Mkt_58[[#Totals],[Loan]]/D17</f>
        <v>6000.0000000000009</v>
      </c>
      <c r="E28" s="7">
        <f>PortA69[[#Totals],[Owned Loan]]/E17</f>
        <v>3782.2222222222222</v>
      </c>
      <c r="F28" s="7">
        <f>PortB710[[#Totals],[Owned Loan]]/F17</f>
        <v>991.11111111111097</v>
      </c>
      <c r="I28" t="s">
        <v>24</v>
      </c>
      <c r="J28" s="7">
        <f>Mkt_58[[#Totals],[ARV]]*D17</f>
        <v>2324.9999999999995</v>
      </c>
      <c r="K28" s="7">
        <f>PortA69[[#Totals],[Owned ARV]]*E17</f>
        <v>1130</v>
      </c>
      <c r="L28" s="7">
        <f>PortB710[[#Totals],[Owned ARV]]*F17</f>
        <v>520.00000000000011</v>
      </c>
      <c r="N28" t="s">
        <v>52</v>
      </c>
      <c r="O28">
        <f>PortB710[[#Totals],[LenderFund]]/Mkt_58[[#Totals],[Loan]]</f>
        <v>0.22365591397849463</v>
      </c>
      <c r="P28" t="s">
        <v>24</v>
      </c>
      <c r="Q28" s="7">
        <f t="shared" si="11"/>
        <v>2324.9999999999995</v>
      </c>
      <c r="R28" s="7">
        <f t="shared" si="10"/>
        <v>2325</v>
      </c>
      <c r="S28" s="7">
        <f t="shared" si="12"/>
        <v>2325.0000000000005</v>
      </c>
    </row>
    <row r="29" spans="1:25" x14ac:dyDescent="0.25">
      <c r="A29" s="10" t="s">
        <v>49</v>
      </c>
      <c r="C29" t="s">
        <v>33</v>
      </c>
      <c r="D29" s="8">
        <f>Mkt_58[[#Totals],[Loan]]/D18</f>
        <v>5428.0155642023356</v>
      </c>
      <c r="E29" s="8">
        <f>PortA69[[#Totals],[Owned Loan]]/E18</f>
        <v>2519.1615289765723</v>
      </c>
      <c r="F29" s="8">
        <f>PortB710[[#Totals],[Owned Loan]]/F18</f>
        <v>987.7625570776255</v>
      </c>
      <c r="I29" t="s">
        <v>33</v>
      </c>
      <c r="J29" s="8">
        <f>Mkt_58[[#Totals],[ARV]]*D18</f>
        <v>2569.9999999999995</v>
      </c>
      <c r="K29" s="8">
        <f>PortA69[[#Totals],[Owned ARV]]*E18</f>
        <v>1696.5609636184856</v>
      </c>
      <c r="L29" s="8">
        <f>PortB710[[#Totals],[Owned ARV]]*F18</f>
        <v>521.76282051282055</v>
      </c>
      <c r="P29" t="s">
        <v>33</v>
      </c>
      <c r="Q29" s="7">
        <f t="shared" si="11"/>
        <v>2570</v>
      </c>
      <c r="R29" s="7">
        <f t="shared" si="10"/>
        <v>3490.7117171796276</v>
      </c>
      <c r="S29" s="7">
        <f t="shared" si="12"/>
        <v>2332.8818417159764</v>
      </c>
    </row>
    <row r="30" spans="1:25" x14ac:dyDescent="0.25">
      <c r="A30" s="6" t="s">
        <v>50</v>
      </c>
      <c r="C30" t="s">
        <v>34</v>
      </c>
      <c r="D30" s="8">
        <f>Mkt_58[[#Totals],[Loan]]/D19</f>
        <v>8708.9333333333325</v>
      </c>
      <c r="E30" s="7">
        <f>PortA69[[#Totals],[Owned Loan]]/E19</f>
        <v>3782.2222222222222</v>
      </c>
      <c r="F30" s="7">
        <f>PortB710[[#Totals],[Owned Loan]]/F19</f>
        <v>991.11111111111097</v>
      </c>
      <c r="I30" t="s">
        <v>34</v>
      </c>
      <c r="J30" s="8">
        <f>Mkt_58[[#Totals],[ARV]]*D19</f>
        <v>1601.8035121025157</v>
      </c>
      <c r="K30" s="7">
        <f>PortA69[[#Totals],[Owned ARV]]*E19</f>
        <v>1130</v>
      </c>
      <c r="L30" s="7">
        <f>PortB710[[#Totals],[Owned ARV]]*F19</f>
        <v>520.00000000000011</v>
      </c>
      <c r="P30" t="s">
        <v>34</v>
      </c>
      <c r="Q30" s="7">
        <f t="shared" si="11"/>
        <v>1601.8035121025155</v>
      </c>
      <c r="R30" s="7">
        <f t="shared" si="10"/>
        <v>2325</v>
      </c>
      <c r="S30" s="7">
        <f t="shared" si="12"/>
        <v>2325.0000000000005</v>
      </c>
    </row>
    <row r="32" spans="1:25" x14ac:dyDescent="0.25">
      <c r="B32" s="4" t="s">
        <v>29</v>
      </c>
      <c r="C32" t="s">
        <v>15</v>
      </c>
      <c r="D32" s="7">
        <f>SUMPRODUCT(Mkt_58[ARV],B45:B47)</f>
        <v>2325</v>
      </c>
      <c r="E32" s="7">
        <f>SUMPRODUCT(PortA69[Owned ARV],B50:B52)</f>
        <v>1130</v>
      </c>
      <c r="F32" s="7">
        <f>SUMPRODUCT(PortB710[Owned ARV],B55:B56)</f>
        <v>520</v>
      </c>
      <c r="H32" s="4" t="s">
        <v>46</v>
      </c>
      <c r="I32" t="s">
        <v>15</v>
      </c>
      <c r="J32" s="7">
        <f>$E$4/D12+$E$5/D12+$E$6/D12</f>
        <v>6000</v>
      </c>
      <c r="K32" s="7">
        <f>$J$12/E12+$J$13/E12+$J$14/E12</f>
        <v>3782.2222222222226</v>
      </c>
      <c r="L32" s="7">
        <f>$J$18/F12+$J$19/F12</f>
        <v>991.1111111111112</v>
      </c>
      <c r="O32" s="11" t="s">
        <v>55</v>
      </c>
      <c r="P32" t="s">
        <v>15</v>
      </c>
      <c r="Q32" s="7">
        <f>D23/$O$35</f>
        <v>6000</v>
      </c>
      <c r="R32" s="7">
        <f>E23/$O$36</f>
        <v>6000</v>
      </c>
      <c r="S32" s="7">
        <f>F23/$O$37</f>
        <v>6000.0000000000009</v>
      </c>
    </row>
    <row r="33" spans="1:19" x14ac:dyDescent="0.25">
      <c r="B33" s="5" t="s">
        <v>30</v>
      </c>
      <c r="C33" t="s">
        <v>16</v>
      </c>
      <c r="D33" s="8">
        <f>SUMPRODUCT(Mkt_58[ARV]*C45:C47)</f>
        <v>2325</v>
      </c>
      <c r="E33" s="8">
        <f>SUMPRODUCT(PortA69[Owned ARV],C50:C52)</f>
        <v>1465.6111111111111</v>
      </c>
      <c r="F33" s="8">
        <f>SUMPRODUCT(PortB710[Owned ARV],C55:C56)</f>
        <v>526.52777777777783</v>
      </c>
      <c r="H33" s="5" t="s">
        <v>32</v>
      </c>
      <c r="I33" t="s">
        <v>16</v>
      </c>
      <c r="J33" s="8">
        <f t="shared" ref="J33:J39" si="13">$E$4/D13+$E$5/D13+$E$6/D13</f>
        <v>6000</v>
      </c>
      <c r="K33" s="8">
        <f t="shared" ref="K33:K39" si="14">$J$12/E13+$J$13/E13+$J$14/E13</f>
        <v>2916.1290322580644</v>
      </c>
      <c r="L33" s="8">
        <f t="shared" ref="L33:L39" si="15">$J$18/F13+$J$19/F13</f>
        <v>978.82352941176475</v>
      </c>
      <c r="O33" s="12" t="s">
        <v>56</v>
      </c>
      <c r="P33" t="s">
        <v>16</v>
      </c>
      <c r="Q33" s="7">
        <f t="shared" ref="Q33:Q39" si="16">D24/$O$35</f>
        <v>6000</v>
      </c>
      <c r="R33" s="7">
        <f t="shared" ref="R33:R39" si="17">E24/$O$36</f>
        <v>4626.05663166673</v>
      </c>
      <c r="S33" s="7">
        <f t="shared" ref="S33:S39" si="18">F24/$O$37</f>
        <v>5925.6132946452126</v>
      </c>
    </row>
    <row r="34" spans="1:19" x14ac:dyDescent="0.25">
      <c r="C34" t="s">
        <v>17</v>
      </c>
      <c r="D34" s="8">
        <f>SUMPRODUCT(Mkt_58[ARV],D45:D47)</f>
        <v>1824.6605986720197</v>
      </c>
      <c r="E34" s="8">
        <f>SUMPRODUCT(PortA69[Owned ARV],D50:D52)</f>
        <v>1150.2119773851027</v>
      </c>
      <c r="F34" s="8">
        <f>SUMPRODUCT(PortB710[Owned ARV],D55:D56)</f>
        <v>525.61604068200029</v>
      </c>
      <c r="I34" t="s">
        <v>17</v>
      </c>
      <c r="J34" s="8">
        <f t="shared" si="13"/>
        <v>7645.2574304244581</v>
      </c>
      <c r="K34" s="8">
        <f t="shared" si="14"/>
        <v>3715.7595253245754</v>
      </c>
      <c r="L34" s="8">
        <f t="shared" si="15"/>
        <v>980.52140324534594</v>
      </c>
      <c r="N34" t="s">
        <v>54</v>
      </c>
      <c r="P34" t="s">
        <v>17</v>
      </c>
      <c r="Q34" s="7">
        <f t="shared" si="16"/>
        <v>7645.2574304244581</v>
      </c>
      <c r="R34" s="7">
        <f t="shared" si="17"/>
        <v>5894.5656394690677</v>
      </c>
      <c r="S34" s="7">
        <f t="shared" si="18"/>
        <v>5935.891903054785</v>
      </c>
    </row>
    <row r="35" spans="1:19" x14ac:dyDescent="0.25">
      <c r="C35" t="s">
        <v>18</v>
      </c>
      <c r="D35" s="8">
        <f>SUMPRODUCT(Mkt_58[ARV],E45:E47)</f>
        <v>1306.4516129032259</v>
      </c>
      <c r="E35" s="8">
        <f>SUMPRODUCT(PortA69[Owned ARV],E50:E52)</f>
        <v>823.54838709677426</v>
      </c>
      <c r="F35" s="8">
        <f>SUMPRODUCT(PortB710[Owned ARV],E55:E56)</f>
        <v>524.70588235294122</v>
      </c>
      <c r="I35" t="s">
        <v>18</v>
      </c>
      <c r="J35" s="8">
        <f t="shared" si="13"/>
        <v>10677.777777777777</v>
      </c>
      <c r="K35" s="8">
        <f t="shared" si="14"/>
        <v>5189.6296296296296</v>
      </c>
      <c r="L35" s="8">
        <f t="shared" si="15"/>
        <v>982.22222222222217</v>
      </c>
      <c r="N35" t="s">
        <v>0</v>
      </c>
      <c r="O35">
        <f>Mkt_58[[#Totals],[ARV]]/Mkt_58[[#Totals],[ARV]]</f>
        <v>1</v>
      </c>
      <c r="P35" t="s">
        <v>18</v>
      </c>
      <c r="Q35" s="7">
        <f t="shared" si="16"/>
        <v>10677.777777777777</v>
      </c>
      <c r="R35" s="7">
        <f t="shared" si="17"/>
        <v>8232.6674500587542</v>
      </c>
      <c r="S35" s="7">
        <f t="shared" si="18"/>
        <v>5946.1883408071744</v>
      </c>
    </row>
    <row r="36" spans="1:19" x14ac:dyDescent="0.25">
      <c r="C36" t="s">
        <v>23</v>
      </c>
      <c r="D36" s="8">
        <f>SUMPRODUCT(Mkt_58[ARV],F45:F47)</f>
        <v>2975.0000000000005</v>
      </c>
      <c r="E36" s="8">
        <f>SUMPRODUCT(PortA69[Owned ARV],F50:F52)</f>
        <v>1696.5609636184856</v>
      </c>
      <c r="F36" s="8">
        <f>SUMPRODUCT(PortB710[Owned ARV],F55:F56)</f>
        <v>521.76282051282055</v>
      </c>
      <c r="I36" t="s">
        <v>23</v>
      </c>
      <c r="J36" s="8">
        <f t="shared" si="13"/>
        <v>4689.0756302520995</v>
      </c>
      <c r="K36" s="8">
        <f t="shared" si="14"/>
        <v>2519.1615289765728</v>
      </c>
      <c r="L36" s="8">
        <f t="shared" si="15"/>
        <v>987.7625570776255</v>
      </c>
      <c r="N36" t="s">
        <v>51</v>
      </c>
      <c r="O36">
        <f>PortA69[[#Totals],[Owned ARV]]/Mkt_58[[#Totals],[ARV]]</f>
        <v>0.63037037037037036</v>
      </c>
      <c r="P36" t="s">
        <v>23</v>
      </c>
      <c r="Q36" s="7">
        <f t="shared" si="16"/>
        <v>4689.0756302521004</v>
      </c>
      <c r="R36" s="7">
        <f t="shared" si="17"/>
        <v>3996.3196993165366</v>
      </c>
      <c r="S36" s="7">
        <f t="shared" si="18"/>
        <v>5979.7284845506474</v>
      </c>
    </row>
    <row r="37" spans="1:19" x14ac:dyDescent="0.25">
      <c r="C37" t="s">
        <v>24</v>
      </c>
      <c r="D37" s="7">
        <f>SUMPRODUCT(Mkt_58[ARV],G45:G47)</f>
        <v>2324.9999999999995</v>
      </c>
      <c r="E37" s="7">
        <f>SUMPRODUCT(PortA69[Owned ARV],G50:G52)</f>
        <v>1130</v>
      </c>
      <c r="F37" s="7">
        <f>SUMPRODUCT(PortB710[Owned ARV],G55:G56)</f>
        <v>520.00000000000011</v>
      </c>
      <c r="I37" t="s">
        <v>24</v>
      </c>
      <c r="J37" s="7">
        <f t="shared" si="13"/>
        <v>6000</v>
      </c>
      <c r="K37" s="7">
        <f t="shared" si="14"/>
        <v>3782.2222222222226</v>
      </c>
      <c r="L37" s="7">
        <f t="shared" si="15"/>
        <v>991.11111111111097</v>
      </c>
      <c r="N37" t="s">
        <v>52</v>
      </c>
      <c r="O37">
        <f>PortB710[[#Totals],[Owned ARV]]/Mkt_58[[#Totals],[ARV]]</f>
        <v>0.16518518518518518</v>
      </c>
      <c r="P37" t="s">
        <v>24</v>
      </c>
      <c r="Q37" s="7">
        <f t="shared" si="16"/>
        <v>6000.0000000000009</v>
      </c>
      <c r="R37" s="7">
        <f t="shared" si="17"/>
        <v>6000</v>
      </c>
      <c r="S37" s="7">
        <f t="shared" si="18"/>
        <v>5999.9999999999991</v>
      </c>
    </row>
    <row r="38" spans="1:19" x14ac:dyDescent="0.25">
      <c r="C38" t="s">
        <v>33</v>
      </c>
      <c r="D38" s="8">
        <f>SUMPRODUCT(Mkt_58[ARV],H45:H47)</f>
        <v>2570</v>
      </c>
      <c r="E38" s="8">
        <f>SUMPRODUCT(PortA69[Owned ARV],H50:H52)</f>
        <v>1696.5609636184856</v>
      </c>
      <c r="F38" s="8">
        <f>SUMPRODUCT(PortB710[Owned ARV],H55:H56)</f>
        <v>521.76282051282055</v>
      </c>
      <c r="I38" t="s">
        <v>33</v>
      </c>
      <c r="J38" s="8">
        <f t="shared" si="13"/>
        <v>5428.0155642023356</v>
      </c>
      <c r="K38" s="8">
        <f t="shared" si="14"/>
        <v>2519.1615289765728</v>
      </c>
      <c r="L38" s="8">
        <f t="shared" si="15"/>
        <v>987.7625570776255</v>
      </c>
      <c r="P38" t="s">
        <v>33</v>
      </c>
      <c r="Q38" s="7">
        <f t="shared" si="16"/>
        <v>5428.0155642023356</v>
      </c>
      <c r="R38" s="7">
        <f t="shared" si="17"/>
        <v>3996.3196993165366</v>
      </c>
      <c r="S38" s="7">
        <f t="shared" si="18"/>
        <v>5979.7284845506474</v>
      </c>
    </row>
    <row r="39" spans="1:19" x14ac:dyDescent="0.25">
      <c r="C39" t="s">
        <v>34</v>
      </c>
      <c r="D39" s="8">
        <f>SUMPRODUCT(Mkt_58[ARV],I45:I47)</f>
        <v>1601.8035121025155</v>
      </c>
      <c r="E39" s="7">
        <f>SUMPRODUCT(PortA69[Owned ARV],I50:I52)</f>
        <v>1130</v>
      </c>
      <c r="F39" s="7">
        <f>SUMPRODUCT(PortB710[Owned ARV],I55:I56)</f>
        <v>520.00000000000011</v>
      </c>
      <c r="I39" t="s">
        <v>34</v>
      </c>
      <c r="J39" s="8">
        <f t="shared" si="13"/>
        <v>8708.9333333333325</v>
      </c>
      <c r="K39" s="7">
        <f t="shared" si="14"/>
        <v>3782.2222222222226</v>
      </c>
      <c r="L39" s="7">
        <f t="shared" si="15"/>
        <v>991.11111111111097</v>
      </c>
      <c r="P39" t="s">
        <v>34</v>
      </c>
      <c r="Q39" s="7">
        <f t="shared" si="16"/>
        <v>8708.9333333333325</v>
      </c>
      <c r="R39" s="7">
        <f t="shared" si="17"/>
        <v>6000</v>
      </c>
      <c r="S39" s="7">
        <f t="shared" si="18"/>
        <v>5999.9999999999991</v>
      </c>
    </row>
    <row r="43" spans="1:19" x14ac:dyDescent="0.25">
      <c r="A43" t="s">
        <v>0</v>
      </c>
    </row>
    <row r="44" spans="1:19" x14ac:dyDescent="0.25">
      <c r="B44" t="s">
        <v>15</v>
      </c>
      <c r="C44" t="s">
        <v>16</v>
      </c>
      <c r="D44" t="s">
        <v>17</v>
      </c>
      <c r="E44" t="s">
        <v>18</v>
      </c>
      <c r="F44" t="s">
        <v>23</v>
      </c>
      <c r="G44" t="s">
        <v>24</v>
      </c>
      <c r="H44" t="s">
        <v>33</v>
      </c>
      <c r="I44" t="s">
        <v>34</v>
      </c>
    </row>
    <row r="45" spans="1:19" x14ac:dyDescent="0.25">
      <c r="B45">
        <f>$D$12</f>
        <v>0.38750000000000001</v>
      </c>
      <c r="C45">
        <f>$D$13</f>
        <v>0.38750000000000001</v>
      </c>
      <c r="D45">
        <f>$D$14</f>
        <v>0.30411009977866998</v>
      </c>
      <c r="E45">
        <f>$D$15</f>
        <v>0.21774193548387097</v>
      </c>
      <c r="F45">
        <f>$D$16</f>
        <v>0.4958333333333334</v>
      </c>
      <c r="G45">
        <f>$D$17</f>
        <v>0.38749999999999996</v>
      </c>
      <c r="H45">
        <f>$D$18</f>
        <v>0.42833333333333329</v>
      </c>
      <c r="I45">
        <f>$D$19</f>
        <v>0.26696725201708593</v>
      </c>
    </row>
    <row r="46" spans="1:19" x14ac:dyDescent="0.25">
      <c r="B46">
        <f t="shared" ref="B46:B47" si="19">$D$12</f>
        <v>0.38750000000000001</v>
      </c>
      <c r="C46">
        <f t="shared" ref="C46:C47" si="20">$D$13</f>
        <v>0.38750000000000001</v>
      </c>
      <c r="D46">
        <f t="shared" ref="D46:D47" si="21">$D$14</f>
        <v>0.30411009977866998</v>
      </c>
      <c r="E46">
        <f t="shared" ref="E46:E47" si="22">$D$15</f>
        <v>0.21774193548387097</v>
      </c>
      <c r="F46">
        <f t="shared" ref="F46:F47" si="23">$D$16</f>
        <v>0.4958333333333334</v>
      </c>
      <c r="G46">
        <f t="shared" ref="G46:G47" si="24">$D$17</f>
        <v>0.38749999999999996</v>
      </c>
      <c r="H46">
        <f t="shared" ref="H46:H47" si="25">$D$18</f>
        <v>0.42833333333333329</v>
      </c>
      <c r="I46">
        <f t="shared" ref="I46:I47" si="26">$D$19</f>
        <v>0.26696725201708593</v>
      </c>
    </row>
    <row r="47" spans="1:19" x14ac:dyDescent="0.25">
      <c r="B47">
        <f t="shared" si="19"/>
        <v>0.38750000000000001</v>
      </c>
      <c r="C47">
        <f t="shared" si="20"/>
        <v>0.38750000000000001</v>
      </c>
      <c r="D47">
        <f t="shared" si="21"/>
        <v>0.30411009977866998</v>
      </c>
      <c r="E47">
        <f t="shared" si="22"/>
        <v>0.21774193548387097</v>
      </c>
      <c r="F47">
        <f t="shared" si="23"/>
        <v>0.4958333333333334</v>
      </c>
      <c r="G47">
        <f t="shared" si="24"/>
        <v>0.38749999999999996</v>
      </c>
      <c r="H47">
        <f t="shared" si="25"/>
        <v>0.42833333333333329</v>
      </c>
      <c r="I47">
        <f t="shared" si="26"/>
        <v>0.26696725201708593</v>
      </c>
    </row>
    <row r="48" spans="1:19" x14ac:dyDescent="0.25">
      <c r="A48" t="s">
        <v>7</v>
      </c>
    </row>
    <row r="49" spans="1:9" x14ac:dyDescent="0.25">
      <c r="B49" t="s">
        <v>15</v>
      </c>
      <c r="C49" t="s">
        <v>16</v>
      </c>
      <c r="D49" t="s">
        <v>17</v>
      </c>
      <c r="E49" t="s">
        <v>18</v>
      </c>
      <c r="F49" t="s">
        <v>23</v>
      </c>
      <c r="G49" t="s">
        <v>24</v>
      </c>
      <c r="H49" t="s">
        <v>33</v>
      </c>
      <c r="I49" t="s">
        <v>34</v>
      </c>
    </row>
    <row r="50" spans="1:9" x14ac:dyDescent="0.25">
      <c r="B50">
        <f>$E$12</f>
        <v>0.29876615746180962</v>
      </c>
      <c r="C50">
        <f>$E$13</f>
        <v>0.38750000000000001</v>
      </c>
      <c r="D50">
        <f>$E$14</f>
        <v>0.30411009977866998</v>
      </c>
      <c r="E50">
        <f>$E$15</f>
        <v>0.21774193548387097</v>
      </c>
      <c r="F50">
        <f>$E$16</f>
        <v>0.44856194690265483</v>
      </c>
      <c r="G50">
        <f>$E$17</f>
        <v>0.29876615746180962</v>
      </c>
      <c r="H50">
        <f>$E$18</f>
        <v>0.44856194690265483</v>
      </c>
      <c r="I50">
        <f>$E$19</f>
        <v>0.29876615746180962</v>
      </c>
    </row>
    <row r="51" spans="1:9" x14ac:dyDescent="0.25">
      <c r="B51">
        <f t="shared" ref="B51:B52" si="27">$E$12</f>
        <v>0.29876615746180962</v>
      </c>
      <c r="C51">
        <f t="shared" ref="C51:C52" si="28">$E$13</f>
        <v>0.38750000000000001</v>
      </c>
      <c r="D51">
        <f t="shared" ref="D51:D52" si="29">$E$14</f>
        <v>0.30411009977866998</v>
      </c>
      <c r="E51">
        <f t="shared" ref="E51:E52" si="30">$E$15</f>
        <v>0.21774193548387097</v>
      </c>
      <c r="F51">
        <f t="shared" ref="F51:F52" si="31">$E$16</f>
        <v>0.44856194690265483</v>
      </c>
      <c r="G51">
        <f t="shared" ref="G51:G52" si="32">$E$17</f>
        <v>0.29876615746180962</v>
      </c>
      <c r="H51">
        <f t="shared" ref="H51:H52" si="33">$E$18</f>
        <v>0.44856194690265483</v>
      </c>
      <c r="I51">
        <f t="shared" ref="I51:I52" si="34">$E$19</f>
        <v>0.29876615746180962</v>
      </c>
    </row>
    <row r="52" spans="1:9" x14ac:dyDescent="0.25">
      <c r="B52">
        <f t="shared" si="27"/>
        <v>0.29876615746180962</v>
      </c>
      <c r="C52">
        <f t="shared" si="28"/>
        <v>0.38750000000000001</v>
      </c>
      <c r="D52">
        <f t="shared" si="29"/>
        <v>0.30411009977866998</v>
      </c>
      <c r="E52">
        <f t="shared" si="30"/>
        <v>0.21774193548387097</v>
      </c>
      <c r="F52">
        <f t="shared" si="31"/>
        <v>0.44856194690265483</v>
      </c>
      <c r="G52">
        <f t="shared" si="32"/>
        <v>0.29876615746180962</v>
      </c>
      <c r="H52">
        <f t="shared" si="33"/>
        <v>0.44856194690265483</v>
      </c>
      <c r="I52">
        <f t="shared" si="34"/>
        <v>0.29876615746180962</v>
      </c>
    </row>
    <row r="53" spans="1:9" x14ac:dyDescent="0.25">
      <c r="A53" t="s">
        <v>8</v>
      </c>
    </row>
    <row r="54" spans="1:9" x14ac:dyDescent="0.25">
      <c r="B54" t="s">
        <v>15</v>
      </c>
      <c r="C54" t="s">
        <v>16</v>
      </c>
      <c r="D54" t="s">
        <v>17</v>
      </c>
      <c r="E54" t="s">
        <v>18</v>
      </c>
      <c r="F54" t="s">
        <v>23</v>
      </c>
      <c r="G54" t="s">
        <v>24</v>
      </c>
      <c r="H54" t="s">
        <v>33</v>
      </c>
      <c r="I54" t="s">
        <v>34</v>
      </c>
    </row>
    <row r="55" spans="1:9" x14ac:dyDescent="0.25">
      <c r="B55">
        <f>$F$12</f>
        <v>0.5246636771300448</v>
      </c>
      <c r="C55">
        <f>$F$13</f>
        <v>0.53125</v>
      </c>
      <c r="D55">
        <f>$F$14</f>
        <v>0.5303300858899106</v>
      </c>
      <c r="E55">
        <f>$F$15</f>
        <v>0.52941176470588236</v>
      </c>
      <c r="F55">
        <f>$F$16</f>
        <v>0.52644230769230771</v>
      </c>
      <c r="G55">
        <f>$F$17</f>
        <v>0.52466367713004491</v>
      </c>
      <c r="H55">
        <f>$F$18</f>
        <v>0.52644230769230771</v>
      </c>
      <c r="I55">
        <f>$F$19</f>
        <v>0.52466367713004491</v>
      </c>
    </row>
    <row r="56" spans="1:9" x14ac:dyDescent="0.25">
      <c r="B56">
        <f t="shared" ref="B56" si="35">$F$12</f>
        <v>0.5246636771300448</v>
      </c>
      <c r="C56">
        <f t="shared" ref="C56" si="36">$F$13</f>
        <v>0.53125</v>
      </c>
      <c r="D56">
        <f t="shared" ref="D56" si="37">$F$14</f>
        <v>0.5303300858899106</v>
      </c>
      <c r="E56">
        <f t="shared" ref="E56" si="38">$F$15</f>
        <v>0.52941176470588236</v>
      </c>
      <c r="F56">
        <f t="shared" ref="F56" si="39">$F$16</f>
        <v>0.52644230769230771</v>
      </c>
      <c r="G56">
        <f>$F$17</f>
        <v>0.52466367713004491</v>
      </c>
      <c r="H56">
        <f t="shared" ref="H56" si="40">$F$18</f>
        <v>0.52644230769230771</v>
      </c>
      <c r="I56">
        <f t="shared" ref="I56" si="41">$F$19</f>
        <v>0.52466367713004491</v>
      </c>
    </row>
  </sheetData>
  <conditionalFormatting sqref="D23">
    <cfRule type="cellIs" dxfId="284" priority="26" operator="greaterThan">
      <formula>$I$7</formula>
    </cfRule>
  </conditionalFormatting>
  <conditionalFormatting sqref="D23:D30 J32:J39">
    <cfRule type="cellIs" dxfId="283" priority="23" operator="equal">
      <formula>$I$7</formula>
    </cfRule>
    <cfRule type="cellIs" dxfId="282" priority="24" operator="lessThan">
      <formula>$I$7</formula>
    </cfRule>
    <cfRule type="cellIs" dxfId="281" priority="25" operator="greaterThan">
      <formula>$I$7</formula>
    </cfRule>
  </conditionalFormatting>
  <conditionalFormatting sqref="J23:J30 D32:D39">
    <cfRule type="cellIs" dxfId="280" priority="20" operator="equal">
      <formula>$E$7</formula>
    </cfRule>
    <cfRule type="cellIs" dxfId="279" priority="21" operator="lessThan">
      <formula>$E$7</formula>
    </cfRule>
    <cfRule type="cellIs" dxfId="278" priority="22" operator="greaterThan">
      <formula>$E$7</formula>
    </cfRule>
  </conditionalFormatting>
  <conditionalFormatting sqref="E23:E30 K32:K39">
    <cfRule type="cellIs" dxfId="277" priority="17" operator="lessThan">
      <formula>$W$15</formula>
    </cfRule>
    <cfRule type="cellIs" dxfId="276" priority="18" operator="greaterThan">
      <formula>$W$15</formula>
    </cfRule>
    <cfRule type="cellIs" dxfId="275" priority="19" operator="equal">
      <formula>$W$15</formula>
    </cfRule>
  </conditionalFormatting>
  <conditionalFormatting sqref="E32:E39 K23:K30">
    <cfRule type="cellIs" dxfId="274" priority="14" operator="equal">
      <formula>$J$15</formula>
    </cfRule>
    <cfRule type="cellIs" dxfId="273" priority="15" operator="lessThan">
      <formula>$J$15</formula>
    </cfRule>
    <cfRule type="cellIs" dxfId="272" priority="16" operator="greaterThan">
      <formula>$J$15</formula>
    </cfRule>
  </conditionalFormatting>
  <conditionalFormatting sqref="F23:F30 L32:L39">
    <cfRule type="cellIs" dxfId="271" priority="11" operator="equal">
      <formula>$W$20</formula>
    </cfRule>
    <cfRule type="cellIs" dxfId="270" priority="12" operator="lessThan">
      <formula>$W$20</formula>
    </cfRule>
    <cfRule type="cellIs" dxfId="269" priority="13" operator="greaterThan">
      <formula>$W$20</formula>
    </cfRule>
  </conditionalFormatting>
  <conditionalFormatting sqref="F32:F39 L23:L30">
    <cfRule type="cellIs" dxfId="268" priority="8" operator="equal">
      <formula>$J$20</formula>
    </cfRule>
    <cfRule type="cellIs" dxfId="267" priority="9" operator="lessThan">
      <formula>$J$20</formula>
    </cfRule>
    <cfRule type="cellIs" dxfId="266" priority="10" operator="greaterThan">
      <formula>$J$20</formula>
    </cfRule>
  </conditionalFormatting>
  <conditionalFormatting sqref="Q23:S30">
    <cfRule type="cellIs" dxfId="265" priority="5" operator="equal">
      <formula>$E$7</formula>
    </cfRule>
    <cfRule type="cellIs" dxfId="264" priority="6" operator="lessThan">
      <formula>$E$7</formula>
    </cfRule>
    <cfRule type="cellIs" dxfId="263" priority="7" operator="greaterThan">
      <formula>$E$7</formula>
    </cfRule>
  </conditionalFormatting>
  <conditionalFormatting sqref="Q32:S39">
    <cfRule type="cellIs" dxfId="262" priority="4" operator="greaterThan">
      <formula>$I$7</formula>
    </cfRule>
  </conditionalFormatting>
  <conditionalFormatting sqref="Q32:S39">
    <cfRule type="cellIs" dxfId="261" priority="1" operator="equal">
      <formula>$I$7</formula>
    </cfRule>
    <cfRule type="cellIs" dxfId="260" priority="2" operator="lessThan">
      <formula>$I$7</formula>
    </cfRule>
    <cfRule type="cellIs" dxfId="259" priority="3" operator="greaterThan">
      <formula>$I$7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3624-F7EE-4F55-9269-79D65B8A0286}">
  <dimension ref="A3:Y56"/>
  <sheetViews>
    <sheetView topLeftCell="A10" workbookViewId="0">
      <selection activeCell="R28" sqref="R28"/>
    </sheetView>
  </sheetViews>
  <sheetFormatPr defaultRowHeight="15" x14ac:dyDescent="0.25"/>
  <cols>
    <col min="7" max="7" width="11.7109375" customWidth="1"/>
    <col min="15" max="15" width="14.140625" customWidth="1"/>
    <col min="16" max="16" width="14" customWidth="1"/>
    <col min="17" max="17" width="15" customWidth="1"/>
    <col min="18" max="18" width="13.7109375" customWidth="1"/>
    <col min="19" max="19" width="14" customWidth="1"/>
    <col min="24" max="24" width="13.7109375" customWidth="1"/>
  </cols>
  <sheetData>
    <row r="3" spans="3:25" x14ac:dyDescent="0.25">
      <c r="C3" t="s">
        <v>0</v>
      </c>
      <c r="D3" t="s">
        <v>5</v>
      </c>
      <c r="E3" t="s">
        <v>4</v>
      </c>
      <c r="F3" t="s">
        <v>21</v>
      </c>
      <c r="G3" t="s">
        <v>13</v>
      </c>
      <c r="H3" t="s">
        <v>35</v>
      </c>
      <c r="I3" t="s">
        <v>6</v>
      </c>
      <c r="J3" t="s">
        <v>9</v>
      </c>
      <c r="K3" t="s">
        <v>10</v>
      </c>
      <c r="L3" t="s">
        <v>22</v>
      </c>
      <c r="M3" t="s">
        <v>25</v>
      </c>
      <c r="N3" t="s">
        <v>26</v>
      </c>
      <c r="O3" t="s">
        <v>11</v>
      </c>
      <c r="P3" t="s">
        <v>36</v>
      </c>
      <c r="Q3" t="s">
        <v>37</v>
      </c>
    </row>
    <row r="4" spans="3:25" x14ac:dyDescent="0.25">
      <c r="C4" t="s">
        <v>1</v>
      </c>
      <c r="D4">
        <v>10</v>
      </c>
      <c r="E4">
        <v>1000</v>
      </c>
      <c r="F4">
        <f>Mkt_5811[[#This Row],[Loan]]/Mkt_5811[[#Totals],[Loan]]</f>
        <v>0.43010752688172044</v>
      </c>
      <c r="G4">
        <f>J12+J18</f>
        <v>1000</v>
      </c>
      <c r="H4">
        <f>Mkt_5811[[#This Row],[Funded]]/Mkt_5811[[#Totals],[Funded]]</f>
        <v>0.40816326530612246</v>
      </c>
      <c r="I4">
        <v>1425</v>
      </c>
      <c r="J4">
        <v>1115</v>
      </c>
      <c r="K4">
        <f>Mkt_5811[[#This Row],[Loan]]/Mkt_5811[[#This Row],[ARV]]</f>
        <v>0.70175438596491224</v>
      </c>
      <c r="L4">
        <f>Mkt_5811[[#This Row],[L_w]]*Mkt_5811[[#This Row],[LTV]]</f>
        <v>0.30182984342576868</v>
      </c>
      <c r="M4">
        <f>1/Mkt_5811[[#This Row],[LTV]]</f>
        <v>1.425</v>
      </c>
      <c r="N4">
        <f>Mkt_5811[[#This Row],[L_w]]*Mkt_5811[[#This Row],[rec_LTV]]</f>
        <v>0.61290322580645162</v>
      </c>
      <c r="O4">
        <f>Mkt_5811[[#This Row],[Loan]]/Mkt_5811[[#This Row],[Cost]]</f>
        <v>0.89686098654708524</v>
      </c>
      <c r="P4" s="2">
        <f>Mkt_5811[[#This Row],[F_w]]*Mkt_5811[[#This Row],[LTV]]</f>
        <v>0.28643036161833152</v>
      </c>
      <c r="Q4" s="2">
        <f>Mkt_5811[[#This Row],[F_w]]*Mkt_5811[[#This Row],[rec_LTV]]</f>
        <v>0.58163265306122447</v>
      </c>
    </row>
    <row r="5" spans="3:25" x14ac:dyDescent="0.25">
      <c r="C5" t="s">
        <v>2</v>
      </c>
      <c r="D5">
        <v>12.5</v>
      </c>
      <c r="E5">
        <v>1125</v>
      </c>
      <c r="F5">
        <f>Mkt_5811[[#This Row],[Loan]]/Mkt_5811[[#Totals],[Loan]]</f>
        <v>0.4838709677419355</v>
      </c>
      <c r="G5">
        <f>J13+J19</f>
        <v>1125</v>
      </c>
      <c r="H5">
        <f>Mkt_5811[[#This Row],[Funded]]/Mkt_5811[[#Totals],[Funded]]</f>
        <v>0.45918367346938777</v>
      </c>
      <c r="I5">
        <v>2000</v>
      </c>
      <c r="J5">
        <v>1500</v>
      </c>
      <c r="K5">
        <f>Mkt_5811[[#This Row],[Loan]]/Mkt_5811[[#This Row],[ARV]]</f>
        <v>0.5625</v>
      </c>
      <c r="L5">
        <f>Mkt_5811[[#This Row],[L_w]]*Mkt_5811[[#This Row],[LTV]]</f>
        <v>0.27217741935483875</v>
      </c>
      <c r="M5">
        <f>1/Mkt_5811[[#This Row],[LTV]]</f>
        <v>1.7777777777777777</v>
      </c>
      <c r="N5">
        <f>Mkt_5811[[#This Row],[L_w]]*Mkt_5811[[#This Row],[rec_LTV]]</f>
        <v>0.86021505376344087</v>
      </c>
      <c r="O5">
        <f>Mkt_5811[[#This Row],[Loan]]/Mkt_5811[[#This Row],[Cost]]</f>
        <v>0.75</v>
      </c>
      <c r="P5" s="2">
        <f>Mkt_5811[[#This Row],[F_w]]*Mkt_5811[[#This Row],[LTV]]</f>
        <v>0.25829081632653061</v>
      </c>
      <c r="Q5" s="2">
        <f>Mkt_5811[[#This Row],[F_w]]*Mkt_5811[[#This Row],[rec_LTV]]</f>
        <v>0.81632653061224492</v>
      </c>
    </row>
    <row r="6" spans="3:25" x14ac:dyDescent="0.25">
      <c r="C6" t="s">
        <v>3</v>
      </c>
      <c r="D6">
        <v>11</v>
      </c>
      <c r="E6">
        <v>200</v>
      </c>
      <c r="F6">
        <f>Mkt_5811[[#This Row],[Loan]]/Mkt_5811[[#Totals],[Loan]]</f>
        <v>8.6021505376344093E-2</v>
      </c>
      <c r="G6">
        <f>J14+X14</f>
        <v>325</v>
      </c>
      <c r="H6">
        <f>Mkt_5811[[#This Row],[Funded]]/Mkt_5811[[#Totals],[Funded]]</f>
        <v>0.1326530612244898</v>
      </c>
      <c r="I6">
        <v>290</v>
      </c>
      <c r="J6">
        <v>225</v>
      </c>
      <c r="K6">
        <f>Mkt_5811[[#This Row],[Loan]]/Mkt_5811[[#This Row],[ARV]]</f>
        <v>0.68965517241379315</v>
      </c>
      <c r="L6">
        <f>Mkt_5811[[#This Row],[L_w]]*Mkt_5811[[#This Row],[LTV]]</f>
        <v>5.932517612161662E-2</v>
      </c>
      <c r="M6">
        <f>1/Mkt_5811[[#This Row],[LTV]]</f>
        <v>1.45</v>
      </c>
      <c r="N6">
        <f>Mkt_5811[[#This Row],[L_w]]*Mkt_5811[[#This Row],[rec_LTV]]</f>
        <v>0.12473118279569893</v>
      </c>
      <c r="O6">
        <f>Mkt_5811[[#This Row],[Loan]]/Mkt_5811[[#This Row],[Cost]]</f>
        <v>0.88888888888888884</v>
      </c>
      <c r="P6" s="2">
        <f>Mkt_5811[[#This Row],[F_w]]*Mkt_5811[[#This Row],[LTV]]</f>
        <v>9.1484869809992972E-2</v>
      </c>
      <c r="Q6" s="2">
        <f>Mkt_5811[[#This Row],[F_w]]*Mkt_5811[[#This Row],[rec_LTV]]</f>
        <v>0.19234693877551021</v>
      </c>
    </row>
    <row r="7" spans="3:25" x14ac:dyDescent="0.25">
      <c r="E7">
        <f>SUM(Mkt_5811[Loan])</f>
        <v>2325</v>
      </c>
      <c r="F7">
        <f>SUBTOTAL(109,Mkt_5811[L_w])</f>
        <v>1</v>
      </c>
      <c r="G7">
        <f>SUM(Mkt_5811[Funded])</f>
        <v>2450</v>
      </c>
      <c r="H7">
        <f>SUBTOTAL(109,Mkt_5811[F_w])</f>
        <v>1</v>
      </c>
      <c r="I7">
        <f>SUM(Mkt_5811[ARV])</f>
        <v>3715</v>
      </c>
      <c r="J7">
        <f>SUM(Mkt_5811[Funded])</f>
        <v>2450</v>
      </c>
      <c r="K7" s="2"/>
      <c r="L7" s="2">
        <f>SUBTOTAL(109,Mkt_5811[w_LTV])</f>
        <v>0.63333243890222402</v>
      </c>
      <c r="M7" s="2"/>
      <c r="N7" s="2">
        <f>SUBTOTAL(109,Mkt_5811[wrec_LTV])</f>
        <v>1.5978494623655914</v>
      </c>
      <c r="O7" s="2"/>
      <c r="P7">
        <f>SUBTOTAL(109,Mkt_5811[fw_LTV])</f>
        <v>0.63620604775485512</v>
      </c>
      <c r="Q7">
        <f>SUBTOTAL(109,Mkt_5811[fwrec_LTV])</f>
        <v>1.5903061224489796</v>
      </c>
    </row>
    <row r="10" spans="3:25" x14ac:dyDescent="0.25">
      <c r="D10" t="s">
        <v>0</v>
      </c>
      <c r="E10" t="s">
        <v>7</v>
      </c>
      <c r="F10" t="s">
        <v>8</v>
      </c>
    </row>
    <row r="11" spans="3:25" x14ac:dyDescent="0.25">
      <c r="C11" t="s">
        <v>10</v>
      </c>
      <c r="I11" t="s">
        <v>7</v>
      </c>
      <c r="J11" t="s">
        <v>12</v>
      </c>
      <c r="K11" t="s">
        <v>38</v>
      </c>
      <c r="L11" t="s">
        <v>14</v>
      </c>
      <c r="M11" t="s">
        <v>10</v>
      </c>
      <c r="N11" t="s">
        <v>39</v>
      </c>
      <c r="O11" t="s">
        <v>42</v>
      </c>
      <c r="P11" t="s">
        <v>41</v>
      </c>
      <c r="Q11" t="s">
        <v>43</v>
      </c>
      <c r="R11" t="s">
        <v>11</v>
      </c>
      <c r="S11" t="s">
        <v>4</v>
      </c>
      <c r="T11" t="s">
        <v>19</v>
      </c>
      <c r="U11" t="s">
        <v>40</v>
      </c>
      <c r="V11" t="s">
        <v>6</v>
      </c>
      <c r="W11" t="s">
        <v>27</v>
      </c>
      <c r="X11" t="s">
        <v>9</v>
      </c>
      <c r="Y11" t="s">
        <v>20</v>
      </c>
    </row>
    <row r="12" spans="3:25" x14ac:dyDescent="0.25">
      <c r="C12" t="s">
        <v>15</v>
      </c>
      <c r="D12">
        <f>Mkt_5811[[#Totals],[Loan]]/Mkt_5811[[#Totals],[ARV]]</f>
        <v>0.62584118438761771</v>
      </c>
      <c r="E12">
        <f>PortA6912[[#Totals],[Owned Loan]]/PortA6912[[#Totals],[Owned ARV]]</f>
        <v>0.62584118438761771</v>
      </c>
      <c r="F12">
        <f>PortB71013[[#Totals],[Owned Loan]]/PortB71013[[#Totals],[Owned ARV]]</f>
        <v>0.62043795620437958</v>
      </c>
      <c r="I12" t="s">
        <v>1</v>
      </c>
      <c r="J12">
        <f>E4/2</f>
        <v>500</v>
      </c>
      <c r="K12">
        <f>PortA6912[[#This Row],[LenderFund]]/PortA6912[[#Totals],[LenderFund]]</f>
        <v>0.43010752688172044</v>
      </c>
      <c r="L12" s="1">
        <f>PortA6912[[#This Row],[LenderFund]]/E4</f>
        <v>0.5</v>
      </c>
      <c r="M12">
        <f t="shared" ref="M12:M14" si="0">K4</f>
        <v>0.70175438596491224</v>
      </c>
      <c r="N12">
        <f>PortA6912[[#This Row],[ol_w]]*PortA6912[[#This Row],[LTV]]</f>
        <v>0.30182984342576868</v>
      </c>
      <c r="O12">
        <f>PortA6912[[#This Row],[ol_w]]*(1/PortA6912[[#This Row],[LTV]])</f>
        <v>0.61290322580645162</v>
      </c>
      <c r="P12">
        <f>PortA6912[[#This Row],[lf_w]]*PortA6912[[#This Row],[LTV]]</f>
        <v>0.30182984342576868</v>
      </c>
      <c r="Q12">
        <f>PortA6912[[#This Row],[lf_w]]*M4</f>
        <v>0.61290322580645162</v>
      </c>
      <c r="R12">
        <f t="shared" ref="R12:R14" si="1">O4</f>
        <v>0.89686098654708524</v>
      </c>
      <c r="S12">
        <f t="shared" ref="S12:S14" si="2">E4</f>
        <v>1000</v>
      </c>
      <c r="T12">
        <f>PortA6912[[#This Row],[Own]]*PortA6912[[#This Row],[Loan]]</f>
        <v>500</v>
      </c>
      <c r="U12">
        <f>PortA6912[[#This Row],[Owned Loan]]/PortA6912[[#Totals],[Owned Loan]]</f>
        <v>0.43010752688172044</v>
      </c>
      <c r="V12">
        <f t="shared" ref="V12:V14" si="3">I4</f>
        <v>1425</v>
      </c>
      <c r="W12">
        <f>PortA6912[[#This Row],[Own]]*PortA6912[[#This Row],[ARV]]</f>
        <v>712.5</v>
      </c>
      <c r="X12">
        <f t="shared" ref="X12:X14" si="4">J4</f>
        <v>1115</v>
      </c>
      <c r="Y12" s="2">
        <f>PortA6912[[#This Row],[Own]]*PortA6912[[#This Row],[Cost]]</f>
        <v>557.5</v>
      </c>
    </row>
    <row r="13" spans="3:25" x14ac:dyDescent="0.25">
      <c r="C13" t="s">
        <v>16</v>
      </c>
      <c r="D13">
        <f>AVERAGE(Mkt_5811[LTV])</f>
        <v>0.65130318612623517</v>
      </c>
      <c r="E13">
        <f>AVERAGE(PortA6912[LTV])</f>
        <v>0.65130318612623517</v>
      </c>
      <c r="F13">
        <f>AVERAGE(PortB71013[LTV])</f>
        <v>0.63212719298245612</v>
      </c>
      <c r="I13" t="s">
        <v>2</v>
      </c>
      <c r="J13">
        <f>E5/2</f>
        <v>562.5</v>
      </c>
      <c r="K13">
        <f>PortA6912[[#This Row],[LenderFund]]/PortA6912[[#Totals],[LenderFund]]</f>
        <v>0.4838709677419355</v>
      </c>
      <c r="L13" s="1">
        <f>PortA6912[[#This Row],[LenderFund]]/E5</f>
        <v>0.5</v>
      </c>
      <c r="M13">
        <f t="shared" si="0"/>
        <v>0.5625</v>
      </c>
      <c r="N13">
        <f>PortA6912[[#This Row],[ol_w]]*PortA6912[[#This Row],[LTV]]</f>
        <v>0.27217741935483875</v>
      </c>
      <c r="O13">
        <f>PortA6912[[#This Row],[ol_w]]*(1/PortA6912[[#This Row],[LTV]])</f>
        <v>0.86021505376344087</v>
      </c>
      <c r="P13">
        <f>PortA6912[[#This Row],[lf_w]]*PortA6912[[#This Row],[LTV]]</f>
        <v>0.27217741935483875</v>
      </c>
      <c r="Q13">
        <f>PortA6912[[#This Row],[lf_w]]*M5</f>
        <v>0.86021505376344087</v>
      </c>
      <c r="R13">
        <f t="shared" si="1"/>
        <v>0.75</v>
      </c>
      <c r="S13">
        <f t="shared" si="2"/>
        <v>1125</v>
      </c>
      <c r="T13">
        <f>PortA6912[[#This Row],[Own]]*PortA6912[[#This Row],[Loan]]</f>
        <v>562.5</v>
      </c>
      <c r="U13">
        <f>PortA6912[[#This Row],[Owned Loan]]/PortA6912[[#Totals],[Owned Loan]]</f>
        <v>0.4838709677419355</v>
      </c>
      <c r="V13">
        <f t="shared" si="3"/>
        <v>2000</v>
      </c>
      <c r="W13">
        <f>PortA6912[[#This Row],[Own]]*PortA6912[[#This Row],[ARV]]</f>
        <v>1000</v>
      </c>
      <c r="X13">
        <f t="shared" si="4"/>
        <v>1500</v>
      </c>
      <c r="Y13" s="2">
        <f>PortA6912[[#This Row],[Own]]*PortA6912[[#This Row],[Cost]]</f>
        <v>750</v>
      </c>
    </row>
    <row r="14" spans="3:25" x14ac:dyDescent="0.25">
      <c r="C14" t="s">
        <v>17</v>
      </c>
      <c r="D14">
        <f>GEOMEAN(Mkt_5811[LTV])</f>
        <v>0.64810676308597481</v>
      </c>
      <c r="E14">
        <f>GEOMEAN(PortA6912[LTV])</f>
        <v>0.64810676308597481</v>
      </c>
      <c r="F14">
        <f>GEOMEAN(PortB71013[LTV])</f>
        <v>0.62828086243754322</v>
      </c>
      <c r="I14" t="s">
        <v>3</v>
      </c>
      <c r="J14">
        <f>E6/2</f>
        <v>100</v>
      </c>
      <c r="K14">
        <f>PortA6912[[#This Row],[LenderFund]]/PortA6912[[#Totals],[LenderFund]]</f>
        <v>8.6021505376344093E-2</v>
      </c>
      <c r="L14" s="1">
        <f>PortA6912[[#This Row],[LenderFund]]/E6</f>
        <v>0.5</v>
      </c>
      <c r="M14">
        <f t="shared" si="0"/>
        <v>0.68965517241379315</v>
      </c>
      <c r="N14">
        <f>PortA6912[[#This Row],[ol_w]]*PortA6912[[#This Row],[LTV]]</f>
        <v>5.932517612161662E-2</v>
      </c>
      <c r="O14">
        <f>PortA6912[[#This Row],[ol_w]]*(1/PortA6912[[#This Row],[LTV]])</f>
        <v>0.12473118279569893</v>
      </c>
      <c r="P14">
        <f>PortA6912[[#This Row],[lf_w]]*PortA6912[[#This Row],[LTV]]</f>
        <v>5.932517612161662E-2</v>
      </c>
      <c r="Q14">
        <f>PortA6912[[#This Row],[lf_w]]*M6</f>
        <v>0.12473118279569893</v>
      </c>
      <c r="R14">
        <f t="shared" si="1"/>
        <v>0.88888888888888884</v>
      </c>
      <c r="S14">
        <f t="shared" si="2"/>
        <v>200</v>
      </c>
      <c r="T14">
        <f>PortA6912[[#This Row],[Own]]*PortA6912[[#This Row],[Loan]]</f>
        <v>100</v>
      </c>
      <c r="U14">
        <f>PortA6912[[#This Row],[Owned Loan]]/PortA6912[[#Totals],[Owned Loan]]</f>
        <v>8.6021505376344093E-2</v>
      </c>
      <c r="V14">
        <f t="shared" si="3"/>
        <v>290</v>
      </c>
      <c r="W14">
        <f>PortA6912[[#This Row],[Own]]*PortA6912[[#This Row],[ARV]]</f>
        <v>145</v>
      </c>
      <c r="X14">
        <f t="shared" si="4"/>
        <v>225</v>
      </c>
      <c r="Y14" s="2">
        <f>PortA6912[[#This Row],[Own]]*PortA6912[[#This Row],[Cost]]</f>
        <v>112.5</v>
      </c>
    </row>
    <row r="15" spans="3:25" x14ac:dyDescent="0.25">
      <c r="C15" t="s">
        <v>18</v>
      </c>
      <c r="D15">
        <f>HARMEAN(Mkt_5811[LTV])</f>
        <v>0.64477611940298507</v>
      </c>
      <c r="E15">
        <f>HARMEAN(PortA6912[LTV])</f>
        <v>0.64477611940298507</v>
      </c>
      <c r="F15">
        <f>HARMEAN(PortB71013[LTV])</f>
        <v>0.62445793581960107</v>
      </c>
      <c r="J15">
        <f>SUBTOTAL(109,PortA6912[LenderFund])</f>
        <v>1162.5</v>
      </c>
      <c r="K15">
        <f>SUBTOTAL(109,PortA6912[lf_w])</f>
        <v>1</v>
      </c>
      <c r="L15" s="3"/>
      <c r="M15" s="2"/>
      <c r="N15" s="2">
        <f>SUBTOTAL(109,PortA6912[olw_LTV])</f>
        <v>0.63333243890222402</v>
      </c>
      <c r="O15" s="2">
        <f>SUBTOTAL(109,PortA6912[olwr_LTV])</f>
        <v>1.5978494623655914</v>
      </c>
      <c r="P15" s="2">
        <f>SUBTOTAL(109,PortA6912[lfw_LTV])</f>
        <v>0.63333243890222402</v>
      </c>
      <c r="Q15" s="2">
        <f>SUBTOTAL(109,PortA6912[lfwr_LTV])</f>
        <v>1.5978494623655914</v>
      </c>
      <c r="R15" s="2"/>
      <c r="S15" s="2"/>
      <c r="T15" s="2">
        <f>SUM(PortA6912[Owned Loan])</f>
        <v>1162.5</v>
      </c>
      <c r="U15" s="2">
        <f>SUBTOTAL(109,PortA6912[ol_w])</f>
        <v>1</v>
      </c>
      <c r="V15" s="2"/>
      <c r="W15" s="2">
        <f>SUM(PortA6912[Owned ARV])</f>
        <v>1857.5</v>
      </c>
      <c r="X15" s="2"/>
      <c r="Y15" s="2"/>
    </row>
    <row r="16" spans="3:25" x14ac:dyDescent="0.25">
      <c r="C16" t="s">
        <v>23</v>
      </c>
      <c r="D16">
        <f>Mkt_5811[[#Totals],[w_LTV]]/Mkt_5811[[#Totals],[L_w]]</f>
        <v>0.63333243890222402</v>
      </c>
      <c r="E16">
        <f>PortA6912[[#Totals],[olw_LTV]]/PortA6912[[#Totals],[ol_w]]</f>
        <v>0.63333243890222402</v>
      </c>
      <c r="F16">
        <f>PortB71013[[#Totals],[olw_LTV]]/PortB71013[[#Totals],[ol_w]]</f>
        <v>0.62803147574819396</v>
      </c>
    </row>
    <row r="17" spans="1:25" x14ac:dyDescent="0.25">
      <c r="C17" t="s">
        <v>24</v>
      </c>
      <c r="D17">
        <f>Mkt_5811[[#Totals],[L_w]]/Mkt_5811[[#Totals],[wrec_LTV]]</f>
        <v>0.62584118438761771</v>
      </c>
      <c r="E17">
        <f>PortA6912[[#Totals],[ol_w]]/PortA6912[[#Totals],[olwr_LTV]]</f>
        <v>0.62584118438761771</v>
      </c>
      <c r="F17">
        <f>PortB71013[[#Totals],[ol_w]]/PortB71013[[#Totals],[olwr_LTV]]</f>
        <v>0.62043795620437958</v>
      </c>
      <c r="G17" s="2"/>
      <c r="I17" t="s">
        <v>8</v>
      </c>
      <c r="J17" t="s">
        <v>12</v>
      </c>
      <c r="K17" t="s">
        <v>38</v>
      </c>
      <c r="L17" t="s">
        <v>14</v>
      </c>
      <c r="M17" t="s">
        <v>10</v>
      </c>
      <c r="N17" t="s">
        <v>39</v>
      </c>
      <c r="O17" t="s">
        <v>42</v>
      </c>
      <c r="P17" t="s">
        <v>41</v>
      </c>
      <c r="Q17" t="s">
        <v>43</v>
      </c>
      <c r="R17" t="s">
        <v>11</v>
      </c>
      <c r="S17" t="s">
        <v>4</v>
      </c>
      <c r="T17" t="s">
        <v>19</v>
      </c>
      <c r="U17" t="s">
        <v>40</v>
      </c>
      <c r="V17" t="s">
        <v>6</v>
      </c>
      <c r="W17" t="s">
        <v>27</v>
      </c>
      <c r="X17" t="s">
        <v>9</v>
      </c>
      <c r="Y17" t="s">
        <v>20</v>
      </c>
    </row>
    <row r="18" spans="1:25" x14ac:dyDescent="0.25">
      <c r="C18" t="s">
        <v>33</v>
      </c>
      <c r="D18">
        <f>Mkt_5811[[#Totals],[fw_LTV]]/Mkt_5811[[#Totals],[F_w]]</f>
        <v>0.63620604775485512</v>
      </c>
      <c r="E18">
        <f>PortA6912[[#Totals],[lfw_LTV]]/PortA6912[[#Totals],[lf_w]]</f>
        <v>0.63333243890222402</v>
      </c>
      <c r="F18">
        <f>PortB71013[[#Totals],[lfw_LTV]]/PortB71013[[#Totals],[lf_w]]</f>
        <v>0.62803147574819396</v>
      </c>
      <c r="I18" t="s">
        <v>1</v>
      </c>
      <c r="J18">
        <f>E4/2</f>
        <v>500</v>
      </c>
      <c r="K18">
        <f>PortB71013[[#This Row],[LenderFund]]/PortB71013[[#Totals],[LenderFund]]</f>
        <v>0.47058823529411764</v>
      </c>
      <c r="L18" s="1">
        <f>PortB71013[[#This Row],[LenderFund]]/E4</f>
        <v>0.5</v>
      </c>
      <c r="M18">
        <f t="shared" ref="M18:M19" si="5">K4</f>
        <v>0.70175438596491224</v>
      </c>
      <c r="N18">
        <f>PortB71013[[#This Row],[ol_w]]*PortB71013[[#This Row],[LTV]]</f>
        <v>0.33023735810113519</v>
      </c>
      <c r="O18">
        <f>PortB71013[[#This Row],[ol_w]]*M4</f>
        <v>0.67058823529411771</v>
      </c>
      <c r="P18">
        <f>PortB71013[[#This Row],[lf_w]]*PortB71013[[#This Row],[LTV]]</f>
        <v>0.33023735810113519</v>
      </c>
      <c r="Q18">
        <f>PortB71013[[#This Row],[lf_w]]*M4</f>
        <v>0.67058823529411771</v>
      </c>
      <c r="R18">
        <f t="shared" ref="R18:R19" si="6">O4</f>
        <v>0.89686098654708524</v>
      </c>
      <c r="S18">
        <f t="shared" ref="S18:S19" si="7">E4</f>
        <v>1000</v>
      </c>
      <c r="T18">
        <f>PortB71013[[#This Row],[Own]]*PortB71013[[#This Row],[Loan]]</f>
        <v>500</v>
      </c>
      <c r="U18">
        <f>PortB71013[[#This Row],[Owned Loan]]/PortB71013[[#Totals],[Owned Loan]]</f>
        <v>0.47058823529411764</v>
      </c>
      <c r="V18">
        <f t="shared" ref="V18:V19" si="8">I4</f>
        <v>1425</v>
      </c>
      <c r="W18">
        <f>PortB71013[[#This Row],[Own]]*PortB71013[[#This Row],[ARV]]</f>
        <v>712.5</v>
      </c>
      <c r="X18">
        <f t="shared" ref="X18:X19" si="9">J4</f>
        <v>1115</v>
      </c>
      <c r="Y18" s="2">
        <f>PortB71013[[#This Row],[Own]]*PortB71013[[#This Row],[Cost]]</f>
        <v>557.5</v>
      </c>
    </row>
    <row r="19" spans="1:25" x14ac:dyDescent="0.25">
      <c r="C19" t="s">
        <v>34</v>
      </c>
      <c r="D19">
        <f>Mkt_5811[[#Totals],[F_w]]/Mkt_5811[[#Totals],[fwrec_LTV]]</f>
        <v>0.628809752967597</v>
      </c>
      <c r="E19">
        <f>PortA6912[[#Totals],[lf_w]]/PortA6912[[#Totals],[lfwr_LTV]]</f>
        <v>0.62584118438761771</v>
      </c>
      <c r="F19">
        <f>PortB71013[[#Totals],[lf_w]]/PortB71013[[#Totals],[lfwr_LTV]]</f>
        <v>0.62043795620437958</v>
      </c>
      <c r="I19" t="s">
        <v>2</v>
      </c>
      <c r="J19">
        <f>E5/2</f>
        <v>562.5</v>
      </c>
      <c r="K19">
        <f>PortB71013[[#This Row],[LenderFund]]/PortB71013[[#Totals],[LenderFund]]</f>
        <v>0.52941176470588236</v>
      </c>
      <c r="L19" s="1">
        <f>PortB71013[[#This Row],[LenderFund]]/E5</f>
        <v>0.5</v>
      </c>
      <c r="M19">
        <f t="shared" si="5"/>
        <v>0.5625</v>
      </c>
      <c r="N19">
        <f>PortB71013[[#This Row],[ol_w]]*PortB71013[[#This Row],[LTV]]</f>
        <v>0.29779411764705882</v>
      </c>
      <c r="O19">
        <f>PortB71013[[#This Row],[ol_w]]*M5</f>
        <v>0.94117647058823528</v>
      </c>
      <c r="P19">
        <f>PortB71013[[#This Row],[lf_w]]*PortB71013[[#This Row],[LTV]]</f>
        <v>0.29779411764705882</v>
      </c>
      <c r="Q19">
        <f>PortB71013[[#This Row],[lf_w]]*M5</f>
        <v>0.94117647058823528</v>
      </c>
      <c r="R19">
        <f t="shared" si="6"/>
        <v>0.75</v>
      </c>
      <c r="S19">
        <f t="shared" si="7"/>
        <v>1125</v>
      </c>
      <c r="T19">
        <f>PortB71013[[#This Row],[Own]]*PortB71013[[#This Row],[Loan]]</f>
        <v>562.5</v>
      </c>
      <c r="U19">
        <f>PortB71013[[#This Row],[Owned Loan]]/PortB71013[[#Totals],[Owned Loan]]</f>
        <v>0.52941176470588236</v>
      </c>
      <c r="V19">
        <f t="shared" si="8"/>
        <v>2000</v>
      </c>
      <c r="W19">
        <f>PortB71013[[#This Row],[Own]]*PortB71013[[#This Row],[ARV]]</f>
        <v>1000</v>
      </c>
      <c r="X19">
        <f t="shared" si="9"/>
        <v>1500</v>
      </c>
      <c r="Y19" s="2">
        <f>PortB71013[[#This Row],[Own]]*PortB71013[[#This Row],[Cost]]</f>
        <v>750</v>
      </c>
    </row>
    <row r="20" spans="1:25" x14ac:dyDescent="0.25">
      <c r="J20">
        <f>SUBTOTAL(109,PortB71013[LenderFund])</f>
        <v>1062.5</v>
      </c>
      <c r="K20">
        <f>SUBTOTAL(109,PortB71013[lf_w])</f>
        <v>1</v>
      </c>
      <c r="L20" s="3"/>
      <c r="M20" s="2"/>
      <c r="N20" s="2">
        <f>SUBTOTAL(109,PortB71013[olw_LTV])</f>
        <v>0.62803147574819396</v>
      </c>
      <c r="O20" s="2">
        <f>SUBTOTAL(109,PortB71013[olwr_LTV])</f>
        <v>1.611764705882353</v>
      </c>
      <c r="P20" s="2">
        <f>SUBTOTAL(109,PortB71013[lfw_LTV])</f>
        <v>0.62803147574819396</v>
      </c>
      <c r="Q20" s="2">
        <f>SUBTOTAL(109,PortB71013[lfwr_LTV])</f>
        <v>1.611764705882353</v>
      </c>
      <c r="R20" s="2"/>
      <c r="S20" s="2"/>
      <c r="T20" s="2">
        <f>SUM(PortB71013[Owned Loan])</f>
        <v>1062.5</v>
      </c>
      <c r="U20" s="2">
        <f>SUBTOTAL(109,PortB71013[ol_w])</f>
        <v>1</v>
      </c>
      <c r="V20" s="2"/>
      <c r="W20" s="2">
        <f>SUBTOTAL(109,PortB71013[Owned ARV])</f>
        <v>1712.5</v>
      </c>
      <c r="X20" s="2"/>
      <c r="Y20" s="2"/>
    </row>
    <row r="21" spans="1:25" x14ac:dyDescent="0.25">
      <c r="B21" t="s">
        <v>28</v>
      </c>
      <c r="N21" s="2"/>
      <c r="O21" s="2"/>
    </row>
    <row r="22" spans="1:25" x14ac:dyDescent="0.25">
      <c r="D22" t="s">
        <v>0</v>
      </c>
      <c r="E22" t="s">
        <v>7</v>
      </c>
      <c r="F22" t="s">
        <v>8</v>
      </c>
      <c r="J22" t="s">
        <v>0</v>
      </c>
      <c r="K22" t="s">
        <v>7</v>
      </c>
      <c r="L22" t="s">
        <v>8</v>
      </c>
      <c r="N22" s="2"/>
      <c r="O22" s="2"/>
      <c r="Q22" t="s">
        <v>0</v>
      </c>
      <c r="R22" t="s">
        <v>7</v>
      </c>
      <c r="S22" t="s">
        <v>8</v>
      </c>
    </row>
    <row r="23" spans="1:25" x14ac:dyDescent="0.25">
      <c r="B23" s="4" t="s">
        <v>31</v>
      </c>
      <c r="C23" t="s">
        <v>15</v>
      </c>
      <c r="D23" s="7">
        <f>Mkt_5811[[#Totals],[Loan]]/D12</f>
        <v>3715.0000000000005</v>
      </c>
      <c r="E23" s="7">
        <f>PortA6912[[#Totals],[Owned Loan]]/E12</f>
        <v>1857.5000000000002</v>
      </c>
      <c r="F23" s="7">
        <f>PortB71013[[#Totals],[Owned Loan]]/F12</f>
        <v>1712.5</v>
      </c>
      <c r="H23" s="4" t="s">
        <v>44</v>
      </c>
      <c r="I23" t="s">
        <v>15</v>
      </c>
      <c r="J23" s="7">
        <f>Mkt_5811[[#Totals],[ARV]]*D12</f>
        <v>2325</v>
      </c>
      <c r="K23" s="7">
        <f>PortA6912[[#Totals],[Owned ARV]]*E12</f>
        <v>1162.5</v>
      </c>
      <c r="L23" s="7">
        <f>PortB71013[[#Totals],[Owned ARV]]*F12</f>
        <v>1062.5</v>
      </c>
      <c r="N23" s="2"/>
      <c r="O23" s="11" t="s">
        <v>57</v>
      </c>
      <c r="P23" t="s">
        <v>15</v>
      </c>
      <c r="Q23" s="7">
        <f>D32/$O$26</f>
        <v>2325</v>
      </c>
      <c r="R23" s="7">
        <f t="shared" ref="R23:R30" si="10">E32/$O$27</f>
        <v>2325</v>
      </c>
      <c r="S23" s="7">
        <f>F32/$O$28</f>
        <v>2325</v>
      </c>
    </row>
    <row r="24" spans="1:25" x14ac:dyDescent="0.25">
      <c r="B24" s="5" t="s">
        <v>32</v>
      </c>
      <c r="C24" t="s">
        <v>16</v>
      </c>
      <c r="D24" s="8">
        <f>Mkt_5811[[#Totals],[Loan]]/D13</f>
        <v>3569.7660467906417</v>
      </c>
      <c r="E24" s="8">
        <f>PortA6912[[#Totals],[Owned Loan]]/E13</f>
        <v>1784.8830233953208</v>
      </c>
      <c r="F24" s="8">
        <f>PortB71013[[#Totals],[Owned Loan]]/F13</f>
        <v>1680.8326105810929</v>
      </c>
      <c r="H24" s="5" t="s">
        <v>45</v>
      </c>
      <c r="I24" t="s">
        <v>16</v>
      </c>
      <c r="J24" s="8">
        <f>Mkt_5811[[#Totals],[ARV]]*D13</f>
        <v>2419.5913364589637</v>
      </c>
      <c r="K24" s="8">
        <f>PortA6912[[#Totals],[Owned ARV]]*E13</f>
        <v>1209.7956682294819</v>
      </c>
      <c r="L24" s="8">
        <f>PortB71013[[#Totals],[Owned ARV]]*F13</f>
        <v>1082.5178179824561</v>
      </c>
      <c r="N24" s="2"/>
      <c r="O24" s="12" t="s">
        <v>58</v>
      </c>
      <c r="P24" t="s">
        <v>16</v>
      </c>
      <c r="Q24" s="7">
        <f t="shared" ref="Q24:Q30" si="11">D33/$O$26</f>
        <v>2419.5913364589633</v>
      </c>
      <c r="R24" s="7">
        <f t="shared" si="10"/>
        <v>2419.5913364589633</v>
      </c>
      <c r="S24" s="7">
        <f t="shared" ref="S24:S30" si="12">F33/$O$28</f>
        <v>2368.8036958204334</v>
      </c>
    </row>
    <row r="25" spans="1:25" x14ac:dyDescent="0.25">
      <c r="C25" t="s">
        <v>17</v>
      </c>
      <c r="D25" s="8">
        <f>Mkt_5811[[#Totals],[Loan]]/D14</f>
        <v>3587.3719152836188</v>
      </c>
      <c r="E25" s="8">
        <f>PortA6912[[#Totals],[Owned Loan]]/E14</f>
        <v>1793.6859576418094</v>
      </c>
      <c r="F25" s="8">
        <f>PortB71013[[#Totals],[Owned Loan]]/F14</f>
        <v>1691.1226547277208</v>
      </c>
      <c r="I25" t="s">
        <v>17</v>
      </c>
      <c r="J25" s="8">
        <f>Mkt_5811[[#Totals],[ARV]]*D14</f>
        <v>2407.7166248643966</v>
      </c>
      <c r="K25" s="8">
        <f>PortA6912[[#Totals],[Owned ARV]]*E14</f>
        <v>1203.8583124321983</v>
      </c>
      <c r="L25" s="8">
        <f>PortB71013[[#Totals],[Owned ARV]]*F14</f>
        <v>1075.9309769242927</v>
      </c>
      <c r="N25" t="s">
        <v>53</v>
      </c>
      <c r="P25" t="s">
        <v>17</v>
      </c>
      <c r="Q25" s="7">
        <f t="shared" si="11"/>
        <v>2407.7166248643966</v>
      </c>
      <c r="R25" s="7">
        <f t="shared" si="10"/>
        <v>2407.7166248643966</v>
      </c>
      <c r="S25" s="7">
        <f t="shared" si="12"/>
        <v>2354.3901377402171</v>
      </c>
    </row>
    <row r="26" spans="1:25" x14ac:dyDescent="0.25">
      <c r="C26" t="s">
        <v>18</v>
      </c>
      <c r="D26" s="8">
        <f>Mkt_5811[[#Totals],[Loan]]/D15</f>
        <v>3605.9027777777778</v>
      </c>
      <c r="E26" s="8">
        <f>PortA6912[[#Totals],[Owned Loan]]/E15</f>
        <v>1802.9513888888889</v>
      </c>
      <c r="F26" s="8">
        <f>PortB71013[[#Totals],[Owned Loan]]/F15</f>
        <v>1701.4756944444443</v>
      </c>
      <c r="I26" t="s">
        <v>18</v>
      </c>
      <c r="J26" s="8">
        <f>Mkt_5811[[#Totals],[ARV]]*D15</f>
        <v>2395.3432835820895</v>
      </c>
      <c r="K26" s="8">
        <f>PortA6912[[#Totals],[Owned ARV]]*E15</f>
        <v>1197.6716417910447</v>
      </c>
      <c r="L26" s="8">
        <f>PortB71013[[#Totals],[Owned ARV]]*F15</f>
        <v>1069.3842150910668</v>
      </c>
      <c r="N26" t="s">
        <v>0</v>
      </c>
      <c r="O26">
        <f>Mkt_5811[[#Totals],[Loan]]/Mkt_5811[[#Totals],[Loan]]</f>
        <v>1</v>
      </c>
      <c r="P26" t="s">
        <v>18</v>
      </c>
      <c r="Q26" s="7">
        <f t="shared" si="11"/>
        <v>2395.3432835820895</v>
      </c>
      <c r="R26" s="7">
        <f t="shared" si="10"/>
        <v>2395.3432835820895</v>
      </c>
      <c r="S26" s="7">
        <f t="shared" si="12"/>
        <v>2340.06428243457</v>
      </c>
    </row>
    <row r="27" spans="1:25" x14ac:dyDescent="0.25">
      <c r="A27" t="s">
        <v>47</v>
      </c>
      <c r="C27" t="s">
        <v>23</v>
      </c>
      <c r="D27" s="8">
        <f>Mkt_5811[[#Totals],[Loan]]/D16</f>
        <v>3671.0578160657601</v>
      </c>
      <c r="E27" s="8">
        <f>PortA6912[[#Totals],[Owned Loan]]/E16</f>
        <v>1835.5289080328801</v>
      </c>
      <c r="F27" s="8">
        <f>PortB71013[[#Totals],[Owned Loan]]/F16</f>
        <v>1691.7941871212902</v>
      </c>
      <c r="I27" t="s">
        <v>23</v>
      </c>
      <c r="J27" s="8">
        <f>Mkt_5811[[#Totals],[ARV]]*D16</f>
        <v>2352.8300105217622</v>
      </c>
      <c r="K27" s="8">
        <f>PortA6912[[#Totals],[Owned ARV]]*E16</f>
        <v>1176.4150052608811</v>
      </c>
      <c r="L27" s="8">
        <f>PortB71013[[#Totals],[Owned ARV]]*F16</f>
        <v>1075.5039022187821</v>
      </c>
      <c r="N27" t="s">
        <v>51</v>
      </c>
      <c r="O27">
        <f>PortA6912[[#Totals],[LenderFund]]/Mkt_5811[[#Totals],[Loan]]</f>
        <v>0.5</v>
      </c>
      <c r="P27" t="s">
        <v>23</v>
      </c>
      <c r="Q27" s="7">
        <f t="shared" si="11"/>
        <v>2352.8300105217622</v>
      </c>
      <c r="R27" s="7">
        <f t="shared" si="10"/>
        <v>2352.8300105217622</v>
      </c>
      <c r="S27" s="7">
        <f t="shared" si="12"/>
        <v>2353.4555977963937</v>
      </c>
    </row>
    <row r="28" spans="1:25" x14ac:dyDescent="0.25">
      <c r="A28" s="9" t="s">
        <v>48</v>
      </c>
      <c r="C28" t="s">
        <v>24</v>
      </c>
      <c r="D28" s="7">
        <f>Mkt_5811[[#Totals],[Loan]]/D17</f>
        <v>3715.0000000000005</v>
      </c>
      <c r="E28" s="7">
        <f>PortA6912[[#Totals],[Owned Loan]]/E17</f>
        <v>1857.5000000000002</v>
      </c>
      <c r="F28" s="7">
        <f>PortB71013[[#Totals],[Owned Loan]]/F17</f>
        <v>1712.5</v>
      </c>
      <c r="I28" t="s">
        <v>24</v>
      </c>
      <c r="J28" s="7">
        <f>Mkt_5811[[#Totals],[ARV]]*D17</f>
        <v>2325</v>
      </c>
      <c r="K28" s="7">
        <f>PortA6912[[#Totals],[Owned ARV]]*E17</f>
        <v>1162.5</v>
      </c>
      <c r="L28" s="7">
        <f>PortB71013[[#Totals],[Owned ARV]]*F17</f>
        <v>1062.5</v>
      </c>
      <c r="N28" t="s">
        <v>52</v>
      </c>
      <c r="O28">
        <f>PortB71013[[#Totals],[LenderFund]]/Mkt_5811[[#Totals],[Loan]]</f>
        <v>0.45698924731182794</v>
      </c>
      <c r="P28" t="s">
        <v>24</v>
      </c>
      <c r="Q28" s="7">
        <f t="shared" si="11"/>
        <v>2325</v>
      </c>
      <c r="R28" s="7">
        <f t="shared" si="10"/>
        <v>2325</v>
      </c>
      <c r="S28" s="7">
        <f t="shared" si="12"/>
        <v>2325</v>
      </c>
    </row>
    <row r="29" spans="1:25" x14ac:dyDescent="0.25">
      <c r="A29" s="10" t="s">
        <v>49</v>
      </c>
      <c r="C29" t="s">
        <v>33</v>
      </c>
      <c r="D29" s="8">
        <f>Mkt_5811[[#Totals],[Loan]]/D18</f>
        <v>3654.4764203434233</v>
      </c>
      <c r="E29" s="8">
        <f>PortA6912[[#Totals],[Owned Loan]]/E18</f>
        <v>1835.5289080328801</v>
      </c>
      <c r="F29" s="8">
        <f>PortB71013[[#Totals],[Owned Loan]]/F18</f>
        <v>1691.7941871212902</v>
      </c>
      <c r="I29" t="s">
        <v>33</v>
      </c>
      <c r="J29" s="8">
        <f>Mkt_5811[[#Totals],[ARV]]*D18</f>
        <v>2363.5054674092867</v>
      </c>
      <c r="K29" s="8">
        <f>PortA6912[[#Totals],[Owned ARV]]*E18</f>
        <v>1176.4150052608811</v>
      </c>
      <c r="L29" s="8">
        <f>PortB71013[[#Totals],[Owned ARV]]*F18</f>
        <v>1075.5039022187821</v>
      </c>
      <c r="P29" t="s">
        <v>33</v>
      </c>
      <c r="Q29" s="7">
        <f t="shared" si="11"/>
        <v>2363.5054674092867</v>
      </c>
      <c r="R29" s="7">
        <f t="shared" si="10"/>
        <v>2352.8300105217622</v>
      </c>
      <c r="S29" s="7">
        <f t="shared" si="12"/>
        <v>2353.4555977963937</v>
      </c>
    </row>
    <row r="30" spans="1:25" x14ac:dyDescent="0.25">
      <c r="A30" s="6" t="s">
        <v>50</v>
      </c>
      <c r="C30" t="s">
        <v>34</v>
      </c>
      <c r="D30" s="8">
        <f>Mkt_5811[[#Totals],[Loan]]/D19</f>
        <v>3697.461734693878</v>
      </c>
      <c r="E30" s="7">
        <f>PortA6912[[#Totals],[Owned Loan]]/E19</f>
        <v>1857.5000000000002</v>
      </c>
      <c r="F30" s="7">
        <f>PortB71013[[#Totals],[Owned Loan]]/F19</f>
        <v>1712.5</v>
      </c>
      <c r="I30" t="s">
        <v>34</v>
      </c>
      <c r="J30" s="8">
        <f>Mkt_5811[[#Totals],[ARV]]*D19</f>
        <v>2336.028232274623</v>
      </c>
      <c r="K30" s="7">
        <f>PortA6912[[#Totals],[Owned ARV]]*E19</f>
        <v>1162.5</v>
      </c>
      <c r="L30" s="7">
        <f>PortB71013[[#Totals],[Owned ARV]]*F19</f>
        <v>1062.5</v>
      </c>
      <c r="P30" t="s">
        <v>34</v>
      </c>
      <c r="Q30" s="7">
        <f t="shared" si="11"/>
        <v>2336.028232274623</v>
      </c>
      <c r="R30" s="7">
        <f t="shared" si="10"/>
        <v>2325</v>
      </c>
      <c r="S30" s="7">
        <f t="shared" si="12"/>
        <v>2325</v>
      </c>
    </row>
    <row r="32" spans="1:25" x14ac:dyDescent="0.25">
      <c r="B32" s="4" t="s">
        <v>29</v>
      </c>
      <c r="C32" t="s">
        <v>15</v>
      </c>
      <c r="D32" s="7">
        <f>SUMPRODUCT(Mkt_5811[ARV],B45:B47)</f>
        <v>2325</v>
      </c>
      <c r="E32" s="7">
        <f>SUMPRODUCT(PortA6912[Owned ARV],B50:B52)</f>
        <v>1162.5</v>
      </c>
      <c r="F32" s="7">
        <f>SUMPRODUCT(PortB71013[Owned ARV],B55:B56)</f>
        <v>1062.5</v>
      </c>
      <c r="H32" s="4" t="s">
        <v>46</v>
      </c>
      <c r="I32" t="s">
        <v>15</v>
      </c>
      <c r="J32" s="7">
        <f>$E$4/D12+$E$5/D12+$E$6/D12</f>
        <v>3715.0000000000005</v>
      </c>
      <c r="K32" s="7">
        <f>$J$12/E12+$J$13/E12+$J$14/E12</f>
        <v>1857.5000000000002</v>
      </c>
      <c r="L32" s="7">
        <f>$J$18/F12+$J$19/F12</f>
        <v>1712.5</v>
      </c>
      <c r="O32" s="11" t="s">
        <v>55</v>
      </c>
      <c r="P32" t="s">
        <v>15</v>
      </c>
      <c r="Q32" s="7">
        <f>D23/$O$35</f>
        <v>3715.0000000000005</v>
      </c>
      <c r="R32" s="7">
        <f>E23/$O$36</f>
        <v>3715.0000000000005</v>
      </c>
      <c r="S32" s="7">
        <f>F23/$O$37</f>
        <v>3715</v>
      </c>
    </row>
    <row r="33" spans="1:19" x14ac:dyDescent="0.25">
      <c r="B33" s="5" t="s">
        <v>30</v>
      </c>
      <c r="C33" t="s">
        <v>16</v>
      </c>
      <c r="D33" s="8">
        <f>SUMPRODUCT(Mkt_5811[ARV]*C45:C47)</f>
        <v>2419.5913364589633</v>
      </c>
      <c r="E33" s="8">
        <f>SUMPRODUCT(PortA6912[Owned ARV],C50:C52)</f>
        <v>1209.7956682294816</v>
      </c>
      <c r="F33" s="8">
        <f>SUMPRODUCT(PortB71013[Owned ARV],C55:C56)</f>
        <v>1082.5178179824561</v>
      </c>
      <c r="H33" s="5" t="s">
        <v>32</v>
      </c>
      <c r="I33" t="s">
        <v>16</v>
      </c>
      <c r="J33" s="8">
        <f t="shared" ref="J33:J39" si="13">$E$4/D13+$E$5/D13+$E$6/D13</f>
        <v>3569.7660467906417</v>
      </c>
      <c r="K33" s="8">
        <f t="shared" ref="K33:K39" si="14">$J$12/E13+$J$13/E13+$J$14/E13</f>
        <v>1784.8830233953208</v>
      </c>
      <c r="L33" s="8">
        <f t="shared" ref="L33:L39" si="15">$J$18/F13+$J$19/F13</f>
        <v>1680.8326105810929</v>
      </c>
      <c r="O33" s="12" t="s">
        <v>56</v>
      </c>
      <c r="P33" t="s">
        <v>16</v>
      </c>
      <c r="Q33" s="7">
        <f t="shared" ref="Q33:Q39" si="16">D24/$O$35</f>
        <v>3569.7660467906417</v>
      </c>
      <c r="R33" s="7">
        <f t="shared" ref="R33:R39" si="17">E24/$O$36</f>
        <v>3569.7660467906417</v>
      </c>
      <c r="S33" s="7">
        <f t="shared" ref="S33:S39" si="18">F24/$O$37</f>
        <v>3646.3025683554802</v>
      </c>
    </row>
    <row r="34" spans="1:19" x14ac:dyDescent="0.25">
      <c r="C34" t="s">
        <v>17</v>
      </c>
      <c r="D34" s="8">
        <f>SUMPRODUCT(Mkt_5811[ARV],D45:D47)</f>
        <v>2407.7166248643966</v>
      </c>
      <c r="E34" s="8">
        <f>SUMPRODUCT(PortA6912[Owned ARV],D50:D52)</f>
        <v>1203.8583124321983</v>
      </c>
      <c r="F34" s="8">
        <f>SUMPRODUCT(PortB71013[Owned ARV],D55:D56)</f>
        <v>1075.9309769242927</v>
      </c>
      <c r="I34" t="s">
        <v>17</v>
      </c>
      <c r="J34" s="8">
        <f t="shared" si="13"/>
        <v>3587.3719152836188</v>
      </c>
      <c r="K34" s="8">
        <f t="shared" si="14"/>
        <v>1793.6859576418094</v>
      </c>
      <c r="L34" s="8">
        <f t="shared" si="15"/>
        <v>1691.1226547277206</v>
      </c>
      <c r="N34" t="s">
        <v>54</v>
      </c>
      <c r="P34" t="s">
        <v>17</v>
      </c>
      <c r="Q34" s="7">
        <f t="shared" si="16"/>
        <v>3587.3719152836188</v>
      </c>
      <c r="R34" s="7">
        <f t="shared" si="17"/>
        <v>3587.3719152836188</v>
      </c>
      <c r="S34" s="7">
        <f t="shared" si="18"/>
        <v>3668.6252042706469</v>
      </c>
    </row>
    <row r="35" spans="1:19" x14ac:dyDescent="0.25">
      <c r="C35" t="s">
        <v>18</v>
      </c>
      <c r="D35" s="8">
        <f>SUMPRODUCT(Mkt_5811[ARV],E45:E47)</f>
        <v>2395.3432835820895</v>
      </c>
      <c r="E35" s="8">
        <f>SUMPRODUCT(PortA6912[Owned ARV],E50:E52)</f>
        <v>1197.6716417910447</v>
      </c>
      <c r="F35" s="8">
        <f>SUMPRODUCT(PortB71013[Owned ARV],E55:E56)</f>
        <v>1069.3842150910668</v>
      </c>
      <c r="I35" t="s">
        <v>18</v>
      </c>
      <c r="J35" s="8">
        <f t="shared" si="13"/>
        <v>3605.9027777777778</v>
      </c>
      <c r="K35" s="8">
        <f t="shared" si="14"/>
        <v>1802.9513888888889</v>
      </c>
      <c r="L35" s="8">
        <f t="shared" si="15"/>
        <v>1701.4756944444443</v>
      </c>
      <c r="N35" t="s">
        <v>0</v>
      </c>
      <c r="O35">
        <f>Mkt_5811[[#Totals],[ARV]]/Mkt_5811[[#Totals],[ARV]]</f>
        <v>1</v>
      </c>
      <c r="P35" t="s">
        <v>18</v>
      </c>
      <c r="Q35" s="7">
        <f t="shared" si="16"/>
        <v>3605.9027777777778</v>
      </c>
      <c r="R35" s="7">
        <f t="shared" si="17"/>
        <v>3605.9027777777778</v>
      </c>
      <c r="S35" s="7">
        <f t="shared" si="18"/>
        <v>3691.0844991889699</v>
      </c>
    </row>
    <row r="36" spans="1:19" x14ac:dyDescent="0.25">
      <c r="C36" t="s">
        <v>23</v>
      </c>
      <c r="D36" s="8">
        <f>SUMPRODUCT(Mkt_5811[ARV],F45:F47)</f>
        <v>2352.8300105217622</v>
      </c>
      <c r="E36" s="8">
        <f>SUMPRODUCT(PortA6912[Owned ARV],F50:F52)</f>
        <v>1176.4150052608811</v>
      </c>
      <c r="F36" s="8">
        <f>SUMPRODUCT(PortB71013[Owned ARV],F55:F56)</f>
        <v>1075.5039022187821</v>
      </c>
      <c r="I36" t="s">
        <v>23</v>
      </c>
      <c r="J36" s="8">
        <f t="shared" si="13"/>
        <v>3671.0578160657606</v>
      </c>
      <c r="K36" s="8">
        <f t="shared" si="14"/>
        <v>1835.5289080328803</v>
      </c>
      <c r="L36" s="8">
        <f t="shared" si="15"/>
        <v>1691.7941871212902</v>
      </c>
      <c r="N36" t="s">
        <v>51</v>
      </c>
      <c r="O36">
        <f>PortA6912[[#Totals],[Owned ARV]]/Mkt_5811[[#Totals],[ARV]]</f>
        <v>0.5</v>
      </c>
      <c r="P36" t="s">
        <v>23</v>
      </c>
      <c r="Q36" s="7">
        <f t="shared" si="16"/>
        <v>3671.0578160657601</v>
      </c>
      <c r="R36" s="7">
        <f t="shared" si="17"/>
        <v>3671.0578160657601</v>
      </c>
      <c r="S36" s="7">
        <f t="shared" si="18"/>
        <v>3670.0819884120251</v>
      </c>
    </row>
    <row r="37" spans="1:19" x14ac:dyDescent="0.25">
      <c r="C37" t="s">
        <v>24</v>
      </c>
      <c r="D37" s="7">
        <f>SUMPRODUCT(Mkt_5811[ARV],G45:G47)</f>
        <v>2325</v>
      </c>
      <c r="E37" s="7">
        <f>SUMPRODUCT(PortA6912[Owned ARV],G50:G52)</f>
        <v>1162.5</v>
      </c>
      <c r="F37" s="7">
        <f>SUMPRODUCT(PortB71013[Owned ARV],G55:G56)</f>
        <v>1062.5</v>
      </c>
      <c r="I37" t="s">
        <v>24</v>
      </c>
      <c r="J37" s="7">
        <f t="shared" si="13"/>
        <v>3715.0000000000005</v>
      </c>
      <c r="K37" s="7">
        <f t="shared" si="14"/>
        <v>1857.5000000000002</v>
      </c>
      <c r="L37" s="7">
        <f t="shared" si="15"/>
        <v>1712.5</v>
      </c>
      <c r="N37" t="s">
        <v>52</v>
      </c>
      <c r="O37">
        <f>PortB71013[[#Totals],[Owned ARV]]/Mkt_5811[[#Totals],[ARV]]</f>
        <v>0.46096904441453568</v>
      </c>
      <c r="P37" t="s">
        <v>24</v>
      </c>
      <c r="Q37" s="7">
        <f t="shared" si="16"/>
        <v>3715.0000000000005</v>
      </c>
      <c r="R37" s="7">
        <f t="shared" si="17"/>
        <v>3715.0000000000005</v>
      </c>
      <c r="S37" s="7">
        <f t="shared" si="18"/>
        <v>3715</v>
      </c>
    </row>
    <row r="38" spans="1:19" x14ac:dyDescent="0.25">
      <c r="C38" t="s">
        <v>33</v>
      </c>
      <c r="D38" s="8">
        <f>SUMPRODUCT(Mkt_5811[ARV],H45:H47)</f>
        <v>2363.5054674092867</v>
      </c>
      <c r="E38" s="8">
        <f>SUMPRODUCT(PortA6912[Owned ARV],H50:H52)</f>
        <v>1176.4150052608811</v>
      </c>
      <c r="F38" s="8">
        <f>SUMPRODUCT(PortB71013[Owned ARV],H55:H56)</f>
        <v>1075.5039022187821</v>
      </c>
      <c r="I38" t="s">
        <v>33</v>
      </c>
      <c r="J38" s="8">
        <f t="shared" si="13"/>
        <v>3654.4764203434238</v>
      </c>
      <c r="K38" s="8">
        <f t="shared" si="14"/>
        <v>1835.5289080328803</v>
      </c>
      <c r="L38" s="8">
        <f t="shared" si="15"/>
        <v>1691.7941871212902</v>
      </c>
      <c r="P38" t="s">
        <v>33</v>
      </c>
      <c r="Q38" s="7">
        <f t="shared" si="16"/>
        <v>3654.4764203434233</v>
      </c>
      <c r="R38" s="7">
        <f t="shared" si="17"/>
        <v>3671.0578160657601</v>
      </c>
      <c r="S38" s="7">
        <f t="shared" si="18"/>
        <v>3670.0819884120251</v>
      </c>
    </row>
    <row r="39" spans="1:19" x14ac:dyDescent="0.25">
      <c r="C39" t="s">
        <v>34</v>
      </c>
      <c r="D39" s="8">
        <f>SUMPRODUCT(Mkt_5811[ARV],I45:I47)</f>
        <v>2336.028232274623</v>
      </c>
      <c r="E39" s="7">
        <f>SUMPRODUCT(PortA6912[Owned ARV],I50:I52)</f>
        <v>1162.5</v>
      </c>
      <c r="F39" s="7">
        <f>SUMPRODUCT(PortB71013[Owned ARV],I55:I56)</f>
        <v>1062.5</v>
      </c>
      <c r="I39" t="s">
        <v>34</v>
      </c>
      <c r="J39" s="8">
        <f t="shared" si="13"/>
        <v>3697.461734693878</v>
      </c>
      <c r="K39" s="7">
        <f t="shared" si="14"/>
        <v>1857.5000000000002</v>
      </c>
      <c r="L39" s="7">
        <f t="shared" si="15"/>
        <v>1712.5</v>
      </c>
      <c r="P39" t="s">
        <v>34</v>
      </c>
      <c r="Q39" s="7">
        <f t="shared" si="16"/>
        <v>3697.461734693878</v>
      </c>
      <c r="R39" s="7">
        <f t="shared" si="17"/>
        <v>3715.0000000000005</v>
      </c>
      <c r="S39" s="7">
        <f t="shared" si="18"/>
        <v>3715</v>
      </c>
    </row>
    <row r="43" spans="1:19" x14ac:dyDescent="0.25">
      <c r="A43" t="s">
        <v>0</v>
      </c>
    </row>
    <row r="44" spans="1:19" x14ac:dyDescent="0.25">
      <c r="B44" t="s">
        <v>15</v>
      </c>
      <c r="C44" t="s">
        <v>16</v>
      </c>
      <c r="D44" t="s">
        <v>17</v>
      </c>
      <c r="E44" t="s">
        <v>18</v>
      </c>
      <c r="F44" t="s">
        <v>23</v>
      </c>
      <c r="G44" t="s">
        <v>24</v>
      </c>
      <c r="H44" t="s">
        <v>33</v>
      </c>
      <c r="I44" t="s">
        <v>34</v>
      </c>
    </row>
    <row r="45" spans="1:19" x14ac:dyDescent="0.25">
      <c r="B45">
        <f>$D$12</f>
        <v>0.62584118438761771</v>
      </c>
      <c r="C45">
        <f>$D$13</f>
        <v>0.65130318612623517</v>
      </c>
      <c r="D45">
        <f>$D$14</f>
        <v>0.64810676308597481</v>
      </c>
      <c r="E45">
        <f>$D$15</f>
        <v>0.64477611940298507</v>
      </c>
      <c r="F45">
        <f>$D$16</f>
        <v>0.63333243890222402</v>
      </c>
      <c r="G45">
        <f>$D$17</f>
        <v>0.62584118438761771</v>
      </c>
      <c r="H45">
        <f>$D$18</f>
        <v>0.63620604775485512</v>
      </c>
      <c r="I45">
        <f>$D$19</f>
        <v>0.628809752967597</v>
      </c>
    </row>
    <row r="46" spans="1:19" x14ac:dyDescent="0.25">
      <c r="B46">
        <f t="shared" ref="B46:B47" si="19">$D$12</f>
        <v>0.62584118438761771</v>
      </c>
      <c r="C46">
        <f t="shared" ref="C46:C47" si="20">$D$13</f>
        <v>0.65130318612623517</v>
      </c>
      <c r="D46">
        <f t="shared" ref="D46:D47" si="21">$D$14</f>
        <v>0.64810676308597481</v>
      </c>
      <c r="E46">
        <f t="shared" ref="E46:E47" si="22">$D$15</f>
        <v>0.64477611940298507</v>
      </c>
      <c r="F46">
        <f t="shared" ref="F46:F47" si="23">$D$16</f>
        <v>0.63333243890222402</v>
      </c>
      <c r="G46">
        <f t="shared" ref="G46:G47" si="24">$D$17</f>
        <v>0.62584118438761771</v>
      </c>
      <c r="H46">
        <f t="shared" ref="H46:H47" si="25">$D$18</f>
        <v>0.63620604775485512</v>
      </c>
      <c r="I46">
        <f t="shared" ref="I46:I47" si="26">$D$19</f>
        <v>0.628809752967597</v>
      </c>
    </row>
    <row r="47" spans="1:19" x14ac:dyDescent="0.25">
      <c r="B47">
        <f t="shared" si="19"/>
        <v>0.62584118438761771</v>
      </c>
      <c r="C47">
        <f t="shared" si="20"/>
        <v>0.65130318612623517</v>
      </c>
      <c r="D47">
        <f t="shared" si="21"/>
        <v>0.64810676308597481</v>
      </c>
      <c r="E47">
        <f t="shared" si="22"/>
        <v>0.64477611940298507</v>
      </c>
      <c r="F47">
        <f t="shared" si="23"/>
        <v>0.63333243890222402</v>
      </c>
      <c r="G47">
        <f t="shared" si="24"/>
        <v>0.62584118438761771</v>
      </c>
      <c r="H47">
        <f t="shared" si="25"/>
        <v>0.63620604775485512</v>
      </c>
      <c r="I47">
        <f t="shared" si="26"/>
        <v>0.628809752967597</v>
      </c>
    </row>
    <row r="48" spans="1:19" x14ac:dyDescent="0.25">
      <c r="A48" t="s">
        <v>7</v>
      </c>
    </row>
    <row r="49" spans="1:9" x14ac:dyDescent="0.25">
      <c r="B49" t="s">
        <v>15</v>
      </c>
      <c r="C49" t="s">
        <v>16</v>
      </c>
      <c r="D49" t="s">
        <v>17</v>
      </c>
      <c r="E49" t="s">
        <v>18</v>
      </c>
      <c r="F49" t="s">
        <v>23</v>
      </c>
      <c r="G49" t="s">
        <v>24</v>
      </c>
      <c r="H49" t="s">
        <v>33</v>
      </c>
      <c r="I49" t="s">
        <v>34</v>
      </c>
    </row>
    <row r="50" spans="1:9" x14ac:dyDescent="0.25">
      <c r="B50">
        <f>$E$12</f>
        <v>0.62584118438761771</v>
      </c>
      <c r="C50">
        <f>$E$13</f>
        <v>0.65130318612623517</v>
      </c>
      <c r="D50">
        <f>$E$14</f>
        <v>0.64810676308597481</v>
      </c>
      <c r="E50">
        <f>$E$15</f>
        <v>0.64477611940298507</v>
      </c>
      <c r="F50">
        <f>$E$16</f>
        <v>0.63333243890222402</v>
      </c>
      <c r="G50">
        <f>$E$17</f>
        <v>0.62584118438761771</v>
      </c>
      <c r="H50">
        <f>$E$18</f>
        <v>0.63333243890222402</v>
      </c>
      <c r="I50">
        <f>$E$19</f>
        <v>0.62584118438761771</v>
      </c>
    </row>
    <row r="51" spans="1:9" x14ac:dyDescent="0.25">
      <c r="B51">
        <f t="shared" ref="B51:B52" si="27">$E$12</f>
        <v>0.62584118438761771</v>
      </c>
      <c r="C51">
        <f t="shared" ref="C51:C52" si="28">$E$13</f>
        <v>0.65130318612623517</v>
      </c>
      <c r="D51">
        <f t="shared" ref="D51:D52" si="29">$E$14</f>
        <v>0.64810676308597481</v>
      </c>
      <c r="E51">
        <f t="shared" ref="E51:E52" si="30">$E$15</f>
        <v>0.64477611940298507</v>
      </c>
      <c r="F51">
        <f t="shared" ref="F51:F52" si="31">$E$16</f>
        <v>0.63333243890222402</v>
      </c>
      <c r="G51">
        <f t="shared" ref="G51:G52" si="32">$E$17</f>
        <v>0.62584118438761771</v>
      </c>
      <c r="H51">
        <f t="shared" ref="H51:H52" si="33">$E$18</f>
        <v>0.63333243890222402</v>
      </c>
      <c r="I51">
        <f t="shared" ref="I51:I52" si="34">$E$19</f>
        <v>0.62584118438761771</v>
      </c>
    </row>
    <row r="52" spans="1:9" x14ac:dyDescent="0.25">
      <c r="B52">
        <f t="shared" si="27"/>
        <v>0.62584118438761771</v>
      </c>
      <c r="C52">
        <f t="shared" si="28"/>
        <v>0.65130318612623517</v>
      </c>
      <c r="D52">
        <f t="shared" si="29"/>
        <v>0.64810676308597481</v>
      </c>
      <c r="E52">
        <f t="shared" si="30"/>
        <v>0.64477611940298507</v>
      </c>
      <c r="F52">
        <f t="shared" si="31"/>
        <v>0.63333243890222402</v>
      </c>
      <c r="G52">
        <f t="shared" si="32"/>
        <v>0.62584118438761771</v>
      </c>
      <c r="H52">
        <f t="shared" si="33"/>
        <v>0.63333243890222402</v>
      </c>
      <c r="I52">
        <f t="shared" si="34"/>
        <v>0.62584118438761771</v>
      </c>
    </row>
    <row r="53" spans="1:9" x14ac:dyDescent="0.25">
      <c r="A53" t="s">
        <v>8</v>
      </c>
    </row>
    <row r="54" spans="1:9" x14ac:dyDescent="0.25">
      <c r="B54" t="s">
        <v>15</v>
      </c>
      <c r="C54" t="s">
        <v>16</v>
      </c>
      <c r="D54" t="s">
        <v>17</v>
      </c>
      <c r="E54" t="s">
        <v>18</v>
      </c>
      <c r="F54" t="s">
        <v>23</v>
      </c>
      <c r="G54" t="s">
        <v>24</v>
      </c>
      <c r="H54" t="s">
        <v>33</v>
      </c>
      <c r="I54" t="s">
        <v>34</v>
      </c>
    </row>
    <row r="55" spans="1:9" x14ac:dyDescent="0.25">
      <c r="B55">
        <f>$F$12</f>
        <v>0.62043795620437958</v>
      </c>
      <c r="C55">
        <f>$F$13</f>
        <v>0.63212719298245612</v>
      </c>
      <c r="D55">
        <f>$F$14</f>
        <v>0.62828086243754322</v>
      </c>
      <c r="E55">
        <f>$F$15</f>
        <v>0.62445793581960107</v>
      </c>
      <c r="F55">
        <f>$F$16</f>
        <v>0.62803147574819396</v>
      </c>
      <c r="G55">
        <f>$F$17</f>
        <v>0.62043795620437958</v>
      </c>
      <c r="H55">
        <f>$F$18</f>
        <v>0.62803147574819396</v>
      </c>
      <c r="I55">
        <f>$F$19</f>
        <v>0.62043795620437958</v>
      </c>
    </row>
    <row r="56" spans="1:9" x14ac:dyDescent="0.25">
      <c r="B56">
        <f t="shared" ref="B56" si="35">$F$12</f>
        <v>0.62043795620437958</v>
      </c>
      <c r="C56">
        <f t="shared" ref="C56" si="36">$F$13</f>
        <v>0.63212719298245612</v>
      </c>
      <c r="D56">
        <f t="shared" ref="D56" si="37">$F$14</f>
        <v>0.62828086243754322</v>
      </c>
      <c r="E56">
        <f t="shared" ref="E56" si="38">$F$15</f>
        <v>0.62445793581960107</v>
      </c>
      <c r="F56">
        <f t="shared" ref="F56" si="39">$F$16</f>
        <v>0.62803147574819396</v>
      </c>
      <c r="G56">
        <f>$F$17</f>
        <v>0.62043795620437958</v>
      </c>
      <c r="H56">
        <f t="shared" ref="H56" si="40">$F$18</f>
        <v>0.62803147574819396</v>
      </c>
      <c r="I56">
        <f t="shared" ref="I56" si="41">$F$19</f>
        <v>0.62043795620437958</v>
      </c>
    </row>
  </sheetData>
  <conditionalFormatting sqref="D23">
    <cfRule type="cellIs" dxfId="185" priority="26" operator="greaterThan">
      <formula>$I$7</formula>
    </cfRule>
  </conditionalFormatting>
  <conditionalFormatting sqref="D23:D30 J32:J39">
    <cfRule type="cellIs" dxfId="184" priority="23" operator="equal">
      <formula>$I$7</formula>
    </cfRule>
    <cfRule type="cellIs" dxfId="183" priority="24" operator="lessThan">
      <formula>$I$7</formula>
    </cfRule>
    <cfRule type="cellIs" dxfId="182" priority="25" operator="greaterThan">
      <formula>$I$7</formula>
    </cfRule>
  </conditionalFormatting>
  <conditionalFormatting sqref="J23:J30 D32:D39">
    <cfRule type="cellIs" dxfId="181" priority="20" operator="equal">
      <formula>$E$7</formula>
    </cfRule>
    <cfRule type="cellIs" dxfId="180" priority="21" operator="lessThan">
      <formula>$E$7</formula>
    </cfRule>
    <cfRule type="cellIs" dxfId="179" priority="22" operator="greaterThan">
      <formula>$E$7</formula>
    </cfRule>
  </conditionalFormatting>
  <conditionalFormatting sqref="E23:E30 K32:K39">
    <cfRule type="cellIs" dxfId="178" priority="17" operator="lessThan">
      <formula>$W$15</formula>
    </cfRule>
    <cfRule type="cellIs" dxfId="177" priority="18" operator="greaterThan">
      <formula>$W$15</formula>
    </cfRule>
    <cfRule type="cellIs" dxfId="176" priority="19" operator="equal">
      <formula>$W$15</formula>
    </cfRule>
  </conditionalFormatting>
  <conditionalFormatting sqref="E32:E39 K23:K30">
    <cfRule type="cellIs" dxfId="175" priority="14" operator="equal">
      <formula>$J$15</formula>
    </cfRule>
    <cfRule type="cellIs" dxfId="174" priority="15" operator="lessThan">
      <formula>$J$15</formula>
    </cfRule>
    <cfRule type="cellIs" dxfId="173" priority="16" operator="greaterThan">
      <formula>$J$15</formula>
    </cfRule>
  </conditionalFormatting>
  <conditionalFormatting sqref="F23:F30 L32:L39">
    <cfRule type="cellIs" dxfId="172" priority="11" operator="equal">
      <formula>$W$20</formula>
    </cfRule>
    <cfRule type="cellIs" dxfId="171" priority="12" operator="lessThan">
      <formula>$W$20</formula>
    </cfRule>
    <cfRule type="cellIs" dxfId="170" priority="13" operator="greaterThan">
      <formula>$W$20</formula>
    </cfRule>
  </conditionalFormatting>
  <conditionalFormatting sqref="F32:F39 L23:L30">
    <cfRule type="cellIs" dxfId="169" priority="8" operator="equal">
      <formula>$J$20</formula>
    </cfRule>
    <cfRule type="cellIs" dxfId="168" priority="9" operator="lessThan">
      <formula>$J$20</formula>
    </cfRule>
    <cfRule type="cellIs" dxfId="167" priority="10" operator="greaterThan">
      <formula>$J$20</formula>
    </cfRule>
  </conditionalFormatting>
  <conditionalFormatting sqref="Q23:S30">
    <cfRule type="cellIs" dxfId="166" priority="5" operator="equal">
      <formula>$E$7</formula>
    </cfRule>
    <cfRule type="cellIs" dxfId="165" priority="6" operator="lessThan">
      <formula>$E$7</formula>
    </cfRule>
    <cfRule type="cellIs" dxfId="164" priority="7" operator="greaterThan">
      <formula>$E$7</formula>
    </cfRule>
  </conditionalFormatting>
  <conditionalFormatting sqref="Q32:S39">
    <cfRule type="cellIs" dxfId="163" priority="4" operator="greaterThan">
      <formula>$I$7</formula>
    </cfRule>
  </conditionalFormatting>
  <conditionalFormatting sqref="Q32:S39">
    <cfRule type="cellIs" dxfId="162" priority="1" operator="equal">
      <formula>$I$7</formula>
    </cfRule>
    <cfRule type="cellIs" dxfId="161" priority="2" operator="lessThan">
      <formula>$I$7</formula>
    </cfRule>
    <cfRule type="cellIs" dxfId="160" priority="3" operator="greaterThan">
      <formula>$I$7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E2EB-B463-4A12-A9F0-3C0127B4EAEF}">
  <dimension ref="A3:V56"/>
  <sheetViews>
    <sheetView workbookViewId="0">
      <selection activeCell="J14" sqref="J14"/>
    </sheetView>
  </sheetViews>
  <sheetFormatPr defaultRowHeight="15" x14ac:dyDescent="0.25"/>
  <cols>
    <col min="7" max="7" width="11.7109375" customWidth="1"/>
    <col min="10" max="10" width="14" customWidth="1"/>
    <col min="15" max="15" width="14.140625" customWidth="1"/>
    <col min="16" max="16" width="14" customWidth="1"/>
    <col min="17" max="17" width="15" customWidth="1"/>
    <col min="18" max="18" width="13.7109375" customWidth="1"/>
    <col min="19" max="19" width="14" customWidth="1"/>
    <col min="24" max="24" width="13.7109375" customWidth="1"/>
  </cols>
  <sheetData>
    <row r="3" spans="3:22" x14ac:dyDescent="0.25">
      <c r="C3" t="s">
        <v>0</v>
      </c>
      <c r="D3" t="s">
        <v>5</v>
      </c>
      <c r="E3" t="s">
        <v>4</v>
      </c>
      <c r="F3" t="s">
        <v>21</v>
      </c>
      <c r="G3" t="s">
        <v>13</v>
      </c>
      <c r="H3" t="s">
        <v>35</v>
      </c>
      <c r="I3" t="s">
        <v>6</v>
      </c>
      <c r="J3" t="s">
        <v>9</v>
      </c>
      <c r="K3" t="s">
        <v>10</v>
      </c>
      <c r="L3" t="s">
        <v>22</v>
      </c>
      <c r="M3" t="s">
        <v>25</v>
      </c>
      <c r="N3" t="s">
        <v>26</v>
      </c>
      <c r="O3" t="s">
        <v>11</v>
      </c>
      <c r="P3" t="s">
        <v>36</v>
      </c>
      <c r="Q3" t="s">
        <v>37</v>
      </c>
    </row>
    <row r="4" spans="3:22" x14ac:dyDescent="0.25">
      <c r="C4" t="s">
        <v>1</v>
      </c>
      <c r="D4">
        <v>10</v>
      </c>
      <c r="E4">
        <v>1000</v>
      </c>
      <c r="F4">
        <f>Mkt_14[[#This Row],[Loan]]/Mkt_14[[#Totals],[Loan]]</f>
        <v>0.43010752688172044</v>
      </c>
      <c r="G4">
        <f>J12+J18</f>
        <v>400</v>
      </c>
      <c r="H4">
        <f>Mkt_14[[#This Row],[Funded]]/Mkt_14[[#Totals],[Funded]]</f>
        <v>0.4</v>
      </c>
      <c r="I4">
        <v>1425</v>
      </c>
      <c r="J4">
        <v>1115</v>
      </c>
      <c r="K4">
        <f>Mkt_14[[#This Row],[Loan]]/Mkt_14[[#This Row],[ARV]]</f>
        <v>0.70175438596491224</v>
      </c>
      <c r="L4">
        <f>Mkt_14[[#This Row],[L_w]]*Mkt_14[[#This Row],[LTV]]</f>
        <v>0.30182984342576868</v>
      </c>
      <c r="M4">
        <f>1/Mkt_14[[#This Row],[LTV]]</f>
        <v>1.425</v>
      </c>
      <c r="N4">
        <f>Mkt_14[[#This Row],[L_w]]*Mkt_14[[#This Row],[rec_LTV]]</f>
        <v>0.61290322580645162</v>
      </c>
      <c r="O4">
        <f>Mkt_14[[#This Row],[Loan]]/Mkt_14[[#This Row],[Cost]]</f>
        <v>0.89686098654708524</v>
      </c>
      <c r="P4" s="2">
        <f>Mkt_14[[#This Row],[F_w]]*Mkt_14[[#This Row],[LTV]]</f>
        <v>0.2807017543859649</v>
      </c>
      <c r="Q4" s="2">
        <f>Mkt_14[[#This Row],[F_w]]*Mkt_14[[#This Row],[rec_LTV]]</f>
        <v>0.57000000000000006</v>
      </c>
    </row>
    <row r="5" spans="3:22" x14ac:dyDescent="0.25">
      <c r="C5" t="s">
        <v>2</v>
      </c>
      <c r="D5">
        <v>12.5</v>
      </c>
      <c r="E5">
        <v>1125</v>
      </c>
      <c r="F5">
        <f>Mkt_14[[#This Row],[Loan]]/Mkt_14[[#Totals],[Loan]]</f>
        <v>0.4838709677419355</v>
      </c>
      <c r="G5">
        <f>J13+J19</f>
        <v>400</v>
      </c>
      <c r="H5">
        <f>Mkt_14[[#This Row],[Funded]]/Mkt_14[[#Totals],[Funded]]</f>
        <v>0.4</v>
      </c>
      <c r="I5">
        <v>2000</v>
      </c>
      <c r="J5">
        <v>1500</v>
      </c>
      <c r="K5">
        <f>Mkt_14[[#This Row],[Loan]]/Mkt_14[[#This Row],[ARV]]</f>
        <v>0.5625</v>
      </c>
      <c r="L5">
        <f>Mkt_14[[#This Row],[L_w]]*Mkt_14[[#This Row],[LTV]]</f>
        <v>0.27217741935483875</v>
      </c>
      <c r="M5">
        <f>1/Mkt_14[[#This Row],[LTV]]</f>
        <v>1.7777777777777777</v>
      </c>
      <c r="N5">
        <f>Mkt_14[[#This Row],[L_w]]*Mkt_14[[#This Row],[rec_LTV]]</f>
        <v>0.86021505376344087</v>
      </c>
      <c r="O5">
        <f>Mkt_14[[#This Row],[Loan]]/Mkt_14[[#This Row],[Cost]]</f>
        <v>0.75</v>
      </c>
      <c r="P5" s="2">
        <f>Mkt_14[[#This Row],[F_w]]*Mkt_14[[#This Row],[LTV]]</f>
        <v>0.22500000000000001</v>
      </c>
      <c r="Q5" s="2">
        <f>Mkt_14[[#This Row],[F_w]]*Mkt_14[[#This Row],[rec_LTV]]</f>
        <v>0.71111111111111114</v>
      </c>
    </row>
    <row r="6" spans="3:22" x14ac:dyDescent="0.25">
      <c r="C6" t="s">
        <v>3</v>
      </c>
      <c r="D6">
        <v>11</v>
      </c>
      <c r="E6">
        <v>200</v>
      </c>
      <c r="F6">
        <f>Mkt_14[[#This Row],[Loan]]/Mkt_14[[#Totals],[Loan]]</f>
        <v>8.6021505376344093E-2</v>
      </c>
      <c r="G6">
        <f>J14</f>
        <v>200</v>
      </c>
      <c r="H6">
        <f>Mkt_14[[#This Row],[Funded]]/Mkt_14[[#Totals],[Funded]]</f>
        <v>0.2</v>
      </c>
      <c r="I6">
        <v>290</v>
      </c>
      <c r="J6">
        <v>225</v>
      </c>
      <c r="K6">
        <f>Mkt_14[[#This Row],[Loan]]/Mkt_14[[#This Row],[ARV]]</f>
        <v>0.68965517241379315</v>
      </c>
      <c r="L6">
        <f>Mkt_14[[#This Row],[L_w]]*Mkt_14[[#This Row],[LTV]]</f>
        <v>5.932517612161662E-2</v>
      </c>
      <c r="M6">
        <f>1/Mkt_14[[#This Row],[LTV]]</f>
        <v>1.45</v>
      </c>
      <c r="N6">
        <f>Mkt_14[[#This Row],[L_w]]*Mkt_14[[#This Row],[rec_LTV]]</f>
        <v>0.12473118279569893</v>
      </c>
      <c r="O6">
        <f>Mkt_14[[#This Row],[Loan]]/Mkt_14[[#This Row],[Cost]]</f>
        <v>0.88888888888888884</v>
      </c>
      <c r="P6" s="2">
        <f>Mkt_14[[#This Row],[F_w]]*Mkt_14[[#This Row],[LTV]]</f>
        <v>0.13793103448275865</v>
      </c>
      <c r="Q6" s="2">
        <f>Mkt_14[[#This Row],[F_w]]*Mkt_14[[#This Row],[rec_LTV]]</f>
        <v>0.28999999999999998</v>
      </c>
    </row>
    <row r="7" spans="3:22" x14ac:dyDescent="0.25">
      <c r="E7">
        <f>SUM(Mkt_14[Loan])</f>
        <v>2325</v>
      </c>
      <c r="F7">
        <f>SUBTOTAL(109,Mkt_14[L_w])</f>
        <v>1</v>
      </c>
      <c r="G7">
        <f>SUM(Mkt_14[Funded])</f>
        <v>1000</v>
      </c>
      <c r="H7">
        <f>SUBTOTAL(109,Mkt_14[F_w])</f>
        <v>1</v>
      </c>
      <c r="I7">
        <f>SUM(Mkt_14[ARV])</f>
        <v>3715</v>
      </c>
      <c r="J7">
        <f>SUM(Mkt_14[Funded])</f>
        <v>1000</v>
      </c>
      <c r="K7" s="2"/>
      <c r="L7" s="2">
        <f>SUBTOTAL(109,Mkt_14[w_LTV])</f>
        <v>0.63333243890222402</v>
      </c>
      <c r="M7" s="2"/>
      <c r="N7" s="2">
        <f>SUBTOTAL(109,Mkt_14[wrec_LTV])</f>
        <v>1.5978494623655914</v>
      </c>
      <c r="O7" s="2"/>
      <c r="P7">
        <f>SUBTOTAL(109,Mkt_14[fw_LTV])</f>
        <v>0.64363278886872355</v>
      </c>
      <c r="Q7">
        <f>SUBTOTAL(109,Mkt_14[fwrec_LTV])</f>
        <v>1.5711111111111111</v>
      </c>
    </row>
    <row r="10" spans="3:22" x14ac:dyDescent="0.25">
      <c r="D10" t="s">
        <v>0</v>
      </c>
      <c r="E10" t="s">
        <v>7</v>
      </c>
      <c r="F10" t="s">
        <v>8</v>
      </c>
    </row>
    <row r="11" spans="3:22" x14ac:dyDescent="0.25">
      <c r="C11" t="s">
        <v>10</v>
      </c>
      <c r="I11" t="s">
        <v>7</v>
      </c>
      <c r="J11" t="s">
        <v>12</v>
      </c>
      <c r="K11" t="s">
        <v>38</v>
      </c>
      <c r="L11" t="s">
        <v>14</v>
      </c>
      <c r="M11" t="s">
        <v>10</v>
      </c>
      <c r="N11" t="s">
        <v>39</v>
      </c>
      <c r="O11" t="s">
        <v>42</v>
      </c>
      <c r="P11" t="s">
        <v>41</v>
      </c>
      <c r="Q11" t="s">
        <v>43</v>
      </c>
      <c r="R11" t="s">
        <v>4</v>
      </c>
      <c r="S11" t="s">
        <v>19</v>
      </c>
      <c r="T11" t="s">
        <v>40</v>
      </c>
      <c r="U11" t="s">
        <v>6</v>
      </c>
      <c r="V11" t="s">
        <v>27</v>
      </c>
    </row>
    <row r="12" spans="3:22" x14ac:dyDescent="0.25">
      <c r="C12" t="s">
        <v>15</v>
      </c>
      <c r="D12">
        <f>Mkt_14[[#Totals],[Loan]]/Mkt_14[[#Totals],[ARV]]</f>
        <v>0.62584118438761771</v>
      </c>
      <c r="E12">
        <f>PortA15[[#Totals],[Owned Loan]]/PortA15[[#Totals],[Owned ARV]]</f>
        <v>0.64477611940298507</v>
      </c>
      <c r="F12">
        <f>PortB16[[#Totals],[Owned Loan]]/PortB16[[#Totals],[Owned ARV]]</f>
        <v>0.62445793581960107</v>
      </c>
      <c r="I12" t="s">
        <v>1</v>
      </c>
      <c r="J12">
        <v>200</v>
      </c>
      <c r="K12">
        <f>PortA15[[#This Row],[LenderFund]]/PortA15[[#Totals],[LenderFund]]</f>
        <v>0.33333333333333331</v>
      </c>
      <c r="L12" s="1">
        <f>PortA15[[#This Row],[LenderFund]]/E4</f>
        <v>0.2</v>
      </c>
      <c r="M12">
        <f t="shared" ref="M12:M14" si="0">K4</f>
        <v>0.70175438596491224</v>
      </c>
      <c r="N12">
        <f>PortA15[[#This Row],[ol_w]]*PortA15[[#This Row],[LTV]]</f>
        <v>0.23391812865497075</v>
      </c>
      <c r="O12">
        <f>PortA15[[#This Row],[ol_w]]*(1/PortA15[[#This Row],[LTV]])</f>
        <v>0.47499999999999998</v>
      </c>
      <c r="P12">
        <f>PortA15[[#This Row],[lf_w]]*PortA15[[#This Row],[LTV]]</f>
        <v>0.23391812865497075</v>
      </c>
      <c r="Q12">
        <f>PortA15[[#This Row],[lf_w]]*M4</f>
        <v>0.47499999999999998</v>
      </c>
      <c r="R12">
        <f>E4</f>
        <v>1000</v>
      </c>
      <c r="S12">
        <f>PortA15[[#This Row],[Own]]*PortA15[[#This Row],[Loan]]</f>
        <v>200</v>
      </c>
      <c r="T12">
        <f>PortA15[[#This Row],[Owned Loan]]/PortA15[[#Totals],[Owned Loan]]</f>
        <v>0.33333333333333331</v>
      </c>
      <c r="U12">
        <f>I4</f>
        <v>1425</v>
      </c>
      <c r="V12">
        <f>PortA15[[#This Row],[Own]]*PortA15[[#This Row],[ARV]]</f>
        <v>285</v>
      </c>
    </row>
    <row r="13" spans="3:22" x14ac:dyDescent="0.25">
      <c r="C13" t="s">
        <v>16</v>
      </c>
      <c r="D13">
        <f>AVERAGE(Mkt_14[LTV])</f>
        <v>0.65130318612623517</v>
      </c>
      <c r="E13">
        <f>AVERAGE(PortA15[LTV])</f>
        <v>0.65130318612623517</v>
      </c>
      <c r="F13">
        <f>AVERAGE(PortB16[LTV])</f>
        <v>0.63212719298245612</v>
      </c>
      <c r="I13" t="s">
        <v>2</v>
      </c>
      <c r="J13">
        <v>200</v>
      </c>
      <c r="K13">
        <f>PortA15[[#This Row],[LenderFund]]/PortA15[[#Totals],[LenderFund]]</f>
        <v>0.33333333333333331</v>
      </c>
      <c r="L13" s="1">
        <f>PortA15[[#This Row],[LenderFund]]/E5</f>
        <v>0.17777777777777778</v>
      </c>
      <c r="M13">
        <f t="shared" si="0"/>
        <v>0.5625</v>
      </c>
      <c r="N13">
        <f>PortA15[[#This Row],[ol_w]]*PortA15[[#This Row],[LTV]]</f>
        <v>0.1875</v>
      </c>
      <c r="O13">
        <f>PortA15[[#This Row],[ol_w]]*(1/PortA15[[#This Row],[LTV]])</f>
        <v>0.59259259259259256</v>
      </c>
      <c r="P13">
        <f>PortA15[[#This Row],[lf_w]]*PortA15[[#This Row],[LTV]]</f>
        <v>0.1875</v>
      </c>
      <c r="Q13">
        <f>PortA15[[#This Row],[lf_w]]*M5</f>
        <v>0.59259259259259256</v>
      </c>
      <c r="R13">
        <f>E5</f>
        <v>1125</v>
      </c>
      <c r="S13">
        <f>PortA15[[#This Row],[Own]]*PortA15[[#This Row],[Loan]]</f>
        <v>200</v>
      </c>
      <c r="T13">
        <f>PortA15[[#This Row],[Owned Loan]]/PortA15[[#Totals],[Owned Loan]]</f>
        <v>0.33333333333333331</v>
      </c>
      <c r="U13">
        <f>I5</f>
        <v>2000</v>
      </c>
      <c r="V13">
        <f>PortA15[[#This Row],[Own]]*PortA15[[#This Row],[ARV]]</f>
        <v>355.55555555555554</v>
      </c>
    </row>
    <row r="14" spans="3:22" x14ac:dyDescent="0.25">
      <c r="C14" t="s">
        <v>17</v>
      </c>
      <c r="D14">
        <f>GEOMEAN(Mkt_14[LTV])</f>
        <v>0.64810676308597481</v>
      </c>
      <c r="E14">
        <f>GEOMEAN(PortA15[LTV])</f>
        <v>0.64810676308597481</v>
      </c>
      <c r="F14">
        <f>GEOMEAN(PortB16[LTV])</f>
        <v>0.62828086243754322</v>
      </c>
      <c r="I14" t="s">
        <v>3</v>
      </c>
      <c r="J14">
        <v>200</v>
      </c>
      <c r="K14">
        <f>PortA15[[#This Row],[LenderFund]]/PortA15[[#Totals],[LenderFund]]</f>
        <v>0.33333333333333331</v>
      </c>
      <c r="L14" s="1">
        <f>PortA15[[#This Row],[LenderFund]]/E6</f>
        <v>1</v>
      </c>
      <c r="M14">
        <f t="shared" si="0"/>
        <v>0.68965517241379315</v>
      </c>
      <c r="N14">
        <f>PortA15[[#This Row],[ol_w]]*PortA15[[#This Row],[LTV]]</f>
        <v>0.22988505747126436</v>
      </c>
      <c r="O14">
        <f>PortA15[[#This Row],[ol_w]]*(1/PortA15[[#This Row],[LTV]])</f>
        <v>0.48333333333333328</v>
      </c>
      <c r="P14">
        <f>PortA15[[#This Row],[lf_w]]*PortA15[[#This Row],[LTV]]</f>
        <v>0.22988505747126436</v>
      </c>
      <c r="Q14">
        <f>PortA15[[#This Row],[lf_w]]*M6</f>
        <v>0.48333333333333328</v>
      </c>
      <c r="R14">
        <f>E6</f>
        <v>200</v>
      </c>
      <c r="S14">
        <f>PortA15[[#This Row],[Own]]*PortA15[[#This Row],[Loan]]</f>
        <v>200</v>
      </c>
      <c r="T14">
        <f>PortA15[[#This Row],[Owned Loan]]/PortA15[[#Totals],[Owned Loan]]</f>
        <v>0.33333333333333331</v>
      </c>
      <c r="U14">
        <f>I6</f>
        <v>290</v>
      </c>
      <c r="V14">
        <f>PortA15[[#This Row],[Own]]*PortA15[[#This Row],[ARV]]</f>
        <v>290</v>
      </c>
    </row>
    <row r="15" spans="3:22" x14ac:dyDescent="0.25">
      <c r="C15" t="s">
        <v>18</v>
      </c>
      <c r="D15">
        <f>HARMEAN(Mkt_14[LTV])</f>
        <v>0.64477611940298507</v>
      </c>
      <c r="E15">
        <f>HARMEAN(PortA15[LTV])</f>
        <v>0.64477611940298507</v>
      </c>
      <c r="F15">
        <f>HARMEAN(PortB16[LTV])</f>
        <v>0.62445793581960107</v>
      </c>
      <c r="J15">
        <f>SUBTOTAL(109,PortA15[LenderFund])</f>
        <v>600</v>
      </c>
      <c r="K15">
        <f>SUBTOTAL(109,PortA15[lf_w])</f>
        <v>1</v>
      </c>
      <c r="L15" s="3"/>
      <c r="M15" s="2"/>
      <c r="N15" s="2">
        <f>SUBTOTAL(109,PortA15[olw_LTV])</f>
        <v>0.65130318612623506</v>
      </c>
      <c r="O15" s="2">
        <f>SUBTOTAL(109,PortA15[olwr_LTV])</f>
        <v>1.550925925925926</v>
      </c>
      <c r="P15" s="2">
        <f>SUBTOTAL(109,PortA15[lfw_LTV])</f>
        <v>0.65130318612623506</v>
      </c>
      <c r="Q15" s="2">
        <f>SUBTOTAL(109,PortA15[lfwr_LTV])</f>
        <v>1.550925925925926</v>
      </c>
      <c r="R15" s="2"/>
      <c r="S15" s="2">
        <f>SUM(PortA15[Owned Loan])</f>
        <v>600</v>
      </c>
      <c r="T15" s="2">
        <f>SUBTOTAL(109,PortA15[ol_w])</f>
        <v>1</v>
      </c>
      <c r="U15" s="2"/>
      <c r="V15" s="2">
        <f>SUM(PortA15[Owned ARV])</f>
        <v>930.55555555555554</v>
      </c>
    </row>
    <row r="16" spans="3:22" x14ac:dyDescent="0.25">
      <c r="C16" t="s">
        <v>23</v>
      </c>
      <c r="D16">
        <f>Mkt_14[[#Totals],[w_LTV]]/Mkt_14[[#Totals],[L_w]]</f>
        <v>0.63333243890222402</v>
      </c>
      <c r="E16">
        <f>PortA15[[#Totals],[olw_LTV]]/PortA15[[#Totals],[ol_w]]</f>
        <v>0.65130318612623506</v>
      </c>
      <c r="F16">
        <f>PortB16[[#Totals],[olw_LTV]]/PortB16[[#Totals],[ol_w]]</f>
        <v>0.63212719298245612</v>
      </c>
    </row>
    <row r="17" spans="1:22" x14ac:dyDescent="0.25">
      <c r="C17" t="s">
        <v>24</v>
      </c>
      <c r="D17">
        <f>Mkt_14[[#Totals],[L_w]]/Mkt_14[[#Totals],[wrec_LTV]]</f>
        <v>0.62584118438761771</v>
      </c>
      <c r="E17">
        <f>PortA15[[#Totals],[ol_w]]/PortA15[[#Totals],[olwr_LTV]]</f>
        <v>0.64477611940298507</v>
      </c>
      <c r="F17">
        <f>PortB16[[#Totals],[ol_w]]/PortB16[[#Totals],[olwr_LTV]]</f>
        <v>0.62445793581960107</v>
      </c>
      <c r="G17" s="2"/>
      <c r="I17" t="s">
        <v>8</v>
      </c>
      <c r="J17" t="s">
        <v>12</v>
      </c>
      <c r="K17" t="s">
        <v>38</v>
      </c>
      <c r="L17" t="s">
        <v>14</v>
      </c>
      <c r="M17" t="s">
        <v>10</v>
      </c>
      <c r="N17" t="s">
        <v>39</v>
      </c>
      <c r="O17" t="s">
        <v>42</v>
      </c>
      <c r="P17" t="s">
        <v>41</v>
      </c>
      <c r="Q17" t="s">
        <v>43</v>
      </c>
      <c r="R17" t="s">
        <v>4</v>
      </c>
      <c r="S17" t="s">
        <v>19</v>
      </c>
      <c r="T17" t="s">
        <v>40</v>
      </c>
      <c r="U17" t="s">
        <v>6</v>
      </c>
      <c r="V17" t="s">
        <v>27</v>
      </c>
    </row>
    <row r="18" spans="1:22" x14ac:dyDescent="0.25">
      <c r="C18" t="s">
        <v>33</v>
      </c>
      <c r="D18">
        <f>Mkt_14[[#Totals],[fw_LTV]]/Mkt_14[[#Totals],[F_w]]</f>
        <v>0.64363278886872355</v>
      </c>
      <c r="E18">
        <f>PortA15[[#Totals],[lfw_LTV]]/PortA15[[#Totals],[lf_w]]</f>
        <v>0.65130318612623506</v>
      </c>
      <c r="F18">
        <f>PortB16[[#Totals],[lfw_LTV]]/PortB16[[#Totals],[lf_w]]</f>
        <v>0.63212719298245612</v>
      </c>
      <c r="I18" t="s">
        <v>1</v>
      </c>
      <c r="J18">
        <v>200</v>
      </c>
      <c r="K18">
        <f>PortB16[[#This Row],[LenderFund]]/PortB16[[#Totals],[LenderFund]]</f>
        <v>0.5</v>
      </c>
      <c r="L18" s="1">
        <f>PortB16[[#This Row],[LenderFund]]/E4</f>
        <v>0.2</v>
      </c>
      <c r="M18">
        <f t="shared" ref="M18:M19" si="1">K4</f>
        <v>0.70175438596491224</v>
      </c>
      <c r="N18">
        <f>PortB16[[#This Row],[ol_w]]*PortB16[[#This Row],[LTV]]</f>
        <v>0.35087719298245612</v>
      </c>
      <c r="O18">
        <f>PortB16[[#This Row],[ol_w]]*M4</f>
        <v>0.71250000000000002</v>
      </c>
      <c r="P18">
        <f>PortB16[[#This Row],[lf_w]]*PortB16[[#This Row],[LTV]]</f>
        <v>0.35087719298245612</v>
      </c>
      <c r="Q18">
        <f>PortB16[[#This Row],[lf_w]]*M4</f>
        <v>0.71250000000000002</v>
      </c>
      <c r="R18">
        <f t="shared" ref="R18:R19" si="2">E4</f>
        <v>1000</v>
      </c>
      <c r="S18">
        <f>PortB16[[#This Row],[Own]]*PortB16[[#This Row],[Loan]]</f>
        <v>200</v>
      </c>
      <c r="T18">
        <f>PortB16[[#This Row],[Owned Loan]]/PortB16[[#Totals],[Owned Loan]]</f>
        <v>0.5</v>
      </c>
      <c r="U18">
        <f t="shared" ref="U18:U19" si="3">I4</f>
        <v>1425</v>
      </c>
      <c r="V18">
        <f>PortB16[[#This Row],[Own]]*PortB16[[#This Row],[ARV]]</f>
        <v>285</v>
      </c>
    </row>
    <row r="19" spans="1:22" x14ac:dyDescent="0.25">
      <c r="C19" t="s">
        <v>34</v>
      </c>
      <c r="D19">
        <f>Mkt_14[[#Totals],[F_w]]/Mkt_14[[#Totals],[fwrec_LTV]]</f>
        <v>0.63649222065063649</v>
      </c>
      <c r="E19">
        <f>PortA15[[#Totals],[lf_w]]/PortA15[[#Totals],[lfwr_LTV]]</f>
        <v>0.64477611940298507</v>
      </c>
      <c r="F19">
        <f>PortB16[[#Totals],[lf_w]]/PortB16[[#Totals],[lfwr_LTV]]</f>
        <v>0.62445793581960107</v>
      </c>
      <c r="I19" t="s">
        <v>2</v>
      </c>
      <c r="J19">
        <v>200</v>
      </c>
      <c r="K19">
        <f>PortB16[[#This Row],[LenderFund]]/PortB16[[#Totals],[LenderFund]]</f>
        <v>0.5</v>
      </c>
      <c r="L19" s="1">
        <f>PortB16[[#This Row],[LenderFund]]/E5</f>
        <v>0.17777777777777778</v>
      </c>
      <c r="M19">
        <f t="shared" si="1"/>
        <v>0.5625</v>
      </c>
      <c r="N19">
        <f>PortB16[[#This Row],[ol_w]]*PortB16[[#This Row],[LTV]]</f>
        <v>0.28125</v>
      </c>
      <c r="O19">
        <f>PortB16[[#This Row],[ol_w]]*M5</f>
        <v>0.88888888888888884</v>
      </c>
      <c r="P19">
        <f>PortB16[[#This Row],[lf_w]]*PortB16[[#This Row],[LTV]]</f>
        <v>0.28125</v>
      </c>
      <c r="Q19">
        <f>PortB16[[#This Row],[lf_w]]*M5</f>
        <v>0.88888888888888884</v>
      </c>
      <c r="R19">
        <f t="shared" si="2"/>
        <v>1125</v>
      </c>
      <c r="S19">
        <f>PortB16[[#This Row],[Own]]*PortB16[[#This Row],[Loan]]</f>
        <v>200</v>
      </c>
      <c r="T19">
        <f>PortB16[[#This Row],[Owned Loan]]/PortB16[[#Totals],[Owned Loan]]</f>
        <v>0.5</v>
      </c>
      <c r="U19">
        <f t="shared" si="3"/>
        <v>2000</v>
      </c>
      <c r="V19">
        <f>PortB16[[#This Row],[Own]]*PortB16[[#This Row],[ARV]]</f>
        <v>355.55555555555554</v>
      </c>
    </row>
    <row r="20" spans="1:22" x14ac:dyDescent="0.25">
      <c r="J20">
        <f>SUBTOTAL(109,PortB16[LenderFund])</f>
        <v>400</v>
      </c>
      <c r="K20">
        <f>SUBTOTAL(109,PortB16[lf_w])</f>
        <v>1</v>
      </c>
      <c r="L20" s="3"/>
      <c r="M20" s="2"/>
      <c r="N20" s="2">
        <f>SUBTOTAL(109,PortB16[olw_LTV])</f>
        <v>0.63212719298245612</v>
      </c>
      <c r="O20" s="2">
        <f>SUBTOTAL(109,PortB16[olwr_LTV])</f>
        <v>1.6013888888888888</v>
      </c>
      <c r="P20" s="2">
        <f>SUBTOTAL(109,PortB16[lfw_LTV])</f>
        <v>0.63212719298245612</v>
      </c>
      <c r="Q20" s="2">
        <f>SUBTOTAL(109,PortB16[lfwr_LTV])</f>
        <v>1.6013888888888888</v>
      </c>
      <c r="R20" s="2"/>
      <c r="S20" s="2">
        <f>SUM(PortB16[Owned Loan])</f>
        <v>400</v>
      </c>
      <c r="T20" s="2">
        <f>SUBTOTAL(109,PortB16[ol_w])</f>
        <v>1</v>
      </c>
      <c r="U20" s="2"/>
      <c r="V20" s="2">
        <f>SUBTOTAL(109,PortB16[Owned ARV])</f>
        <v>640.55555555555554</v>
      </c>
    </row>
    <row r="21" spans="1:22" x14ac:dyDescent="0.25">
      <c r="B21" t="s">
        <v>28</v>
      </c>
      <c r="N21" s="2"/>
      <c r="O21" s="2"/>
    </row>
    <row r="22" spans="1:22" x14ac:dyDescent="0.25">
      <c r="D22" t="s">
        <v>0</v>
      </c>
      <c r="E22" t="s">
        <v>7</v>
      </c>
      <c r="F22" t="s">
        <v>8</v>
      </c>
      <c r="J22" t="s">
        <v>0</v>
      </c>
      <c r="K22" t="s">
        <v>7</v>
      </c>
      <c r="L22" t="s">
        <v>8</v>
      </c>
      <c r="N22" s="2"/>
      <c r="O22" s="2"/>
      <c r="Q22" t="s">
        <v>0</v>
      </c>
      <c r="R22" t="s">
        <v>7</v>
      </c>
      <c r="S22" t="s">
        <v>8</v>
      </c>
    </row>
    <row r="23" spans="1:22" x14ac:dyDescent="0.25">
      <c r="B23" s="4" t="s">
        <v>31</v>
      </c>
      <c r="C23" t="s">
        <v>15</v>
      </c>
      <c r="D23" s="7">
        <f>Mkt_14[[#Totals],[Loan]]/D12</f>
        <v>3715.0000000000005</v>
      </c>
      <c r="E23" s="7">
        <f>PortA15[[#Totals],[Owned Loan]]/E12</f>
        <v>930.55555555555554</v>
      </c>
      <c r="F23" s="7">
        <f>PortB16[[#Totals],[Owned Loan]]/F12</f>
        <v>640.55555555555554</v>
      </c>
      <c r="H23" s="4" t="s">
        <v>44</v>
      </c>
      <c r="I23" t="s">
        <v>15</v>
      </c>
      <c r="J23" s="7">
        <f>Mkt_14[[#Totals],[ARV]]*D12</f>
        <v>2325</v>
      </c>
      <c r="K23" s="7">
        <f>PortA15[[#Totals],[Owned ARV]]*E12</f>
        <v>600</v>
      </c>
      <c r="L23" s="7">
        <f>PortB16[[#Totals],[Owned ARV]]*F12</f>
        <v>400</v>
      </c>
      <c r="N23" s="2"/>
      <c r="O23" s="11" t="s">
        <v>57</v>
      </c>
      <c r="P23" t="s">
        <v>15</v>
      </c>
      <c r="Q23" s="7">
        <f>D32/$O$26</f>
        <v>2325</v>
      </c>
      <c r="R23" s="7">
        <f t="shared" ref="R23:R30" si="4">E32/$O$27</f>
        <v>2325</v>
      </c>
      <c r="S23" s="7">
        <f>F32/$O$28</f>
        <v>2325</v>
      </c>
    </row>
    <row r="24" spans="1:22" x14ac:dyDescent="0.25">
      <c r="B24" s="5" t="s">
        <v>32</v>
      </c>
      <c r="C24" t="s">
        <v>16</v>
      </c>
      <c r="D24" s="8">
        <f>Mkt_14[[#Totals],[Loan]]/D13</f>
        <v>3569.7660467906417</v>
      </c>
      <c r="E24" s="8">
        <f>PortA15[[#Totals],[Owned Loan]]/E13</f>
        <v>921.22994755887521</v>
      </c>
      <c r="F24" s="8">
        <f>PortB16[[#Totals],[Owned Loan]]/F13</f>
        <v>632.78404163052903</v>
      </c>
      <c r="H24" s="5" t="s">
        <v>45</v>
      </c>
      <c r="I24" t="s">
        <v>16</v>
      </c>
      <c r="J24" s="8">
        <f>Mkt_14[[#Totals],[ARV]]*D13</f>
        <v>2419.5913364589637</v>
      </c>
      <c r="K24" s="8">
        <f>PortA15[[#Totals],[Owned ARV]]*E13</f>
        <v>606.07379820080212</v>
      </c>
      <c r="L24" s="8">
        <f>PortB16[[#Totals],[Owned ARV]]*F13</f>
        <v>404.91258528265104</v>
      </c>
      <c r="N24" s="2"/>
      <c r="O24" s="12" t="s">
        <v>58</v>
      </c>
      <c r="P24" t="s">
        <v>16</v>
      </c>
      <c r="Q24" s="7">
        <f t="shared" ref="Q24:Q30" si="5">D33/$O$26</f>
        <v>2419.5913364589633</v>
      </c>
      <c r="R24" s="7">
        <f t="shared" si="4"/>
        <v>2348.5359680281085</v>
      </c>
      <c r="S24" s="7">
        <f t="shared" ref="S24:S30" si="6">F33/$O$28</f>
        <v>2353.5544019554095</v>
      </c>
    </row>
    <row r="25" spans="1:22" x14ac:dyDescent="0.25">
      <c r="C25" t="s">
        <v>17</v>
      </c>
      <c r="D25" s="8">
        <f>Mkt_14[[#Totals],[Loan]]/D14</f>
        <v>3587.3719152836188</v>
      </c>
      <c r="E25" s="8">
        <f>PortA15[[#Totals],[Owned Loan]]/E14</f>
        <v>925.77339749254679</v>
      </c>
      <c r="F25" s="8">
        <f>PortB16[[#Totals],[Owned Loan]]/F14</f>
        <v>636.65794060337726</v>
      </c>
      <c r="I25" t="s">
        <v>17</v>
      </c>
      <c r="J25" s="8">
        <f>Mkt_14[[#Totals],[ARV]]*D14</f>
        <v>2407.7166248643966</v>
      </c>
      <c r="K25" s="8">
        <f>PortA15[[#Totals],[Owned ARV]]*E14</f>
        <v>603.09934898278209</v>
      </c>
      <c r="L25" s="8">
        <f>PortB16[[#Totals],[Owned ARV]]*F14</f>
        <v>402.44879688360407</v>
      </c>
      <c r="N25" t="s">
        <v>53</v>
      </c>
      <c r="P25" t="s">
        <v>17</v>
      </c>
      <c r="Q25" s="7">
        <f t="shared" si="5"/>
        <v>2407.7166248643966</v>
      </c>
      <c r="R25" s="7">
        <f t="shared" si="4"/>
        <v>2337.0099773082807</v>
      </c>
      <c r="S25" s="7">
        <f t="shared" si="6"/>
        <v>2339.2336318859484</v>
      </c>
    </row>
    <row r="26" spans="1:22" x14ac:dyDescent="0.25">
      <c r="C26" t="s">
        <v>18</v>
      </c>
      <c r="D26" s="8">
        <f>Mkt_14[[#Totals],[Loan]]/D15</f>
        <v>3605.9027777777778</v>
      </c>
      <c r="E26" s="8">
        <f>PortA15[[#Totals],[Owned Loan]]/E15</f>
        <v>930.55555555555554</v>
      </c>
      <c r="F26" s="8">
        <f>PortB16[[#Totals],[Owned Loan]]/F15</f>
        <v>640.55555555555554</v>
      </c>
      <c r="I26" t="s">
        <v>18</v>
      </c>
      <c r="J26" s="8">
        <f>Mkt_14[[#Totals],[ARV]]*D15</f>
        <v>2395.3432835820895</v>
      </c>
      <c r="K26" s="8">
        <f>PortA15[[#Totals],[Owned ARV]]*E15</f>
        <v>600</v>
      </c>
      <c r="L26" s="8">
        <f>PortB16[[#Totals],[Owned ARV]]*F15</f>
        <v>400</v>
      </c>
      <c r="N26" t="s">
        <v>0</v>
      </c>
      <c r="O26">
        <f>Mkt_14[[#Totals],[Loan]]/Mkt_14[[#Totals],[Loan]]</f>
        <v>1</v>
      </c>
      <c r="P26" t="s">
        <v>18</v>
      </c>
      <c r="Q26" s="7">
        <f t="shared" si="5"/>
        <v>2395.3432835820895</v>
      </c>
      <c r="R26" s="7">
        <f t="shared" si="4"/>
        <v>2325</v>
      </c>
      <c r="S26" s="7">
        <f t="shared" si="6"/>
        <v>2325</v>
      </c>
    </row>
    <row r="27" spans="1:22" x14ac:dyDescent="0.25">
      <c r="A27" t="s">
        <v>47</v>
      </c>
      <c r="C27" t="s">
        <v>23</v>
      </c>
      <c r="D27" s="8">
        <f>Mkt_14[[#Totals],[Loan]]/D16</f>
        <v>3671.0578160657601</v>
      </c>
      <c r="E27" s="8">
        <f>PortA15[[#Totals],[Owned Loan]]/E16</f>
        <v>921.22994755887544</v>
      </c>
      <c r="F27" s="8">
        <f>PortB16[[#Totals],[Owned Loan]]/F16</f>
        <v>632.78404163052903</v>
      </c>
      <c r="I27" t="s">
        <v>23</v>
      </c>
      <c r="J27" s="8">
        <f>Mkt_14[[#Totals],[ARV]]*D16</f>
        <v>2352.8300105217622</v>
      </c>
      <c r="K27" s="8">
        <f>PortA15[[#Totals],[Owned ARV]]*E16</f>
        <v>606.073798200802</v>
      </c>
      <c r="L27" s="8">
        <f>PortB16[[#Totals],[Owned ARV]]*F16</f>
        <v>404.91258528265104</v>
      </c>
      <c r="N27" t="s">
        <v>51</v>
      </c>
      <c r="O27">
        <f>PortA15[[#Totals],[LenderFund]]/Mkt_14[[#Totals],[Loan]]</f>
        <v>0.25806451612903225</v>
      </c>
      <c r="P27" t="s">
        <v>23</v>
      </c>
      <c r="Q27" s="7">
        <f t="shared" si="5"/>
        <v>2352.8300105217622</v>
      </c>
      <c r="R27" s="7">
        <f t="shared" si="4"/>
        <v>2348.5359680281076</v>
      </c>
      <c r="S27" s="7">
        <f t="shared" si="6"/>
        <v>2353.5544019554095</v>
      </c>
    </row>
    <row r="28" spans="1:22" x14ac:dyDescent="0.25">
      <c r="A28" s="9" t="s">
        <v>48</v>
      </c>
      <c r="C28" t="s">
        <v>24</v>
      </c>
      <c r="D28" s="7">
        <f>Mkt_14[[#Totals],[Loan]]/D17</f>
        <v>3715.0000000000005</v>
      </c>
      <c r="E28" s="7">
        <f>PortA15[[#Totals],[Owned Loan]]/E17</f>
        <v>930.55555555555554</v>
      </c>
      <c r="F28" s="7">
        <f>PortB16[[#Totals],[Owned Loan]]/F17</f>
        <v>640.55555555555554</v>
      </c>
      <c r="I28" t="s">
        <v>24</v>
      </c>
      <c r="J28" s="7">
        <f>Mkt_14[[#Totals],[ARV]]*D17</f>
        <v>2325</v>
      </c>
      <c r="K28" s="7">
        <f>PortA15[[#Totals],[Owned ARV]]*E17</f>
        <v>600</v>
      </c>
      <c r="L28" s="7">
        <f>PortB16[[#Totals],[Owned ARV]]*F17</f>
        <v>400</v>
      </c>
      <c r="N28" t="s">
        <v>52</v>
      </c>
      <c r="O28">
        <f>PortB16[[#Totals],[LenderFund]]/Mkt_14[[#Totals],[Loan]]</f>
        <v>0.17204301075268819</v>
      </c>
      <c r="P28" t="s">
        <v>24</v>
      </c>
      <c r="Q28" s="7">
        <f t="shared" si="5"/>
        <v>2325</v>
      </c>
      <c r="R28" s="7">
        <f t="shared" si="4"/>
        <v>2325</v>
      </c>
      <c r="S28" s="7">
        <f t="shared" si="6"/>
        <v>2325</v>
      </c>
    </row>
    <row r="29" spans="1:22" x14ac:dyDescent="0.25">
      <c r="A29" s="10" t="s">
        <v>49</v>
      </c>
      <c r="C29" t="s">
        <v>33</v>
      </c>
      <c r="D29" s="8">
        <f>Mkt_14[[#Totals],[Loan]]/D18</f>
        <v>3612.3081984162418</v>
      </c>
      <c r="E29" s="8">
        <f>PortA15[[#Totals],[Owned Loan]]/E18</f>
        <v>921.22994755887544</v>
      </c>
      <c r="F29" s="8">
        <f>PortB16[[#Totals],[Owned Loan]]/F18</f>
        <v>632.78404163052903</v>
      </c>
      <c r="I29" t="s">
        <v>33</v>
      </c>
      <c r="J29" s="8">
        <f>Mkt_14[[#Totals],[ARV]]*D18</f>
        <v>2391.0958106473081</v>
      </c>
      <c r="K29" s="8">
        <f>PortA15[[#Totals],[Owned ARV]]*E18</f>
        <v>606.073798200802</v>
      </c>
      <c r="L29" s="8">
        <f>PortB16[[#Totals],[Owned ARV]]*F18</f>
        <v>404.91258528265104</v>
      </c>
      <c r="P29" t="s">
        <v>33</v>
      </c>
      <c r="Q29" s="7">
        <f t="shared" si="5"/>
        <v>2391.0958106473081</v>
      </c>
      <c r="R29" s="7">
        <f t="shared" si="4"/>
        <v>2348.5359680281076</v>
      </c>
      <c r="S29" s="7">
        <f t="shared" si="6"/>
        <v>2353.5544019554095</v>
      </c>
    </row>
    <row r="30" spans="1:22" x14ac:dyDescent="0.25">
      <c r="A30" s="6" t="s">
        <v>50</v>
      </c>
      <c r="C30" t="s">
        <v>34</v>
      </c>
      <c r="D30" s="8">
        <f>Mkt_14[[#Totals],[Loan]]/D19</f>
        <v>3652.8333333333335</v>
      </c>
      <c r="E30" s="7">
        <f>PortA15[[#Totals],[Owned Loan]]/E19</f>
        <v>930.55555555555554</v>
      </c>
      <c r="F30" s="7">
        <f>PortB16[[#Totals],[Owned Loan]]/F19</f>
        <v>640.55555555555554</v>
      </c>
      <c r="I30" t="s">
        <v>34</v>
      </c>
      <c r="J30" s="8">
        <f>Mkt_14[[#Totals],[ARV]]*D19</f>
        <v>2364.5685997171145</v>
      </c>
      <c r="K30" s="7">
        <f>PortA15[[#Totals],[Owned ARV]]*E19</f>
        <v>600</v>
      </c>
      <c r="L30" s="7">
        <f>PortB16[[#Totals],[Owned ARV]]*F19</f>
        <v>400</v>
      </c>
      <c r="P30" t="s">
        <v>34</v>
      </c>
      <c r="Q30" s="7">
        <f t="shared" si="5"/>
        <v>2364.568599717114</v>
      </c>
      <c r="R30" s="7">
        <f t="shared" si="4"/>
        <v>2325</v>
      </c>
      <c r="S30" s="7">
        <f t="shared" si="6"/>
        <v>2325</v>
      </c>
    </row>
    <row r="32" spans="1:22" x14ac:dyDescent="0.25">
      <c r="B32" s="4" t="s">
        <v>29</v>
      </c>
      <c r="C32" t="s">
        <v>15</v>
      </c>
      <c r="D32" s="7">
        <f>SUMPRODUCT(Mkt_14[ARV],B45:B47)</f>
        <v>2325</v>
      </c>
      <c r="E32" s="7">
        <f>SUMPRODUCT(PortA15[Owned ARV],B50:B52)</f>
        <v>600</v>
      </c>
      <c r="F32" s="7">
        <f>SUMPRODUCT(PortB16[Owned ARV],B55:B56)</f>
        <v>400</v>
      </c>
      <c r="H32" s="4" t="s">
        <v>46</v>
      </c>
      <c r="I32" t="s">
        <v>15</v>
      </c>
      <c r="J32" s="7">
        <f>$E$4/D12+$E$5/D12+$E$6/D12</f>
        <v>3715.0000000000005</v>
      </c>
      <c r="K32" s="7">
        <f>$J$12/E12+$J$13/E12+$J$14/E12</f>
        <v>930.55555555555543</v>
      </c>
      <c r="L32" s="7">
        <f>$J$18/F12+$J$19/F12</f>
        <v>640.55555555555554</v>
      </c>
      <c r="O32" s="11" t="s">
        <v>55</v>
      </c>
      <c r="P32" t="s">
        <v>15</v>
      </c>
      <c r="Q32" s="7">
        <f>D23/$O$35</f>
        <v>3715.0000000000005</v>
      </c>
      <c r="R32" s="7">
        <f>E23/$O$36</f>
        <v>3714.9999999999995</v>
      </c>
      <c r="S32" s="7">
        <f>F23/$O$37</f>
        <v>3715.0000000000005</v>
      </c>
    </row>
    <row r="33" spans="1:19" x14ac:dyDescent="0.25">
      <c r="B33" s="5" t="s">
        <v>30</v>
      </c>
      <c r="C33" t="s">
        <v>16</v>
      </c>
      <c r="D33" s="8">
        <f>SUMPRODUCT(Mkt_14[ARV]*C45:C47)</f>
        <v>2419.5913364589633</v>
      </c>
      <c r="E33" s="8">
        <f>SUMPRODUCT(PortA15[Owned ARV],C50:C52)</f>
        <v>606.07379820080223</v>
      </c>
      <c r="F33" s="8">
        <f>SUMPRODUCT(PortB16[Owned ARV],C55:C56)</f>
        <v>404.91258528265109</v>
      </c>
      <c r="H33" s="5" t="s">
        <v>32</v>
      </c>
      <c r="I33" t="s">
        <v>16</v>
      </c>
      <c r="J33" s="8">
        <f t="shared" ref="J33:J39" si="7">$E$4/D13+$E$5/D13+$E$6/D13</f>
        <v>3569.7660467906417</v>
      </c>
      <c r="K33" s="8">
        <f t="shared" ref="K33:K39" si="8">$J$12/E13+$J$13/E13+$J$14/E13</f>
        <v>921.22994755887532</v>
      </c>
      <c r="L33" s="8">
        <f t="shared" ref="L33:L39" si="9">$J$18/F13+$J$19/F13</f>
        <v>632.78404163052903</v>
      </c>
      <c r="O33" s="12" t="s">
        <v>56</v>
      </c>
      <c r="P33" t="s">
        <v>16</v>
      </c>
      <c r="Q33" s="7">
        <f t="shared" ref="Q33:Q39" si="10">D24/$O$35</f>
        <v>3569.7660467906417</v>
      </c>
      <c r="R33" s="7">
        <f t="shared" ref="R33:R39" si="11">E24/$O$36</f>
        <v>3677.7699458663869</v>
      </c>
      <c r="S33" s="7">
        <f t="shared" ref="S33:S39" si="12">F24/$O$37</f>
        <v>3669.9279153368152</v>
      </c>
    </row>
    <row r="34" spans="1:19" x14ac:dyDescent="0.25">
      <c r="C34" t="s">
        <v>17</v>
      </c>
      <c r="D34" s="8">
        <f>SUMPRODUCT(Mkt_14[ARV],D45:D47)</f>
        <v>2407.7166248643966</v>
      </c>
      <c r="E34" s="8">
        <f>SUMPRODUCT(PortA15[Owned ARV],D50:D52)</f>
        <v>603.09934898278209</v>
      </c>
      <c r="F34" s="8">
        <f>SUMPRODUCT(PortB16[Owned ARV],D55:D56)</f>
        <v>402.44879688360407</v>
      </c>
      <c r="I34" t="s">
        <v>17</v>
      </c>
      <c r="J34" s="8">
        <f t="shared" si="7"/>
        <v>3587.3719152836188</v>
      </c>
      <c r="K34" s="8">
        <f t="shared" si="8"/>
        <v>925.77339749254679</v>
      </c>
      <c r="L34" s="8">
        <f t="shared" si="9"/>
        <v>636.65794060337726</v>
      </c>
      <c r="N34" t="s">
        <v>54</v>
      </c>
      <c r="P34" t="s">
        <v>17</v>
      </c>
      <c r="Q34" s="7">
        <f t="shared" si="10"/>
        <v>3587.3719152836188</v>
      </c>
      <c r="R34" s="7">
        <f t="shared" si="11"/>
        <v>3695.9084830045731</v>
      </c>
      <c r="S34" s="7">
        <f t="shared" si="12"/>
        <v>3692.3951854421371</v>
      </c>
    </row>
    <row r="35" spans="1:19" x14ac:dyDescent="0.25">
      <c r="C35" t="s">
        <v>18</v>
      </c>
      <c r="D35" s="8">
        <f>SUMPRODUCT(Mkt_14[ARV],E45:E47)</f>
        <v>2395.3432835820895</v>
      </c>
      <c r="E35" s="8">
        <f>SUMPRODUCT(PortA15[Owned ARV],E50:E52)</f>
        <v>600</v>
      </c>
      <c r="F35" s="8">
        <f>SUMPRODUCT(PortB16[Owned ARV],E55:E56)</f>
        <v>400</v>
      </c>
      <c r="I35" t="s">
        <v>18</v>
      </c>
      <c r="J35" s="8">
        <f t="shared" si="7"/>
        <v>3605.9027777777778</v>
      </c>
      <c r="K35" s="8">
        <f t="shared" si="8"/>
        <v>930.55555555555543</v>
      </c>
      <c r="L35" s="8">
        <f t="shared" si="9"/>
        <v>640.55555555555554</v>
      </c>
      <c r="N35" t="s">
        <v>0</v>
      </c>
      <c r="O35">
        <f>Mkt_14[[#Totals],[ARV]]/Mkt_14[[#Totals],[ARV]]</f>
        <v>1</v>
      </c>
      <c r="P35" t="s">
        <v>18</v>
      </c>
      <c r="Q35" s="7">
        <f t="shared" si="10"/>
        <v>3605.9027777777778</v>
      </c>
      <c r="R35" s="7">
        <f t="shared" si="11"/>
        <v>3714.9999999999995</v>
      </c>
      <c r="S35" s="7">
        <f t="shared" si="12"/>
        <v>3715.0000000000005</v>
      </c>
    </row>
    <row r="36" spans="1:19" x14ac:dyDescent="0.25">
      <c r="C36" t="s">
        <v>23</v>
      </c>
      <c r="D36" s="8">
        <f>SUMPRODUCT(Mkt_14[ARV],F45:F47)</f>
        <v>2352.8300105217622</v>
      </c>
      <c r="E36" s="8">
        <f>SUMPRODUCT(PortA15[Owned ARV],F50:F52)</f>
        <v>606.073798200802</v>
      </c>
      <c r="F36" s="8">
        <f>SUMPRODUCT(PortB16[Owned ARV],F55:F56)</f>
        <v>404.91258528265109</v>
      </c>
      <c r="I36" t="s">
        <v>23</v>
      </c>
      <c r="J36" s="8">
        <f t="shared" si="7"/>
        <v>3671.0578160657606</v>
      </c>
      <c r="K36" s="8">
        <f t="shared" si="8"/>
        <v>921.22994755887544</v>
      </c>
      <c r="L36" s="8">
        <f t="shared" si="9"/>
        <v>632.78404163052903</v>
      </c>
      <c r="N36" t="s">
        <v>51</v>
      </c>
      <c r="O36">
        <f>PortA15[[#Totals],[Owned ARV]]/Mkt_14[[#Totals],[ARV]]</f>
        <v>0.25048601764617917</v>
      </c>
      <c r="P36" t="s">
        <v>23</v>
      </c>
      <c r="Q36" s="7">
        <f t="shared" si="10"/>
        <v>3671.0578160657601</v>
      </c>
      <c r="R36" s="7">
        <f t="shared" si="11"/>
        <v>3677.7699458663878</v>
      </c>
      <c r="S36" s="7">
        <f t="shared" si="12"/>
        <v>3669.9279153368152</v>
      </c>
    </row>
    <row r="37" spans="1:19" x14ac:dyDescent="0.25">
      <c r="C37" t="s">
        <v>24</v>
      </c>
      <c r="D37" s="7">
        <f>SUMPRODUCT(Mkt_14[ARV],G45:G47)</f>
        <v>2325</v>
      </c>
      <c r="E37" s="7">
        <f>SUMPRODUCT(PortA15[Owned ARV],G50:G52)</f>
        <v>600</v>
      </c>
      <c r="F37" s="7">
        <f>SUMPRODUCT(PortB16[Owned ARV],G55:G56)</f>
        <v>400</v>
      </c>
      <c r="I37" t="s">
        <v>24</v>
      </c>
      <c r="J37" s="7">
        <f t="shared" si="7"/>
        <v>3715.0000000000005</v>
      </c>
      <c r="K37" s="7">
        <f t="shared" si="8"/>
        <v>930.55555555555543</v>
      </c>
      <c r="L37" s="7">
        <f t="shared" si="9"/>
        <v>640.55555555555554</v>
      </c>
      <c r="N37" t="s">
        <v>52</v>
      </c>
      <c r="O37">
        <f>PortB16[[#Totals],[Owned ARV]]/Mkt_14[[#Totals],[ARV]]</f>
        <v>0.17242410647525047</v>
      </c>
      <c r="P37" t="s">
        <v>24</v>
      </c>
      <c r="Q37" s="7">
        <f t="shared" si="10"/>
        <v>3715.0000000000005</v>
      </c>
      <c r="R37" s="7">
        <f t="shared" si="11"/>
        <v>3714.9999999999995</v>
      </c>
      <c r="S37" s="7">
        <f t="shared" si="12"/>
        <v>3715.0000000000005</v>
      </c>
    </row>
    <row r="38" spans="1:19" x14ac:dyDescent="0.25">
      <c r="C38" t="s">
        <v>33</v>
      </c>
      <c r="D38" s="8">
        <f>SUMPRODUCT(Mkt_14[ARV],H45:H47)</f>
        <v>2391.0958106473081</v>
      </c>
      <c r="E38" s="8">
        <f>SUMPRODUCT(PortA15[Owned ARV],H50:H52)</f>
        <v>606.073798200802</v>
      </c>
      <c r="F38" s="8">
        <f>SUMPRODUCT(PortB16[Owned ARV],H55:H56)</f>
        <v>404.91258528265109</v>
      </c>
      <c r="I38" t="s">
        <v>33</v>
      </c>
      <c r="J38" s="8">
        <f t="shared" si="7"/>
        <v>3612.3081984162413</v>
      </c>
      <c r="K38" s="8">
        <f t="shared" si="8"/>
        <v>921.22994755887544</v>
      </c>
      <c r="L38" s="8">
        <f t="shared" si="9"/>
        <v>632.78404163052903</v>
      </c>
      <c r="P38" t="s">
        <v>33</v>
      </c>
      <c r="Q38" s="7">
        <f t="shared" si="10"/>
        <v>3612.3081984162418</v>
      </c>
      <c r="R38" s="7">
        <f t="shared" si="11"/>
        <v>3677.7699458663878</v>
      </c>
      <c r="S38" s="7">
        <f t="shared" si="12"/>
        <v>3669.9279153368152</v>
      </c>
    </row>
    <row r="39" spans="1:19" x14ac:dyDescent="0.25">
      <c r="C39" t="s">
        <v>34</v>
      </c>
      <c r="D39" s="8">
        <f>SUMPRODUCT(Mkt_14[ARV],I45:I47)</f>
        <v>2364.568599717114</v>
      </c>
      <c r="E39" s="7">
        <f>SUMPRODUCT(PortA15[Owned ARV],I50:I52)</f>
        <v>600</v>
      </c>
      <c r="F39" s="7">
        <f>SUMPRODUCT(PortB16[Owned ARV],I55:I56)</f>
        <v>400</v>
      </c>
      <c r="I39" t="s">
        <v>34</v>
      </c>
      <c r="J39" s="8">
        <f t="shared" si="7"/>
        <v>3652.8333333333335</v>
      </c>
      <c r="K39" s="7">
        <f t="shared" si="8"/>
        <v>930.55555555555543</v>
      </c>
      <c r="L39" s="7">
        <f t="shared" si="9"/>
        <v>640.55555555555554</v>
      </c>
      <c r="P39" t="s">
        <v>34</v>
      </c>
      <c r="Q39" s="7">
        <f t="shared" si="10"/>
        <v>3652.8333333333335</v>
      </c>
      <c r="R39" s="7">
        <f t="shared" si="11"/>
        <v>3714.9999999999995</v>
      </c>
      <c r="S39" s="7">
        <f t="shared" si="12"/>
        <v>3715.0000000000005</v>
      </c>
    </row>
    <row r="42" spans="1:19" x14ac:dyDescent="0.25">
      <c r="J42" s="13"/>
    </row>
    <row r="43" spans="1:19" x14ac:dyDescent="0.25">
      <c r="A43" t="s">
        <v>0</v>
      </c>
      <c r="J43" s="13"/>
    </row>
    <row r="44" spans="1:19" x14ac:dyDescent="0.25">
      <c r="B44" t="s">
        <v>15</v>
      </c>
      <c r="C44" t="s">
        <v>16</v>
      </c>
      <c r="D44" t="s">
        <v>17</v>
      </c>
      <c r="E44" t="s">
        <v>18</v>
      </c>
      <c r="F44" t="s">
        <v>23</v>
      </c>
      <c r="G44" t="s">
        <v>24</v>
      </c>
      <c r="H44" t="s">
        <v>33</v>
      </c>
      <c r="I44" t="s">
        <v>34</v>
      </c>
    </row>
    <row r="45" spans="1:19" x14ac:dyDescent="0.25">
      <c r="B45">
        <f>$D$12</f>
        <v>0.62584118438761771</v>
      </c>
      <c r="C45">
        <f>$D$13</f>
        <v>0.65130318612623517</v>
      </c>
      <c r="D45">
        <f>$D$14</f>
        <v>0.64810676308597481</v>
      </c>
      <c r="E45">
        <f>$D$15</f>
        <v>0.64477611940298507</v>
      </c>
      <c r="F45">
        <f>$D$16</f>
        <v>0.63333243890222402</v>
      </c>
      <c r="G45">
        <f>$D$17</f>
        <v>0.62584118438761771</v>
      </c>
      <c r="H45">
        <f>$D$18</f>
        <v>0.64363278886872355</v>
      </c>
      <c r="I45">
        <f>$D$19</f>
        <v>0.63649222065063649</v>
      </c>
    </row>
    <row r="46" spans="1:19" x14ac:dyDescent="0.25">
      <c r="B46">
        <f t="shared" ref="B46:B47" si="13">$D$12</f>
        <v>0.62584118438761771</v>
      </c>
      <c r="C46">
        <f t="shared" ref="C46:C47" si="14">$D$13</f>
        <v>0.65130318612623517</v>
      </c>
      <c r="D46">
        <f t="shared" ref="D46:D47" si="15">$D$14</f>
        <v>0.64810676308597481</v>
      </c>
      <c r="E46">
        <f t="shared" ref="E46:E47" si="16">$D$15</f>
        <v>0.64477611940298507</v>
      </c>
      <c r="F46">
        <f t="shared" ref="F46:F47" si="17">$D$16</f>
        <v>0.63333243890222402</v>
      </c>
      <c r="G46">
        <f t="shared" ref="G46:G47" si="18">$D$17</f>
        <v>0.62584118438761771</v>
      </c>
      <c r="H46">
        <f t="shared" ref="H46:H47" si="19">$D$18</f>
        <v>0.64363278886872355</v>
      </c>
      <c r="I46">
        <f t="shared" ref="I46:I47" si="20">$D$19</f>
        <v>0.63649222065063649</v>
      </c>
    </row>
    <row r="47" spans="1:19" x14ac:dyDescent="0.25">
      <c r="B47">
        <f t="shared" si="13"/>
        <v>0.62584118438761771</v>
      </c>
      <c r="C47">
        <f t="shared" si="14"/>
        <v>0.65130318612623517</v>
      </c>
      <c r="D47">
        <f t="shared" si="15"/>
        <v>0.64810676308597481</v>
      </c>
      <c r="E47">
        <f t="shared" si="16"/>
        <v>0.64477611940298507</v>
      </c>
      <c r="F47">
        <f t="shared" si="17"/>
        <v>0.63333243890222402</v>
      </c>
      <c r="G47">
        <f t="shared" si="18"/>
        <v>0.62584118438761771</v>
      </c>
      <c r="H47">
        <f t="shared" si="19"/>
        <v>0.64363278886872355</v>
      </c>
      <c r="I47">
        <f t="shared" si="20"/>
        <v>0.63649222065063649</v>
      </c>
    </row>
    <row r="48" spans="1:19" x14ac:dyDescent="0.25">
      <c r="A48" t="s">
        <v>7</v>
      </c>
    </row>
    <row r="49" spans="1:9" x14ac:dyDescent="0.25">
      <c r="B49" t="s">
        <v>15</v>
      </c>
      <c r="C49" t="s">
        <v>16</v>
      </c>
      <c r="D49" t="s">
        <v>17</v>
      </c>
      <c r="E49" t="s">
        <v>18</v>
      </c>
      <c r="F49" t="s">
        <v>23</v>
      </c>
      <c r="G49" t="s">
        <v>24</v>
      </c>
      <c r="H49" t="s">
        <v>33</v>
      </c>
      <c r="I49" t="s">
        <v>34</v>
      </c>
    </row>
    <row r="50" spans="1:9" x14ac:dyDescent="0.25">
      <c r="B50">
        <f>$E$12</f>
        <v>0.64477611940298507</v>
      </c>
      <c r="C50">
        <f>$E$13</f>
        <v>0.65130318612623517</v>
      </c>
      <c r="D50">
        <f>$E$14</f>
        <v>0.64810676308597481</v>
      </c>
      <c r="E50">
        <f>$E$15</f>
        <v>0.64477611940298507</v>
      </c>
      <c r="F50">
        <f>$E$16</f>
        <v>0.65130318612623506</v>
      </c>
      <c r="G50">
        <f>$E$17</f>
        <v>0.64477611940298507</v>
      </c>
      <c r="H50">
        <f>$E$18</f>
        <v>0.65130318612623506</v>
      </c>
      <c r="I50">
        <f>$E$19</f>
        <v>0.64477611940298507</v>
      </c>
    </row>
    <row r="51" spans="1:9" x14ac:dyDescent="0.25">
      <c r="B51">
        <f t="shared" ref="B51:B52" si="21">$E$12</f>
        <v>0.64477611940298507</v>
      </c>
      <c r="C51">
        <f t="shared" ref="C51:C52" si="22">$E$13</f>
        <v>0.65130318612623517</v>
      </c>
      <c r="D51">
        <f t="shared" ref="D51:D52" si="23">$E$14</f>
        <v>0.64810676308597481</v>
      </c>
      <c r="E51">
        <f t="shared" ref="E51:E52" si="24">$E$15</f>
        <v>0.64477611940298507</v>
      </c>
      <c r="F51">
        <f t="shared" ref="F51:F52" si="25">$E$16</f>
        <v>0.65130318612623506</v>
      </c>
      <c r="G51">
        <f t="shared" ref="G51:G52" si="26">$E$17</f>
        <v>0.64477611940298507</v>
      </c>
      <c r="H51">
        <f t="shared" ref="H51:H52" si="27">$E$18</f>
        <v>0.65130318612623506</v>
      </c>
      <c r="I51">
        <f t="shared" ref="I51:I52" si="28">$E$19</f>
        <v>0.64477611940298507</v>
      </c>
    </row>
    <row r="52" spans="1:9" x14ac:dyDescent="0.25">
      <c r="B52">
        <f t="shared" si="21"/>
        <v>0.64477611940298507</v>
      </c>
      <c r="C52">
        <f t="shared" si="22"/>
        <v>0.65130318612623517</v>
      </c>
      <c r="D52">
        <f t="shared" si="23"/>
        <v>0.64810676308597481</v>
      </c>
      <c r="E52">
        <f t="shared" si="24"/>
        <v>0.64477611940298507</v>
      </c>
      <c r="F52">
        <f t="shared" si="25"/>
        <v>0.65130318612623506</v>
      </c>
      <c r="G52">
        <f t="shared" si="26"/>
        <v>0.64477611940298507</v>
      </c>
      <c r="H52">
        <f t="shared" si="27"/>
        <v>0.65130318612623506</v>
      </c>
      <c r="I52">
        <f t="shared" si="28"/>
        <v>0.64477611940298507</v>
      </c>
    </row>
    <row r="53" spans="1:9" x14ac:dyDescent="0.25">
      <c r="A53" t="s">
        <v>8</v>
      </c>
    </row>
    <row r="54" spans="1:9" x14ac:dyDescent="0.25">
      <c r="B54" t="s">
        <v>15</v>
      </c>
      <c r="C54" t="s">
        <v>16</v>
      </c>
      <c r="D54" t="s">
        <v>17</v>
      </c>
      <c r="E54" t="s">
        <v>18</v>
      </c>
      <c r="F54" t="s">
        <v>23</v>
      </c>
      <c r="G54" t="s">
        <v>24</v>
      </c>
      <c r="H54" t="s">
        <v>33</v>
      </c>
      <c r="I54" t="s">
        <v>34</v>
      </c>
    </row>
    <row r="55" spans="1:9" x14ac:dyDescent="0.25">
      <c r="B55">
        <f>$F$12</f>
        <v>0.62445793581960107</v>
      </c>
      <c r="C55">
        <f>$F$13</f>
        <v>0.63212719298245612</v>
      </c>
      <c r="D55">
        <f>$F$14</f>
        <v>0.62828086243754322</v>
      </c>
      <c r="E55">
        <f>$F$15</f>
        <v>0.62445793581960107</v>
      </c>
      <c r="F55">
        <f>$F$16</f>
        <v>0.63212719298245612</v>
      </c>
      <c r="G55">
        <f>$F$17</f>
        <v>0.62445793581960107</v>
      </c>
      <c r="H55">
        <f>$F$18</f>
        <v>0.63212719298245612</v>
      </c>
      <c r="I55">
        <f>$F$19</f>
        <v>0.62445793581960107</v>
      </c>
    </row>
    <row r="56" spans="1:9" x14ac:dyDescent="0.25">
      <c r="B56">
        <f t="shared" ref="B56" si="29">$F$12</f>
        <v>0.62445793581960107</v>
      </c>
      <c r="C56">
        <f t="shared" ref="C56" si="30">$F$13</f>
        <v>0.63212719298245612</v>
      </c>
      <c r="D56">
        <f t="shared" ref="D56" si="31">$F$14</f>
        <v>0.62828086243754322</v>
      </c>
      <c r="E56">
        <f t="shared" ref="E56" si="32">$F$15</f>
        <v>0.62445793581960107</v>
      </c>
      <c r="F56">
        <f t="shared" ref="F56" si="33">$F$16</f>
        <v>0.63212719298245612</v>
      </c>
      <c r="G56">
        <f>$F$17</f>
        <v>0.62445793581960107</v>
      </c>
      <c r="H56">
        <f t="shared" ref="H56" si="34">$F$18</f>
        <v>0.63212719298245612</v>
      </c>
      <c r="I56">
        <f t="shared" ref="I56" si="35">$F$19</f>
        <v>0.62445793581960107</v>
      </c>
    </row>
  </sheetData>
  <conditionalFormatting sqref="D23">
    <cfRule type="cellIs" dxfId="86" priority="26" operator="greaterThan">
      <formula>$I$7</formula>
    </cfRule>
  </conditionalFormatting>
  <conditionalFormatting sqref="D23:D30 J32:J39">
    <cfRule type="cellIs" dxfId="85" priority="23" operator="equal">
      <formula>$I$7</formula>
    </cfRule>
    <cfRule type="cellIs" dxfId="84" priority="24" operator="lessThan">
      <formula>$I$7</formula>
    </cfRule>
    <cfRule type="cellIs" dxfId="83" priority="25" operator="greaterThan">
      <formula>$I$7</formula>
    </cfRule>
  </conditionalFormatting>
  <conditionalFormatting sqref="J23:J30 D32:D39">
    <cfRule type="cellIs" dxfId="82" priority="20" operator="equal">
      <formula>$E$7</formula>
    </cfRule>
    <cfRule type="cellIs" dxfId="81" priority="21" operator="lessThan">
      <formula>$E$7</formula>
    </cfRule>
    <cfRule type="cellIs" dxfId="80" priority="22" operator="greaterThan">
      <formula>$E$7</formula>
    </cfRule>
  </conditionalFormatting>
  <conditionalFormatting sqref="E23:E30 K32:K39">
    <cfRule type="cellIs" dxfId="79" priority="17" operator="lessThan">
      <formula>$V$15</formula>
    </cfRule>
    <cfRule type="cellIs" dxfId="78" priority="18" operator="greaterThan">
      <formula>$V$15</formula>
    </cfRule>
    <cfRule type="cellIs" dxfId="77" priority="19" operator="equal">
      <formula>$V$15</formula>
    </cfRule>
  </conditionalFormatting>
  <conditionalFormatting sqref="E32:E39 K23:K30">
    <cfRule type="cellIs" dxfId="76" priority="14" operator="equal">
      <formula>$J$15</formula>
    </cfRule>
    <cfRule type="cellIs" dxfId="75" priority="15" operator="lessThan">
      <formula>$J$15</formula>
    </cfRule>
    <cfRule type="cellIs" dxfId="74" priority="16" operator="greaterThan">
      <formula>$J$15</formula>
    </cfRule>
  </conditionalFormatting>
  <conditionalFormatting sqref="F23:F30 L32:L39">
    <cfRule type="cellIs" dxfId="73" priority="11" operator="equal">
      <formula>$V$20</formula>
    </cfRule>
    <cfRule type="cellIs" dxfId="72" priority="12" operator="lessThan">
      <formula>$V$20</formula>
    </cfRule>
    <cfRule type="cellIs" dxfId="71" priority="13" operator="greaterThan">
      <formula>$V$20</formula>
    </cfRule>
  </conditionalFormatting>
  <conditionalFormatting sqref="F32:F39 L23:L30">
    <cfRule type="cellIs" dxfId="70" priority="8" operator="equal">
      <formula>$J$20</formula>
    </cfRule>
    <cfRule type="cellIs" dxfId="69" priority="9" operator="lessThan">
      <formula>$J$20</formula>
    </cfRule>
    <cfRule type="cellIs" dxfId="68" priority="10" operator="greaterThan">
      <formula>$J$20</formula>
    </cfRule>
  </conditionalFormatting>
  <conditionalFormatting sqref="Q23:S30">
    <cfRule type="cellIs" dxfId="67" priority="5" operator="equal">
      <formula>$E$7</formula>
    </cfRule>
    <cfRule type="cellIs" dxfId="66" priority="6" operator="lessThan">
      <formula>$E$7</formula>
    </cfRule>
    <cfRule type="cellIs" dxfId="65" priority="7" operator="greaterThan">
      <formula>$E$7</formula>
    </cfRule>
  </conditionalFormatting>
  <conditionalFormatting sqref="Q32:S39">
    <cfRule type="cellIs" dxfId="64" priority="4" operator="greaterThan">
      <formula>$I$7</formula>
    </cfRule>
  </conditionalFormatting>
  <conditionalFormatting sqref="Q32:S39">
    <cfRule type="cellIs" dxfId="63" priority="1" operator="equal">
      <formula>$I$7</formula>
    </cfRule>
    <cfRule type="cellIs" dxfId="62" priority="2" operator="lessThan">
      <formula>$I$7</formula>
    </cfRule>
    <cfRule type="cellIs" dxfId="61" priority="3" operator="greaterThan">
      <formula>$I$7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</vt:lpstr>
      <vt:lpstr>Equal Loan</vt:lpstr>
      <vt:lpstr>Equal ARV</vt:lpstr>
      <vt:lpstr>Equal Ownership</vt:lpstr>
      <vt:lpstr>Equal Lender 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Jernigan</dc:creator>
  <cp:lastModifiedBy>Chris Jernigan</cp:lastModifiedBy>
  <dcterms:created xsi:type="dcterms:W3CDTF">2019-06-02T15:37:28Z</dcterms:created>
  <dcterms:modified xsi:type="dcterms:W3CDTF">2019-06-03T22:27:59Z</dcterms:modified>
</cp:coreProperties>
</file>