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s, Changes and Percentage" sheetId="1" r:id="rId4"/>
    <sheet state="visible" name="Averages and Graphs" sheetId="2" r:id="rId5"/>
    <sheet state="visible" name="Win Probabilities" sheetId="3" r:id="rId6"/>
  </sheets>
  <definedNames>
    <definedName hidden="1" localSheetId="0" name="Z_8F60E62B_6915_430C_A95D_8E28C7459DA1_.wvu.FilterData">'Weights, Changes and Percentage'!$A$1:$H$998</definedName>
  </definedNames>
  <calcPr/>
  <customWorkbookViews>
    <customWorkbookView activeSheetId="0" maximized="1" windowHeight="0" windowWidth="0" guid="{8F60E62B-6915-430C-A95D-8E28C7459DA1}" name="Filter"/>
  </customWorkbookViews>
</workbook>
</file>

<file path=xl/sharedStrings.xml><?xml version="1.0" encoding="utf-8"?>
<sst xmlns="http://schemas.openxmlformats.org/spreadsheetml/2006/main" count="1084" uniqueCount="287">
  <si>
    <t>EVENT</t>
  </si>
  <si>
    <t>FIGHTER</t>
  </si>
  <si>
    <t>WEIGHT CLASS</t>
  </si>
  <si>
    <t>WEIGH IN WEIGHT (lbs)</t>
  </si>
  <si>
    <t>FIGHT NIGHT WEIGHT (lbs)</t>
  </si>
  <si>
    <t>WEIGHT INCREASE (lbs)</t>
  </si>
  <si>
    <t>PERCENTAGE REGAINED</t>
  </si>
  <si>
    <t>SEX</t>
  </si>
  <si>
    <t>REPEATS</t>
  </si>
  <si>
    <t>1- UFC 227</t>
  </si>
  <si>
    <t>Alex Perez</t>
  </si>
  <si>
    <t>Flyweight</t>
  </si>
  <si>
    <t>M</t>
  </si>
  <si>
    <t>Brett Johns</t>
  </si>
  <si>
    <t>Bantamweight</t>
  </si>
  <si>
    <t>Cody Garbrandt</t>
  </si>
  <si>
    <t>Cub Swanson</t>
  </si>
  <si>
    <t>Featherweight</t>
  </si>
  <si>
    <t>Danielle Taylor</t>
  </si>
  <si>
    <t>Women's Strawweight</t>
  </si>
  <si>
    <t>F</t>
  </si>
  <si>
    <t>Demetrious Johnson</t>
  </si>
  <si>
    <t>Henry Cejudo</t>
  </si>
  <si>
    <t>JJ Aldrich</t>
  </si>
  <si>
    <t>Jose Torres</t>
  </si>
  <si>
    <t>Kevin Holland</t>
  </si>
  <si>
    <t>Middleweight</t>
  </si>
  <si>
    <t>Kyung Ho Kang</t>
  </si>
  <si>
    <t>Marlon Vera</t>
  </si>
  <si>
    <t>Matt Sayles</t>
  </si>
  <si>
    <t>Montel Jackson</t>
  </si>
  <si>
    <t>Pedro Munhoz</t>
  </si>
  <si>
    <t>Polyana Viana</t>
  </si>
  <si>
    <t>Renato Moicano</t>
  </si>
  <si>
    <t>Ricardo Ramos</t>
  </si>
  <si>
    <t>Ricky Simon</t>
  </si>
  <si>
    <t>Sheymon Moraes</t>
  </si>
  <si>
    <t>Thiago Santos</t>
  </si>
  <si>
    <t>TJ Dillashaw</t>
  </si>
  <si>
    <t>Weili Zhang</t>
  </si>
  <si>
    <t>Wuliji Buren</t>
  </si>
  <si>
    <t>2- UFC 232</t>
  </si>
  <si>
    <t>Alexander Gustafsson</t>
  </si>
  <si>
    <t>Light Heavyweight</t>
  </si>
  <si>
    <t>Alexander Volkanovski</t>
  </si>
  <si>
    <t>Amanda Nunes</t>
  </si>
  <si>
    <t>Women's Featherweight</t>
  </si>
  <si>
    <t>Andre Ewell</t>
  </si>
  <si>
    <t>Andrei Arlovski</t>
  </si>
  <si>
    <t>Heavyweight</t>
  </si>
  <si>
    <t>Bevon Lewis</t>
  </si>
  <si>
    <t>BJ Penn</t>
  </si>
  <si>
    <t>Lightweight</t>
  </si>
  <si>
    <t>Brian Kelleher</t>
  </si>
  <si>
    <t>Catchweight</t>
  </si>
  <si>
    <t>Carlos Condit</t>
  </si>
  <si>
    <t>Welterweight</t>
  </si>
  <si>
    <t>Cat Zingano</t>
  </si>
  <si>
    <t>Chad Mendes</t>
  </si>
  <si>
    <t>Corey Anderson</t>
  </si>
  <si>
    <t>Cris Cyborg</t>
  </si>
  <si>
    <t>Curtis Millender</t>
  </si>
  <si>
    <t>Douglas Silva de Andrade</t>
  </si>
  <si>
    <t>Ilir Latifi</t>
  </si>
  <si>
    <t>Jon Jones</t>
  </si>
  <si>
    <t>Megan Anderson</t>
  </si>
  <si>
    <t>Michael Chiesa</t>
  </si>
  <si>
    <t>Montel Jackson (2)</t>
  </si>
  <si>
    <t>Nathaniel Wood</t>
  </si>
  <si>
    <t>Petr Yan</t>
  </si>
  <si>
    <t>Ryan Hall</t>
  </si>
  <si>
    <t>Siyar Bahadurzada</t>
  </si>
  <si>
    <t>Uriah Hall</t>
  </si>
  <si>
    <t>Walt Harris</t>
  </si>
  <si>
    <t>3- UFC on ESPN+ 13</t>
  </si>
  <si>
    <t>Andre Fili</t>
  </si>
  <si>
    <t>Aspen Ladd</t>
  </si>
  <si>
    <t>Women's Bantamweight</t>
  </si>
  <si>
    <t>Benito Lopez</t>
  </si>
  <si>
    <t>Brianna Van Buren</t>
  </si>
  <si>
    <t>Cezar Ferreira</t>
  </si>
  <si>
    <t>Darren Elkins</t>
  </si>
  <si>
    <t>Germaine de Randamie</t>
  </si>
  <si>
    <t>John Allan Arte</t>
  </si>
  <si>
    <t>Jonathan Martinez</t>
  </si>
  <si>
    <t>Josh Emmett</t>
  </si>
  <si>
    <t>Juliana Pena</t>
  </si>
  <si>
    <t>Karl Roberson</t>
  </si>
  <si>
    <t>Livia Renata Souza</t>
  </si>
  <si>
    <t>Marvin Vettori</t>
  </si>
  <si>
    <t>Mike Rodriguez</t>
  </si>
  <si>
    <t>Mirsad Bektic</t>
  </si>
  <si>
    <t>Nicco Montano</t>
  </si>
  <si>
    <t>Pingyuan Liu</t>
  </si>
  <si>
    <t>Ricky Simon (2)</t>
  </si>
  <si>
    <t>Ryan Hall (2)</t>
  </si>
  <si>
    <t>Sheymon Moraes (2)</t>
  </si>
  <si>
    <t>Uriah Faber</t>
  </si>
  <si>
    <t>Vince Morales</t>
  </si>
  <si>
    <t>Wellington Turman</t>
  </si>
  <si>
    <t>4- UFC 241</t>
  </si>
  <si>
    <t>Anthony Pettis</t>
  </si>
  <si>
    <t>Brandon Davis</t>
  </si>
  <si>
    <t>Casey Kenney</t>
  </si>
  <si>
    <t>Christos Giagos</t>
  </si>
  <si>
    <t>Cory Sandhagen</t>
  </si>
  <si>
    <t>Daniel Cormier</t>
  </si>
  <si>
    <t>Derek Brunson</t>
  </si>
  <si>
    <t>Devonte Smith</t>
  </si>
  <si>
    <t>Drakkar Klose</t>
  </si>
  <si>
    <t>Gabriel Benitez</t>
  </si>
  <si>
    <t>Hannah Cifers</t>
  </si>
  <si>
    <t>Ian Heinisch</t>
  </si>
  <si>
    <t>Jodie Esquibel</t>
  </si>
  <si>
    <t>Khama Worthy</t>
  </si>
  <si>
    <t>Kyung Ho Kang (2)</t>
  </si>
  <si>
    <t>Manny Bermudez</t>
  </si>
  <si>
    <t>Nate Diaz</t>
  </si>
  <si>
    <t>Paulo Costa</t>
  </si>
  <si>
    <t>Raphael Assuncao</t>
  </si>
  <si>
    <t>Sabina Mazo</t>
  </si>
  <si>
    <t>Women's Flyweight</t>
  </si>
  <si>
    <t>Shana Dobson</t>
  </si>
  <si>
    <t>Sodiq Yusuff</t>
  </si>
  <si>
    <t>Stipe Miocic</t>
  </si>
  <si>
    <t>Yoel Romero</t>
  </si>
  <si>
    <t>5- UFC 270</t>
  </si>
  <si>
    <t>Andre Fialho</t>
  </si>
  <si>
    <t>Brandon Moreno</t>
  </si>
  <si>
    <t>Ciryl Gane</t>
  </si>
  <si>
    <t>Cody Stamann</t>
  </si>
  <si>
    <t>Deiveson Figueiredo</t>
  </si>
  <si>
    <t>Francis Ngannou</t>
  </si>
  <si>
    <t>Genaro Valdez</t>
  </si>
  <si>
    <t>Jack Della Maddalena</t>
  </si>
  <si>
    <t>Jasmine Jasudavicius</t>
  </si>
  <si>
    <t>Kay Hansen</t>
  </si>
  <si>
    <t>Matt Frevola</t>
  </si>
  <si>
    <t>Michael Morales</t>
  </si>
  <si>
    <t>Michel Pereira</t>
  </si>
  <si>
    <t>Pete Rodriguez</t>
  </si>
  <si>
    <t>Raoni Barcelos</t>
  </si>
  <si>
    <t>Said Nurmagomedov</t>
  </si>
  <si>
    <t>Saimon Oliveira</t>
  </si>
  <si>
    <t>Silvana Gomez Juarez</t>
  </si>
  <si>
    <t>Tony Gravely</t>
  </si>
  <si>
    <t>Trevin Giles</t>
  </si>
  <si>
    <t>Vanessa Demopoulos</t>
  </si>
  <si>
    <t>Victor Henry</t>
  </si>
  <si>
    <t>6- UFC on ESPN 41</t>
  </si>
  <si>
    <t>Angela Hill</t>
  </si>
  <si>
    <t>Ariane Lipski</t>
  </si>
  <si>
    <t>Azamat Murzakanov</t>
  </si>
  <si>
    <t>Bruno Silva</t>
  </si>
  <si>
    <t>Charlie Ontiveros</t>
  </si>
  <si>
    <t>Cynthia Calvillo</t>
  </si>
  <si>
    <t>Da'Mon Blackshear</t>
  </si>
  <si>
    <t>David Onama</t>
  </si>
  <si>
    <t>Devin Clark</t>
  </si>
  <si>
    <t>Dominick Cruz</t>
  </si>
  <si>
    <t>Gabriel Benitez (2)</t>
  </si>
  <si>
    <t>Gerald Meerschaert</t>
  </si>
  <si>
    <t>Iasmin Lucindo</t>
  </si>
  <si>
    <t>Jason Witt</t>
  </si>
  <si>
    <t>Josh Quinlan</t>
  </si>
  <si>
    <t>Lukasz Brzeski</t>
  </si>
  <si>
    <t>Lupita Godinez</t>
  </si>
  <si>
    <t>Marlon Vera (2)</t>
  </si>
  <si>
    <t>Martin Buday</t>
  </si>
  <si>
    <t>Nate Landwehr</t>
  </si>
  <si>
    <t>Nina Nunes</t>
  </si>
  <si>
    <t>Ode' Osbourne</t>
  </si>
  <si>
    <t>Priscila Cachoeira</t>
  </si>
  <si>
    <t>Tyson Nam</t>
  </si>
  <si>
    <t>Yazmin Jauregui</t>
  </si>
  <si>
    <t>Youssef Zalal</t>
  </si>
  <si>
    <t>7- UFC 298</t>
  </si>
  <si>
    <t>Alexander Volkanovski (2)</t>
  </si>
  <si>
    <t>Amanda Lemos</t>
  </si>
  <si>
    <t>Andrea Lee</t>
  </si>
  <si>
    <t>Anthony Hernandez</t>
  </si>
  <si>
    <t>Brendson Ribeiro</t>
  </si>
  <si>
    <t>Carlos Vera</t>
  </si>
  <si>
    <t>Danny Barlow</t>
  </si>
  <si>
    <t>Geoff Neal</t>
  </si>
  <si>
    <t>Henry Cejudo (2)</t>
  </si>
  <si>
    <t>Ian Machado Garry</t>
  </si>
  <si>
    <t>Ilia Topuria</t>
  </si>
  <si>
    <t>Josh Quinlan (2)</t>
  </si>
  <si>
    <t>Junior Tafa</t>
  </si>
  <si>
    <t>Mackenzie Dern</t>
  </si>
  <si>
    <t>Marcos Rogerio de Lima</t>
  </si>
  <si>
    <t>Merab Dvalishvili</t>
  </si>
  <si>
    <t>Miranda Maverick</t>
  </si>
  <si>
    <t>Oban Elliott</t>
  </si>
  <si>
    <t>Paulo Costa (2)</t>
  </si>
  <si>
    <t>Rinya Nakamura</t>
  </si>
  <si>
    <t>Robert Whittaker</t>
  </si>
  <si>
    <t>Roman Kopylov</t>
  </si>
  <si>
    <t>Val Woodburn</t>
  </si>
  <si>
    <t>Zhang Mingyang</t>
  </si>
  <si>
    <t>8- UFC 311</t>
  </si>
  <si>
    <t>Ailin Perez</t>
  </si>
  <si>
    <t>Azamat Bekoev</t>
  </si>
  <si>
    <t>Bernardo Sopaj</t>
  </si>
  <si>
    <t>Billy Elekana</t>
  </si>
  <si>
    <t>Bogdan Guskov</t>
  </si>
  <si>
    <t>Carlos Diego Ferreira</t>
  </si>
  <si>
    <t>Clayton Carpenter</t>
  </si>
  <si>
    <t>Grant Dawson</t>
  </si>
  <si>
    <t>Islam Makhachev</t>
  </si>
  <si>
    <t>Jailton Almeida</t>
  </si>
  <si>
    <t>Jamahal Hill</t>
  </si>
  <si>
    <t>Jiri Prochazka</t>
  </si>
  <si>
    <t>Karol Rosa</t>
  </si>
  <si>
    <t>Kevin Holland (2)</t>
  </si>
  <si>
    <t>Merab Dvalishvili (2)</t>
  </si>
  <si>
    <t>Muin Gafurov</t>
  </si>
  <si>
    <t>Payton Talbott</t>
  </si>
  <si>
    <t>Raoni Barcelos (2)</t>
  </si>
  <si>
    <t>Reinier de Ridder</t>
  </si>
  <si>
    <t>Renato Moicano (2)</t>
  </si>
  <si>
    <t>Ricky Turcios</t>
  </si>
  <si>
    <t>Rinya Nakamura (2)</t>
  </si>
  <si>
    <t>Serghei Spivac</t>
  </si>
  <si>
    <t>Tagir Ulanbekov</t>
  </si>
  <si>
    <t>Umar Nurmagomedov</t>
  </si>
  <si>
    <t>Zachary Reese</t>
  </si>
  <si>
    <t>WEIGHT DIVISION</t>
  </si>
  <si>
    <t>AVERAGE WEIGHT INCREASE (lbs)</t>
  </si>
  <si>
    <t>MIN</t>
  </si>
  <si>
    <t>MAX</t>
  </si>
  <si>
    <t>SD</t>
  </si>
  <si>
    <t>AVERAGE PERCENTAGE REGAINED</t>
  </si>
  <si>
    <t>COUNT</t>
  </si>
  <si>
    <t>UFC 227</t>
  </si>
  <si>
    <t>UFC 232</t>
  </si>
  <si>
    <t>UFC on ESPN+ 13</t>
  </si>
  <si>
    <t>UFC 241</t>
  </si>
  <si>
    <t>UFC 270</t>
  </si>
  <si>
    <t>UFC on ESPN 41</t>
  </si>
  <si>
    <t>UFC 298</t>
  </si>
  <si>
    <t>UFC 311</t>
  </si>
  <si>
    <t>WINNER</t>
  </si>
  <si>
    <t>LOSER</t>
  </si>
  <si>
    <t>LOSER WEIGHT INCREASE (lbs)</t>
  </si>
  <si>
    <t>LOSER PERCENTAGE REGAINED</t>
  </si>
  <si>
    <t>DID THE BIGGER CUT WIN?</t>
  </si>
  <si>
    <t>- Walt Harris vs Andrei Arlovski is not included as it was changed to a NC after Harris failed a drugs test</t>
  </si>
  <si>
    <t>- John Allan Arte vs Mike Rodriguez is not included as it was changed to a NC after Arte failed a drugs test</t>
  </si>
  <si>
    <t>- Da'mon Blackshear vs Youssef Zalal is not included as it was scored as a majority draw</t>
  </si>
  <si>
    <t>WEIGHT REGAINED (lbs)</t>
  </si>
  <si>
    <t>NUMBER OF WINNING FIGHTERS</t>
  </si>
  <si>
    <t>NUMBER OF LOSING FIGHTERS</t>
  </si>
  <si>
    <t>WINRATE</t>
  </si>
  <si>
    <t>&lt;0</t>
  </si>
  <si>
    <t>&gt;0</t>
  </si>
  <si>
    <t>&gt;2</t>
  </si>
  <si>
    <t>&gt;4</t>
  </si>
  <si>
    <t>&gt;6</t>
  </si>
  <si>
    <t>&gt;8</t>
  </si>
  <si>
    <t>&gt;10</t>
  </si>
  <si>
    <t>&gt;12</t>
  </si>
  <si>
    <t>&gt;14</t>
  </si>
  <si>
    <t>&gt;16</t>
  </si>
  <si>
    <t>&gt;18</t>
  </si>
  <si>
    <t>&gt;20</t>
  </si>
  <si>
    <t>&gt;22</t>
  </si>
  <si>
    <t>&gt;24</t>
  </si>
  <si>
    <t>&gt;26</t>
  </si>
  <si>
    <t>&gt;28</t>
  </si>
  <si>
    <t>x&lt;0</t>
  </si>
  <si>
    <t>0&lt;x&lt;=2</t>
  </si>
  <si>
    <t>2&lt;x&lt;=4</t>
  </si>
  <si>
    <t>4&lt;x&lt;=6</t>
  </si>
  <si>
    <t>6&lt;x&lt;=8</t>
  </si>
  <si>
    <t>8&lt;x&lt;=10</t>
  </si>
  <si>
    <t>10&lt;x&lt;=12</t>
  </si>
  <si>
    <t>12&lt;x&lt;=14</t>
  </si>
  <si>
    <t>14&lt;x&lt;=16</t>
  </si>
  <si>
    <t>16&lt;x&lt;=18</t>
  </si>
  <si>
    <t>18&lt;x&lt;=20</t>
  </si>
  <si>
    <t>20&lt;x&lt;=22</t>
  </si>
  <si>
    <t>22&lt;x&lt;=24</t>
  </si>
  <si>
    <t>24&lt;x&lt;=26</t>
  </si>
  <si>
    <t>26&lt;x&lt;=28</t>
  </si>
  <si>
    <t>x&gt;28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</si>
</sst>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00"/>
    <numFmt numFmtId="166" formatCode="0.000"/>
  </numFmts>
  <fonts count="16">
    <font>
      <sz val="10.0"/>
      <color rgb="FF000000"/>
      <name val="Arial"/>
      <scheme val="minor"/>
    </font>
    <font>
      <b/>
      <sz val="12.0"/>
      <color rgb="FFFFFFFF"/>
      <name val="Arial"/>
    </font>
    <font>
      <b/>
      <color rgb="FFFFFFFF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sz val="10.0"/>
      <color rgb="FF292F34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1.0"/>
      <color rgb="FF000000"/>
      <name val="Inconsolata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horizontal="left" vertical="bottom"/>
    </xf>
    <xf borderId="0" fillId="3" fontId="2" numFmtId="0" xfId="0" applyAlignment="1" applyFill="1" applyFont="1">
      <alignment horizontal="left" readingOrder="0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4" fontId="3" numFmtId="164" xfId="0" applyAlignment="1" applyFont="1" applyNumberForma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5" fontId="4" numFmtId="0" xfId="0" applyAlignment="1" applyFill="1" applyFont="1">
      <alignment horizontal="right"/>
    </xf>
    <xf borderId="0" fillId="4" fontId="3" numFmtId="0" xfId="0" applyAlignment="1" applyFont="1">
      <alignment horizontal="right" readingOrder="0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6" fontId="3" numFmtId="164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borderId="0" fillId="6" fontId="3" numFmtId="0" xfId="0" applyAlignment="1" applyFont="1">
      <alignment horizontal="right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readingOrder="0" vertical="bottom"/>
    </xf>
    <xf borderId="0" fillId="7" fontId="3" numFmtId="164" xfId="0" applyAlignment="1" applyFont="1" applyNumberFormat="1">
      <alignment horizontal="right" vertical="bottom"/>
    </xf>
    <xf borderId="0" fillId="7" fontId="3" numFmtId="165" xfId="0" applyAlignment="1" applyFont="1" applyNumberFormat="1">
      <alignment horizontal="right" vertical="bottom"/>
    </xf>
    <xf borderId="0" fillId="7" fontId="3" numFmtId="0" xfId="0" applyAlignment="1" applyFont="1">
      <alignment horizontal="right"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readingOrder="0" vertical="bottom"/>
    </xf>
    <xf borderId="0" fillId="8" fontId="3" numFmtId="164" xfId="0" applyAlignment="1" applyFont="1" applyNumberFormat="1">
      <alignment horizontal="right" vertical="bottom"/>
    </xf>
    <xf borderId="0" fillId="8" fontId="3" numFmtId="165" xfId="0" applyAlignment="1" applyFont="1" applyNumberFormat="1">
      <alignment horizontal="right" vertical="bottom"/>
    </xf>
    <xf borderId="0" fillId="8" fontId="3" numFmtId="0" xfId="0" applyAlignment="1" applyFont="1">
      <alignment horizontal="right" vertical="bottom"/>
    </xf>
    <xf borderId="0" fillId="9" fontId="3" numFmtId="0" xfId="0" applyAlignment="1" applyFill="1" applyFont="1">
      <alignment readingOrder="0" vertical="bottom"/>
    </xf>
    <xf borderId="0" fillId="9" fontId="3" numFmtId="164" xfId="0" applyAlignment="1" applyFont="1" applyNumberFormat="1">
      <alignment readingOrder="0" vertical="bottom"/>
    </xf>
    <xf borderId="0" fillId="9" fontId="3" numFmtId="164" xfId="0" applyAlignment="1" applyFont="1" applyNumberFormat="1">
      <alignment horizontal="right" vertical="bottom"/>
    </xf>
    <xf borderId="0" fillId="9" fontId="3" numFmtId="165" xfId="0" applyAlignment="1" applyFont="1" applyNumberFormat="1">
      <alignment horizontal="right" vertical="bottom"/>
    </xf>
    <xf borderId="0" fillId="9" fontId="3" numFmtId="0" xfId="0" applyAlignment="1" applyFont="1">
      <alignment horizontal="right" readingOrder="0" vertical="bottom"/>
    </xf>
    <xf borderId="0" fillId="10" fontId="3" numFmtId="0" xfId="0" applyAlignment="1" applyFill="1" applyFont="1">
      <alignment readingOrder="0" vertical="bottom"/>
    </xf>
    <xf borderId="0" fillId="10" fontId="3" numFmtId="164" xfId="0" applyAlignment="1" applyFont="1" applyNumberFormat="1">
      <alignment readingOrder="0" vertical="bottom"/>
    </xf>
    <xf borderId="0" fillId="10" fontId="3" numFmtId="164" xfId="0" applyAlignment="1" applyFont="1" applyNumberFormat="1">
      <alignment horizontal="right" vertical="bottom"/>
    </xf>
    <xf borderId="0" fillId="10" fontId="3" numFmtId="165" xfId="0" applyAlignment="1" applyFont="1" applyNumberFormat="1">
      <alignment horizontal="right" vertical="bottom"/>
    </xf>
    <xf borderId="0" fillId="10" fontId="3" numFmtId="0" xfId="0" applyAlignment="1" applyFont="1">
      <alignment horizontal="right" readingOrder="0" vertical="bottom"/>
    </xf>
    <xf borderId="0" fillId="11" fontId="3" numFmtId="0" xfId="0" applyAlignment="1" applyFill="1" applyFont="1">
      <alignment readingOrder="0" vertical="bottom"/>
    </xf>
    <xf borderId="0" fillId="11" fontId="3" numFmtId="164" xfId="0" applyAlignment="1" applyFont="1" applyNumberFormat="1">
      <alignment readingOrder="0" vertical="bottom"/>
    </xf>
    <xf borderId="0" fillId="11" fontId="3" numFmtId="164" xfId="0" applyAlignment="1" applyFont="1" applyNumberFormat="1">
      <alignment horizontal="right" vertical="bottom"/>
    </xf>
    <xf borderId="0" fillId="11" fontId="3" numFmtId="165" xfId="0" applyAlignment="1" applyFont="1" applyNumberFormat="1">
      <alignment horizontal="right" vertical="bottom"/>
    </xf>
    <xf borderId="0" fillId="11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1" fontId="5" numFmtId="164" xfId="0" applyFont="1" applyNumberFormat="1"/>
    <xf borderId="0" fillId="12" fontId="3" numFmtId="0" xfId="0" applyAlignment="1" applyFill="1" applyFont="1">
      <alignment readingOrder="0" vertical="bottom"/>
    </xf>
    <xf borderId="0" fillId="12" fontId="3" numFmtId="164" xfId="0" applyAlignment="1" applyFont="1" applyNumberFormat="1">
      <alignment readingOrder="0" vertical="bottom"/>
    </xf>
    <xf borderId="0" fillId="12" fontId="3" numFmtId="164" xfId="0" applyAlignment="1" applyFont="1" applyNumberFormat="1">
      <alignment horizontal="right" vertical="bottom"/>
    </xf>
    <xf borderId="0" fillId="12" fontId="3" numFmtId="165" xfId="0" applyAlignment="1" applyFont="1" applyNumberFormat="1">
      <alignment horizontal="right" vertical="bottom"/>
    </xf>
    <xf borderId="0" fillId="12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1" fillId="13" fontId="6" numFmtId="166" xfId="0" applyAlignment="1" applyBorder="1" applyFill="1" applyFont="1" applyNumberFormat="1">
      <alignment vertical="bottom"/>
    </xf>
    <xf borderId="1" fillId="13" fontId="6" numFmtId="166" xfId="0" applyAlignment="1" applyBorder="1" applyFont="1" applyNumberFormat="1">
      <alignment textRotation="0" vertical="bottom"/>
    </xf>
    <xf borderId="1" fillId="13" fontId="6" numFmtId="1" xfId="0" applyAlignment="1" applyBorder="1" applyFont="1" applyNumberFormat="1">
      <alignment vertical="bottom"/>
    </xf>
    <xf borderId="0" fillId="0" fontId="3" numFmtId="166" xfId="0" applyAlignment="1" applyFont="1" applyNumberFormat="1">
      <alignment vertical="bottom"/>
    </xf>
    <xf borderId="1" fillId="0" fontId="7" numFmtId="166" xfId="0" applyAlignment="1" applyBorder="1" applyFont="1" applyNumberFormat="1">
      <alignment readingOrder="0" vertical="bottom"/>
    </xf>
    <xf borderId="1" fillId="5" fontId="8" numFmtId="166" xfId="0" applyAlignment="1" applyBorder="1" applyFont="1" applyNumberFormat="1">
      <alignment horizontal="right" vertical="bottom"/>
    </xf>
    <xf borderId="1" fillId="0" fontId="7" numFmtId="1" xfId="0" applyAlignment="1" applyBorder="1" applyFont="1" applyNumberFormat="1">
      <alignment horizontal="right" vertical="bottom"/>
    </xf>
    <xf borderId="0" fillId="0" fontId="9" numFmtId="166" xfId="0" applyAlignment="1" applyFont="1" applyNumberFormat="1">
      <alignment vertical="bottom"/>
    </xf>
    <xf borderId="1" fillId="0" fontId="7" numFmtId="166" xfId="0" applyAlignment="1" applyBorder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5" numFmtId="1" xfId="0" applyAlignment="1" applyFont="1" applyNumberFormat="1">
      <alignment vertical="bottom"/>
    </xf>
    <xf borderId="0" fillId="5" fontId="3" numFmtId="166" xfId="0" applyAlignment="1" applyFont="1" applyNumberFormat="1">
      <alignment vertical="bottom"/>
    </xf>
    <xf borderId="1" fillId="2" fontId="6" numFmtId="166" xfId="0" applyAlignment="1" applyBorder="1" applyFont="1" applyNumberFormat="1">
      <alignment vertical="bottom"/>
    </xf>
    <xf borderId="1" fillId="2" fontId="6" numFmtId="1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5" fontId="8" numFmtId="1" xfId="0" applyAlignment="1" applyBorder="1" applyFont="1" applyNumberFormat="1">
      <alignment horizontal="right" vertical="bottom"/>
    </xf>
    <xf borderId="1" fillId="5" fontId="8" numFmtId="166" xfId="0" applyBorder="1" applyFont="1" applyNumberFormat="1"/>
    <xf borderId="1" fillId="5" fontId="8" numFmtId="1" xfId="0" applyBorder="1" applyFont="1" applyNumberFormat="1"/>
    <xf borderId="1" fillId="0" fontId="7" numFmtId="1" xfId="0" applyAlignment="1" applyBorder="1" applyFont="1" applyNumberFormat="1">
      <alignment vertical="bottom"/>
    </xf>
    <xf borderId="1" fillId="14" fontId="6" numFmtId="166" xfId="0" applyAlignment="1" applyBorder="1" applyFill="1" applyFont="1" applyNumberFormat="1">
      <alignment vertical="bottom"/>
    </xf>
    <xf borderId="1" fillId="14" fontId="6" numFmtId="1" xfId="0" applyAlignment="1" applyBorder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15" fontId="2" numFmtId="0" xfId="0" applyAlignment="1" applyFill="1" applyFont="1">
      <alignment readingOrder="0" vertical="bottom"/>
    </xf>
    <xf borderId="0" fillId="16" fontId="2" numFmtId="0" xfId="0" applyAlignment="1" applyFill="1" applyFont="1">
      <alignment readingOrder="0" vertical="bottom"/>
    </xf>
    <xf borderId="0" fillId="4" fontId="10" numFmtId="0" xfId="0" applyAlignment="1" applyFont="1">
      <alignment readingOrder="0" vertical="bottom"/>
    </xf>
    <xf borderId="0" fillId="4" fontId="11" numFmtId="164" xfId="0" applyFont="1" applyNumberFormat="1"/>
    <xf borderId="0" fillId="4" fontId="11" numFmtId="166" xfId="0" applyFont="1" applyNumberFormat="1"/>
    <xf borderId="0" fillId="4" fontId="12" numFmtId="0" xfId="0" applyAlignment="1" applyFont="1">
      <alignment readingOrder="0" vertical="bottom"/>
    </xf>
    <xf borderId="0" fillId="6" fontId="10" numFmtId="0" xfId="0" applyAlignment="1" applyFont="1">
      <alignment readingOrder="0" vertical="bottom"/>
    </xf>
    <xf borderId="0" fillId="6" fontId="11" numFmtId="164" xfId="0" applyFont="1" applyNumberFormat="1"/>
    <xf borderId="0" fillId="6" fontId="11" numFmtId="166" xfId="0" applyFont="1" applyNumberFormat="1"/>
    <xf borderId="0" fillId="6" fontId="12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7" fontId="11" numFmtId="164" xfId="0" applyFont="1" applyNumberFormat="1"/>
    <xf borderId="0" fillId="7" fontId="11" numFmtId="166" xfId="0" applyFont="1" applyNumberFormat="1"/>
    <xf borderId="0" fillId="7" fontId="12" numFmtId="0" xfId="0" applyAlignment="1" applyFont="1">
      <alignment readingOrder="0" vertical="bottom"/>
    </xf>
    <xf borderId="0" fillId="8" fontId="10" numFmtId="0" xfId="0" applyAlignment="1" applyFont="1">
      <alignment readingOrder="0" vertical="bottom"/>
    </xf>
    <xf borderId="0" fillId="8" fontId="11" numFmtId="164" xfId="0" applyFont="1" applyNumberFormat="1"/>
    <xf borderId="0" fillId="8" fontId="11" numFmtId="166" xfId="0" applyFont="1" applyNumberFormat="1"/>
    <xf borderId="0" fillId="8" fontId="12" numFmtId="0" xfId="0" applyAlignment="1" applyFont="1">
      <alignment readingOrder="0" vertical="bottom"/>
    </xf>
    <xf borderId="0" fillId="9" fontId="10" numFmtId="0" xfId="0" applyAlignment="1" applyFont="1">
      <alignment readingOrder="0" vertical="bottom"/>
    </xf>
    <xf borderId="0" fillId="9" fontId="11" numFmtId="164" xfId="0" applyFont="1" applyNumberFormat="1"/>
    <xf borderId="0" fillId="9" fontId="11" numFmtId="166" xfId="0" applyFont="1" applyNumberFormat="1"/>
    <xf borderId="0" fillId="9" fontId="12" numFmtId="0" xfId="0" applyAlignment="1" applyFont="1">
      <alignment readingOrder="0" vertical="bottom"/>
    </xf>
    <xf borderId="0" fillId="10" fontId="10" numFmtId="0" xfId="0" applyAlignment="1" applyFont="1">
      <alignment readingOrder="0" vertical="bottom"/>
    </xf>
    <xf borderId="0" fillId="10" fontId="11" numFmtId="164" xfId="0" applyFont="1" applyNumberFormat="1"/>
    <xf borderId="0" fillId="10" fontId="11" numFmtId="166" xfId="0" applyFont="1" applyNumberFormat="1"/>
    <xf borderId="0" fillId="10" fontId="12" numFmtId="0" xfId="0" applyAlignment="1" applyFont="1">
      <alignment readingOrder="0" vertical="bottom"/>
    </xf>
    <xf borderId="0" fillId="11" fontId="3" numFmtId="0" xfId="0" applyAlignment="1" applyFont="1">
      <alignment vertical="bottom"/>
    </xf>
    <xf borderId="0" fillId="11" fontId="3" numFmtId="166" xfId="0" applyAlignment="1" applyFont="1" applyNumberFormat="1">
      <alignment vertical="bottom"/>
    </xf>
    <xf borderId="0" fillId="11" fontId="11" numFmtId="164" xfId="0" applyFont="1" applyNumberFormat="1"/>
    <xf borderId="0" fillId="11" fontId="11" numFmtId="166" xfId="0" applyFont="1" applyNumberFormat="1"/>
    <xf borderId="0" fillId="11" fontId="12" numFmtId="0" xfId="0" applyAlignment="1" applyFont="1">
      <alignment readingOrder="0" vertical="bottom"/>
    </xf>
    <xf borderId="0" fillId="12" fontId="3" numFmtId="0" xfId="0" applyAlignment="1" applyFont="1">
      <alignment vertical="bottom"/>
    </xf>
    <xf borderId="0" fillId="12" fontId="3" numFmtId="166" xfId="0" applyAlignment="1" applyFont="1" applyNumberFormat="1">
      <alignment vertical="bottom"/>
    </xf>
    <xf borderId="0" fillId="12" fontId="11" numFmtId="164" xfId="0" applyFont="1" applyNumberFormat="1"/>
    <xf borderId="0" fillId="12" fontId="11" numFmtId="166" xfId="0" applyFont="1" applyNumberFormat="1"/>
    <xf borderId="0" fillId="12" fontId="12" numFmtId="0" xfId="0" applyAlignment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5" fontId="14" numFmtId="0" xfId="0" applyFont="1"/>
    <xf borderId="0" fillId="5" fontId="0" numFmtId="0" xfId="0" applyFont="1"/>
    <xf borderId="0" fillId="0" fontId="13" numFmtId="166" xfId="0" applyAlignment="1" applyFont="1" applyNumberForma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166" xfId="0" applyAlignment="1" applyFont="1" applyNumberFormat="1">
      <alignment vertical="bottom"/>
    </xf>
    <xf borderId="0" fillId="0" fontId="3" numFmtId="1" xfId="0" applyAlignment="1" applyFont="1" applyNumberFormat="1">
      <alignment readingOrder="0" vertical="bottom"/>
    </xf>
    <xf borderId="0" fillId="5" fontId="14" numFmtId="1" xfId="0" applyFont="1" applyNumberFormat="1"/>
    <xf borderId="0" fillId="0" fontId="3" numFmtId="166" xfId="0" applyAlignment="1" applyFont="1" applyNumberFormat="1">
      <alignment horizontal="right" vertical="bottom"/>
    </xf>
    <xf borderId="0" fillId="5" fontId="14" numFmtId="1" xfId="0" applyAlignment="1" applyFont="1" applyNumberFormat="1">
      <alignment horizontal="right" vertical="bottom"/>
    </xf>
    <xf borderId="0" fillId="0" fontId="15" numFmtId="1" xfId="0" applyAlignment="1" applyFont="1" applyNumberForma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and percentage change by weight class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'Averages and Graphs'!$B$1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Graphs'!$A$2:$A$14</c:f>
            </c:strRef>
          </c:cat>
          <c:val>
            <c:numRef>
              <c:f>'Averages and Graphs'!$B$2:$B$14</c:f>
              <c:numCache/>
            </c:numRef>
          </c:val>
        </c:ser>
        <c:ser>
          <c:idx val="1"/>
          <c:order val="1"/>
          <c:tx>
            <c:strRef>
              <c:f>'Averages and Graphs'!$F$1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Graphs'!$A$2:$A$14</c:f>
            </c:strRef>
          </c:cat>
          <c:val>
            <c:numRef>
              <c:f>'Averages and Graphs'!$F$2:$F$14</c:f>
              <c:numCache/>
            </c:numRef>
          </c:val>
        </c:ser>
        <c:axId val="46987491"/>
        <c:axId val="1647941434"/>
      </c:barChart>
      <c:catAx>
        <c:axId val="46987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941434"/>
      </c:catAx>
      <c:valAx>
        <c:axId val="1647941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8749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and percentage change by event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'Averages and Graphs'!$B$16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Graphs'!$A$17:$A$24</c:f>
            </c:strRef>
          </c:cat>
          <c:val>
            <c:numRef>
              <c:f>'Averages and Graphs'!$B$17:$B$24</c:f>
              <c:numCache/>
            </c:numRef>
          </c:val>
        </c:ser>
        <c:ser>
          <c:idx val="1"/>
          <c:order val="1"/>
          <c:tx>
            <c:strRef>
              <c:f>'Averages and Graphs'!$F$16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Graphs'!$A$17:$A$24</c:f>
            </c:strRef>
          </c:cat>
          <c:val>
            <c:numRef>
              <c:f>'Averages and Graphs'!$F$17:$F$24</c:f>
              <c:numCache/>
            </c:numRef>
          </c:val>
        </c:ser>
        <c:axId val="1630578825"/>
        <c:axId val="1709433586"/>
      </c:barChart>
      <c:catAx>
        <c:axId val="1630578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433586"/>
      </c:catAx>
      <c:valAx>
        <c:axId val="1709433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57882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and percentage change by 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'Averages and Graphs'!$B$26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Graphs'!$A$27:$A$28</c:f>
            </c:strRef>
          </c:cat>
          <c:val>
            <c:numRef>
              <c:f>'Averages and Graphs'!$B$27:$B$28</c:f>
              <c:numCache/>
            </c:numRef>
          </c:val>
        </c:ser>
        <c:ser>
          <c:idx val="1"/>
          <c:order val="1"/>
          <c:tx>
            <c:strRef>
              <c:f>'Averages and Graphs'!$F$26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'Averages and Graphs'!$A$27:$A$28</c:f>
            </c:strRef>
          </c:cat>
          <c:val>
            <c:numRef>
              <c:f>'Averages and Graphs'!$F$27:$F$28</c:f>
              <c:numCache/>
            </c:numRef>
          </c:val>
        </c:ser>
        <c:axId val="747325652"/>
        <c:axId val="907162290"/>
      </c:barChart>
      <c:catAx>
        <c:axId val="747325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162290"/>
      </c:catAx>
      <c:valAx>
        <c:axId val="907162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32565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rPr b="0" sz="2000">
                <a:solidFill>
                  <a:srgbClr val="757575"/>
                </a:solidFill>
                <a:latin typeface="+mn-lt"/>
              </a:rPr>
              <a:t>How the amount of weight regained affects winrate (cumulative)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'Win Probabilities'!$D$102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'Win Probabilities'!$A$103:$A$118</c:f>
            </c:strRef>
          </c:cat>
          <c:val>
            <c:numRef>
              <c:f>'Win Probabilities'!$D$103:$D$118</c:f>
              <c:numCache/>
            </c:numRef>
          </c:val>
          <c:smooth val="0"/>
        </c:ser>
        <c:axId val="43925194"/>
        <c:axId val="1352713567"/>
      </c:lineChart>
      <c:catAx>
        <c:axId val="43925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 regained (lbs)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713567"/>
      </c:catAx>
      <c:valAx>
        <c:axId val="1352713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251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rPr b="0" sz="2000">
                <a:solidFill>
                  <a:srgbClr val="757575"/>
                </a:solidFill>
                <a:latin typeface="+mn-lt"/>
              </a:rPr>
              <a:t>How the amount of weight regained effects winrate (grouped)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'Win Probabilities'!$D$120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'Win Probabilities'!$A$121:$A$136</c:f>
            </c:strRef>
          </c:cat>
          <c:val>
            <c:numRef>
              <c:f>'Win Probabilities'!$D$121:$D$136</c:f>
              <c:numCache/>
            </c:numRef>
          </c:val>
        </c:ser>
        <c:axId val="624026870"/>
        <c:axId val="219111571"/>
      </c:barChart>
      <c:catAx>
        <c:axId val="6240268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 regained (lbs)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111571"/>
      </c:catAx>
      <c:valAx>
        <c:axId val="219111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0268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47625</xdr:rowOff>
    </xdr:from>
    <xdr:ext cx="4429125" cy="2705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371475</xdr:colOff>
      <xdr:row>28</xdr:row>
      <xdr:rowOff>47625</xdr:rowOff>
    </xdr:from>
    <xdr:ext cx="4429125" cy="2705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1914525</xdr:colOff>
      <xdr:row>28</xdr:row>
      <xdr:rowOff>47625</xdr:rowOff>
    </xdr:from>
    <xdr:ext cx="4362450" cy="2705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110</xdr:row>
      <xdr:rowOff>66675</xdr:rowOff>
    </xdr:from>
    <xdr:ext cx="5772150" cy="2724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76200</xdr:colOff>
      <xdr:row>123</xdr:row>
      <xdr:rowOff>9525</xdr:rowOff>
    </xdr:from>
    <xdr:ext cx="5772150" cy="2724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0.38"/>
    <col customWidth="1" min="3" max="3" width="19.63"/>
    <col customWidth="1" min="4" max="4" width="23.25"/>
    <col customWidth="1" min="5" max="5" width="26.75"/>
    <col customWidth="1" min="6" max="6" width="24.5"/>
    <col customWidth="1" min="7" max="7" width="25.75"/>
    <col customWidth="1" min="8" max="8" width="5.75"/>
    <col customWidth="1" min="9" max="9" width="4.38"/>
    <col customWidth="1" min="10" max="10" width="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J1" s="6" t="s">
        <v>8</v>
      </c>
    </row>
    <row r="2">
      <c r="A2" s="7" t="s">
        <v>9</v>
      </c>
      <c r="B2" s="7" t="s">
        <v>10</v>
      </c>
      <c r="C2" s="8" t="s">
        <v>11</v>
      </c>
      <c r="D2" s="9">
        <v>126.0</v>
      </c>
      <c r="E2" s="9">
        <v>146.5</v>
      </c>
      <c r="F2" s="9">
        <f t="shared" ref="F2:F197" si="1">E2-D2</f>
        <v>20.5</v>
      </c>
      <c r="G2" s="10">
        <f t="shared" ref="G2:G197" si="2">((E2-D2)/D2)*100</f>
        <v>16.26984127</v>
      </c>
      <c r="H2" s="11" t="s">
        <v>12</v>
      </c>
      <c r="J2" s="12">
        <f t="shared" ref="J2:J197" si="3">(countif($B$2:$B$998,B2))-1</f>
        <v>0</v>
      </c>
    </row>
    <row r="3">
      <c r="A3" s="7" t="s">
        <v>9</v>
      </c>
      <c r="B3" s="7" t="s">
        <v>13</v>
      </c>
      <c r="C3" s="8" t="s">
        <v>14</v>
      </c>
      <c r="D3" s="9">
        <v>135.2</v>
      </c>
      <c r="E3" s="9">
        <v>158.0</v>
      </c>
      <c r="F3" s="9">
        <f t="shared" si="1"/>
        <v>22.8</v>
      </c>
      <c r="G3" s="10">
        <f t="shared" si="2"/>
        <v>16.86390533</v>
      </c>
      <c r="H3" s="11" t="s">
        <v>12</v>
      </c>
      <c r="J3" s="12">
        <f t="shared" si="3"/>
        <v>0</v>
      </c>
    </row>
    <row r="4">
      <c r="A4" s="7" t="s">
        <v>9</v>
      </c>
      <c r="B4" s="8" t="s">
        <v>15</v>
      </c>
      <c r="C4" s="8" t="s">
        <v>14</v>
      </c>
      <c r="D4" s="9">
        <v>134.7</v>
      </c>
      <c r="E4" s="9">
        <v>142.0</v>
      </c>
      <c r="F4" s="9">
        <f t="shared" si="1"/>
        <v>7.3</v>
      </c>
      <c r="G4" s="10">
        <f t="shared" si="2"/>
        <v>5.419450631</v>
      </c>
      <c r="H4" s="11" t="s">
        <v>12</v>
      </c>
      <c r="J4" s="12">
        <f t="shared" si="3"/>
        <v>0</v>
      </c>
    </row>
    <row r="5">
      <c r="A5" s="7" t="s">
        <v>9</v>
      </c>
      <c r="B5" s="7" t="s">
        <v>16</v>
      </c>
      <c r="C5" s="8" t="s">
        <v>17</v>
      </c>
      <c r="D5" s="9">
        <v>145.2</v>
      </c>
      <c r="E5" s="9">
        <v>160.5</v>
      </c>
      <c r="F5" s="9">
        <f t="shared" si="1"/>
        <v>15.3</v>
      </c>
      <c r="G5" s="10">
        <f t="shared" si="2"/>
        <v>10.53719008</v>
      </c>
      <c r="H5" s="11" t="s">
        <v>12</v>
      </c>
      <c r="J5" s="12">
        <f t="shared" si="3"/>
        <v>0</v>
      </c>
    </row>
    <row r="6">
      <c r="A6" s="7" t="s">
        <v>9</v>
      </c>
      <c r="B6" s="7" t="s">
        <v>18</v>
      </c>
      <c r="C6" s="8" t="s">
        <v>19</v>
      </c>
      <c r="D6" s="9">
        <v>115.4</v>
      </c>
      <c r="E6" s="9">
        <v>124.5</v>
      </c>
      <c r="F6" s="9">
        <f t="shared" si="1"/>
        <v>9.1</v>
      </c>
      <c r="G6" s="10">
        <f t="shared" si="2"/>
        <v>7.885615251</v>
      </c>
      <c r="H6" s="13" t="s">
        <v>20</v>
      </c>
      <c r="J6" s="12">
        <f t="shared" si="3"/>
        <v>0</v>
      </c>
    </row>
    <row r="7">
      <c r="A7" s="7" t="s">
        <v>9</v>
      </c>
      <c r="B7" s="7" t="s">
        <v>21</v>
      </c>
      <c r="C7" s="8" t="s">
        <v>11</v>
      </c>
      <c r="D7" s="9">
        <v>125.0</v>
      </c>
      <c r="E7" s="9">
        <v>142.0</v>
      </c>
      <c r="F7" s="9">
        <f t="shared" si="1"/>
        <v>17</v>
      </c>
      <c r="G7" s="10">
        <f t="shared" si="2"/>
        <v>13.6</v>
      </c>
      <c r="H7" s="11" t="s">
        <v>12</v>
      </c>
      <c r="J7" s="12">
        <f t="shared" si="3"/>
        <v>0</v>
      </c>
    </row>
    <row r="8">
      <c r="A8" s="7" t="s">
        <v>9</v>
      </c>
      <c r="B8" s="7" t="s">
        <v>22</v>
      </c>
      <c r="C8" s="8" t="s">
        <v>11</v>
      </c>
      <c r="D8" s="9">
        <v>124.5</v>
      </c>
      <c r="E8" s="9">
        <v>141.0</v>
      </c>
      <c r="F8" s="9">
        <f t="shared" si="1"/>
        <v>16.5</v>
      </c>
      <c r="G8" s="10">
        <f t="shared" si="2"/>
        <v>13.25301205</v>
      </c>
      <c r="H8" s="11" t="s">
        <v>12</v>
      </c>
      <c r="J8" s="12">
        <f t="shared" si="3"/>
        <v>0</v>
      </c>
    </row>
    <row r="9">
      <c r="A9" s="7" t="s">
        <v>9</v>
      </c>
      <c r="B9" s="7" t="s">
        <v>23</v>
      </c>
      <c r="C9" s="8" t="s">
        <v>19</v>
      </c>
      <c r="D9" s="9">
        <v>115.8</v>
      </c>
      <c r="E9" s="9">
        <v>130.5</v>
      </c>
      <c r="F9" s="9">
        <f t="shared" si="1"/>
        <v>14.7</v>
      </c>
      <c r="G9" s="10">
        <f t="shared" si="2"/>
        <v>12.69430052</v>
      </c>
      <c r="H9" s="11" t="s">
        <v>20</v>
      </c>
      <c r="J9" s="12">
        <f t="shared" si="3"/>
        <v>0</v>
      </c>
    </row>
    <row r="10">
      <c r="A10" s="7" t="s">
        <v>9</v>
      </c>
      <c r="B10" s="7" t="s">
        <v>24</v>
      </c>
      <c r="C10" s="8" t="s">
        <v>11</v>
      </c>
      <c r="D10" s="9">
        <v>125.0</v>
      </c>
      <c r="E10" s="9">
        <v>143.0</v>
      </c>
      <c r="F10" s="9">
        <f t="shared" si="1"/>
        <v>18</v>
      </c>
      <c r="G10" s="10">
        <f t="shared" si="2"/>
        <v>14.4</v>
      </c>
      <c r="H10" s="11" t="s">
        <v>12</v>
      </c>
      <c r="J10" s="12">
        <f t="shared" si="3"/>
        <v>0</v>
      </c>
    </row>
    <row r="11">
      <c r="A11" s="7" t="s">
        <v>9</v>
      </c>
      <c r="B11" s="7" t="s">
        <v>25</v>
      </c>
      <c r="C11" s="8" t="s">
        <v>26</v>
      </c>
      <c r="D11" s="9">
        <v>184.7</v>
      </c>
      <c r="E11" s="9">
        <v>193.0</v>
      </c>
      <c r="F11" s="9">
        <f t="shared" si="1"/>
        <v>8.3</v>
      </c>
      <c r="G11" s="10">
        <f t="shared" si="2"/>
        <v>4.493773687</v>
      </c>
      <c r="H11" s="11" t="s">
        <v>12</v>
      </c>
      <c r="J11" s="12">
        <f t="shared" si="3"/>
        <v>0</v>
      </c>
    </row>
    <row r="12">
      <c r="A12" s="7" t="s">
        <v>9</v>
      </c>
      <c r="B12" s="8" t="s">
        <v>27</v>
      </c>
      <c r="C12" s="8" t="s">
        <v>14</v>
      </c>
      <c r="D12" s="9">
        <v>136.0</v>
      </c>
      <c r="E12" s="9">
        <v>154.0</v>
      </c>
      <c r="F12" s="9">
        <f t="shared" si="1"/>
        <v>18</v>
      </c>
      <c r="G12" s="10">
        <f t="shared" si="2"/>
        <v>13.23529412</v>
      </c>
      <c r="H12" s="11" t="s">
        <v>12</v>
      </c>
      <c r="J12" s="12">
        <f t="shared" si="3"/>
        <v>0</v>
      </c>
    </row>
    <row r="13">
      <c r="A13" s="7" t="s">
        <v>9</v>
      </c>
      <c r="B13" s="8" t="s">
        <v>28</v>
      </c>
      <c r="C13" s="8" t="s">
        <v>14</v>
      </c>
      <c r="D13" s="9">
        <v>135.5</v>
      </c>
      <c r="E13" s="9">
        <v>150.0</v>
      </c>
      <c r="F13" s="9">
        <f t="shared" si="1"/>
        <v>14.5</v>
      </c>
      <c r="G13" s="10">
        <f t="shared" si="2"/>
        <v>10.70110701</v>
      </c>
      <c r="H13" s="11" t="s">
        <v>12</v>
      </c>
      <c r="J13" s="12">
        <f t="shared" si="3"/>
        <v>0</v>
      </c>
    </row>
    <row r="14">
      <c r="A14" s="7" t="s">
        <v>9</v>
      </c>
      <c r="B14" s="7" t="s">
        <v>29</v>
      </c>
      <c r="C14" s="8" t="s">
        <v>17</v>
      </c>
      <c r="D14" s="9">
        <v>145.7</v>
      </c>
      <c r="E14" s="9">
        <v>165.0</v>
      </c>
      <c r="F14" s="9">
        <f t="shared" si="1"/>
        <v>19.3</v>
      </c>
      <c r="G14" s="10">
        <f t="shared" si="2"/>
        <v>13.24639671</v>
      </c>
      <c r="H14" s="11" t="s">
        <v>12</v>
      </c>
      <c r="J14" s="12">
        <f t="shared" si="3"/>
        <v>0</v>
      </c>
    </row>
    <row r="15">
      <c r="A15" s="7" t="s">
        <v>9</v>
      </c>
      <c r="B15" s="8" t="s">
        <v>30</v>
      </c>
      <c r="C15" s="8" t="s">
        <v>14</v>
      </c>
      <c r="D15" s="9">
        <v>136.0</v>
      </c>
      <c r="E15" s="9">
        <v>152.0</v>
      </c>
      <c r="F15" s="9">
        <f t="shared" si="1"/>
        <v>16</v>
      </c>
      <c r="G15" s="10">
        <f t="shared" si="2"/>
        <v>11.76470588</v>
      </c>
      <c r="H15" s="11" t="s">
        <v>12</v>
      </c>
      <c r="J15" s="12">
        <f t="shared" si="3"/>
        <v>0</v>
      </c>
    </row>
    <row r="16">
      <c r="A16" s="7" t="s">
        <v>9</v>
      </c>
      <c r="B16" s="7" t="s">
        <v>31</v>
      </c>
      <c r="C16" s="8" t="s">
        <v>14</v>
      </c>
      <c r="D16" s="9">
        <v>135.0</v>
      </c>
      <c r="E16" s="9">
        <v>151.0</v>
      </c>
      <c r="F16" s="9">
        <f t="shared" si="1"/>
        <v>16</v>
      </c>
      <c r="G16" s="10">
        <f t="shared" si="2"/>
        <v>11.85185185</v>
      </c>
      <c r="H16" s="11" t="s">
        <v>12</v>
      </c>
      <c r="J16" s="12">
        <f t="shared" si="3"/>
        <v>0</v>
      </c>
    </row>
    <row r="17">
      <c r="A17" s="7" t="s">
        <v>9</v>
      </c>
      <c r="B17" s="7" t="s">
        <v>32</v>
      </c>
      <c r="C17" s="8" t="s">
        <v>19</v>
      </c>
      <c r="D17" s="9">
        <v>115.0</v>
      </c>
      <c r="E17" s="9">
        <v>129.5</v>
      </c>
      <c r="F17" s="9">
        <f t="shared" si="1"/>
        <v>14.5</v>
      </c>
      <c r="G17" s="10">
        <f t="shared" si="2"/>
        <v>12.60869565</v>
      </c>
      <c r="H17" s="11" t="s">
        <v>20</v>
      </c>
      <c r="J17" s="12">
        <f t="shared" si="3"/>
        <v>0</v>
      </c>
    </row>
    <row r="18">
      <c r="A18" s="7" t="s">
        <v>9</v>
      </c>
      <c r="B18" s="7" t="s">
        <v>33</v>
      </c>
      <c r="C18" s="8" t="s">
        <v>17</v>
      </c>
      <c r="D18" s="9">
        <v>146.0</v>
      </c>
      <c r="E18" s="9">
        <v>165.5</v>
      </c>
      <c r="F18" s="9">
        <f t="shared" si="1"/>
        <v>19.5</v>
      </c>
      <c r="G18" s="10">
        <f t="shared" si="2"/>
        <v>13.35616438</v>
      </c>
      <c r="H18" s="11" t="s">
        <v>12</v>
      </c>
      <c r="J18" s="12">
        <f t="shared" si="3"/>
        <v>0</v>
      </c>
    </row>
    <row r="19">
      <c r="A19" s="7" t="s">
        <v>9</v>
      </c>
      <c r="B19" s="7" t="s">
        <v>34</v>
      </c>
      <c r="C19" s="8" t="s">
        <v>14</v>
      </c>
      <c r="D19" s="9">
        <v>135.5</v>
      </c>
      <c r="E19" s="9">
        <v>153.5</v>
      </c>
      <c r="F19" s="9">
        <f t="shared" si="1"/>
        <v>18</v>
      </c>
      <c r="G19" s="10">
        <f t="shared" si="2"/>
        <v>13.28413284</v>
      </c>
      <c r="H19" s="11" t="s">
        <v>12</v>
      </c>
      <c r="J19" s="12">
        <f t="shared" si="3"/>
        <v>0</v>
      </c>
    </row>
    <row r="20">
      <c r="A20" s="7" t="s">
        <v>9</v>
      </c>
      <c r="B20" s="8" t="s">
        <v>35</v>
      </c>
      <c r="C20" s="8" t="s">
        <v>14</v>
      </c>
      <c r="D20" s="9">
        <v>135.2</v>
      </c>
      <c r="E20" s="9">
        <v>152.0</v>
      </c>
      <c r="F20" s="9">
        <f t="shared" si="1"/>
        <v>16.8</v>
      </c>
      <c r="G20" s="10">
        <f t="shared" si="2"/>
        <v>12.4260355</v>
      </c>
      <c r="H20" s="11" t="s">
        <v>12</v>
      </c>
      <c r="J20" s="12">
        <f t="shared" si="3"/>
        <v>0</v>
      </c>
    </row>
    <row r="21">
      <c r="A21" s="7" t="s">
        <v>9</v>
      </c>
      <c r="B21" s="8" t="s">
        <v>36</v>
      </c>
      <c r="C21" s="8" t="s">
        <v>17</v>
      </c>
      <c r="D21" s="9">
        <v>146.0</v>
      </c>
      <c r="E21" s="9">
        <v>164.0</v>
      </c>
      <c r="F21" s="9">
        <f t="shared" si="1"/>
        <v>18</v>
      </c>
      <c r="G21" s="10">
        <f t="shared" si="2"/>
        <v>12.32876712</v>
      </c>
      <c r="H21" s="11" t="s">
        <v>12</v>
      </c>
      <c r="J21" s="12">
        <f t="shared" si="3"/>
        <v>0</v>
      </c>
    </row>
    <row r="22">
      <c r="A22" s="7" t="s">
        <v>9</v>
      </c>
      <c r="B22" s="7" t="s">
        <v>37</v>
      </c>
      <c r="C22" s="8" t="s">
        <v>26</v>
      </c>
      <c r="D22" s="9">
        <v>185.5</v>
      </c>
      <c r="E22" s="9">
        <v>209.5</v>
      </c>
      <c r="F22" s="9">
        <f t="shared" si="1"/>
        <v>24</v>
      </c>
      <c r="G22" s="10">
        <f t="shared" si="2"/>
        <v>12.93800539</v>
      </c>
      <c r="H22" s="11" t="s">
        <v>12</v>
      </c>
      <c r="J22" s="12">
        <f t="shared" si="3"/>
        <v>0</v>
      </c>
    </row>
    <row r="23">
      <c r="A23" s="7" t="s">
        <v>9</v>
      </c>
      <c r="B23" s="7" t="s">
        <v>38</v>
      </c>
      <c r="C23" s="8" t="s">
        <v>14</v>
      </c>
      <c r="D23" s="9">
        <v>135.0</v>
      </c>
      <c r="E23" s="9">
        <v>149.5</v>
      </c>
      <c r="F23" s="9">
        <f t="shared" si="1"/>
        <v>14.5</v>
      </c>
      <c r="G23" s="10">
        <f t="shared" si="2"/>
        <v>10.74074074</v>
      </c>
      <c r="H23" s="11" t="s">
        <v>12</v>
      </c>
      <c r="J23" s="12">
        <f t="shared" si="3"/>
        <v>0</v>
      </c>
    </row>
    <row r="24">
      <c r="A24" s="7" t="s">
        <v>9</v>
      </c>
      <c r="B24" s="7" t="s">
        <v>39</v>
      </c>
      <c r="C24" s="8" t="s">
        <v>19</v>
      </c>
      <c r="D24" s="9">
        <v>115.5</v>
      </c>
      <c r="E24" s="9">
        <v>127.0</v>
      </c>
      <c r="F24" s="9">
        <f t="shared" si="1"/>
        <v>11.5</v>
      </c>
      <c r="G24" s="10">
        <f t="shared" si="2"/>
        <v>9.956709957</v>
      </c>
      <c r="H24" s="11" t="s">
        <v>20</v>
      </c>
      <c r="J24" s="12">
        <f t="shared" si="3"/>
        <v>0</v>
      </c>
    </row>
    <row r="25">
      <c r="A25" s="7" t="s">
        <v>9</v>
      </c>
      <c r="B25" s="7" t="s">
        <v>40</v>
      </c>
      <c r="C25" s="8" t="s">
        <v>14</v>
      </c>
      <c r="D25" s="9">
        <v>135.5</v>
      </c>
      <c r="E25" s="9">
        <v>149.5</v>
      </c>
      <c r="F25" s="9">
        <f t="shared" si="1"/>
        <v>14</v>
      </c>
      <c r="G25" s="10">
        <f t="shared" si="2"/>
        <v>10.33210332</v>
      </c>
      <c r="H25" s="11" t="s">
        <v>12</v>
      </c>
      <c r="J25" s="12">
        <f t="shared" si="3"/>
        <v>0</v>
      </c>
    </row>
    <row r="26">
      <c r="A26" s="14" t="s">
        <v>41</v>
      </c>
      <c r="B26" s="14" t="s">
        <v>42</v>
      </c>
      <c r="C26" s="15" t="s">
        <v>43</v>
      </c>
      <c r="D26" s="16">
        <v>204.5</v>
      </c>
      <c r="E26" s="16">
        <v>219.5</v>
      </c>
      <c r="F26" s="16">
        <f t="shared" si="1"/>
        <v>15</v>
      </c>
      <c r="G26" s="17">
        <f t="shared" si="2"/>
        <v>7.334963325</v>
      </c>
      <c r="H26" s="18" t="s">
        <v>12</v>
      </c>
      <c r="J26" s="12">
        <f t="shared" si="3"/>
        <v>0</v>
      </c>
    </row>
    <row r="27">
      <c r="A27" s="14" t="s">
        <v>41</v>
      </c>
      <c r="B27" s="14" t="s">
        <v>44</v>
      </c>
      <c r="C27" s="15" t="s">
        <v>17</v>
      </c>
      <c r="D27" s="16">
        <v>145.0</v>
      </c>
      <c r="E27" s="16">
        <v>166.5</v>
      </c>
      <c r="F27" s="16">
        <f t="shared" si="1"/>
        <v>21.5</v>
      </c>
      <c r="G27" s="17">
        <f t="shared" si="2"/>
        <v>14.82758621</v>
      </c>
      <c r="H27" s="18" t="s">
        <v>12</v>
      </c>
      <c r="J27" s="12">
        <f t="shared" si="3"/>
        <v>0</v>
      </c>
    </row>
    <row r="28">
      <c r="A28" s="14" t="s">
        <v>41</v>
      </c>
      <c r="B28" s="14" t="s">
        <v>45</v>
      </c>
      <c r="C28" s="15" t="s">
        <v>46</v>
      </c>
      <c r="D28" s="16">
        <v>145.0</v>
      </c>
      <c r="E28" s="16">
        <v>156.0</v>
      </c>
      <c r="F28" s="16">
        <f t="shared" si="1"/>
        <v>11</v>
      </c>
      <c r="G28" s="17">
        <f t="shared" si="2"/>
        <v>7.586206897</v>
      </c>
      <c r="H28" s="18" t="s">
        <v>20</v>
      </c>
      <c r="J28" s="12">
        <f t="shared" si="3"/>
        <v>0</v>
      </c>
    </row>
    <row r="29">
      <c r="A29" s="14" t="s">
        <v>41</v>
      </c>
      <c r="B29" s="14" t="s">
        <v>47</v>
      </c>
      <c r="C29" s="15" t="s">
        <v>14</v>
      </c>
      <c r="D29" s="16">
        <v>135.5</v>
      </c>
      <c r="E29" s="16">
        <v>145.0</v>
      </c>
      <c r="F29" s="16">
        <f t="shared" si="1"/>
        <v>9.5</v>
      </c>
      <c r="G29" s="17">
        <f t="shared" si="2"/>
        <v>7.011070111</v>
      </c>
      <c r="H29" s="18" t="s">
        <v>12</v>
      </c>
      <c r="J29" s="12">
        <f t="shared" si="3"/>
        <v>0</v>
      </c>
    </row>
    <row r="30">
      <c r="A30" s="14" t="s">
        <v>41</v>
      </c>
      <c r="B30" s="14" t="s">
        <v>48</v>
      </c>
      <c r="C30" s="15" t="s">
        <v>49</v>
      </c>
      <c r="D30" s="16">
        <v>245.5</v>
      </c>
      <c r="E30" s="16">
        <v>248.0</v>
      </c>
      <c r="F30" s="16">
        <f t="shared" si="1"/>
        <v>2.5</v>
      </c>
      <c r="G30" s="17">
        <f t="shared" si="2"/>
        <v>1.018329939</v>
      </c>
      <c r="H30" s="18" t="s">
        <v>12</v>
      </c>
      <c r="J30" s="12">
        <f t="shared" si="3"/>
        <v>0</v>
      </c>
    </row>
    <row r="31">
      <c r="A31" s="14" t="s">
        <v>41</v>
      </c>
      <c r="B31" s="14" t="s">
        <v>50</v>
      </c>
      <c r="C31" s="15" t="s">
        <v>26</v>
      </c>
      <c r="D31" s="16">
        <v>186.0</v>
      </c>
      <c r="E31" s="16">
        <v>194.5</v>
      </c>
      <c r="F31" s="16">
        <f t="shared" si="1"/>
        <v>8.5</v>
      </c>
      <c r="G31" s="17">
        <f t="shared" si="2"/>
        <v>4.569892473</v>
      </c>
      <c r="H31" s="18" t="s">
        <v>12</v>
      </c>
      <c r="J31" s="12">
        <f t="shared" si="3"/>
        <v>0</v>
      </c>
    </row>
    <row r="32">
      <c r="A32" s="14" t="s">
        <v>41</v>
      </c>
      <c r="B32" s="14" t="s">
        <v>51</v>
      </c>
      <c r="C32" s="15" t="s">
        <v>52</v>
      </c>
      <c r="D32" s="16">
        <v>156.0</v>
      </c>
      <c r="E32" s="16">
        <v>163.5</v>
      </c>
      <c r="F32" s="16">
        <f t="shared" si="1"/>
        <v>7.5</v>
      </c>
      <c r="G32" s="17">
        <f t="shared" si="2"/>
        <v>4.807692308</v>
      </c>
      <c r="H32" s="18" t="s">
        <v>12</v>
      </c>
      <c r="J32" s="12">
        <f t="shared" si="3"/>
        <v>0</v>
      </c>
    </row>
    <row r="33">
      <c r="A33" s="14" t="s">
        <v>41</v>
      </c>
      <c r="B33" s="14" t="s">
        <v>53</v>
      </c>
      <c r="C33" s="15" t="s">
        <v>54</v>
      </c>
      <c r="D33" s="16">
        <v>135.0</v>
      </c>
      <c r="E33" s="16">
        <v>148.0</v>
      </c>
      <c r="F33" s="16">
        <f t="shared" si="1"/>
        <v>13</v>
      </c>
      <c r="G33" s="17">
        <f t="shared" si="2"/>
        <v>9.62962963</v>
      </c>
      <c r="H33" s="18" t="s">
        <v>12</v>
      </c>
      <c r="J33" s="12">
        <f t="shared" si="3"/>
        <v>0</v>
      </c>
    </row>
    <row r="34">
      <c r="A34" s="14" t="s">
        <v>41</v>
      </c>
      <c r="B34" s="14" t="s">
        <v>55</v>
      </c>
      <c r="C34" s="15" t="s">
        <v>56</v>
      </c>
      <c r="D34" s="16">
        <v>171.0</v>
      </c>
      <c r="E34" s="16">
        <v>184.5</v>
      </c>
      <c r="F34" s="16">
        <f t="shared" si="1"/>
        <v>13.5</v>
      </c>
      <c r="G34" s="17">
        <f t="shared" si="2"/>
        <v>7.894736842</v>
      </c>
      <c r="H34" s="18" t="s">
        <v>12</v>
      </c>
      <c r="J34" s="12">
        <f t="shared" si="3"/>
        <v>0</v>
      </c>
    </row>
    <row r="35">
      <c r="A35" s="14" t="s">
        <v>41</v>
      </c>
      <c r="B35" s="14" t="s">
        <v>57</v>
      </c>
      <c r="C35" s="15" t="s">
        <v>46</v>
      </c>
      <c r="D35" s="16">
        <v>144.0</v>
      </c>
      <c r="E35" s="16">
        <v>156.0</v>
      </c>
      <c r="F35" s="16">
        <f t="shared" si="1"/>
        <v>12</v>
      </c>
      <c r="G35" s="17">
        <f t="shared" si="2"/>
        <v>8.333333333</v>
      </c>
      <c r="H35" s="18" t="s">
        <v>20</v>
      </c>
      <c r="J35" s="12">
        <f t="shared" si="3"/>
        <v>0</v>
      </c>
    </row>
    <row r="36">
      <c r="A36" s="14" t="s">
        <v>41</v>
      </c>
      <c r="B36" s="14" t="s">
        <v>58</v>
      </c>
      <c r="C36" s="15" t="s">
        <v>17</v>
      </c>
      <c r="D36" s="16">
        <v>146.0</v>
      </c>
      <c r="E36" s="16">
        <v>160.5</v>
      </c>
      <c r="F36" s="16">
        <f t="shared" si="1"/>
        <v>14.5</v>
      </c>
      <c r="G36" s="17">
        <f t="shared" si="2"/>
        <v>9.931506849</v>
      </c>
      <c r="H36" s="18" t="s">
        <v>12</v>
      </c>
      <c r="J36" s="12">
        <f t="shared" si="3"/>
        <v>0</v>
      </c>
    </row>
    <row r="37">
      <c r="A37" s="14" t="s">
        <v>41</v>
      </c>
      <c r="B37" s="14" t="s">
        <v>59</v>
      </c>
      <c r="C37" s="15" t="s">
        <v>43</v>
      </c>
      <c r="D37" s="16">
        <v>204.5</v>
      </c>
      <c r="E37" s="16">
        <v>225.0</v>
      </c>
      <c r="F37" s="16">
        <f t="shared" si="1"/>
        <v>20.5</v>
      </c>
      <c r="G37" s="17">
        <f t="shared" si="2"/>
        <v>10.02444988</v>
      </c>
      <c r="H37" s="18" t="s">
        <v>12</v>
      </c>
      <c r="J37" s="12">
        <f t="shared" si="3"/>
        <v>0</v>
      </c>
    </row>
    <row r="38">
      <c r="A38" s="14" t="s">
        <v>41</v>
      </c>
      <c r="B38" s="14" t="s">
        <v>60</v>
      </c>
      <c r="C38" s="15" t="s">
        <v>46</v>
      </c>
      <c r="D38" s="16">
        <v>144.0</v>
      </c>
      <c r="E38" s="16">
        <v>160.5</v>
      </c>
      <c r="F38" s="16">
        <f t="shared" si="1"/>
        <v>16.5</v>
      </c>
      <c r="G38" s="17">
        <f t="shared" si="2"/>
        <v>11.45833333</v>
      </c>
      <c r="H38" s="18" t="s">
        <v>20</v>
      </c>
      <c r="J38" s="12">
        <f t="shared" si="3"/>
        <v>0</v>
      </c>
    </row>
    <row r="39">
      <c r="A39" s="14" t="s">
        <v>41</v>
      </c>
      <c r="B39" s="14" t="s">
        <v>61</v>
      </c>
      <c r="C39" s="15" t="s">
        <v>56</v>
      </c>
      <c r="D39" s="16">
        <v>170.0</v>
      </c>
      <c r="E39" s="16">
        <v>183.5</v>
      </c>
      <c r="F39" s="16">
        <f t="shared" si="1"/>
        <v>13.5</v>
      </c>
      <c r="G39" s="17">
        <f t="shared" si="2"/>
        <v>7.941176471</v>
      </c>
      <c r="H39" s="18" t="s">
        <v>12</v>
      </c>
      <c r="J39" s="12">
        <f t="shared" si="3"/>
        <v>0</v>
      </c>
    </row>
    <row r="40">
      <c r="A40" s="14" t="s">
        <v>41</v>
      </c>
      <c r="B40" s="14" t="s">
        <v>62</v>
      </c>
      <c r="C40" s="15" t="s">
        <v>14</v>
      </c>
      <c r="D40" s="16">
        <v>134.5</v>
      </c>
      <c r="E40" s="16">
        <v>154.5</v>
      </c>
      <c r="F40" s="16">
        <f t="shared" si="1"/>
        <v>20</v>
      </c>
      <c r="G40" s="17">
        <f t="shared" si="2"/>
        <v>14.86988848</v>
      </c>
      <c r="H40" s="18" t="s">
        <v>12</v>
      </c>
      <c r="J40" s="12">
        <f t="shared" si="3"/>
        <v>0</v>
      </c>
    </row>
    <row r="41">
      <c r="A41" s="14" t="s">
        <v>41</v>
      </c>
      <c r="B41" s="14" t="s">
        <v>63</v>
      </c>
      <c r="C41" s="15" t="s">
        <v>43</v>
      </c>
      <c r="D41" s="16">
        <v>205.5</v>
      </c>
      <c r="E41" s="16">
        <v>219.0</v>
      </c>
      <c r="F41" s="16">
        <f t="shared" si="1"/>
        <v>13.5</v>
      </c>
      <c r="G41" s="17">
        <f t="shared" si="2"/>
        <v>6.569343066</v>
      </c>
      <c r="H41" s="18" t="s">
        <v>12</v>
      </c>
      <c r="J41" s="12">
        <f t="shared" si="3"/>
        <v>0</v>
      </c>
    </row>
    <row r="42">
      <c r="A42" s="14" t="s">
        <v>41</v>
      </c>
      <c r="B42" s="14" t="s">
        <v>64</v>
      </c>
      <c r="C42" s="15" t="s">
        <v>43</v>
      </c>
      <c r="D42" s="16">
        <v>204.0</v>
      </c>
      <c r="E42" s="16">
        <v>222.5</v>
      </c>
      <c r="F42" s="16">
        <f t="shared" si="1"/>
        <v>18.5</v>
      </c>
      <c r="G42" s="17">
        <f t="shared" si="2"/>
        <v>9.068627451</v>
      </c>
      <c r="H42" s="18" t="s">
        <v>12</v>
      </c>
      <c r="J42" s="12">
        <f t="shared" si="3"/>
        <v>0</v>
      </c>
    </row>
    <row r="43">
      <c r="A43" s="14" t="s">
        <v>41</v>
      </c>
      <c r="B43" s="14" t="s">
        <v>65</v>
      </c>
      <c r="C43" s="15" t="s">
        <v>46</v>
      </c>
      <c r="D43" s="16">
        <v>146.0</v>
      </c>
      <c r="E43" s="16">
        <v>157.0</v>
      </c>
      <c r="F43" s="16">
        <f t="shared" si="1"/>
        <v>11</v>
      </c>
      <c r="G43" s="17">
        <f t="shared" si="2"/>
        <v>7.534246575</v>
      </c>
      <c r="H43" s="18" t="s">
        <v>20</v>
      </c>
      <c r="J43" s="12">
        <f t="shared" si="3"/>
        <v>0</v>
      </c>
    </row>
    <row r="44">
      <c r="A44" s="14" t="s">
        <v>41</v>
      </c>
      <c r="B44" s="14" t="s">
        <v>66</v>
      </c>
      <c r="C44" s="15" t="s">
        <v>56</v>
      </c>
      <c r="D44" s="16">
        <v>170.5</v>
      </c>
      <c r="E44" s="16">
        <v>188.0</v>
      </c>
      <c r="F44" s="16">
        <f t="shared" si="1"/>
        <v>17.5</v>
      </c>
      <c r="G44" s="17">
        <f t="shared" si="2"/>
        <v>10.26392962</v>
      </c>
      <c r="H44" s="18" t="s">
        <v>12</v>
      </c>
      <c r="J44" s="12">
        <f t="shared" si="3"/>
        <v>0</v>
      </c>
    </row>
    <row r="45">
      <c r="A45" s="14" t="s">
        <v>41</v>
      </c>
      <c r="B45" s="15" t="s">
        <v>67</v>
      </c>
      <c r="C45" s="15" t="s">
        <v>54</v>
      </c>
      <c r="D45" s="16">
        <v>137.0</v>
      </c>
      <c r="E45" s="16">
        <v>155.0</v>
      </c>
      <c r="F45" s="16">
        <f t="shared" si="1"/>
        <v>18</v>
      </c>
      <c r="G45" s="17">
        <f t="shared" si="2"/>
        <v>13.13868613</v>
      </c>
      <c r="H45" s="18" t="s">
        <v>12</v>
      </c>
      <c r="J45" s="12">
        <f t="shared" si="3"/>
        <v>0</v>
      </c>
    </row>
    <row r="46">
      <c r="A46" s="14" t="s">
        <v>41</v>
      </c>
      <c r="B46" s="14" t="s">
        <v>68</v>
      </c>
      <c r="C46" s="15" t="s">
        <v>14</v>
      </c>
      <c r="D46" s="16">
        <v>135.5</v>
      </c>
      <c r="E46" s="16">
        <v>147.0</v>
      </c>
      <c r="F46" s="16">
        <f t="shared" si="1"/>
        <v>11.5</v>
      </c>
      <c r="G46" s="17">
        <f t="shared" si="2"/>
        <v>8.487084871</v>
      </c>
      <c r="H46" s="18" t="s">
        <v>12</v>
      </c>
      <c r="J46" s="12">
        <f t="shared" si="3"/>
        <v>0</v>
      </c>
    </row>
    <row r="47">
      <c r="A47" s="14" t="s">
        <v>41</v>
      </c>
      <c r="B47" s="14" t="s">
        <v>69</v>
      </c>
      <c r="C47" s="15" t="s">
        <v>14</v>
      </c>
      <c r="D47" s="16">
        <v>135.5</v>
      </c>
      <c r="E47" s="16">
        <v>149.5</v>
      </c>
      <c r="F47" s="16">
        <f t="shared" si="1"/>
        <v>14</v>
      </c>
      <c r="G47" s="17">
        <f t="shared" si="2"/>
        <v>10.33210332</v>
      </c>
      <c r="H47" s="18" t="s">
        <v>12</v>
      </c>
      <c r="J47" s="12">
        <f t="shared" si="3"/>
        <v>0</v>
      </c>
    </row>
    <row r="48">
      <c r="A48" s="14" t="s">
        <v>41</v>
      </c>
      <c r="B48" s="15" t="s">
        <v>70</v>
      </c>
      <c r="C48" s="15" t="s">
        <v>52</v>
      </c>
      <c r="D48" s="16">
        <v>154.0</v>
      </c>
      <c r="E48" s="16">
        <v>156.0</v>
      </c>
      <c r="F48" s="16">
        <f t="shared" si="1"/>
        <v>2</v>
      </c>
      <c r="G48" s="17">
        <f t="shared" si="2"/>
        <v>1.298701299</v>
      </c>
      <c r="H48" s="18" t="s">
        <v>12</v>
      </c>
      <c r="J48" s="12">
        <f t="shared" si="3"/>
        <v>0</v>
      </c>
    </row>
    <row r="49">
      <c r="A49" s="14" t="s">
        <v>41</v>
      </c>
      <c r="B49" s="14" t="s">
        <v>71</v>
      </c>
      <c r="C49" s="15" t="s">
        <v>56</v>
      </c>
      <c r="D49" s="16">
        <v>171.0</v>
      </c>
      <c r="E49" s="16">
        <v>184.5</v>
      </c>
      <c r="F49" s="16">
        <f t="shared" si="1"/>
        <v>13.5</v>
      </c>
      <c r="G49" s="17">
        <f t="shared" si="2"/>
        <v>7.894736842</v>
      </c>
      <c r="H49" s="18" t="s">
        <v>12</v>
      </c>
      <c r="J49" s="12">
        <f t="shared" si="3"/>
        <v>0</v>
      </c>
    </row>
    <row r="50">
      <c r="A50" s="14" t="s">
        <v>41</v>
      </c>
      <c r="B50" s="14" t="s">
        <v>72</v>
      </c>
      <c r="C50" s="15" t="s">
        <v>26</v>
      </c>
      <c r="D50" s="16">
        <v>185.5</v>
      </c>
      <c r="E50" s="16">
        <v>203.5</v>
      </c>
      <c r="F50" s="16">
        <f t="shared" si="1"/>
        <v>18</v>
      </c>
      <c r="G50" s="17">
        <f t="shared" si="2"/>
        <v>9.703504043</v>
      </c>
      <c r="H50" s="18" t="s">
        <v>12</v>
      </c>
      <c r="J50" s="12">
        <f t="shared" si="3"/>
        <v>0</v>
      </c>
    </row>
    <row r="51">
      <c r="A51" s="14" t="s">
        <v>41</v>
      </c>
      <c r="B51" s="14" t="s">
        <v>73</v>
      </c>
      <c r="C51" s="15" t="s">
        <v>49</v>
      </c>
      <c r="D51" s="16">
        <v>258.5</v>
      </c>
      <c r="E51" s="16">
        <v>260.0</v>
      </c>
      <c r="F51" s="16">
        <f t="shared" si="1"/>
        <v>1.5</v>
      </c>
      <c r="G51" s="17">
        <f t="shared" si="2"/>
        <v>0.580270793</v>
      </c>
      <c r="H51" s="18" t="s">
        <v>12</v>
      </c>
      <c r="J51" s="12">
        <f t="shared" si="3"/>
        <v>0</v>
      </c>
    </row>
    <row r="52">
      <c r="A52" s="19" t="s">
        <v>74</v>
      </c>
      <c r="B52" s="20" t="s">
        <v>75</v>
      </c>
      <c r="C52" s="20" t="s">
        <v>17</v>
      </c>
      <c r="D52" s="21">
        <v>145.5</v>
      </c>
      <c r="E52" s="21">
        <v>160.6</v>
      </c>
      <c r="F52" s="21">
        <f t="shared" si="1"/>
        <v>15.1</v>
      </c>
      <c r="G52" s="22">
        <f t="shared" si="2"/>
        <v>10.37800687</v>
      </c>
      <c r="H52" s="23" t="s">
        <v>12</v>
      </c>
      <c r="J52" s="12">
        <f t="shared" si="3"/>
        <v>0</v>
      </c>
    </row>
    <row r="53">
      <c r="A53" s="19" t="s">
        <v>74</v>
      </c>
      <c r="B53" s="19" t="s">
        <v>76</v>
      </c>
      <c r="C53" s="20" t="s">
        <v>77</v>
      </c>
      <c r="D53" s="21">
        <v>135.0</v>
      </c>
      <c r="E53" s="21">
        <v>159.0</v>
      </c>
      <c r="F53" s="21">
        <f t="shared" si="1"/>
        <v>24</v>
      </c>
      <c r="G53" s="22">
        <f t="shared" si="2"/>
        <v>17.77777778</v>
      </c>
      <c r="H53" s="23" t="s">
        <v>20</v>
      </c>
      <c r="J53" s="12">
        <f t="shared" si="3"/>
        <v>0</v>
      </c>
    </row>
    <row r="54">
      <c r="A54" s="19" t="s">
        <v>74</v>
      </c>
      <c r="B54" s="19" t="s">
        <v>78</v>
      </c>
      <c r="C54" s="20" t="s">
        <v>14</v>
      </c>
      <c r="D54" s="21">
        <v>136.0</v>
      </c>
      <c r="E54" s="21">
        <v>147.4</v>
      </c>
      <c r="F54" s="21">
        <f t="shared" si="1"/>
        <v>11.4</v>
      </c>
      <c r="G54" s="22">
        <f t="shared" si="2"/>
        <v>8.382352941</v>
      </c>
      <c r="H54" s="23" t="s">
        <v>12</v>
      </c>
      <c r="J54" s="12">
        <f t="shared" si="3"/>
        <v>0</v>
      </c>
    </row>
    <row r="55">
      <c r="A55" s="19" t="s">
        <v>74</v>
      </c>
      <c r="B55" s="20" t="s">
        <v>79</v>
      </c>
      <c r="C55" s="20" t="s">
        <v>19</v>
      </c>
      <c r="D55" s="21">
        <v>115.0</v>
      </c>
      <c r="E55" s="21">
        <v>123.2</v>
      </c>
      <c r="F55" s="21">
        <f t="shared" si="1"/>
        <v>8.2</v>
      </c>
      <c r="G55" s="22">
        <f t="shared" si="2"/>
        <v>7.130434783</v>
      </c>
      <c r="H55" s="23" t="s">
        <v>20</v>
      </c>
      <c r="J55" s="12">
        <f t="shared" si="3"/>
        <v>0</v>
      </c>
    </row>
    <row r="56">
      <c r="A56" s="19" t="s">
        <v>74</v>
      </c>
      <c r="B56" s="19" t="s">
        <v>80</v>
      </c>
      <c r="C56" s="20" t="s">
        <v>26</v>
      </c>
      <c r="D56" s="21">
        <v>185.5</v>
      </c>
      <c r="E56" s="21">
        <v>200.0</v>
      </c>
      <c r="F56" s="21">
        <f t="shared" si="1"/>
        <v>14.5</v>
      </c>
      <c r="G56" s="22">
        <f t="shared" si="2"/>
        <v>7.81671159</v>
      </c>
      <c r="H56" s="23" t="s">
        <v>12</v>
      </c>
      <c r="J56" s="12">
        <f t="shared" si="3"/>
        <v>0</v>
      </c>
    </row>
    <row r="57">
      <c r="A57" s="19" t="s">
        <v>74</v>
      </c>
      <c r="B57" s="19" t="s">
        <v>81</v>
      </c>
      <c r="C57" s="20" t="s">
        <v>17</v>
      </c>
      <c r="D57" s="21">
        <v>145.5</v>
      </c>
      <c r="E57" s="21">
        <v>167.4</v>
      </c>
      <c r="F57" s="21">
        <f t="shared" si="1"/>
        <v>21.9</v>
      </c>
      <c r="G57" s="22">
        <f t="shared" si="2"/>
        <v>15.05154639</v>
      </c>
      <c r="H57" s="23" t="s">
        <v>12</v>
      </c>
      <c r="J57" s="12">
        <f t="shared" si="3"/>
        <v>0</v>
      </c>
    </row>
    <row r="58">
      <c r="A58" s="19" t="s">
        <v>74</v>
      </c>
      <c r="B58" s="20" t="s">
        <v>82</v>
      </c>
      <c r="C58" s="20" t="s">
        <v>77</v>
      </c>
      <c r="D58" s="21">
        <v>136.0</v>
      </c>
      <c r="E58" s="21">
        <v>148.0</v>
      </c>
      <c r="F58" s="21">
        <f t="shared" si="1"/>
        <v>12</v>
      </c>
      <c r="G58" s="22">
        <f t="shared" si="2"/>
        <v>8.823529412</v>
      </c>
      <c r="H58" s="23" t="s">
        <v>20</v>
      </c>
      <c r="J58" s="12">
        <f t="shared" si="3"/>
        <v>0</v>
      </c>
    </row>
    <row r="59">
      <c r="A59" s="19" t="s">
        <v>74</v>
      </c>
      <c r="B59" s="19" t="s">
        <v>83</v>
      </c>
      <c r="C59" s="20" t="s">
        <v>43</v>
      </c>
      <c r="D59" s="21">
        <v>203.0</v>
      </c>
      <c r="E59" s="21">
        <v>218.4</v>
      </c>
      <c r="F59" s="21">
        <f t="shared" si="1"/>
        <v>15.4</v>
      </c>
      <c r="G59" s="22">
        <f t="shared" si="2"/>
        <v>7.586206897</v>
      </c>
      <c r="H59" s="23" t="s">
        <v>12</v>
      </c>
      <c r="J59" s="12">
        <f t="shared" si="3"/>
        <v>0</v>
      </c>
    </row>
    <row r="60">
      <c r="A60" s="19" t="s">
        <v>74</v>
      </c>
      <c r="B60" s="19" t="s">
        <v>84</v>
      </c>
      <c r="C60" s="20" t="s">
        <v>14</v>
      </c>
      <c r="D60" s="21">
        <v>135.0</v>
      </c>
      <c r="E60" s="21">
        <v>155.4</v>
      </c>
      <c r="F60" s="21">
        <f t="shared" si="1"/>
        <v>20.4</v>
      </c>
      <c r="G60" s="22">
        <f t="shared" si="2"/>
        <v>15.11111111</v>
      </c>
      <c r="H60" s="23" t="s">
        <v>12</v>
      </c>
      <c r="J60" s="12">
        <f t="shared" si="3"/>
        <v>0</v>
      </c>
    </row>
    <row r="61">
      <c r="A61" s="19" t="s">
        <v>74</v>
      </c>
      <c r="B61" s="19" t="s">
        <v>85</v>
      </c>
      <c r="C61" s="20" t="s">
        <v>17</v>
      </c>
      <c r="D61" s="21">
        <v>146.0</v>
      </c>
      <c r="E61" s="21">
        <v>166.8</v>
      </c>
      <c r="F61" s="21">
        <f t="shared" si="1"/>
        <v>20.8</v>
      </c>
      <c r="G61" s="22">
        <f t="shared" si="2"/>
        <v>14.24657534</v>
      </c>
      <c r="H61" s="23" t="s">
        <v>12</v>
      </c>
      <c r="J61" s="12">
        <f t="shared" si="3"/>
        <v>0</v>
      </c>
    </row>
    <row r="62">
      <c r="A62" s="19" t="s">
        <v>74</v>
      </c>
      <c r="B62" s="19" t="s">
        <v>86</v>
      </c>
      <c r="C62" s="20" t="s">
        <v>77</v>
      </c>
      <c r="D62" s="21">
        <v>135.5</v>
      </c>
      <c r="E62" s="21">
        <v>142.2</v>
      </c>
      <c r="F62" s="21">
        <f t="shared" si="1"/>
        <v>6.7</v>
      </c>
      <c r="G62" s="22">
        <f t="shared" si="2"/>
        <v>4.944649446</v>
      </c>
      <c r="H62" s="23" t="s">
        <v>20</v>
      </c>
      <c r="J62" s="12">
        <f t="shared" si="3"/>
        <v>0</v>
      </c>
    </row>
    <row r="63">
      <c r="A63" s="19" t="s">
        <v>74</v>
      </c>
      <c r="B63" s="20" t="s">
        <v>87</v>
      </c>
      <c r="C63" s="20" t="s">
        <v>26</v>
      </c>
      <c r="D63" s="21">
        <v>185.5</v>
      </c>
      <c r="E63" s="21">
        <v>206.4</v>
      </c>
      <c r="F63" s="21">
        <f t="shared" si="1"/>
        <v>20.9</v>
      </c>
      <c r="G63" s="22">
        <f t="shared" si="2"/>
        <v>11.26684636</v>
      </c>
      <c r="H63" s="23" t="s">
        <v>12</v>
      </c>
      <c r="J63" s="12">
        <f t="shared" si="3"/>
        <v>0</v>
      </c>
    </row>
    <row r="64">
      <c r="A64" s="19" t="s">
        <v>74</v>
      </c>
      <c r="B64" s="20" t="s">
        <v>88</v>
      </c>
      <c r="C64" s="20" t="s">
        <v>19</v>
      </c>
      <c r="D64" s="21">
        <v>116.0</v>
      </c>
      <c r="E64" s="21">
        <v>123.2</v>
      </c>
      <c r="F64" s="21">
        <f t="shared" si="1"/>
        <v>7.2</v>
      </c>
      <c r="G64" s="22">
        <f t="shared" si="2"/>
        <v>6.206896552</v>
      </c>
      <c r="H64" s="23" t="s">
        <v>20</v>
      </c>
      <c r="J64" s="12">
        <f t="shared" si="3"/>
        <v>0</v>
      </c>
    </row>
    <row r="65">
      <c r="A65" s="19" t="s">
        <v>74</v>
      </c>
      <c r="B65" s="19" t="s">
        <v>89</v>
      </c>
      <c r="C65" s="20" t="s">
        <v>26</v>
      </c>
      <c r="D65" s="21">
        <v>185.5</v>
      </c>
      <c r="E65" s="21">
        <v>211.0</v>
      </c>
      <c r="F65" s="21">
        <f t="shared" si="1"/>
        <v>25.5</v>
      </c>
      <c r="G65" s="22">
        <f t="shared" si="2"/>
        <v>13.74663073</v>
      </c>
      <c r="H65" s="23" t="s">
        <v>12</v>
      </c>
      <c r="J65" s="12">
        <f t="shared" si="3"/>
        <v>0</v>
      </c>
    </row>
    <row r="66">
      <c r="A66" s="19" t="s">
        <v>74</v>
      </c>
      <c r="B66" s="20" t="s">
        <v>90</v>
      </c>
      <c r="C66" s="20" t="s">
        <v>43</v>
      </c>
      <c r="D66" s="21">
        <v>204.5</v>
      </c>
      <c r="E66" s="21">
        <v>216.8</v>
      </c>
      <c r="F66" s="21">
        <f t="shared" si="1"/>
        <v>12.3</v>
      </c>
      <c r="G66" s="22">
        <f t="shared" si="2"/>
        <v>6.014669927</v>
      </c>
      <c r="H66" s="23" t="s">
        <v>12</v>
      </c>
      <c r="J66" s="12">
        <f t="shared" si="3"/>
        <v>0</v>
      </c>
    </row>
    <row r="67">
      <c r="A67" s="19" t="s">
        <v>74</v>
      </c>
      <c r="B67" s="19" t="s">
        <v>91</v>
      </c>
      <c r="C67" s="20" t="s">
        <v>17</v>
      </c>
      <c r="D67" s="21">
        <v>145.0</v>
      </c>
      <c r="E67" s="21">
        <v>166.8</v>
      </c>
      <c r="F67" s="21">
        <f t="shared" si="1"/>
        <v>21.8</v>
      </c>
      <c r="G67" s="22">
        <f t="shared" si="2"/>
        <v>15.03448276</v>
      </c>
      <c r="H67" s="23" t="s">
        <v>12</v>
      </c>
      <c r="J67" s="12">
        <f t="shared" si="3"/>
        <v>0</v>
      </c>
    </row>
    <row r="68">
      <c r="A68" s="19" t="s">
        <v>74</v>
      </c>
      <c r="B68" s="19" t="s">
        <v>92</v>
      </c>
      <c r="C68" s="20" t="s">
        <v>77</v>
      </c>
      <c r="D68" s="21">
        <v>135.5</v>
      </c>
      <c r="E68" s="21">
        <v>153.2</v>
      </c>
      <c r="F68" s="21">
        <f t="shared" si="1"/>
        <v>17.7</v>
      </c>
      <c r="G68" s="22">
        <f t="shared" si="2"/>
        <v>13.06273063</v>
      </c>
      <c r="H68" s="23" t="s">
        <v>20</v>
      </c>
      <c r="J68" s="12">
        <f t="shared" si="3"/>
        <v>0</v>
      </c>
    </row>
    <row r="69">
      <c r="A69" s="19" t="s">
        <v>74</v>
      </c>
      <c r="B69" s="19" t="s">
        <v>93</v>
      </c>
      <c r="C69" s="20" t="s">
        <v>14</v>
      </c>
      <c r="D69" s="21">
        <v>136.0</v>
      </c>
      <c r="E69" s="21">
        <v>150.6</v>
      </c>
      <c r="F69" s="21">
        <f t="shared" si="1"/>
        <v>14.6</v>
      </c>
      <c r="G69" s="22">
        <f t="shared" si="2"/>
        <v>10.73529412</v>
      </c>
      <c r="H69" s="23" t="s">
        <v>12</v>
      </c>
      <c r="J69" s="12">
        <f t="shared" si="3"/>
        <v>0</v>
      </c>
    </row>
    <row r="70">
      <c r="A70" s="19" t="s">
        <v>74</v>
      </c>
      <c r="B70" s="20" t="s">
        <v>94</v>
      </c>
      <c r="C70" s="20" t="s">
        <v>14</v>
      </c>
      <c r="D70" s="21">
        <v>134.5</v>
      </c>
      <c r="E70" s="21">
        <v>151.8</v>
      </c>
      <c r="F70" s="21">
        <f t="shared" si="1"/>
        <v>17.3</v>
      </c>
      <c r="G70" s="22">
        <f t="shared" si="2"/>
        <v>12.86245353</v>
      </c>
      <c r="H70" s="23" t="s">
        <v>12</v>
      </c>
      <c r="J70" s="12">
        <f t="shared" si="3"/>
        <v>0</v>
      </c>
    </row>
    <row r="71">
      <c r="A71" s="19" t="s">
        <v>74</v>
      </c>
      <c r="B71" s="20" t="s">
        <v>95</v>
      </c>
      <c r="C71" s="20" t="s">
        <v>17</v>
      </c>
      <c r="D71" s="21">
        <v>144.5</v>
      </c>
      <c r="E71" s="21">
        <v>157.0</v>
      </c>
      <c r="F71" s="21">
        <f t="shared" si="1"/>
        <v>12.5</v>
      </c>
      <c r="G71" s="22">
        <f t="shared" si="2"/>
        <v>8.650519031</v>
      </c>
      <c r="H71" s="23" t="s">
        <v>12</v>
      </c>
      <c r="J71" s="12">
        <f t="shared" si="3"/>
        <v>0</v>
      </c>
    </row>
    <row r="72">
      <c r="A72" s="19" t="s">
        <v>74</v>
      </c>
      <c r="B72" s="20" t="s">
        <v>96</v>
      </c>
      <c r="C72" s="20" t="s">
        <v>17</v>
      </c>
      <c r="D72" s="21">
        <v>146.0</v>
      </c>
      <c r="E72" s="21">
        <v>170.2</v>
      </c>
      <c r="F72" s="21">
        <f t="shared" si="1"/>
        <v>24.2</v>
      </c>
      <c r="G72" s="22">
        <f t="shared" si="2"/>
        <v>16.57534247</v>
      </c>
      <c r="H72" s="23" t="s">
        <v>12</v>
      </c>
      <c r="J72" s="12">
        <f t="shared" si="3"/>
        <v>0</v>
      </c>
    </row>
    <row r="73">
      <c r="A73" s="19" t="s">
        <v>74</v>
      </c>
      <c r="B73" s="19" t="s">
        <v>97</v>
      </c>
      <c r="C73" s="20" t="s">
        <v>14</v>
      </c>
      <c r="D73" s="21">
        <v>135.5</v>
      </c>
      <c r="E73" s="21">
        <v>153.6</v>
      </c>
      <c r="F73" s="21">
        <f t="shared" si="1"/>
        <v>18.1</v>
      </c>
      <c r="G73" s="22">
        <f t="shared" si="2"/>
        <v>13.35793358</v>
      </c>
      <c r="H73" s="23" t="s">
        <v>12</v>
      </c>
      <c r="J73" s="12">
        <f t="shared" si="3"/>
        <v>0</v>
      </c>
    </row>
    <row r="74">
      <c r="A74" s="19" t="s">
        <v>74</v>
      </c>
      <c r="B74" s="19" t="s">
        <v>98</v>
      </c>
      <c r="C74" s="20" t="s">
        <v>14</v>
      </c>
      <c r="D74" s="21">
        <v>135.5</v>
      </c>
      <c r="E74" s="21">
        <v>148.8</v>
      </c>
      <c r="F74" s="21">
        <f t="shared" si="1"/>
        <v>13.3</v>
      </c>
      <c r="G74" s="22">
        <f t="shared" si="2"/>
        <v>9.815498155</v>
      </c>
      <c r="H74" s="23" t="s">
        <v>12</v>
      </c>
      <c r="J74" s="12">
        <f t="shared" si="3"/>
        <v>0</v>
      </c>
    </row>
    <row r="75">
      <c r="A75" s="19" t="s">
        <v>74</v>
      </c>
      <c r="B75" s="19" t="s">
        <v>99</v>
      </c>
      <c r="C75" s="20" t="s">
        <v>26</v>
      </c>
      <c r="D75" s="21">
        <v>185.0</v>
      </c>
      <c r="E75" s="21">
        <v>202.2</v>
      </c>
      <c r="F75" s="21">
        <f t="shared" si="1"/>
        <v>17.2</v>
      </c>
      <c r="G75" s="22">
        <f t="shared" si="2"/>
        <v>9.297297297</v>
      </c>
      <c r="H75" s="23" t="s">
        <v>12</v>
      </c>
      <c r="J75" s="12">
        <f t="shared" si="3"/>
        <v>0</v>
      </c>
    </row>
    <row r="76">
      <c r="A76" s="24" t="s">
        <v>100</v>
      </c>
      <c r="B76" s="24" t="s">
        <v>101</v>
      </c>
      <c r="C76" s="25" t="s">
        <v>56</v>
      </c>
      <c r="D76" s="26">
        <v>169.5</v>
      </c>
      <c r="E76" s="26">
        <v>177.2</v>
      </c>
      <c r="F76" s="26">
        <f t="shared" si="1"/>
        <v>7.7</v>
      </c>
      <c r="G76" s="27">
        <f t="shared" si="2"/>
        <v>4.542772861</v>
      </c>
      <c r="H76" s="28" t="s">
        <v>12</v>
      </c>
      <c r="J76" s="12">
        <f t="shared" si="3"/>
        <v>0</v>
      </c>
    </row>
    <row r="77">
      <c r="A77" s="24" t="s">
        <v>100</v>
      </c>
      <c r="B77" s="24" t="s">
        <v>102</v>
      </c>
      <c r="C77" s="25" t="s">
        <v>14</v>
      </c>
      <c r="D77" s="26">
        <v>136.0</v>
      </c>
      <c r="E77" s="26">
        <v>156.0</v>
      </c>
      <c r="F77" s="26">
        <f t="shared" si="1"/>
        <v>20</v>
      </c>
      <c r="G77" s="27">
        <f t="shared" si="2"/>
        <v>14.70588235</v>
      </c>
      <c r="H77" s="28" t="s">
        <v>12</v>
      </c>
      <c r="J77" s="12">
        <f t="shared" si="3"/>
        <v>0</v>
      </c>
    </row>
    <row r="78">
      <c r="A78" s="24" t="s">
        <v>100</v>
      </c>
      <c r="B78" s="24" t="s">
        <v>103</v>
      </c>
      <c r="C78" s="25" t="s">
        <v>54</v>
      </c>
      <c r="D78" s="26">
        <v>139.0</v>
      </c>
      <c r="E78" s="26">
        <v>145.0</v>
      </c>
      <c r="F78" s="26">
        <f t="shared" si="1"/>
        <v>6</v>
      </c>
      <c r="G78" s="27">
        <f t="shared" si="2"/>
        <v>4.316546763</v>
      </c>
      <c r="H78" s="28" t="s">
        <v>12</v>
      </c>
      <c r="J78" s="12">
        <f t="shared" si="3"/>
        <v>0</v>
      </c>
    </row>
    <row r="79">
      <c r="A79" s="24" t="s">
        <v>100</v>
      </c>
      <c r="B79" s="24" t="s">
        <v>104</v>
      </c>
      <c r="C79" s="25" t="s">
        <v>52</v>
      </c>
      <c r="D79" s="26">
        <v>155.0</v>
      </c>
      <c r="E79" s="26">
        <v>176.2</v>
      </c>
      <c r="F79" s="26">
        <f t="shared" si="1"/>
        <v>21.2</v>
      </c>
      <c r="G79" s="27">
        <f t="shared" si="2"/>
        <v>13.67741935</v>
      </c>
      <c r="H79" s="28" t="s">
        <v>12</v>
      </c>
      <c r="J79" s="12">
        <f t="shared" si="3"/>
        <v>0</v>
      </c>
    </row>
    <row r="80">
      <c r="A80" s="24" t="s">
        <v>100</v>
      </c>
      <c r="B80" s="24" t="s">
        <v>105</v>
      </c>
      <c r="C80" s="25" t="s">
        <v>14</v>
      </c>
      <c r="D80" s="26">
        <v>136.0</v>
      </c>
      <c r="E80" s="26">
        <v>149.2</v>
      </c>
      <c r="F80" s="26">
        <f t="shared" si="1"/>
        <v>13.2</v>
      </c>
      <c r="G80" s="27">
        <f t="shared" si="2"/>
        <v>9.705882353</v>
      </c>
      <c r="H80" s="28" t="s">
        <v>12</v>
      </c>
      <c r="J80" s="12">
        <f t="shared" si="3"/>
        <v>0</v>
      </c>
    </row>
    <row r="81">
      <c r="A81" s="24" t="s">
        <v>100</v>
      </c>
      <c r="B81" s="25" t="s">
        <v>106</v>
      </c>
      <c r="C81" s="25" t="s">
        <v>49</v>
      </c>
      <c r="D81" s="26">
        <v>236.5</v>
      </c>
      <c r="E81" s="26">
        <v>247.0</v>
      </c>
      <c r="F81" s="26">
        <f t="shared" si="1"/>
        <v>10.5</v>
      </c>
      <c r="G81" s="27">
        <f t="shared" si="2"/>
        <v>4.4397463</v>
      </c>
      <c r="H81" s="28" t="s">
        <v>12</v>
      </c>
      <c r="J81" s="12">
        <f t="shared" si="3"/>
        <v>0</v>
      </c>
    </row>
    <row r="82">
      <c r="A82" s="24" t="s">
        <v>100</v>
      </c>
      <c r="B82" s="24" t="s">
        <v>107</v>
      </c>
      <c r="C82" s="25" t="s">
        <v>26</v>
      </c>
      <c r="D82" s="26">
        <v>186.0</v>
      </c>
      <c r="E82" s="26">
        <v>204.8</v>
      </c>
      <c r="F82" s="26">
        <f t="shared" si="1"/>
        <v>18.8</v>
      </c>
      <c r="G82" s="27">
        <f t="shared" si="2"/>
        <v>10.10752688</v>
      </c>
      <c r="H82" s="28" t="s">
        <v>12</v>
      </c>
      <c r="J82" s="12">
        <f t="shared" si="3"/>
        <v>0</v>
      </c>
    </row>
    <row r="83">
      <c r="A83" s="24" t="s">
        <v>100</v>
      </c>
      <c r="B83" s="24" t="s">
        <v>108</v>
      </c>
      <c r="C83" s="25" t="s">
        <v>52</v>
      </c>
      <c r="D83" s="26">
        <v>156.0</v>
      </c>
      <c r="E83" s="26">
        <v>163.8</v>
      </c>
      <c r="F83" s="26">
        <f t="shared" si="1"/>
        <v>7.8</v>
      </c>
      <c r="G83" s="27">
        <f t="shared" si="2"/>
        <v>5</v>
      </c>
      <c r="H83" s="28" t="s">
        <v>12</v>
      </c>
      <c r="J83" s="12">
        <f t="shared" si="3"/>
        <v>0</v>
      </c>
    </row>
    <row r="84">
      <c r="A84" s="24" t="s">
        <v>100</v>
      </c>
      <c r="B84" s="24" t="s">
        <v>109</v>
      </c>
      <c r="C84" s="25" t="s">
        <v>52</v>
      </c>
      <c r="D84" s="26">
        <v>155.5</v>
      </c>
      <c r="E84" s="26">
        <v>175.2</v>
      </c>
      <c r="F84" s="26">
        <f t="shared" si="1"/>
        <v>19.7</v>
      </c>
      <c r="G84" s="27">
        <f t="shared" si="2"/>
        <v>12.66881029</v>
      </c>
      <c r="H84" s="28" t="s">
        <v>12</v>
      </c>
      <c r="J84" s="12">
        <f t="shared" si="3"/>
        <v>0</v>
      </c>
    </row>
    <row r="85">
      <c r="A85" s="24" t="s">
        <v>100</v>
      </c>
      <c r="B85" s="25" t="s">
        <v>110</v>
      </c>
      <c r="C85" s="25" t="s">
        <v>17</v>
      </c>
      <c r="D85" s="26">
        <v>146.0</v>
      </c>
      <c r="E85" s="26">
        <v>164.6</v>
      </c>
      <c r="F85" s="26">
        <f t="shared" si="1"/>
        <v>18.6</v>
      </c>
      <c r="G85" s="27">
        <f t="shared" si="2"/>
        <v>12.73972603</v>
      </c>
      <c r="H85" s="28" t="s">
        <v>12</v>
      </c>
      <c r="J85" s="12">
        <f t="shared" si="3"/>
        <v>0</v>
      </c>
    </row>
    <row r="86">
      <c r="A86" s="24" t="s">
        <v>100</v>
      </c>
      <c r="B86" s="24" t="s">
        <v>111</v>
      </c>
      <c r="C86" s="25" t="s">
        <v>19</v>
      </c>
      <c r="D86" s="26">
        <v>114.5</v>
      </c>
      <c r="E86" s="26">
        <v>125.6</v>
      </c>
      <c r="F86" s="26">
        <f t="shared" si="1"/>
        <v>11.1</v>
      </c>
      <c r="G86" s="27">
        <f t="shared" si="2"/>
        <v>9.694323144</v>
      </c>
      <c r="H86" s="28" t="s">
        <v>20</v>
      </c>
      <c r="J86" s="12">
        <f t="shared" si="3"/>
        <v>0</v>
      </c>
    </row>
    <row r="87">
      <c r="A87" s="24" t="s">
        <v>100</v>
      </c>
      <c r="B87" s="24" t="s">
        <v>112</v>
      </c>
      <c r="C87" s="25" t="s">
        <v>26</v>
      </c>
      <c r="D87" s="26">
        <v>185.5</v>
      </c>
      <c r="E87" s="26">
        <v>203.5</v>
      </c>
      <c r="F87" s="26">
        <f t="shared" si="1"/>
        <v>18</v>
      </c>
      <c r="G87" s="27">
        <f t="shared" si="2"/>
        <v>9.703504043</v>
      </c>
      <c r="H87" s="28" t="s">
        <v>12</v>
      </c>
      <c r="J87" s="12">
        <f t="shared" si="3"/>
        <v>0</v>
      </c>
    </row>
    <row r="88">
      <c r="A88" s="24" t="s">
        <v>100</v>
      </c>
      <c r="B88" s="24" t="s">
        <v>113</v>
      </c>
      <c r="C88" s="25" t="s">
        <v>19</v>
      </c>
      <c r="D88" s="26">
        <v>116.0</v>
      </c>
      <c r="E88" s="26">
        <v>127.8</v>
      </c>
      <c r="F88" s="26">
        <f t="shared" si="1"/>
        <v>11.8</v>
      </c>
      <c r="G88" s="27">
        <f t="shared" si="2"/>
        <v>10.17241379</v>
      </c>
      <c r="H88" s="28" t="s">
        <v>20</v>
      </c>
      <c r="J88" s="12">
        <f t="shared" si="3"/>
        <v>0</v>
      </c>
    </row>
    <row r="89">
      <c r="A89" s="24" t="s">
        <v>100</v>
      </c>
      <c r="B89" s="24" t="s">
        <v>114</v>
      </c>
      <c r="C89" s="25" t="s">
        <v>52</v>
      </c>
      <c r="D89" s="26">
        <v>155.5</v>
      </c>
      <c r="E89" s="26">
        <v>167.6</v>
      </c>
      <c r="F89" s="26">
        <f t="shared" si="1"/>
        <v>12.1</v>
      </c>
      <c r="G89" s="27">
        <f t="shared" si="2"/>
        <v>7.781350482</v>
      </c>
      <c r="H89" s="28" t="s">
        <v>12</v>
      </c>
      <c r="J89" s="12">
        <f t="shared" si="3"/>
        <v>0</v>
      </c>
    </row>
    <row r="90">
      <c r="A90" s="24" t="s">
        <v>100</v>
      </c>
      <c r="B90" s="25" t="s">
        <v>115</v>
      </c>
      <c r="C90" s="25" t="s">
        <v>14</v>
      </c>
      <c r="D90" s="26">
        <v>136.0</v>
      </c>
      <c r="E90" s="26">
        <v>156.4</v>
      </c>
      <c r="F90" s="26">
        <f t="shared" si="1"/>
        <v>20.4</v>
      </c>
      <c r="G90" s="27">
        <f t="shared" si="2"/>
        <v>15</v>
      </c>
      <c r="H90" s="28" t="s">
        <v>12</v>
      </c>
      <c r="J90" s="12">
        <f t="shared" si="3"/>
        <v>0</v>
      </c>
    </row>
    <row r="91">
      <c r="A91" s="24" t="s">
        <v>100</v>
      </c>
      <c r="B91" s="24" t="s">
        <v>116</v>
      </c>
      <c r="C91" s="25" t="s">
        <v>54</v>
      </c>
      <c r="D91" s="26">
        <v>140.0</v>
      </c>
      <c r="E91" s="26">
        <v>164.8</v>
      </c>
      <c r="F91" s="26">
        <f t="shared" si="1"/>
        <v>24.8</v>
      </c>
      <c r="G91" s="27">
        <f t="shared" si="2"/>
        <v>17.71428571</v>
      </c>
      <c r="H91" s="28" t="s">
        <v>12</v>
      </c>
      <c r="J91" s="12">
        <f t="shared" si="3"/>
        <v>0</v>
      </c>
    </row>
    <row r="92">
      <c r="A92" s="24" t="s">
        <v>100</v>
      </c>
      <c r="B92" s="24" t="s">
        <v>117</v>
      </c>
      <c r="C92" s="25" t="s">
        <v>56</v>
      </c>
      <c r="D92" s="26">
        <v>170.0</v>
      </c>
      <c r="E92" s="26">
        <v>180.0</v>
      </c>
      <c r="F92" s="26">
        <f t="shared" si="1"/>
        <v>10</v>
      </c>
      <c r="G92" s="27">
        <f t="shared" si="2"/>
        <v>5.882352941</v>
      </c>
      <c r="H92" s="28" t="s">
        <v>12</v>
      </c>
      <c r="J92" s="12">
        <f t="shared" si="3"/>
        <v>0</v>
      </c>
    </row>
    <row r="93">
      <c r="A93" s="24" t="s">
        <v>100</v>
      </c>
      <c r="B93" s="24" t="s">
        <v>118</v>
      </c>
      <c r="C93" s="25" t="s">
        <v>26</v>
      </c>
      <c r="D93" s="26">
        <v>186.0</v>
      </c>
      <c r="E93" s="26">
        <v>213.8</v>
      </c>
      <c r="F93" s="26">
        <f t="shared" si="1"/>
        <v>27.8</v>
      </c>
      <c r="G93" s="27">
        <f t="shared" si="2"/>
        <v>14.94623656</v>
      </c>
      <c r="H93" s="28" t="s">
        <v>12</v>
      </c>
      <c r="J93" s="12">
        <f t="shared" si="3"/>
        <v>0</v>
      </c>
    </row>
    <row r="94">
      <c r="A94" s="24" t="s">
        <v>100</v>
      </c>
      <c r="B94" s="24" t="s">
        <v>119</v>
      </c>
      <c r="C94" s="25" t="s">
        <v>14</v>
      </c>
      <c r="D94" s="26">
        <v>136.0</v>
      </c>
      <c r="E94" s="26">
        <v>153.2</v>
      </c>
      <c r="F94" s="26">
        <f t="shared" si="1"/>
        <v>17.2</v>
      </c>
      <c r="G94" s="27">
        <f t="shared" si="2"/>
        <v>12.64705882</v>
      </c>
      <c r="H94" s="28" t="s">
        <v>12</v>
      </c>
      <c r="J94" s="12">
        <f t="shared" si="3"/>
        <v>0</v>
      </c>
    </row>
    <row r="95">
      <c r="A95" s="24" t="s">
        <v>100</v>
      </c>
      <c r="B95" s="24" t="s">
        <v>120</v>
      </c>
      <c r="C95" s="25" t="s">
        <v>121</v>
      </c>
      <c r="D95" s="26">
        <v>126.0</v>
      </c>
      <c r="E95" s="26">
        <v>145.6</v>
      </c>
      <c r="F95" s="26">
        <f t="shared" si="1"/>
        <v>19.6</v>
      </c>
      <c r="G95" s="27">
        <f t="shared" si="2"/>
        <v>15.55555556</v>
      </c>
      <c r="H95" s="28" t="s">
        <v>20</v>
      </c>
      <c r="J95" s="12">
        <f t="shared" si="3"/>
        <v>0</v>
      </c>
    </row>
    <row r="96">
      <c r="A96" s="24" t="s">
        <v>100</v>
      </c>
      <c r="B96" s="24" t="s">
        <v>122</v>
      </c>
      <c r="C96" s="25" t="s">
        <v>121</v>
      </c>
      <c r="D96" s="26">
        <v>124.5</v>
      </c>
      <c r="E96" s="26">
        <v>136.0</v>
      </c>
      <c r="F96" s="26">
        <f t="shared" si="1"/>
        <v>11.5</v>
      </c>
      <c r="G96" s="27">
        <f t="shared" si="2"/>
        <v>9.236947791</v>
      </c>
      <c r="H96" s="28" t="s">
        <v>20</v>
      </c>
      <c r="J96" s="12">
        <f t="shared" si="3"/>
        <v>0</v>
      </c>
    </row>
    <row r="97">
      <c r="A97" s="24" t="s">
        <v>100</v>
      </c>
      <c r="B97" s="25" t="s">
        <v>123</v>
      </c>
      <c r="C97" s="25" t="s">
        <v>17</v>
      </c>
      <c r="D97" s="26">
        <v>145.0</v>
      </c>
      <c r="E97" s="26">
        <v>169.2</v>
      </c>
      <c r="F97" s="26">
        <f t="shared" si="1"/>
        <v>24.2</v>
      </c>
      <c r="G97" s="27">
        <f t="shared" si="2"/>
        <v>16.68965517</v>
      </c>
      <c r="H97" s="28" t="s">
        <v>12</v>
      </c>
      <c r="J97" s="12">
        <f t="shared" si="3"/>
        <v>0</v>
      </c>
    </row>
    <row r="98">
      <c r="A98" s="24" t="s">
        <v>100</v>
      </c>
      <c r="B98" s="24" t="s">
        <v>124</v>
      </c>
      <c r="C98" s="25" t="s">
        <v>49</v>
      </c>
      <c r="D98" s="26">
        <v>230.5</v>
      </c>
      <c r="E98" s="26">
        <v>233.0</v>
      </c>
      <c r="F98" s="26">
        <f t="shared" si="1"/>
        <v>2.5</v>
      </c>
      <c r="G98" s="27">
        <f t="shared" si="2"/>
        <v>1.084598698</v>
      </c>
      <c r="H98" s="28" t="s">
        <v>12</v>
      </c>
      <c r="J98" s="12">
        <f t="shared" si="3"/>
        <v>0</v>
      </c>
    </row>
    <row r="99">
      <c r="A99" s="24" t="s">
        <v>100</v>
      </c>
      <c r="B99" s="24" t="s">
        <v>125</v>
      </c>
      <c r="C99" s="25" t="s">
        <v>26</v>
      </c>
      <c r="D99" s="26">
        <v>184.5</v>
      </c>
      <c r="E99" s="26">
        <v>207.2</v>
      </c>
      <c r="F99" s="26">
        <f t="shared" si="1"/>
        <v>22.7</v>
      </c>
      <c r="G99" s="27">
        <f t="shared" si="2"/>
        <v>12.30352304</v>
      </c>
      <c r="H99" s="28" t="s">
        <v>12</v>
      </c>
      <c r="J99" s="12">
        <f t="shared" si="3"/>
        <v>0</v>
      </c>
    </row>
    <row r="100">
      <c r="A100" s="29" t="s">
        <v>126</v>
      </c>
      <c r="B100" s="29" t="s">
        <v>127</v>
      </c>
      <c r="C100" s="29" t="s">
        <v>56</v>
      </c>
      <c r="D100" s="30">
        <v>169.5</v>
      </c>
      <c r="E100" s="30">
        <v>179.6</v>
      </c>
      <c r="F100" s="31">
        <f t="shared" si="1"/>
        <v>10.1</v>
      </c>
      <c r="G100" s="32">
        <f t="shared" si="2"/>
        <v>5.958702065</v>
      </c>
      <c r="H100" s="33" t="s">
        <v>12</v>
      </c>
      <c r="J100" s="12">
        <f t="shared" si="3"/>
        <v>0</v>
      </c>
    </row>
    <row r="101">
      <c r="A101" s="29" t="s">
        <v>126</v>
      </c>
      <c r="B101" s="29" t="s">
        <v>128</v>
      </c>
      <c r="C101" s="29" t="s">
        <v>11</v>
      </c>
      <c r="D101" s="30">
        <v>124.0</v>
      </c>
      <c r="E101" s="30">
        <v>136.2</v>
      </c>
      <c r="F101" s="31">
        <f t="shared" si="1"/>
        <v>12.2</v>
      </c>
      <c r="G101" s="32">
        <f t="shared" si="2"/>
        <v>9.838709677</v>
      </c>
      <c r="H101" s="33" t="s">
        <v>12</v>
      </c>
      <c r="J101" s="12">
        <f t="shared" si="3"/>
        <v>0</v>
      </c>
    </row>
    <row r="102">
      <c r="A102" s="29" t="s">
        <v>126</v>
      </c>
      <c r="B102" s="29" t="s">
        <v>129</v>
      </c>
      <c r="C102" s="29" t="s">
        <v>49</v>
      </c>
      <c r="D102" s="30">
        <v>247.0</v>
      </c>
      <c r="E102" s="30">
        <v>245.0</v>
      </c>
      <c r="F102" s="31">
        <f t="shared" si="1"/>
        <v>-2</v>
      </c>
      <c r="G102" s="32">
        <f t="shared" si="2"/>
        <v>-0.8097165992</v>
      </c>
      <c r="H102" s="33" t="s">
        <v>12</v>
      </c>
      <c r="J102" s="12">
        <f t="shared" si="3"/>
        <v>0</v>
      </c>
    </row>
    <row r="103">
      <c r="A103" s="29" t="s">
        <v>126</v>
      </c>
      <c r="B103" s="29" t="s">
        <v>130</v>
      </c>
      <c r="C103" s="29" t="s">
        <v>14</v>
      </c>
      <c r="D103" s="30">
        <v>135.5</v>
      </c>
      <c r="E103" s="30">
        <v>159.0</v>
      </c>
      <c r="F103" s="31">
        <f t="shared" si="1"/>
        <v>23.5</v>
      </c>
      <c r="G103" s="32">
        <f t="shared" si="2"/>
        <v>17.34317343</v>
      </c>
      <c r="H103" s="33" t="s">
        <v>12</v>
      </c>
      <c r="J103" s="12">
        <f t="shared" si="3"/>
        <v>0</v>
      </c>
    </row>
    <row r="104">
      <c r="A104" s="29" t="s">
        <v>126</v>
      </c>
      <c r="B104" s="29" t="s">
        <v>131</v>
      </c>
      <c r="C104" s="29" t="s">
        <v>11</v>
      </c>
      <c r="D104" s="30">
        <v>124.0</v>
      </c>
      <c r="E104" s="30">
        <v>143.2</v>
      </c>
      <c r="F104" s="31">
        <f t="shared" si="1"/>
        <v>19.2</v>
      </c>
      <c r="G104" s="32">
        <f t="shared" si="2"/>
        <v>15.48387097</v>
      </c>
      <c r="H104" s="33" t="s">
        <v>12</v>
      </c>
      <c r="J104" s="12">
        <f t="shared" si="3"/>
        <v>0</v>
      </c>
    </row>
    <row r="105">
      <c r="A105" s="29" t="s">
        <v>126</v>
      </c>
      <c r="B105" s="29" t="s">
        <v>132</v>
      </c>
      <c r="C105" s="29" t="s">
        <v>49</v>
      </c>
      <c r="D105" s="30">
        <v>257.0</v>
      </c>
      <c r="E105" s="30">
        <v>260.4</v>
      </c>
      <c r="F105" s="31">
        <f t="shared" si="1"/>
        <v>3.4</v>
      </c>
      <c r="G105" s="32">
        <f t="shared" si="2"/>
        <v>1.322957198</v>
      </c>
      <c r="H105" s="33" t="s">
        <v>12</v>
      </c>
      <c r="J105" s="12">
        <f t="shared" si="3"/>
        <v>0</v>
      </c>
    </row>
    <row r="106">
      <c r="A106" s="29" t="s">
        <v>126</v>
      </c>
      <c r="B106" s="29" t="s">
        <v>133</v>
      </c>
      <c r="C106" s="29" t="s">
        <v>52</v>
      </c>
      <c r="D106" s="30">
        <v>155.5</v>
      </c>
      <c r="E106" s="30">
        <v>167.0</v>
      </c>
      <c r="F106" s="31">
        <f t="shared" si="1"/>
        <v>11.5</v>
      </c>
      <c r="G106" s="32">
        <f t="shared" si="2"/>
        <v>7.395498392</v>
      </c>
      <c r="H106" s="33" t="s">
        <v>12</v>
      </c>
      <c r="J106" s="12">
        <f t="shared" si="3"/>
        <v>0</v>
      </c>
    </row>
    <row r="107">
      <c r="A107" s="29" t="s">
        <v>126</v>
      </c>
      <c r="B107" s="29" t="s">
        <v>134</v>
      </c>
      <c r="C107" s="29" t="s">
        <v>56</v>
      </c>
      <c r="D107" s="30">
        <v>170.5</v>
      </c>
      <c r="E107" s="30">
        <v>189.0</v>
      </c>
      <c r="F107" s="31">
        <f t="shared" si="1"/>
        <v>18.5</v>
      </c>
      <c r="G107" s="32">
        <f t="shared" si="2"/>
        <v>10.85043988</v>
      </c>
      <c r="H107" s="33" t="s">
        <v>12</v>
      </c>
      <c r="J107" s="12">
        <f t="shared" si="3"/>
        <v>0</v>
      </c>
    </row>
    <row r="108">
      <c r="A108" s="29" t="s">
        <v>126</v>
      </c>
      <c r="B108" s="29" t="s">
        <v>135</v>
      </c>
      <c r="C108" s="29" t="s">
        <v>121</v>
      </c>
      <c r="D108" s="30">
        <v>125.0</v>
      </c>
      <c r="E108" s="30">
        <v>136.8</v>
      </c>
      <c r="F108" s="31">
        <f t="shared" si="1"/>
        <v>11.8</v>
      </c>
      <c r="G108" s="32">
        <f t="shared" si="2"/>
        <v>9.44</v>
      </c>
      <c r="H108" s="33" t="s">
        <v>20</v>
      </c>
      <c r="J108" s="12">
        <f t="shared" si="3"/>
        <v>0</v>
      </c>
    </row>
    <row r="109">
      <c r="A109" s="29" t="s">
        <v>126</v>
      </c>
      <c r="B109" s="29" t="s">
        <v>136</v>
      </c>
      <c r="C109" s="29" t="s">
        <v>121</v>
      </c>
      <c r="D109" s="30">
        <v>125.0</v>
      </c>
      <c r="E109" s="30">
        <v>133.2</v>
      </c>
      <c r="F109" s="31">
        <f t="shared" si="1"/>
        <v>8.2</v>
      </c>
      <c r="G109" s="32">
        <f t="shared" si="2"/>
        <v>6.56</v>
      </c>
      <c r="H109" s="33" t="s">
        <v>20</v>
      </c>
      <c r="J109" s="12">
        <f t="shared" si="3"/>
        <v>0</v>
      </c>
    </row>
    <row r="110">
      <c r="A110" s="29" t="s">
        <v>126</v>
      </c>
      <c r="B110" s="29" t="s">
        <v>137</v>
      </c>
      <c r="C110" s="29" t="s">
        <v>52</v>
      </c>
      <c r="D110" s="30">
        <v>154.5</v>
      </c>
      <c r="E110" s="30">
        <v>175.0</v>
      </c>
      <c r="F110" s="31">
        <f t="shared" si="1"/>
        <v>20.5</v>
      </c>
      <c r="G110" s="32">
        <f t="shared" si="2"/>
        <v>13.26860841</v>
      </c>
      <c r="H110" s="33" t="s">
        <v>12</v>
      </c>
      <c r="J110" s="12">
        <f t="shared" si="3"/>
        <v>0</v>
      </c>
    </row>
    <row r="111">
      <c r="A111" s="29" t="s">
        <v>126</v>
      </c>
      <c r="B111" s="29" t="s">
        <v>138</v>
      </c>
      <c r="C111" s="29" t="s">
        <v>56</v>
      </c>
      <c r="D111" s="30">
        <v>170.0</v>
      </c>
      <c r="E111" s="30">
        <v>190.4</v>
      </c>
      <c r="F111" s="31">
        <f t="shared" si="1"/>
        <v>20.4</v>
      </c>
      <c r="G111" s="32">
        <f t="shared" si="2"/>
        <v>12</v>
      </c>
      <c r="H111" s="33" t="s">
        <v>12</v>
      </c>
      <c r="J111" s="12">
        <f t="shared" si="3"/>
        <v>0</v>
      </c>
    </row>
    <row r="112">
      <c r="A112" s="29" t="s">
        <v>126</v>
      </c>
      <c r="B112" s="29" t="s">
        <v>139</v>
      </c>
      <c r="C112" s="29" t="s">
        <v>56</v>
      </c>
      <c r="D112" s="30">
        <v>170.0</v>
      </c>
      <c r="E112" s="30">
        <v>184.0</v>
      </c>
      <c r="F112" s="31">
        <f t="shared" si="1"/>
        <v>14</v>
      </c>
      <c r="G112" s="32">
        <f t="shared" si="2"/>
        <v>8.235294118</v>
      </c>
      <c r="H112" s="33" t="s">
        <v>12</v>
      </c>
      <c r="J112" s="12">
        <f t="shared" si="3"/>
        <v>0</v>
      </c>
    </row>
    <row r="113">
      <c r="A113" s="29" t="s">
        <v>126</v>
      </c>
      <c r="B113" s="29" t="s">
        <v>140</v>
      </c>
      <c r="C113" s="29" t="s">
        <v>56</v>
      </c>
      <c r="D113" s="30">
        <v>170.5</v>
      </c>
      <c r="E113" s="30">
        <v>189.6</v>
      </c>
      <c r="F113" s="31">
        <f t="shared" si="1"/>
        <v>19.1</v>
      </c>
      <c r="G113" s="32">
        <f t="shared" si="2"/>
        <v>11.20234604</v>
      </c>
      <c r="H113" s="33" t="s">
        <v>12</v>
      </c>
      <c r="J113" s="12">
        <f t="shared" si="3"/>
        <v>0</v>
      </c>
    </row>
    <row r="114">
      <c r="A114" s="29" t="s">
        <v>126</v>
      </c>
      <c r="B114" s="29" t="s">
        <v>141</v>
      </c>
      <c r="C114" s="29" t="s">
        <v>14</v>
      </c>
      <c r="D114" s="30">
        <v>135.0</v>
      </c>
      <c r="E114" s="30">
        <v>150.6</v>
      </c>
      <c r="F114" s="31">
        <f t="shared" si="1"/>
        <v>15.6</v>
      </c>
      <c r="G114" s="32">
        <f t="shared" si="2"/>
        <v>11.55555556</v>
      </c>
      <c r="H114" s="33" t="s">
        <v>12</v>
      </c>
      <c r="J114" s="12">
        <f t="shared" si="3"/>
        <v>0</v>
      </c>
    </row>
    <row r="115">
      <c r="A115" s="29" t="s">
        <v>126</v>
      </c>
      <c r="B115" s="29" t="s">
        <v>142</v>
      </c>
      <c r="C115" s="29" t="s">
        <v>14</v>
      </c>
      <c r="D115" s="30">
        <v>136.0</v>
      </c>
      <c r="E115" s="30">
        <v>148.8</v>
      </c>
      <c r="F115" s="31">
        <f t="shared" si="1"/>
        <v>12.8</v>
      </c>
      <c r="G115" s="32">
        <f t="shared" si="2"/>
        <v>9.411764706</v>
      </c>
      <c r="H115" s="33" t="s">
        <v>12</v>
      </c>
      <c r="J115" s="12">
        <f t="shared" si="3"/>
        <v>0</v>
      </c>
    </row>
    <row r="116">
      <c r="A116" s="29" t="s">
        <v>126</v>
      </c>
      <c r="B116" s="29" t="s">
        <v>143</v>
      </c>
      <c r="C116" s="29" t="s">
        <v>14</v>
      </c>
      <c r="D116" s="30">
        <v>136.0</v>
      </c>
      <c r="E116" s="30">
        <v>157.8</v>
      </c>
      <c r="F116" s="31">
        <f t="shared" si="1"/>
        <v>21.8</v>
      </c>
      <c r="G116" s="32">
        <f t="shared" si="2"/>
        <v>16.02941176</v>
      </c>
      <c r="H116" s="33" t="s">
        <v>12</v>
      </c>
      <c r="J116" s="12">
        <f t="shared" si="3"/>
        <v>0</v>
      </c>
    </row>
    <row r="117">
      <c r="A117" s="29" t="s">
        <v>126</v>
      </c>
      <c r="B117" s="29" t="s">
        <v>144</v>
      </c>
      <c r="C117" s="29" t="s">
        <v>19</v>
      </c>
      <c r="D117" s="30">
        <v>115.5</v>
      </c>
      <c r="E117" s="30">
        <v>132.2</v>
      </c>
      <c r="F117" s="31">
        <f t="shared" si="1"/>
        <v>16.7</v>
      </c>
      <c r="G117" s="32">
        <f t="shared" si="2"/>
        <v>14.45887446</v>
      </c>
      <c r="H117" s="33" t="s">
        <v>20</v>
      </c>
      <c r="J117" s="12">
        <f t="shared" si="3"/>
        <v>0</v>
      </c>
    </row>
    <row r="118">
      <c r="A118" s="29" t="s">
        <v>126</v>
      </c>
      <c r="B118" s="29" t="s">
        <v>145</v>
      </c>
      <c r="C118" s="29" t="s">
        <v>14</v>
      </c>
      <c r="D118" s="30">
        <v>135.5</v>
      </c>
      <c r="E118" s="30">
        <v>148.8</v>
      </c>
      <c r="F118" s="31">
        <f t="shared" si="1"/>
        <v>13.3</v>
      </c>
      <c r="G118" s="32">
        <f t="shared" si="2"/>
        <v>9.815498155</v>
      </c>
      <c r="H118" s="33" t="s">
        <v>12</v>
      </c>
      <c r="J118" s="12">
        <f t="shared" si="3"/>
        <v>0</v>
      </c>
    </row>
    <row r="119">
      <c r="A119" s="29" t="s">
        <v>126</v>
      </c>
      <c r="B119" s="29" t="s">
        <v>146</v>
      </c>
      <c r="C119" s="29" t="s">
        <v>56</v>
      </c>
      <c r="D119" s="30">
        <v>170.0</v>
      </c>
      <c r="E119" s="30">
        <v>188.2</v>
      </c>
      <c r="F119" s="31">
        <f t="shared" si="1"/>
        <v>18.2</v>
      </c>
      <c r="G119" s="32">
        <f t="shared" si="2"/>
        <v>10.70588235</v>
      </c>
      <c r="H119" s="33" t="s">
        <v>12</v>
      </c>
      <c r="J119" s="12">
        <f t="shared" si="3"/>
        <v>0</v>
      </c>
    </row>
    <row r="120">
      <c r="A120" s="29" t="s">
        <v>126</v>
      </c>
      <c r="B120" s="29" t="s">
        <v>147</v>
      </c>
      <c r="C120" s="29" t="s">
        <v>19</v>
      </c>
      <c r="D120" s="30">
        <v>115.5</v>
      </c>
      <c r="E120" s="30">
        <v>128.5</v>
      </c>
      <c r="F120" s="31">
        <f t="shared" si="1"/>
        <v>13</v>
      </c>
      <c r="G120" s="32">
        <f t="shared" si="2"/>
        <v>11.25541126</v>
      </c>
      <c r="H120" s="33" t="s">
        <v>20</v>
      </c>
      <c r="J120" s="12">
        <f t="shared" si="3"/>
        <v>0</v>
      </c>
    </row>
    <row r="121">
      <c r="A121" s="29" t="s">
        <v>126</v>
      </c>
      <c r="B121" s="29" t="s">
        <v>148</v>
      </c>
      <c r="C121" s="29" t="s">
        <v>14</v>
      </c>
      <c r="D121" s="30">
        <v>135.5</v>
      </c>
      <c r="E121" s="30">
        <v>148.5</v>
      </c>
      <c r="F121" s="31">
        <f t="shared" si="1"/>
        <v>13</v>
      </c>
      <c r="G121" s="32">
        <f t="shared" si="2"/>
        <v>9.594095941</v>
      </c>
      <c r="H121" s="33" t="s">
        <v>12</v>
      </c>
      <c r="J121" s="12">
        <f t="shared" si="3"/>
        <v>0</v>
      </c>
    </row>
    <row r="122">
      <c r="A122" s="34" t="s">
        <v>149</v>
      </c>
      <c r="B122" s="34" t="s">
        <v>150</v>
      </c>
      <c r="C122" s="34" t="s">
        <v>54</v>
      </c>
      <c r="D122" s="35">
        <v>119.5</v>
      </c>
      <c r="E122" s="35">
        <v>126.8</v>
      </c>
      <c r="F122" s="36">
        <f t="shared" si="1"/>
        <v>7.3</v>
      </c>
      <c r="G122" s="37">
        <f t="shared" si="2"/>
        <v>6.108786611</v>
      </c>
      <c r="H122" s="38" t="s">
        <v>20</v>
      </c>
      <c r="J122" s="12">
        <f t="shared" si="3"/>
        <v>0</v>
      </c>
    </row>
    <row r="123">
      <c r="A123" s="34" t="s">
        <v>149</v>
      </c>
      <c r="B123" s="34" t="s">
        <v>151</v>
      </c>
      <c r="C123" s="34" t="s">
        <v>77</v>
      </c>
      <c r="D123" s="35">
        <v>135.5</v>
      </c>
      <c r="E123" s="35">
        <v>142.2</v>
      </c>
      <c r="F123" s="36">
        <f t="shared" si="1"/>
        <v>6.7</v>
      </c>
      <c r="G123" s="37">
        <f t="shared" si="2"/>
        <v>4.944649446</v>
      </c>
      <c r="H123" s="38" t="s">
        <v>20</v>
      </c>
      <c r="J123" s="12">
        <f t="shared" si="3"/>
        <v>0</v>
      </c>
    </row>
    <row r="124">
      <c r="A124" s="34" t="s">
        <v>149</v>
      </c>
      <c r="B124" s="34" t="s">
        <v>152</v>
      </c>
      <c r="C124" s="34" t="s">
        <v>43</v>
      </c>
      <c r="D124" s="35">
        <v>204.0</v>
      </c>
      <c r="E124" s="35">
        <v>219.4</v>
      </c>
      <c r="F124" s="36">
        <f t="shared" si="1"/>
        <v>15.4</v>
      </c>
      <c r="G124" s="37">
        <f t="shared" si="2"/>
        <v>7.549019608</v>
      </c>
      <c r="H124" s="38" t="s">
        <v>12</v>
      </c>
      <c r="J124" s="12">
        <f t="shared" si="3"/>
        <v>0</v>
      </c>
    </row>
    <row r="125">
      <c r="A125" s="34" t="s">
        <v>149</v>
      </c>
      <c r="B125" s="34" t="s">
        <v>153</v>
      </c>
      <c r="C125" s="34" t="s">
        <v>26</v>
      </c>
      <c r="D125" s="35">
        <v>186.0</v>
      </c>
      <c r="E125" s="35">
        <v>199.8</v>
      </c>
      <c r="F125" s="36">
        <f t="shared" si="1"/>
        <v>13.8</v>
      </c>
      <c r="G125" s="37">
        <f t="shared" si="2"/>
        <v>7.419354839</v>
      </c>
      <c r="H125" s="38" t="s">
        <v>12</v>
      </c>
      <c r="J125" s="12">
        <f t="shared" si="3"/>
        <v>0</v>
      </c>
    </row>
    <row r="126">
      <c r="A126" s="34" t="s">
        <v>149</v>
      </c>
      <c r="B126" s="34" t="s">
        <v>154</v>
      </c>
      <c r="C126" s="34" t="s">
        <v>52</v>
      </c>
      <c r="D126" s="35">
        <v>155.0</v>
      </c>
      <c r="E126" s="35">
        <v>165.4</v>
      </c>
      <c r="F126" s="36">
        <f t="shared" si="1"/>
        <v>10.4</v>
      </c>
      <c r="G126" s="37">
        <f t="shared" si="2"/>
        <v>6.709677419</v>
      </c>
      <c r="H126" s="38" t="s">
        <v>12</v>
      </c>
      <c r="J126" s="12">
        <f t="shared" si="3"/>
        <v>0</v>
      </c>
    </row>
    <row r="127">
      <c r="A127" s="34" t="s">
        <v>149</v>
      </c>
      <c r="B127" s="34" t="s">
        <v>155</v>
      </c>
      <c r="C127" s="34" t="s">
        <v>121</v>
      </c>
      <c r="D127" s="35">
        <v>125.5</v>
      </c>
      <c r="E127" s="35">
        <v>136.4</v>
      </c>
      <c r="F127" s="36">
        <f t="shared" si="1"/>
        <v>10.9</v>
      </c>
      <c r="G127" s="37">
        <f t="shared" si="2"/>
        <v>8.685258964</v>
      </c>
      <c r="H127" s="38" t="s">
        <v>20</v>
      </c>
      <c r="J127" s="12">
        <f t="shared" si="3"/>
        <v>0</v>
      </c>
    </row>
    <row r="128">
      <c r="A128" s="34" t="s">
        <v>149</v>
      </c>
      <c r="B128" s="34" t="s">
        <v>156</v>
      </c>
      <c r="C128" s="34" t="s">
        <v>14</v>
      </c>
      <c r="D128" s="35">
        <v>134.0</v>
      </c>
      <c r="E128" s="35">
        <v>152.4</v>
      </c>
      <c r="F128" s="36">
        <f t="shared" si="1"/>
        <v>18.4</v>
      </c>
      <c r="G128" s="37">
        <f t="shared" si="2"/>
        <v>13.73134328</v>
      </c>
      <c r="H128" s="38" t="s">
        <v>12</v>
      </c>
      <c r="J128" s="12">
        <f t="shared" si="3"/>
        <v>0</v>
      </c>
    </row>
    <row r="129">
      <c r="A129" s="34" t="s">
        <v>149</v>
      </c>
      <c r="B129" s="34" t="s">
        <v>157</v>
      </c>
      <c r="C129" s="34" t="s">
        <v>17</v>
      </c>
      <c r="D129" s="35">
        <v>145.0</v>
      </c>
      <c r="E129" s="35">
        <v>160.2</v>
      </c>
      <c r="F129" s="36">
        <f t="shared" si="1"/>
        <v>15.2</v>
      </c>
      <c r="G129" s="37">
        <f t="shared" si="2"/>
        <v>10.48275862</v>
      </c>
      <c r="H129" s="38" t="s">
        <v>12</v>
      </c>
      <c r="J129" s="12">
        <f t="shared" si="3"/>
        <v>0</v>
      </c>
    </row>
    <row r="130">
      <c r="A130" s="34" t="s">
        <v>149</v>
      </c>
      <c r="B130" s="34" t="s">
        <v>158</v>
      </c>
      <c r="C130" s="34" t="s">
        <v>43</v>
      </c>
      <c r="D130" s="35">
        <v>205.0</v>
      </c>
      <c r="E130" s="35">
        <v>220.4</v>
      </c>
      <c r="F130" s="36">
        <f t="shared" si="1"/>
        <v>15.4</v>
      </c>
      <c r="G130" s="37">
        <f t="shared" si="2"/>
        <v>7.512195122</v>
      </c>
      <c r="H130" s="38" t="s">
        <v>12</v>
      </c>
      <c r="J130" s="12">
        <f t="shared" si="3"/>
        <v>0</v>
      </c>
    </row>
    <row r="131">
      <c r="A131" s="34" t="s">
        <v>149</v>
      </c>
      <c r="B131" s="34" t="s">
        <v>159</v>
      </c>
      <c r="C131" s="34" t="s">
        <v>14</v>
      </c>
      <c r="D131" s="35">
        <v>135.0</v>
      </c>
      <c r="E131" s="35">
        <v>154.0</v>
      </c>
      <c r="F131" s="36">
        <f t="shared" si="1"/>
        <v>19</v>
      </c>
      <c r="G131" s="37">
        <f t="shared" si="2"/>
        <v>14.07407407</v>
      </c>
      <c r="H131" s="38" t="s">
        <v>12</v>
      </c>
      <c r="J131" s="12">
        <f t="shared" si="3"/>
        <v>0</v>
      </c>
    </row>
    <row r="132">
      <c r="A132" s="34" t="s">
        <v>149</v>
      </c>
      <c r="B132" s="34" t="s">
        <v>160</v>
      </c>
      <c r="C132" s="34" t="s">
        <v>52</v>
      </c>
      <c r="D132" s="35">
        <v>155.0</v>
      </c>
      <c r="E132" s="35">
        <v>170.2</v>
      </c>
      <c r="F132" s="36">
        <f t="shared" si="1"/>
        <v>15.2</v>
      </c>
      <c r="G132" s="37">
        <f t="shared" si="2"/>
        <v>9.806451613</v>
      </c>
      <c r="H132" s="38" t="s">
        <v>12</v>
      </c>
      <c r="J132" s="12">
        <f t="shared" si="3"/>
        <v>0</v>
      </c>
    </row>
    <row r="133">
      <c r="A133" s="34" t="s">
        <v>149</v>
      </c>
      <c r="B133" s="34" t="s">
        <v>161</v>
      </c>
      <c r="C133" s="34" t="s">
        <v>26</v>
      </c>
      <c r="D133" s="35">
        <v>185.0</v>
      </c>
      <c r="E133" s="35">
        <v>203.4</v>
      </c>
      <c r="F133" s="36">
        <f t="shared" si="1"/>
        <v>18.4</v>
      </c>
      <c r="G133" s="37">
        <f t="shared" si="2"/>
        <v>9.945945946</v>
      </c>
      <c r="H133" s="38" t="s">
        <v>12</v>
      </c>
      <c r="J133" s="12">
        <f t="shared" si="3"/>
        <v>0</v>
      </c>
    </row>
    <row r="134">
      <c r="A134" s="34" t="s">
        <v>149</v>
      </c>
      <c r="B134" s="34" t="s">
        <v>162</v>
      </c>
      <c r="C134" s="34" t="s">
        <v>19</v>
      </c>
      <c r="D134" s="35">
        <v>116.0</v>
      </c>
      <c r="E134" s="35">
        <v>131.4</v>
      </c>
      <c r="F134" s="36">
        <f t="shared" si="1"/>
        <v>15.4</v>
      </c>
      <c r="G134" s="37">
        <f t="shared" si="2"/>
        <v>13.27586207</v>
      </c>
      <c r="H134" s="38" t="s">
        <v>20</v>
      </c>
      <c r="J134" s="12">
        <f t="shared" si="3"/>
        <v>0</v>
      </c>
    </row>
    <row r="135">
      <c r="A135" s="34" t="s">
        <v>149</v>
      </c>
      <c r="B135" s="34" t="s">
        <v>163</v>
      </c>
      <c r="C135" s="34" t="s">
        <v>54</v>
      </c>
      <c r="D135" s="35">
        <v>179.5</v>
      </c>
      <c r="E135" s="35">
        <v>191.0</v>
      </c>
      <c r="F135" s="36">
        <f t="shared" si="1"/>
        <v>11.5</v>
      </c>
      <c r="G135" s="37">
        <f t="shared" si="2"/>
        <v>6.406685237</v>
      </c>
      <c r="H135" s="38" t="s">
        <v>12</v>
      </c>
      <c r="J135" s="12">
        <f t="shared" si="3"/>
        <v>0</v>
      </c>
    </row>
    <row r="136">
      <c r="A136" s="34" t="s">
        <v>149</v>
      </c>
      <c r="B136" s="34" t="s">
        <v>164</v>
      </c>
      <c r="C136" s="34" t="s">
        <v>54</v>
      </c>
      <c r="D136" s="35">
        <v>175.0</v>
      </c>
      <c r="E136" s="35">
        <v>185.0</v>
      </c>
      <c r="F136" s="36">
        <f t="shared" si="1"/>
        <v>10</v>
      </c>
      <c r="G136" s="37">
        <f t="shared" si="2"/>
        <v>5.714285714</v>
      </c>
      <c r="H136" s="38" t="s">
        <v>12</v>
      </c>
      <c r="J136" s="12">
        <f t="shared" si="3"/>
        <v>0</v>
      </c>
    </row>
    <row r="137">
      <c r="A137" s="34" t="s">
        <v>149</v>
      </c>
      <c r="B137" s="34" t="s">
        <v>165</v>
      </c>
      <c r="C137" s="34" t="s">
        <v>49</v>
      </c>
      <c r="D137" s="35">
        <v>236.5</v>
      </c>
      <c r="E137" s="35">
        <v>240.0</v>
      </c>
      <c r="F137" s="36">
        <f t="shared" si="1"/>
        <v>3.5</v>
      </c>
      <c r="G137" s="37">
        <f t="shared" si="2"/>
        <v>1.479915433</v>
      </c>
      <c r="H137" s="38" t="s">
        <v>12</v>
      </c>
      <c r="J137" s="12">
        <f t="shared" si="3"/>
        <v>0</v>
      </c>
    </row>
    <row r="138">
      <c r="A138" s="34" t="s">
        <v>149</v>
      </c>
      <c r="B138" s="34" t="s">
        <v>166</v>
      </c>
      <c r="C138" s="34" t="s">
        <v>54</v>
      </c>
      <c r="D138" s="35">
        <v>119.0</v>
      </c>
      <c r="E138" s="35">
        <v>130.0</v>
      </c>
      <c r="F138" s="36">
        <f t="shared" si="1"/>
        <v>11</v>
      </c>
      <c r="G138" s="37">
        <f t="shared" si="2"/>
        <v>9.243697479</v>
      </c>
      <c r="H138" s="38" t="s">
        <v>20</v>
      </c>
      <c r="J138" s="12">
        <f t="shared" si="3"/>
        <v>0</v>
      </c>
    </row>
    <row r="139">
      <c r="A139" s="34" t="s">
        <v>149</v>
      </c>
      <c r="B139" s="34" t="s">
        <v>167</v>
      </c>
      <c r="C139" s="34" t="s">
        <v>14</v>
      </c>
      <c r="D139" s="35">
        <v>135.5</v>
      </c>
      <c r="E139" s="35">
        <v>151.8</v>
      </c>
      <c r="F139" s="36">
        <f t="shared" si="1"/>
        <v>16.3</v>
      </c>
      <c r="G139" s="37">
        <f t="shared" si="2"/>
        <v>12.0295203</v>
      </c>
      <c r="H139" s="38" t="s">
        <v>12</v>
      </c>
      <c r="J139" s="12">
        <f t="shared" si="3"/>
        <v>0</v>
      </c>
    </row>
    <row r="140">
      <c r="A140" s="34" t="s">
        <v>149</v>
      </c>
      <c r="B140" s="34" t="s">
        <v>168</v>
      </c>
      <c r="C140" s="34" t="s">
        <v>49</v>
      </c>
      <c r="D140" s="35">
        <v>266.0</v>
      </c>
      <c r="E140" s="35">
        <v>290.4</v>
      </c>
      <c r="F140" s="36">
        <f t="shared" si="1"/>
        <v>24.4</v>
      </c>
      <c r="G140" s="37">
        <f t="shared" si="2"/>
        <v>9.172932331</v>
      </c>
      <c r="H140" s="38" t="s">
        <v>12</v>
      </c>
      <c r="J140" s="12">
        <f t="shared" si="3"/>
        <v>0</v>
      </c>
    </row>
    <row r="141">
      <c r="A141" s="34" t="s">
        <v>149</v>
      </c>
      <c r="B141" s="34" t="s">
        <v>169</v>
      </c>
      <c r="C141" s="34" t="s">
        <v>17</v>
      </c>
      <c r="D141" s="35">
        <v>145.5</v>
      </c>
      <c r="E141" s="35">
        <v>161.4</v>
      </c>
      <c r="F141" s="36">
        <f t="shared" si="1"/>
        <v>15.9</v>
      </c>
      <c r="G141" s="37">
        <f t="shared" si="2"/>
        <v>10.92783505</v>
      </c>
      <c r="H141" s="38" t="s">
        <v>12</v>
      </c>
      <c r="J141" s="12">
        <f t="shared" si="3"/>
        <v>0</v>
      </c>
    </row>
    <row r="142">
      <c r="A142" s="34" t="s">
        <v>149</v>
      </c>
      <c r="B142" s="34" t="s">
        <v>170</v>
      </c>
      <c r="C142" s="34" t="s">
        <v>121</v>
      </c>
      <c r="D142" s="35">
        <v>125.5</v>
      </c>
      <c r="E142" s="35">
        <v>130.2</v>
      </c>
      <c r="F142" s="36">
        <f t="shared" si="1"/>
        <v>4.7</v>
      </c>
      <c r="G142" s="37">
        <f t="shared" si="2"/>
        <v>3.74501992</v>
      </c>
      <c r="H142" s="38" t="s">
        <v>20</v>
      </c>
      <c r="J142" s="12">
        <f t="shared" si="3"/>
        <v>0</v>
      </c>
    </row>
    <row r="143">
      <c r="A143" s="34" t="s">
        <v>149</v>
      </c>
      <c r="B143" s="34" t="s">
        <v>171</v>
      </c>
      <c r="C143" s="34" t="s">
        <v>11</v>
      </c>
      <c r="D143" s="35">
        <v>125.0</v>
      </c>
      <c r="E143" s="35">
        <v>138.6</v>
      </c>
      <c r="F143" s="36">
        <f t="shared" si="1"/>
        <v>13.6</v>
      </c>
      <c r="G143" s="37">
        <f t="shared" si="2"/>
        <v>10.88</v>
      </c>
      <c r="H143" s="38" t="s">
        <v>12</v>
      </c>
      <c r="J143" s="12">
        <f t="shared" si="3"/>
        <v>0</v>
      </c>
    </row>
    <row r="144">
      <c r="A144" s="34" t="s">
        <v>149</v>
      </c>
      <c r="B144" s="34" t="s">
        <v>172</v>
      </c>
      <c r="C144" s="34" t="s">
        <v>77</v>
      </c>
      <c r="D144" s="35">
        <v>135.0</v>
      </c>
      <c r="E144" s="35">
        <v>147.4</v>
      </c>
      <c r="F144" s="36">
        <f t="shared" si="1"/>
        <v>12.4</v>
      </c>
      <c r="G144" s="37">
        <f t="shared" si="2"/>
        <v>9.185185185</v>
      </c>
      <c r="H144" s="38" t="s">
        <v>20</v>
      </c>
      <c r="J144" s="12">
        <f t="shared" si="3"/>
        <v>0</v>
      </c>
    </row>
    <row r="145">
      <c r="A145" s="34" t="s">
        <v>149</v>
      </c>
      <c r="B145" s="34" t="s">
        <v>173</v>
      </c>
      <c r="C145" s="34" t="s">
        <v>11</v>
      </c>
      <c r="D145" s="35">
        <v>126.0</v>
      </c>
      <c r="E145" s="35">
        <v>146.2</v>
      </c>
      <c r="F145" s="36">
        <f t="shared" si="1"/>
        <v>20.2</v>
      </c>
      <c r="G145" s="37">
        <f t="shared" si="2"/>
        <v>16.03174603</v>
      </c>
      <c r="H145" s="38" t="s">
        <v>12</v>
      </c>
      <c r="J145" s="12">
        <f t="shared" si="3"/>
        <v>0</v>
      </c>
    </row>
    <row r="146">
      <c r="A146" s="34" t="s">
        <v>149</v>
      </c>
      <c r="B146" s="34" t="s">
        <v>174</v>
      </c>
      <c r="C146" s="34" t="s">
        <v>19</v>
      </c>
      <c r="D146" s="35">
        <v>114.5</v>
      </c>
      <c r="E146" s="35">
        <v>130.4</v>
      </c>
      <c r="F146" s="36">
        <f t="shared" si="1"/>
        <v>15.9</v>
      </c>
      <c r="G146" s="37">
        <f t="shared" si="2"/>
        <v>13.88646288</v>
      </c>
      <c r="H146" s="38" t="s">
        <v>20</v>
      </c>
      <c r="J146" s="12">
        <f t="shared" si="3"/>
        <v>0</v>
      </c>
    </row>
    <row r="147">
      <c r="A147" s="34" t="s">
        <v>149</v>
      </c>
      <c r="B147" s="34" t="s">
        <v>175</v>
      </c>
      <c r="C147" s="34" t="s">
        <v>14</v>
      </c>
      <c r="D147" s="35">
        <v>135.5</v>
      </c>
      <c r="E147" s="35">
        <v>154.6</v>
      </c>
      <c r="F147" s="36">
        <f t="shared" si="1"/>
        <v>19.1</v>
      </c>
      <c r="G147" s="37">
        <f t="shared" si="2"/>
        <v>14.09594096</v>
      </c>
      <c r="H147" s="38" t="s">
        <v>12</v>
      </c>
      <c r="J147" s="12">
        <f t="shared" si="3"/>
        <v>0</v>
      </c>
    </row>
    <row r="148">
      <c r="A148" s="39" t="s">
        <v>176</v>
      </c>
      <c r="B148" s="39" t="s">
        <v>177</v>
      </c>
      <c r="C148" s="39" t="s">
        <v>17</v>
      </c>
      <c r="D148" s="40">
        <v>144.5</v>
      </c>
      <c r="E148" s="40">
        <v>166.2</v>
      </c>
      <c r="F148" s="41">
        <f t="shared" si="1"/>
        <v>21.7</v>
      </c>
      <c r="G148" s="42">
        <f t="shared" si="2"/>
        <v>15.01730104</v>
      </c>
      <c r="H148" s="43" t="s">
        <v>12</v>
      </c>
      <c r="J148" s="12">
        <f t="shared" si="3"/>
        <v>0</v>
      </c>
      <c r="P148" s="44"/>
    </row>
    <row r="149">
      <c r="A149" s="39" t="s">
        <v>176</v>
      </c>
      <c r="B149" s="39" t="s">
        <v>178</v>
      </c>
      <c r="C149" s="39" t="s">
        <v>19</v>
      </c>
      <c r="D149" s="40">
        <v>115.5</v>
      </c>
      <c r="E149" s="40">
        <v>123.8</v>
      </c>
      <c r="F149" s="41">
        <f t="shared" si="1"/>
        <v>8.3</v>
      </c>
      <c r="G149" s="42">
        <f t="shared" si="2"/>
        <v>7.186147186</v>
      </c>
      <c r="H149" s="43" t="s">
        <v>20</v>
      </c>
      <c r="J149" s="12">
        <f t="shared" si="3"/>
        <v>0</v>
      </c>
      <c r="P149" s="44"/>
    </row>
    <row r="150">
      <c r="A150" s="39" t="s">
        <v>176</v>
      </c>
      <c r="B150" s="39" t="s">
        <v>179</v>
      </c>
      <c r="C150" s="39" t="s">
        <v>121</v>
      </c>
      <c r="D150" s="40">
        <v>125.5</v>
      </c>
      <c r="E150" s="40">
        <v>136.2</v>
      </c>
      <c r="F150" s="41">
        <f t="shared" si="1"/>
        <v>10.7</v>
      </c>
      <c r="G150" s="42">
        <f t="shared" si="2"/>
        <v>8.525896414</v>
      </c>
      <c r="H150" s="43" t="s">
        <v>20</v>
      </c>
      <c r="J150" s="12">
        <f t="shared" si="3"/>
        <v>0</v>
      </c>
      <c r="P150" s="44"/>
    </row>
    <row r="151">
      <c r="A151" s="39" t="s">
        <v>176</v>
      </c>
      <c r="B151" s="39" t="s">
        <v>180</v>
      </c>
      <c r="C151" s="39" t="s">
        <v>26</v>
      </c>
      <c r="D151" s="40">
        <v>185.5</v>
      </c>
      <c r="E151" s="40">
        <v>203.6</v>
      </c>
      <c r="F151" s="41">
        <f t="shared" si="1"/>
        <v>18.1</v>
      </c>
      <c r="G151" s="42">
        <f t="shared" si="2"/>
        <v>9.757412399</v>
      </c>
      <c r="H151" s="43" t="s">
        <v>12</v>
      </c>
      <c r="J151" s="12">
        <f t="shared" si="3"/>
        <v>0</v>
      </c>
      <c r="P151" s="44"/>
    </row>
    <row r="152">
      <c r="A152" s="39" t="s">
        <v>176</v>
      </c>
      <c r="B152" s="39" t="s">
        <v>181</v>
      </c>
      <c r="C152" s="39" t="s">
        <v>43</v>
      </c>
      <c r="D152" s="40">
        <v>205.5</v>
      </c>
      <c r="E152" s="40">
        <v>219.6</v>
      </c>
      <c r="F152" s="41">
        <f t="shared" si="1"/>
        <v>14.1</v>
      </c>
      <c r="G152" s="42">
        <f t="shared" si="2"/>
        <v>6.861313869</v>
      </c>
      <c r="H152" s="43" t="s">
        <v>12</v>
      </c>
      <c r="J152" s="12">
        <f t="shared" si="3"/>
        <v>0</v>
      </c>
      <c r="P152" s="44"/>
    </row>
    <row r="153">
      <c r="A153" s="39" t="s">
        <v>176</v>
      </c>
      <c r="B153" s="39" t="s">
        <v>182</v>
      </c>
      <c r="C153" s="39" t="s">
        <v>14</v>
      </c>
      <c r="D153" s="40">
        <v>135.5</v>
      </c>
      <c r="E153" s="40">
        <v>158.6</v>
      </c>
      <c r="F153" s="41">
        <f t="shared" si="1"/>
        <v>23.1</v>
      </c>
      <c r="G153" s="42">
        <f t="shared" si="2"/>
        <v>17.04797048</v>
      </c>
      <c r="H153" s="43" t="s">
        <v>12</v>
      </c>
      <c r="J153" s="12">
        <f t="shared" si="3"/>
        <v>0</v>
      </c>
      <c r="P153" s="44"/>
    </row>
    <row r="154">
      <c r="A154" s="39" t="s">
        <v>176</v>
      </c>
      <c r="B154" s="39" t="s">
        <v>183</v>
      </c>
      <c r="C154" s="39" t="s">
        <v>56</v>
      </c>
      <c r="D154" s="40">
        <v>171.0</v>
      </c>
      <c r="E154" s="40">
        <v>197.8</v>
      </c>
      <c r="F154" s="41">
        <f t="shared" si="1"/>
        <v>26.8</v>
      </c>
      <c r="G154" s="42">
        <f t="shared" si="2"/>
        <v>15.67251462</v>
      </c>
      <c r="H154" s="43" t="s">
        <v>12</v>
      </c>
      <c r="J154" s="12">
        <f t="shared" si="3"/>
        <v>0</v>
      </c>
      <c r="P154" s="44"/>
    </row>
    <row r="155">
      <c r="A155" s="39" t="s">
        <v>176</v>
      </c>
      <c r="B155" s="39" t="s">
        <v>184</v>
      </c>
      <c r="C155" s="39" t="s">
        <v>56</v>
      </c>
      <c r="D155" s="40">
        <v>170.5</v>
      </c>
      <c r="E155" s="40">
        <v>200.8</v>
      </c>
      <c r="F155" s="41">
        <f t="shared" si="1"/>
        <v>30.3</v>
      </c>
      <c r="G155" s="42">
        <f t="shared" si="2"/>
        <v>17.771261</v>
      </c>
      <c r="H155" s="43" t="s">
        <v>12</v>
      </c>
      <c r="J155" s="12">
        <f t="shared" si="3"/>
        <v>0</v>
      </c>
      <c r="P155" s="44"/>
    </row>
    <row r="156">
      <c r="A156" s="39" t="s">
        <v>176</v>
      </c>
      <c r="B156" s="39" t="s">
        <v>185</v>
      </c>
      <c r="C156" s="39" t="s">
        <v>14</v>
      </c>
      <c r="D156" s="40">
        <v>135.0</v>
      </c>
      <c r="E156" s="40">
        <v>150.6</v>
      </c>
      <c r="F156" s="41">
        <f t="shared" si="1"/>
        <v>15.6</v>
      </c>
      <c r="G156" s="42">
        <f t="shared" si="2"/>
        <v>11.55555556</v>
      </c>
      <c r="H156" s="43" t="s">
        <v>12</v>
      </c>
      <c r="J156" s="12">
        <f t="shared" si="3"/>
        <v>0</v>
      </c>
      <c r="P156" s="44"/>
    </row>
    <row r="157">
      <c r="A157" s="39" t="s">
        <v>176</v>
      </c>
      <c r="B157" s="39" t="s">
        <v>186</v>
      </c>
      <c r="C157" s="39" t="s">
        <v>56</v>
      </c>
      <c r="D157" s="40">
        <v>170.5</v>
      </c>
      <c r="E157" s="40">
        <v>180.6</v>
      </c>
      <c r="F157" s="41">
        <f t="shared" si="1"/>
        <v>10.1</v>
      </c>
      <c r="G157" s="42">
        <f t="shared" si="2"/>
        <v>5.923753666</v>
      </c>
      <c r="H157" s="43" t="s">
        <v>12</v>
      </c>
      <c r="J157" s="12">
        <f t="shared" si="3"/>
        <v>0</v>
      </c>
      <c r="P157" s="44"/>
    </row>
    <row r="158">
      <c r="A158" s="39" t="s">
        <v>176</v>
      </c>
      <c r="B158" s="39" t="s">
        <v>187</v>
      </c>
      <c r="C158" s="39" t="s">
        <v>17</v>
      </c>
      <c r="D158" s="40">
        <v>144.5</v>
      </c>
      <c r="E158" s="40">
        <v>167.2</v>
      </c>
      <c r="F158" s="41">
        <f t="shared" si="1"/>
        <v>22.7</v>
      </c>
      <c r="G158" s="42">
        <f t="shared" si="2"/>
        <v>15.70934256</v>
      </c>
      <c r="H158" s="43" t="s">
        <v>12</v>
      </c>
      <c r="J158" s="12">
        <f t="shared" si="3"/>
        <v>0</v>
      </c>
      <c r="P158" s="44"/>
    </row>
    <row r="159">
      <c r="A159" s="39" t="s">
        <v>176</v>
      </c>
      <c r="B159" s="39" t="s">
        <v>188</v>
      </c>
      <c r="C159" s="39" t="s">
        <v>56</v>
      </c>
      <c r="D159" s="40">
        <v>169.0</v>
      </c>
      <c r="E159" s="40">
        <v>187.8</v>
      </c>
      <c r="F159" s="41">
        <f t="shared" si="1"/>
        <v>18.8</v>
      </c>
      <c r="G159" s="42">
        <f t="shared" si="2"/>
        <v>11.12426036</v>
      </c>
      <c r="H159" s="43" t="s">
        <v>12</v>
      </c>
      <c r="J159" s="12">
        <f t="shared" si="3"/>
        <v>0</v>
      </c>
      <c r="P159" s="44"/>
    </row>
    <row r="160">
      <c r="A160" s="39" t="s">
        <v>176</v>
      </c>
      <c r="B160" s="39" t="s">
        <v>189</v>
      </c>
      <c r="C160" s="39" t="s">
        <v>49</v>
      </c>
      <c r="D160" s="40">
        <v>249.0</v>
      </c>
      <c r="E160" s="40">
        <v>247.0</v>
      </c>
      <c r="F160" s="41">
        <f t="shared" si="1"/>
        <v>-2</v>
      </c>
      <c r="G160" s="42">
        <f t="shared" si="2"/>
        <v>-0.8032128514</v>
      </c>
      <c r="H160" s="43" t="s">
        <v>12</v>
      </c>
      <c r="J160" s="12">
        <f t="shared" si="3"/>
        <v>0</v>
      </c>
      <c r="P160" s="44"/>
    </row>
    <row r="161">
      <c r="A161" s="39" t="s">
        <v>176</v>
      </c>
      <c r="B161" s="39" t="s">
        <v>190</v>
      </c>
      <c r="C161" s="39" t="s">
        <v>19</v>
      </c>
      <c r="D161" s="40">
        <v>116.0</v>
      </c>
      <c r="E161" s="40">
        <v>127.0</v>
      </c>
      <c r="F161" s="41">
        <f t="shared" si="1"/>
        <v>11</v>
      </c>
      <c r="G161" s="42">
        <f t="shared" si="2"/>
        <v>9.482758621</v>
      </c>
      <c r="H161" s="43" t="s">
        <v>20</v>
      </c>
      <c r="J161" s="12">
        <f t="shared" si="3"/>
        <v>0</v>
      </c>
      <c r="P161" s="44"/>
    </row>
    <row r="162">
      <c r="A162" s="39" t="s">
        <v>176</v>
      </c>
      <c r="B162" s="39" t="s">
        <v>191</v>
      </c>
      <c r="C162" s="39" t="s">
        <v>49</v>
      </c>
      <c r="D162" s="40">
        <v>264.5</v>
      </c>
      <c r="E162" s="40">
        <v>273.4</v>
      </c>
      <c r="F162" s="41">
        <f t="shared" si="1"/>
        <v>8.9</v>
      </c>
      <c r="G162" s="42">
        <f t="shared" si="2"/>
        <v>3.364839319</v>
      </c>
      <c r="H162" s="43" t="s">
        <v>12</v>
      </c>
      <c r="J162" s="12">
        <f t="shared" si="3"/>
        <v>0</v>
      </c>
      <c r="P162" s="44"/>
    </row>
    <row r="163">
      <c r="A163" s="39" t="s">
        <v>176</v>
      </c>
      <c r="B163" s="39" t="s">
        <v>192</v>
      </c>
      <c r="C163" s="39" t="s">
        <v>14</v>
      </c>
      <c r="D163" s="40">
        <v>135.0</v>
      </c>
      <c r="E163" s="40">
        <v>156.8</v>
      </c>
      <c r="F163" s="41">
        <f t="shared" si="1"/>
        <v>21.8</v>
      </c>
      <c r="G163" s="42">
        <f t="shared" si="2"/>
        <v>16.14814815</v>
      </c>
      <c r="H163" s="43" t="s">
        <v>12</v>
      </c>
      <c r="J163" s="12">
        <f t="shared" si="3"/>
        <v>0</v>
      </c>
      <c r="P163" s="44"/>
    </row>
    <row r="164">
      <c r="A164" s="39" t="s">
        <v>176</v>
      </c>
      <c r="B164" s="39" t="s">
        <v>193</v>
      </c>
      <c r="C164" s="39" t="s">
        <v>121</v>
      </c>
      <c r="D164" s="40">
        <v>126.0</v>
      </c>
      <c r="E164" s="40">
        <v>135.8</v>
      </c>
      <c r="F164" s="41">
        <f t="shared" si="1"/>
        <v>9.8</v>
      </c>
      <c r="G164" s="42">
        <f t="shared" si="2"/>
        <v>7.777777778</v>
      </c>
      <c r="H164" s="43" t="s">
        <v>20</v>
      </c>
      <c r="J164" s="12">
        <f t="shared" si="3"/>
        <v>0</v>
      </c>
      <c r="P164" s="44"/>
    </row>
    <row r="165">
      <c r="A165" s="39" t="s">
        <v>176</v>
      </c>
      <c r="B165" s="39" t="s">
        <v>194</v>
      </c>
      <c r="C165" s="39" t="s">
        <v>56</v>
      </c>
      <c r="D165" s="40">
        <v>170.5</v>
      </c>
      <c r="E165" s="40">
        <v>185.2</v>
      </c>
      <c r="F165" s="41">
        <f t="shared" si="1"/>
        <v>14.7</v>
      </c>
      <c r="G165" s="42">
        <f t="shared" si="2"/>
        <v>8.62170088</v>
      </c>
      <c r="H165" s="43" t="s">
        <v>12</v>
      </c>
      <c r="J165" s="12">
        <f t="shared" si="3"/>
        <v>0</v>
      </c>
      <c r="P165" s="44"/>
    </row>
    <row r="166">
      <c r="A166" s="39" t="s">
        <v>176</v>
      </c>
      <c r="B166" s="39" t="s">
        <v>195</v>
      </c>
      <c r="C166" s="39" t="s">
        <v>26</v>
      </c>
      <c r="D166" s="40">
        <v>185.5</v>
      </c>
      <c r="E166" s="40">
        <v>215.2</v>
      </c>
      <c r="F166" s="41">
        <f t="shared" si="1"/>
        <v>29.7</v>
      </c>
      <c r="G166" s="42">
        <f t="shared" si="2"/>
        <v>16.01078167</v>
      </c>
      <c r="H166" s="43" t="s">
        <v>12</v>
      </c>
      <c r="J166" s="12">
        <f t="shared" si="3"/>
        <v>0</v>
      </c>
      <c r="P166" s="44"/>
    </row>
    <row r="167">
      <c r="A167" s="39" t="s">
        <v>176</v>
      </c>
      <c r="B167" s="39" t="s">
        <v>196</v>
      </c>
      <c r="C167" s="39" t="s">
        <v>14</v>
      </c>
      <c r="D167" s="40">
        <v>135.5</v>
      </c>
      <c r="E167" s="40">
        <v>147.2</v>
      </c>
      <c r="F167" s="41">
        <f t="shared" si="1"/>
        <v>11.7</v>
      </c>
      <c r="G167" s="42">
        <f t="shared" si="2"/>
        <v>8.634686347</v>
      </c>
      <c r="H167" s="43" t="s">
        <v>12</v>
      </c>
      <c r="J167" s="12">
        <f t="shared" si="3"/>
        <v>0</v>
      </c>
      <c r="P167" s="44"/>
    </row>
    <row r="168">
      <c r="A168" s="39" t="s">
        <v>176</v>
      </c>
      <c r="B168" s="39" t="s">
        <v>197</v>
      </c>
      <c r="C168" s="39" t="s">
        <v>26</v>
      </c>
      <c r="D168" s="40">
        <v>185.5</v>
      </c>
      <c r="E168" s="40">
        <v>207.6</v>
      </c>
      <c r="F168" s="41">
        <f t="shared" si="1"/>
        <v>22.1</v>
      </c>
      <c r="G168" s="42">
        <f t="shared" si="2"/>
        <v>11.91374663</v>
      </c>
      <c r="H168" s="43" t="s">
        <v>12</v>
      </c>
      <c r="J168" s="12">
        <f t="shared" si="3"/>
        <v>0</v>
      </c>
      <c r="P168" s="44"/>
    </row>
    <row r="169">
      <c r="A169" s="39" t="s">
        <v>176</v>
      </c>
      <c r="B169" s="39" t="s">
        <v>198</v>
      </c>
      <c r="C169" s="39" t="s">
        <v>26</v>
      </c>
      <c r="D169" s="40">
        <v>185.0</v>
      </c>
      <c r="E169" s="40">
        <v>194.0</v>
      </c>
      <c r="F169" s="41">
        <f t="shared" si="1"/>
        <v>9</v>
      </c>
      <c r="G169" s="42">
        <f t="shared" si="2"/>
        <v>4.864864865</v>
      </c>
      <c r="H169" s="43" t="s">
        <v>12</v>
      </c>
      <c r="J169" s="12">
        <f t="shared" si="3"/>
        <v>0</v>
      </c>
      <c r="P169" s="44"/>
    </row>
    <row r="170">
      <c r="A170" s="39" t="s">
        <v>176</v>
      </c>
      <c r="B170" s="39" t="s">
        <v>199</v>
      </c>
      <c r="C170" s="39" t="s">
        <v>56</v>
      </c>
      <c r="D170" s="40">
        <v>169.5</v>
      </c>
      <c r="E170" s="45">
        <v>184.0</v>
      </c>
      <c r="F170" s="41">
        <f t="shared" si="1"/>
        <v>14.5</v>
      </c>
      <c r="G170" s="42">
        <f t="shared" si="2"/>
        <v>8.554572271</v>
      </c>
      <c r="H170" s="43" t="s">
        <v>12</v>
      </c>
      <c r="J170" s="12">
        <f t="shared" si="3"/>
        <v>0</v>
      </c>
      <c r="P170" s="44"/>
    </row>
    <row r="171">
      <c r="A171" s="39" t="s">
        <v>176</v>
      </c>
      <c r="B171" s="39" t="s">
        <v>200</v>
      </c>
      <c r="C171" s="39" t="s">
        <v>43</v>
      </c>
      <c r="D171" s="40">
        <v>204.5</v>
      </c>
      <c r="E171" s="40">
        <v>230.2</v>
      </c>
      <c r="F171" s="41">
        <f t="shared" si="1"/>
        <v>25.7</v>
      </c>
      <c r="G171" s="42">
        <f t="shared" si="2"/>
        <v>12.56723716</v>
      </c>
      <c r="H171" s="43" t="s">
        <v>12</v>
      </c>
      <c r="J171" s="12">
        <f t="shared" si="3"/>
        <v>0</v>
      </c>
      <c r="P171" s="44"/>
    </row>
    <row r="172">
      <c r="A172" s="46" t="s">
        <v>201</v>
      </c>
      <c r="B172" s="46" t="s">
        <v>202</v>
      </c>
      <c r="C172" s="46" t="s">
        <v>77</v>
      </c>
      <c r="D172" s="47">
        <v>135.0</v>
      </c>
      <c r="E172" s="47">
        <v>152.2</v>
      </c>
      <c r="F172" s="48">
        <f t="shared" si="1"/>
        <v>17.2</v>
      </c>
      <c r="G172" s="49">
        <f t="shared" si="2"/>
        <v>12.74074074</v>
      </c>
      <c r="H172" s="50" t="s">
        <v>20</v>
      </c>
      <c r="J172" s="12">
        <f t="shared" si="3"/>
        <v>0</v>
      </c>
    </row>
    <row r="173">
      <c r="A173" s="46" t="s">
        <v>201</v>
      </c>
      <c r="B173" s="46" t="s">
        <v>203</v>
      </c>
      <c r="C173" s="46" t="s">
        <v>26</v>
      </c>
      <c r="D173" s="47">
        <v>185.0</v>
      </c>
      <c r="E173" s="47">
        <v>203.2</v>
      </c>
      <c r="F173" s="48">
        <f t="shared" si="1"/>
        <v>18.2</v>
      </c>
      <c r="G173" s="49">
        <f t="shared" si="2"/>
        <v>9.837837838</v>
      </c>
      <c r="H173" s="50" t="s">
        <v>12</v>
      </c>
      <c r="J173" s="12">
        <f t="shared" si="3"/>
        <v>0</v>
      </c>
    </row>
    <row r="174">
      <c r="A174" s="46" t="s">
        <v>201</v>
      </c>
      <c r="B174" s="46" t="s">
        <v>204</v>
      </c>
      <c r="C174" s="46" t="s">
        <v>14</v>
      </c>
      <c r="D174" s="47">
        <v>135.0</v>
      </c>
      <c r="E174" s="47">
        <v>147.8</v>
      </c>
      <c r="F174" s="48">
        <f t="shared" si="1"/>
        <v>12.8</v>
      </c>
      <c r="G174" s="49">
        <f t="shared" si="2"/>
        <v>9.481481481</v>
      </c>
      <c r="H174" s="50" t="s">
        <v>12</v>
      </c>
      <c r="J174" s="12">
        <f t="shared" si="3"/>
        <v>0</v>
      </c>
    </row>
    <row r="175">
      <c r="A175" s="46" t="s">
        <v>201</v>
      </c>
      <c r="B175" s="46" t="s">
        <v>205</v>
      </c>
      <c r="C175" s="46" t="s">
        <v>43</v>
      </c>
      <c r="D175" s="47">
        <v>200.0</v>
      </c>
      <c r="E175" s="47">
        <v>202.4</v>
      </c>
      <c r="F175" s="48">
        <f t="shared" si="1"/>
        <v>2.4</v>
      </c>
      <c r="G175" s="49">
        <f t="shared" si="2"/>
        <v>1.2</v>
      </c>
      <c r="H175" s="50" t="s">
        <v>12</v>
      </c>
      <c r="J175" s="12">
        <f t="shared" si="3"/>
        <v>0</v>
      </c>
    </row>
    <row r="176">
      <c r="A176" s="46" t="s">
        <v>201</v>
      </c>
      <c r="B176" s="46" t="s">
        <v>206</v>
      </c>
      <c r="C176" s="46" t="s">
        <v>43</v>
      </c>
      <c r="D176" s="47">
        <v>205.5</v>
      </c>
      <c r="E176" s="47">
        <v>214.4</v>
      </c>
      <c r="F176" s="48">
        <f t="shared" si="1"/>
        <v>8.9</v>
      </c>
      <c r="G176" s="49">
        <f t="shared" si="2"/>
        <v>4.330900243</v>
      </c>
      <c r="H176" s="50" t="s">
        <v>12</v>
      </c>
      <c r="J176" s="12">
        <f t="shared" si="3"/>
        <v>0</v>
      </c>
    </row>
    <row r="177">
      <c r="A177" s="46" t="s">
        <v>201</v>
      </c>
      <c r="B177" s="46" t="s">
        <v>207</v>
      </c>
      <c r="C177" s="46" t="s">
        <v>52</v>
      </c>
      <c r="D177" s="47">
        <v>156.0</v>
      </c>
      <c r="E177" s="47">
        <v>173.2</v>
      </c>
      <c r="F177" s="48">
        <f t="shared" si="1"/>
        <v>17.2</v>
      </c>
      <c r="G177" s="49">
        <f t="shared" si="2"/>
        <v>11.02564103</v>
      </c>
      <c r="H177" s="50" t="s">
        <v>12</v>
      </c>
      <c r="J177" s="12">
        <f t="shared" si="3"/>
        <v>0</v>
      </c>
    </row>
    <row r="178">
      <c r="A178" s="46" t="s">
        <v>201</v>
      </c>
      <c r="B178" s="46" t="s">
        <v>208</v>
      </c>
      <c r="C178" s="46" t="s">
        <v>11</v>
      </c>
      <c r="D178" s="47">
        <v>125.5</v>
      </c>
      <c r="E178" s="47">
        <v>141.2</v>
      </c>
      <c r="F178" s="48">
        <f t="shared" si="1"/>
        <v>15.7</v>
      </c>
      <c r="G178" s="49">
        <f t="shared" si="2"/>
        <v>12.50996016</v>
      </c>
      <c r="H178" s="50" t="s">
        <v>12</v>
      </c>
      <c r="J178" s="12">
        <f t="shared" si="3"/>
        <v>0</v>
      </c>
    </row>
    <row r="179">
      <c r="A179" s="46" t="s">
        <v>201</v>
      </c>
      <c r="B179" s="46" t="s">
        <v>209</v>
      </c>
      <c r="C179" s="46" t="s">
        <v>52</v>
      </c>
      <c r="D179" s="47">
        <v>156.0</v>
      </c>
      <c r="E179" s="47">
        <v>179.4</v>
      </c>
      <c r="F179" s="48">
        <f t="shared" si="1"/>
        <v>23.4</v>
      </c>
      <c r="G179" s="49">
        <f t="shared" si="2"/>
        <v>15</v>
      </c>
      <c r="H179" s="50" t="s">
        <v>12</v>
      </c>
      <c r="J179" s="12">
        <f t="shared" si="3"/>
        <v>0</v>
      </c>
    </row>
    <row r="180">
      <c r="A180" s="46" t="s">
        <v>201</v>
      </c>
      <c r="B180" s="46" t="s">
        <v>210</v>
      </c>
      <c r="C180" s="46" t="s">
        <v>52</v>
      </c>
      <c r="D180" s="47">
        <v>154.5</v>
      </c>
      <c r="E180" s="47">
        <v>178.0</v>
      </c>
      <c r="F180" s="48">
        <f t="shared" si="1"/>
        <v>23.5</v>
      </c>
      <c r="G180" s="49">
        <f t="shared" si="2"/>
        <v>15.21035599</v>
      </c>
      <c r="H180" s="50" t="s">
        <v>12</v>
      </c>
      <c r="J180" s="12">
        <f t="shared" si="3"/>
        <v>0</v>
      </c>
    </row>
    <row r="181">
      <c r="A181" s="46" t="s">
        <v>201</v>
      </c>
      <c r="B181" s="46" t="s">
        <v>211</v>
      </c>
      <c r="C181" s="46" t="s">
        <v>49</v>
      </c>
      <c r="D181" s="47">
        <v>235.0</v>
      </c>
      <c r="E181" s="47">
        <v>232.2</v>
      </c>
      <c r="F181" s="48">
        <f t="shared" si="1"/>
        <v>-2.8</v>
      </c>
      <c r="G181" s="49">
        <f t="shared" si="2"/>
        <v>-1.191489362</v>
      </c>
      <c r="H181" s="50" t="s">
        <v>12</v>
      </c>
      <c r="J181" s="12">
        <f t="shared" si="3"/>
        <v>0</v>
      </c>
    </row>
    <row r="182">
      <c r="A182" s="46" t="s">
        <v>201</v>
      </c>
      <c r="B182" s="46" t="s">
        <v>212</v>
      </c>
      <c r="C182" s="46" t="s">
        <v>43</v>
      </c>
      <c r="D182" s="47">
        <v>205.5</v>
      </c>
      <c r="E182" s="47">
        <v>221.8</v>
      </c>
      <c r="F182" s="48">
        <f t="shared" si="1"/>
        <v>16.3</v>
      </c>
      <c r="G182" s="49">
        <f t="shared" si="2"/>
        <v>7.931873479</v>
      </c>
      <c r="H182" s="50" t="s">
        <v>12</v>
      </c>
      <c r="J182" s="12">
        <f t="shared" si="3"/>
        <v>0</v>
      </c>
    </row>
    <row r="183">
      <c r="A183" s="46" t="s">
        <v>201</v>
      </c>
      <c r="B183" s="46" t="s">
        <v>213</v>
      </c>
      <c r="C183" s="46" t="s">
        <v>43</v>
      </c>
      <c r="D183" s="47">
        <v>204.5</v>
      </c>
      <c r="E183" s="47">
        <v>208.2</v>
      </c>
      <c r="F183" s="48">
        <f t="shared" si="1"/>
        <v>3.7</v>
      </c>
      <c r="G183" s="49">
        <f t="shared" si="2"/>
        <v>1.809290954</v>
      </c>
      <c r="H183" s="50" t="s">
        <v>12</v>
      </c>
      <c r="J183" s="12">
        <f t="shared" si="3"/>
        <v>0</v>
      </c>
    </row>
    <row r="184">
      <c r="A184" s="46" t="s">
        <v>201</v>
      </c>
      <c r="B184" s="46" t="s">
        <v>214</v>
      </c>
      <c r="C184" s="46" t="s">
        <v>77</v>
      </c>
      <c r="D184" s="47">
        <v>135.5</v>
      </c>
      <c r="E184" s="47">
        <v>154.0</v>
      </c>
      <c r="F184" s="48">
        <f t="shared" si="1"/>
        <v>18.5</v>
      </c>
      <c r="G184" s="49">
        <f t="shared" si="2"/>
        <v>13.65313653</v>
      </c>
      <c r="H184" s="50" t="s">
        <v>20</v>
      </c>
      <c r="J184" s="12">
        <f t="shared" si="3"/>
        <v>0</v>
      </c>
    </row>
    <row r="185">
      <c r="A185" s="46" t="s">
        <v>201</v>
      </c>
      <c r="B185" s="46" t="s">
        <v>215</v>
      </c>
      <c r="C185" s="46" t="s">
        <v>26</v>
      </c>
      <c r="D185" s="47">
        <v>183.5</v>
      </c>
      <c r="E185" s="47">
        <v>190.4</v>
      </c>
      <c r="F185" s="48">
        <f t="shared" si="1"/>
        <v>6.9</v>
      </c>
      <c r="G185" s="49">
        <f t="shared" si="2"/>
        <v>3.760217984</v>
      </c>
      <c r="H185" s="50" t="s">
        <v>12</v>
      </c>
      <c r="J185" s="12">
        <f t="shared" si="3"/>
        <v>0</v>
      </c>
    </row>
    <row r="186">
      <c r="A186" s="46" t="s">
        <v>201</v>
      </c>
      <c r="B186" s="46" t="s">
        <v>216</v>
      </c>
      <c r="C186" s="46" t="s">
        <v>14</v>
      </c>
      <c r="D186" s="47">
        <v>134.0</v>
      </c>
      <c r="E186" s="47">
        <v>156.8</v>
      </c>
      <c r="F186" s="48">
        <f t="shared" si="1"/>
        <v>22.8</v>
      </c>
      <c r="G186" s="49">
        <f t="shared" si="2"/>
        <v>17.01492537</v>
      </c>
      <c r="H186" s="50" t="s">
        <v>12</v>
      </c>
      <c r="J186" s="12">
        <f t="shared" si="3"/>
        <v>0</v>
      </c>
    </row>
    <row r="187">
      <c r="A187" s="46" t="s">
        <v>201</v>
      </c>
      <c r="B187" s="46" t="s">
        <v>217</v>
      </c>
      <c r="C187" s="46" t="s">
        <v>14</v>
      </c>
      <c r="D187" s="47">
        <v>136.0</v>
      </c>
      <c r="E187" s="47">
        <v>151.8</v>
      </c>
      <c r="F187" s="48">
        <f t="shared" si="1"/>
        <v>15.8</v>
      </c>
      <c r="G187" s="49">
        <f t="shared" si="2"/>
        <v>11.61764706</v>
      </c>
      <c r="H187" s="50" t="s">
        <v>12</v>
      </c>
      <c r="J187" s="12">
        <f t="shared" si="3"/>
        <v>0</v>
      </c>
    </row>
    <row r="188">
      <c r="A188" s="46" t="s">
        <v>201</v>
      </c>
      <c r="B188" s="46" t="s">
        <v>218</v>
      </c>
      <c r="C188" s="46" t="s">
        <v>14</v>
      </c>
      <c r="D188" s="47">
        <v>135.5</v>
      </c>
      <c r="E188" s="47">
        <v>158.2</v>
      </c>
      <c r="F188" s="48">
        <f t="shared" si="1"/>
        <v>22.7</v>
      </c>
      <c r="G188" s="49">
        <f t="shared" si="2"/>
        <v>16.75276753</v>
      </c>
      <c r="H188" s="50" t="s">
        <v>12</v>
      </c>
      <c r="J188" s="12">
        <f t="shared" si="3"/>
        <v>0</v>
      </c>
    </row>
    <row r="189">
      <c r="A189" s="46" t="s">
        <v>201</v>
      </c>
      <c r="B189" s="46" t="s">
        <v>219</v>
      </c>
      <c r="C189" s="46" t="s">
        <v>14</v>
      </c>
      <c r="D189" s="47">
        <v>135.5</v>
      </c>
      <c r="E189" s="47">
        <v>158.2</v>
      </c>
      <c r="F189" s="48">
        <f t="shared" si="1"/>
        <v>22.7</v>
      </c>
      <c r="G189" s="49">
        <f t="shared" si="2"/>
        <v>16.75276753</v>
      </c>
      <c r="H189" s="50" t="s">
        <v>12</v>
      </c>
      <c r="J189" s="12">
        <f t="shared" si="3"/>
        <v>0</v>
      </c>
    </row>
    <row r="190">
      <c r="A190" s="46" t="s">
        <v>201</v>
      </c>
      <c r="B190" s="46" t="s">
        <v>220</v>
      </c>
      <c r="C190" s="46" t="s">
        <v>26</v>
      </c>
      <c r="D190" s="47">
        <v>184.5</v>
      </c>
      <c r="E190" s="47">
        <v>212.0</v>
      </c>
      <c r="F190" s="48">
        <f t="shared" si="1"/>
        <v>27.5</v>
      </c>
      <c r="G190" s="49">
        <f t="shared" si="2"/>
        <v>14.90514905</v>
      </c>
      <c r="H190" s="50" t="s">
        <v>12</v>
      </c>
      <c r="J190" s="12">
        <f t="shared" si="3"/>
        <v>0</v>
      </c>
    </row>
    <row r="191">
      <c r="A191" s="46" t="s">
        <v>201</v>
      </c>
      <c r="B191" s="46" t="s">
        <v>221</v>
      </c>
      <c r="C191" s="46" t="s">
        <v>52</v>
      </c>
      <c r="D191" s="47">
        <v>155.0</v>
      </c>
      <c r="E191" s="47">
        <v>181.8</v>
      </c>
      <c r="F191" s="48">
        <f t="shared" si="1"/>
        <v>26.8</v>
      </c>
      <c r="G191" s="49">
        <f t="shared" si="2"/>
        <v>17.29032258</v>
      </c>
      <c r="H191" s="50" t="s">
        <v>12</v>
      </c>
      <c r="J191" s="12">
        <f t="shared" si="3"/>
        <v>0</v>
      </c>
    </row>
    <row r="192">
      <c r="A192" s="46" t="s">
        <v>201</v>
      </c>
      <c r="B192" s="46" t="s">
        <v>222</v>
      </c>
      <c r="C192" s="46" t="s">
        <v>14</v>
      </c>
      <c r="D192" s="47">
        <v>136.0</v>
      </c>
      <c r="E192" s="47">
        <v>156.6</v>
      </c>
      <c r="F192" s="48">
        <f t="shared" si="1"/>
        <v>20.6</v>
      </c>
      <c r="G192" s="49">
        <f t="shared" si="2"/>
        <v>15.14705882</v>
      </c>
      <c r="H192" s="50" t="s">
        <v>12</v>
      </c>
      <c r="J192" s="12">
        <f t="shared" si="3"/>
        <v>0</v>
      </c>
    </row>
    <row r="193">
      <c r="A193" s="46" t="s">
        <v>201</v>
      </c>
      <c r="B193" s="46" t="s">
        <v>223</v>
      </c>
      <c r="C193" s="46" t="s">
        <v>14</v>
      </c>
      <c r="D193" s="47">
        <v>135.5</v>
      </c>
      <c r="E193" s="47">
        <v>148.6</v>
      </c>
      <c r="F193" s="48">
        <f t="shared" si="1"/>
        <v>13.1</v>
      </c>
      <c r="G193" s="49">
        <f t="shared" si="2"/>
        <v>9.667896679</v>
      </c>
      <c r="H193" s="50" t="s">
        <v>12</v>
      </c>
      <c r="J193" s="12">
        <f t="shared" si="3"/>
        <v>0</v>
      </c>
    </row>
    <row r="194">
      <c r="A194" s="46" t="s">
        <v>201</v>
      </c>
      <c r="B194" s="46" t="s">
        <v>224</v>
      </c>
      <c r="C194" s="46" t="s">
        <v>49</v>
      </c>
      <c r="D194" s="47">
        <v>233.0</v>
      </c>
      <c r="E194" s="47">
        <v>234.2</v>
      </c>
      <c r="F194" s="48">
        <f t="shared" si="1"/>
        <v>1.2</v>
      </c>
      <c r="G194" s="49">
        <f t="shared" si="2"/>
        <v>0.5150214592</v>
      </c>
      <c r="H194" s="50" t="s">
        <v>12</v>
      </c>
      <c r="J194" s="12">
        <f t="shared" si="3"/>
        <v>0</v>
      </c>
    </row>
    <row r="195">
      <c r="A195" s="46" t="s">
        <v>201</v>
      </c>
      <c r="B195" s="46" t="s">
        <v>225</v>
      </c>
      <c r="C195" s="46" t="s">
        <v>11</v>
      </c>
      <c r="D195" s="47">
        <v>125.5</v>
      </c>
      <c r="E195" s="47">
        <v>147.4</v>
      </c>
      <c r="F195" s="48">
        <f t="shared" si="1"/>
        <v>21.9</v>
      </c>
      <c r="G195" s="49">
        <f t="shared" si="2"/>
        <v>17.4501992</v>
      </c>
      <c r="H195" s="50" t="s">
        <v>12</v>
      </c>
      <c r="J195" s="12">
        <f t="shared" si="3"/>
        <v>0</v>
      </c>
    </row>
    <row r="196">
      <c r="A196" s="46" t="s">
        <v>201</v>
      </c>
      <c r="B196" s="46" t="s">
        <v>226</v>
      </c>
      <c r="C196" s="46" t="s">
        <v>14</v>
      </c>
      <c r="D196" s="47">
        <v>135.0</v>
      </c>
      <c r="E196" s="47">
        <v>156.8</v>
      </c>
      <c r="F196" s="48">
        <f t="shared" si="1"/>
        <v>21.8</v>
      </c>
      <c r="G196" s="49">
        <f t="shared" si="2"/>
        <v>16.14814815</v>
      </c>
      <c r="H196" s="50" t="s">
        <v>12</v>
      </c>
      <c r="J196" s="12">
        <f t="shared" si="3"/>
        <v>0</v>
      </c>
    </row>
    <row r="197">
      <c r="A197" s="46" t="s">
        <v>201</v>
      </c>
      <c r="B197" s="46" t="s">
        <v>227</v>
      </c>
      <c r="C197" s="46" t="s">
        <v>26</v>
      </c>
      <c r="D197" s="47">
        <v>185.5</v>
      </c>
      <c r="E197" s="47">
        <v>201.0</v>
      </c>
      <c r="F197" s="48">
        <f t="shared" si="1"/>
        <v>15.5</v>
      </c>
      <c r="G197" s="49">
        <f t="shared" si="2"/>
        <v>8.355795148</v>
      </c>
      <c r="H197" s="50" t="s">
        <v>12</v>
      </c>
      <c r="J197" s="12">
        <f t="shared" si="3"/>
        <v>0</v>
      </c>
    </row>
    <row r="198">
      <c r="A198" s="51"/>
      <c r="B198" s="51"/>
      <c r="C198" s="51"/>
      <c r="D198" s="52"/>
      <c r="E198" s="52"/>
      <c r="F198" s="52"/>
      <c r="G198" s="53"/>
      <c r="H198" s="54"/>
      <c r="J198" s="55"/>
    </row>
    <row r="199">
      <c r="A199" s="51"/>
      <c r="B199" s="51"/>
      <c r="C199" s="51"/>
      <c r="D199" s="52"/>
      <c r="E199" s="52"/>
      <c r="F199" s="52"/>
      <c r="G199" s="53"/>
      <c r="H199" s="54"/>
      <c r="J199" s="55"/>
    </row>
    <row r="200">
      <c r="A200" s="51"/>
      <c r="B200" s="51"/>
      <c r="C200" s="51"/>
      <c r="D200" s="52"/>
      <c r="E200" s="52"/>
      <c r="F200" s="52"/>
      <c r="G200" s="53"/>
      <c r="H200" s="54"/>
      <c r="J200" s="55"/>
    </row>
    <row r="201">
      <c r="A201" s="51"/>
      <c r="B201" s="51"/>
      <c r="C201" s="51"/>
      <c r="D201" s="52"/>
      <c r="E201" s="52"/>
      <c r="F201" s="52"/>
      <c r="G201" s="53"/>
      <c r="H201" s="54"/>
      <c r="J201" s="55"/>
    </row>
    <row r="202">
      <c r="A202" s="51"/>
      <c r="B202" s="51"/>
      <c r="C202" s="51"/>
      <c r="D202" s="52"/>
      <c r="E202" s="52"/>
      <c r="F202" s="52"/>
      <c r="G202" s="53"/>
      <c r="H202" s="54"/>
      <c r="J202" s="55"/>
    </row>
    <row r="203">
      <c r="A203" s="51"/>
      <c r="B203" s="51"/>
      <c r="C203" s="51"/>
      <c r="D203" s="52"/>
      <c r="E203" s="52"/>
      <c r="F203" s="52"/>
      <c r="G203" s="53"/>
      <c r="H203" s="54"/>
      <c r="J203" s="55"/>
    </row>
    <row r="204">
      <c r="A204" s="51"/>
      <c r="B204" s="51"/>
      <c r="C204" s="51"/>
      <c r="D204" s="52"/>
      <c r="E204" s="52"/>
      <c r="F204" s="52"/>
      <c r="G204" s="53"/>
      <c r="H204" s="54"/>
      <c r="J204" s="55"/>
    </row>
    <row r="205">
      <c r="A205" s="51"/>
      <c r="B205" s="51"/>
      <c r="C205" s="51"/>
      <c r="D205" s="52"/>
      <c r="E205" s="52"/>
      <c r="F205" s="52"/>
      <c r="G205" s="53"/>
      <c r="H205" s="54"/>
      <c r="J205" s="55"/>
    </row>
    <row r="206">
      <c r="A206" s="51"/>
      <c r="B206" s="51"/>
      <c r="C206" s="51"/>
      <c r="D206" s="52"/>
      <c r="E206" s="52"/>
      <c r="F206" s="52"/>
      <c r="G206" s="53"/>
      <c r="H206" s="54"/>
      <c r="J206" s="55"/>
    </row>
    <row r="207">
      <c r="A207" s="51"/>
      <c r="B207" s="51"/>
      <c r="C207" s="51"/>
      <c r="D207" s="52"/>
      <c r="E207" s="52"/>
      <c r="F207" s="52"/>
      <c r="G207" s="53"/>
      <c r="H207" s="54"/>
      <c r="J207" s="55"/>
    </row>
    <row r="208">
      <c r="A208" s="51"/>
      <c r="B208" s="51"/>
      <c r="C208" s="51"/>
      <c r="D208" s="52"/>
      <c r="E208" s="52"/>
      <c r="F208" s="52"/>
      <c r="G208" s="53"/>
      <c r="H208" s="54"/>
      <c r="J208" s="55"/>
    </row>
    <row r="209">
      <c r="A209" s="51"/>
      <c r="B209" s="51"/>
      <c r="C209" s="51"/>
      <c r="D209" s="52"/>
      <c r="E209" s="52"/>
      <c r="F209" s="52"/>
      <c r="G209" s="53"/>
      <c r="H209" s="54"/>
      <c r="J209" s="55"/>
    </row>
    <row r="210">
      <c r="A210" s="51"/>
      <c r="B210" s="51"/>
      <c r="C210" s="51"/>
      <c r="D210" s="52"/>
      <c r="E210" s="52"/>
      <c r="F210" s="52"/>
      <c r="G210" s="53"/>
      <c r="H210" s="54"/>
      <c r="J210" s="55"/>
    </row>
    <row r="211">
      <c r="A211" s="51"/>
      <c r="B211" s="51"/>
      <c r="C211" s="51"/>
      <c r="D211" s="52"/>
      <c r="E211" s="52"/>
      <c r="F211" s="52"/>
      <c r="G211" s="53"/>
      <c r="H211" s="54"/>
      <c r="J211" s="55"/>
    </row>
    <row r="212">
      <c r="A212" s="51"/>
      <c r="B212" s="51"/>
      <c r="C212" s="51"/>
      <c r="D212" s="52"/>
      <c r="E212" s="52"/>
      <c r="F212" s="52"/>
      <c r="G212" s="53"/>
      <c r="H212" s="54"/>
      <c r="J212" s="55"/>
    </row>
    <row r="213">
      <c r="A213" s="51"/>
      <c r="B213" s="51"/>
      <c r="C213" s="51"/>
      <c r="D213" s="52"/>
      <c r="E213" s="52"/>
      <c r="F213" s="52"/>
      <c r="G213" s="53"/>
      <c r="H213" s="54"/>
      <c r="J213" s="55"/>
    </row>
    <row r="214">
      <c r="A214" s="51"/>
      <c r="B214" s="51"/>
      <c r="C214" s="51"/>
      <c r="D214" s="52"/>
      <c r="E214" s="52"/>
      <c r="F214" s="52"/>
      <c r="G214" s="53"/>
      <c r="H214" s="54"/>
      <c r="J214" s="55"/>
    </row>
    <row r="215">
      <c r="A215" s="51"/>
      <c r="B215" s="51"/>
      <c r="C215" s="51"/>
      <c r="D215" s="52"/>
      <c r="E215" s="52"/>
      <c r="F215" s="52"/>
      <c r="G215" s="53"/>
      <c r="H215" s="54"/>
      <c r="J215" s="55"/>
    </row>
    <row r="216">
      <c r="A216" s="51"/>
      <c r="B216" s="51"/>
      <c r="C216" s="51"/>
      <c r="D216" s="52"/>
      <c r="E216" s="52"/>
      <c r="F216" s="52"/>
      <c r="G216" s="53"/>
      <c r="H216" s="54"/>
      <c r="J216" s="55"/>
    </row>
    <row r="217">
      <c r="A217" s="51"/>
      <c r="B217" s="51"/>
      <c r="C217" s="51"/>
      <c r="D217" s="52"/>
      <c r="E217" s="52"/>
      <c r="F217" s="52"/>
      <c r="G217" s="53"/>
      <c r="H217" s="54"/>
      <c r="J217" s="55"/>
    </row>
    <row r="218">
      <c r="A218" s="51"/>
      <c r="B218" s="51"/>
      <c r="C218" s="51"/>
      <c r="D218" s="52"/>
      <c r="E218" s="52"/>
      <c r="F218" s="52"/>
      <c r="G218" s="53"/>
      <c r="H218" s="54"/>
      <c r="J218" s="55"/>
    </row>
    <row r="219">
      <c r="A219" s="51"/>
      <c r="B219" s="51"/>
      <c r="C219" s="51"/>
      <c r="D219" s="52"/>
      <c r="E219" s="52"/>
      <c r="F219" s="52"/>
      <c r="G219" s="53"/>
      <c r="H219" s="54"/>
      <c r="J219" s="55"/>
    </row>
    <row r="220">
      <c r="A220" s="51"/>
      <c r="B220" s="51"/>
      <c r="C220" s="51"/>
      <c r="D220" s="52"/>
      <c r="E220" s="52"/>
      <c r="F220" s="52"/>
      <c r="G220" s="53"/>
      <c r="H220" s="54"/>
      <c r="J220" s="55"/>
    </row>
    <row r="221">
      <c r="A221" s="51"/>
      <c r="B221" s="51"/>
      <c r="C221" s="51"/>
      <c r="D221" s="52"/>
      <c r="E221" s="52"/>
      <c r="F221" s="52"/>
      <c r="G221" s="53"/>
      <c r="H221" s="54"/>
      <c r="J221" s="55"/>
    </row>
    <row r="222">
      <c r="A222" s="51"/>
      <c r="B222" s="51"/>
      <c r="C222" s="51"/>
      <c r="D222" s="52"/>
      <c r="E222" s="52"/>
      <c r="F222" s="52"/>
      <c r="G222" s="53"/>
      <c r="H222" s="54"/>
      <c r="J222" s="55"/>
    </row>
    <row r="223">
      <c r="A223" s="51"/>
      <c r="B223" s="51"/>
      <c r="C223" s="51"/>
      <c r="D223" s="52"/>
      <c r="E223" s="52"/>
      <c r="F223" s="52"/>
      <c r="G223" s="53"/>
      <c r="H223" s="54"/>
      <c r="J223" s="55"/>
    </row>
    <row r="224">
      <c r="A224" s="51"/>
      <c r="B224" s="51"/>
      <c r="C224" s="51"/>
      <c r="D224" s="52"/>
      <c r="E224" s="52"/>
      <c r="F224" s="52"/>
      <c r="G224" s="53"/>
      <c r="H224" s="54"/>
      <c r="J224" s="55"/>
    </row>
    <row r="225">
      <c r="A225" s="51"/>
      <c r="B225" s="51"/>
      <c r="C225" s="51"/>
      <c r="D225" s="52"/>
      <c r="E225" s="52"/>
      <c r="F225" s="52"/>
      <c r="G225" s="53"/>
      <c r="H225" s="54"/>
      <c r="J225" s="55"/>
    </row>
    <row r="226">
      <c r="A226" s="51"/>
      <c r="B226" s="51"/>
      <c r="C226" s="51"/>
      <c r="D226" s="52"/>
      <c r="E226" s="52"/>
      <c r="F226" s="52"/>
      <c r="G226" s="53"/>
      <c r="H226" s="54"/>
      <c r="J226" s="55"/>
    </row>
    <row r="227">
      <c r="A227" s="51"/>
      <c r="B227" s="51"/>
      <c r="C227" s="51"/>
      <c r="D227" s="52"/>
      <c r="E227" s="52"/>
      <c r="F227" s="52"/>
      <c r="G227" s="53"/>
      <c r="H227" s="54"/>
      <c r="J227" s="55"/>
    </row>
    <row r="228">
      <c r="A228" s="51"/>
      <c r="B228" s="51"/>
      <c r="C228" s="51"/>
      <c r="D228" s="52"/>
      <c r="E228" s="52"/>
      <c r="F228" s="52"/>
      <c r="G228" s="53"/>
      <c r="H228" s="54"/>
      <c r="J228" s="55"/>
    </row>
    <row r="229">
      <c r="A229" s="51"/>
      <c r="B229" s="51"/>
      <c r="C229" s="51"/>
      <c r="D229" s="52"/>
      <c r="E229" s="52"/>
      <c r="F229" s="52"/>
      <c r="G229" s="53"/>
      <c r="H229" s="54"/>
      <c r="J229" s="55"/>
    </row>
    <row r="230">
      <c r="A230" s="51"/>
      <c r="B230" s="51"/>
      <c r="C230" s="51"/>
      <c r="D230" s="52"/>
      <c r="E230" s="52"/>
      <c r="F230" s="52"/>
      <c r="G230" s="53"/>
      <c r="H230" s="54"/>
      <c r="J230" s="55"/>
    </row>
    <row r="231">
      <c r="A231" s="51"/>
      <c r="B231" s="51"/>
      <c r="C231" s="51"/>
      <c r="D231" s="52"/>
      <c r="E231" s="52"/>
      <c r="F231" s="52"/>
      <c r="G231" s="53"/>
      <c r="H231" s="54"/>
      <c r="J231" s="55"/>
    </row>
    <row r="232">
      <c r="A232" s="51"/>
      <c r="B232" s="51"/>
      <c r="C232" s="51"/>
      <c r="D232" s="52"/>
      <c r="E232" s="52"/>
      <c r="F232" s="52"/>
      <c r="G232" s="53"/>
      <c r="H232" s="54"/>
      <c r="J232" s="55"/>
    </row>
    <row r="233">
      <c r="A233" s="51"/>
      <c r="B233" s="51"/>
      <c r="C233" s="51"/>
      <c r="D233" s="52"/>
      <c r="E233" s="52"/>
      <c r="F233" s="52"/>
      <c r="G233" s="53"/>
      <c r="H233" s="54"/>
      <c r="J233" s="55"/>
    </row>
    <row r="234">
      <c r="A234" s="51"/>
      <c r="B234" s="51"/>
      <c r="C234" s="51"/>
      <c r="D234" s="52"/>
      <c r="E234" s="52"/>
      <c r="F234" s="52"/>
      <c r="G234" s="53"/>
      <c r="H234" s="54"/>
      <c r="J234" s="55"/>
    </row>
    <row r="235">
      <c r="A235" s="51"/>
      <c r="B235" s="51"/>
      <c r="C235" s="51"/>
      <c r="D235" s="52"/>
      <c r="E235" s="52"/>
      <c r="F235" s="52"/>
      <c r="G235" s="53"/>
      <c r="H235" s="54"/>
      <c r="J235" s="55"/>
    </row>
    <row r="236">
      <c r="A236" s="51"/>
      <c r="B236" s="51"/>
      <c r="C236" s="51"/>
      <c r="D236" s="52"/>
      <c r="E236" s="52"/>
      <c r="F236" s="52"/>
      <c r="G236" s="53"/>
      <c r="H236" s="54"/>
      <c r="J236" s="55"/>
    </row>
    <row r="237">
      <c r="A237" s="51"/>
      <c r="B237" s="51"/>
      <c r="C237" s="51"/>
      <c r="D237" s="52"/>
      <c r="E237" s="52"/>
      <c r="F237" s="52"/>
      <c r="G237" s="53"/>
      <c r="H237" s="54"/>
      <c r="J237" s="55"/>
    </row>
    <row r="238">
      <c r="A238" s="51"/>
      <c r="B238" s="51"/>
      <c r="C238" s="51"/>
      <c r="D238" s="52"/>
      <c r="E238" s="52"/>
      <c r="F238" s="52"/>
      <c r="G238" s="53"/>
      <c r="H238" s="54"/>
      <c r="J238" s="55"/>
    </row>
    <row r="239">
      <c r="A239" s="51"/>
      <c r="B239" s="51"/>
      <c r="C239" s="51"/>
      <c r="D239" s="52"/>
      <c r="E239" s="52"/>
      <c r="F239" s="52"/>
      <c r="G239" s="53"/>
      <c r="H239" s="54"/>
      <c r="J239" s="55"/>
    </row>
    <row r="240">
      <c r="A240" s="51"/>
      <c r="B240" s="51"/>
      <c r="C240" s="51"/>
      <c r="D240" s="52"/>
      <c r="E240" s="52"/>
      <c r="F240" s="52"/>
      <c r="G240" s="53"/>
      <c r="H240" s="54"/>
      <c r="J240" s="55"/>
    </row>
    <row r="241">
      <c r="A241" s="51"/>
      <c r="B241" s="51"/>
      <c r="C241" s="51"/>
      <c r="D241" s="52"/>
      <c r="E241" s="52"/>
      <c r="F241" s="52"/>
      <c r="G241" s="53"/>
      <c r="H241" s="54"/>
      <c r="J241" s="55"/>
    </row>
    <row r="242">
      <c r="A242" s="51"/>
      <c r="B242" s="51"/>
      <c r="C242" s="51"/>
      <c r="D242" s="52"/>
      <c r="E242" s="52"/>
      <c r="F242" s="52"/>
      <c r="G242" s="53"/>
      <c r="H242" s="54"/>
      <c r="J242" s="55"/>
    </row>
    <row r="243">
      <c r="A243" s="51"/>
      <c r="B243" s="51"/>
      <c r="C243" s="51"/>
      <c r="D243" s="52"/>
      <c r="E243" s="52"/>
      <c r="F243" s="52"/>
      <c r="G243" s="53"/>
      <c r="H243" s="54"/>
      <c r="J243" s="55"/>
    </row>
    <row r="244">
      <c r="A244" s="51"/>
      <c r="B244" s="51"/>
      <c r="C244" s="51"/>
      <c r="D244" s="52"/>
      <c r="E244" s="52"/>
      <c r="F244" s="52"/>
      <c r="G244" s="53"/>
      <c r="H244" s="54"/>
      <c r="J244" s="55"/>
    </row>
    <row r="245">
      <c r="A245" s="51"/>
      <c r="B245" s="51"/>
      <c r="C245" s="51"/>
      <c r="D245" s="52"/>
      <c r="E245" s="52"/>
      <c r="F245" s="52"/>
      <c r="G245" s="53"/>
      <c r="H245" s="54"/>
      <c r="J245" s="55"/>
    </row>
    <row r="246">
      <c r="A246" s="51"/>
      <c r="B246" s="51"/>
      <c r="C246" s="51"/>
      <c r="D246" s="52"/>
      <c r="E246" s="52"/>
      <c r="F246" s="52"/>
      <c r="G246" s="53"/>
      <c r="H246" s="54"/>
      <c r="J246" s="55"/>
    </row>
    <row r="247">
      <c r="A247" s="51"/>
      <c r="B247" s="51"/>
      <c r="C247" s="51"/>
      <c r="D247" s="52"/>
      <c r="E247" s="52"/>
      <c r="F247" s="52"/>
      <c r="G247" s="53"/>
      <c r="H247" s="54"/>
      <c r="J247" s="55"/>
    </row>
    <row r="248">
      <c r="A248" s="51"/>
      <c r="B248" s="51"/>
      <c r="C248" s="51"/>
      <c r="D248" s="52"/>
      <c r="E248" s="52"/>
      <c r="F248" s="52"/>
      <c r="G248" s="53"/>
      <c r="H248" s="54"/>
      <c r="J248" s="55"/>
    </row>
    <row r="249">
      <c r="A249" s="51"/>
      <c r="B249" s="51"/>
      <c r="C249" s="51"/>
      <c r="D249" s="52"/>
      <c r="E249" s="52"/>
      <c r="F249" s="52"/>
      <c r="G249" s="53"/>
      <c r="H249" s="54"/>
      <c r="J249" s="55"/>
    </row>
    <row r="250">
      <c r="A250" s="51"/>
      <c r="B250" s="51"/>
      <c r="C250" s="51"/>
      <c r="D250" s="52"/>
      <c r="E250" s="52"/>
      <c r="F250" s="52"/>
      <c r="G250" s="53"/>
      <c r="H250" s="54"/>
      <c r="J250" s="55"/>
    </row>
    <row r="251">
      <c r="A251" s="51"/>
      <c r="B251" s="51"/>
      <c r="C251" s="51"/>
      <c r="D251" s="52"/>
      <c r="E251" s="52"/>
      <c r="F251" s="52"/>
      <c r="G251" s="53"/>
      <c r="H251" s="54"/>
      <c r="J251" s="55"/>
    </row>
    <row r="252">
      <c r="A252" s="51"/>
      <c r="B252" s="51"/>
      <c r="C252" s="51"/>
      <c r="D252" s="52"/>
      <c r="E252" s="52"/>
      <c r="F252" s="52"/>
      <c r="G252" s="53"/>
      <c r="H252" s="54"/>
      <c r="J252" s="55"/>
    </row>
    <row r="253">
      <c r="A253" s="51"/>
      <c r="B253" s="51"/>
      <c r="C253" s="51"/>
      <c r="D253" s="52"/>
      <c r="E253" s="52"/>
      <c r="F253" s="52"/>
      <c r="G253" s="53"/>
      <c r="H253" s="54"/>
      <c r="J253" s="55"/>
    </row>
    <row r="254">
      <c r="A254" s="51"/>
      <c r="B254" s="51"/>
      <c r="C254" s="51"/>
      <c r="D254" s="52"/>
      <c r="E254" s="52"/>
      <c r="F254" s="52"/>
      <c r="G254" s="53"/>
      <c r="H254" s="54"/>
      <c r="J254" s="55"/>
    </row>
    <row r="255">
      <c r="A255" s="51"/>
      <c r="B255" s="51"/>
      <c r="C255" s="51"/>
      <c r="D255" s="52"/>
      <c r="E255" s="52"/>
      <c r="F255" s="52"/>
      <c r="G255" s="53"/>
      <c r="H255" s="54"/>
      <c r="J255" s="55"/>
    </row>
    <row r="256">
      <c r="A256" s="51"/>
      <c r="B256" s="51"/>
      <c r="C256" s="51"/>
      <c r="D256" s="52"/>
      <c r="E256" s="52"/>
      <c r="F256" s="52"/>
      <c r="G256" s="53"/>
      <c r="H256" s="54"/>
      <c r="J256" s="55"/>
    </row>
    <row r="257">
      <c r="A257" s="51"/>
      <c r="B257" s="51"/>
      <c r="C257" s="51"/>
      <c r="D257" s="52"/>
      <c r="E257" s="52"/>
      <c r="F257" s="52"/>
      <c r="G257" s="53"/>
      <c r="H257" s="54"/>
      <c r="J257" s="55"/>
    </row>
    <row r="258">
      <c r="A258" s="51"/>
      <c r="B258" s="51"/>
      <c r="C258" s="51"/>
      <c r="D258" s="52"/>
      <c r="E258" s="52"/>
      <c r="F258" s="52"/>
      <c r="G258" s="53"/>
      <c r="H258" s="54"/>
      <c r="J258" s="55"/>
    </row>
    <row r="259">
      <c r="A259" s="51"/>
      <c r="B259" s="51"/>
      <c r="C259" s="51"/>
      <c r="D259" s="52"/>
      <c r="E259" s="52"/>
      <c r="F259" s="52"/>
      <c r="G259" s="53"/>
      <c r="H259" s="54"/>
      <c r="J259" s="55"/>
    </row>
    <row r="260">
      <c r="A260" s="51"/>
      <c r="B260" s="51"/>
      <c r="C260" s="51"/>
      <c r="D260" s="52"/>
      <c r="E260" s="52"/>
      <c r="F260" s="52"/>
      <c r="G260" s="53"/>
      <c r="H260" s="54"/>
      <c r="J260" s="55"/>
    </row>
    <row r="261">
      <c r="A261" s="51"/>
      <c r="B261" s="51"/>
      <c r="C261" s="51"/>
      <c r="D261" s="52"/>
      <c r="E261" s="52"/>
      <c r="F261" s="52"/>
      <c r="G261" s="53"/>
      <c r="H261" s="54"/>
      <c r="J261" s="55"/>
    </row>
    <row r="262">
      <c r="A262" s="51"/>
      <c r="B262" s="51"/>
      <c r="C262" s="51"/>
      <c r="D262" s="52"/>
      <c r="E262" s="52"/>
      <c r="F262" s="52"/>
      <c r="G262" s="53"/>
      <c r="H262" s="54"/>
      <c r="J262" s="55"/>
    </row>
    <row r="263">
      <c r="A263" s="51"/>
      <c r="B263" s="51"/>
      <c r="C263" s="51"/>
      <c r="D263" s="52"/>
      <c r="E263" s="52"/>
      <c r="F263" s="52"/>
      <c r="G263" s="53"/>
      <c r="H263" s="54"/>
      <c r="J263" s="55"/>
    </row>
    <row r="264">
      <c r="A264" s="51"/>
      <c r="B264" s="51"/>
      <c r="C264" s="51"/>
      <c r="D264" s="52"/>
      <c r="E264" s="52"/>
      <c r="F264" s="52"/>
      <c r="G264" s="53"/>
      <c r="H264" s="54"/>
      <c r="J264" s="55"/>
    </row>
    <row r="265">
      <c r="A265" s="51"/>
      <c r="B265" s="51"/>
      <c r="C265" s="51"/>
      <c r="D265" s="52"/>
      <c r="E265" s="52"/>
      <c r="F265" s="52"/>
      <c r="G265" s="53"/>
      <c r="H265" s="54"/>
      <c r="J265" s="55"/>
    </row>
    <row r="266">
      <c r="A266" s="51"/>
      <c r="B266" s="51"/>
      <c r="C266" s="51"/>
      <c r="D266" s="52"/>
      <c r="E266" s="52"/>
      <c r="F266" s="52"/>
      <c r="G266" s="53"/>
      <c r="H266" s="54"/>
      <c r="J266" s="55"/>
    </row>
    <row r="267">
      <c r="A267" s="51"/>
      <c r="B267" s="51"/>
      <c r="C267" s="51"/>
      <c r="D267" s="52"/>
      <c r="E267" s="52"/>
      <c r="F267" s="52"/>
      <c r="G267" s="53"/>
      <c r="H267" s="54"/>
      <c r="J267" s="55"/>
    </row>
    <row r="268">
      <c r="A268" s="51"/>
      <c r="B268" s="51"/>
      <c r="C268" s="51"/>
      <c r="D268" s="52"/>
      <c r="E268" s="52"/>
      <c r="F268" s="52"/>
      <c r="G268" s="53"/>
      <c r="H268" s="54"/>
      <c r="J268" s="55"/>
    </row>
    <row r="269">
      <c r="A269" s="51"/>
      <c r="B269" s="51"/>
      <c r="C269" s="51"/>
      <c r="D269" s="52"/>
      <c r="E269" s="52"/>
      <c r="F269" s="52"/>
      <c r="G269" s="53"/>
      <c r="H269" s="54"/>
      <c r="J269" s="55"/>
    </row>
    <row r="270">
      <c r="A270" s="51"/>
      <c r="B270" s="51"/>
      <c r="C270" s="51"/>
      <c r="D270" s="52"/>
      <c r="E270" s="52"/>
      <c r="F270" s="52"/>
      <c r="G270" s="53"/>
      <c r="H270" s="54"/>
      <c r="J270" s="55"/>
    </row>
    <row r="271">
      <c r="A271" s="51"/>
      <c r="B271" s="51"/>
      <c r="C271" s="51"/>
      <c r="D271" s="52"/>
      <c r="E271" s="52"/>
      <c r="F271" s="52"/>
      <c r="G271" s="53"/>
      <c r="H271" s="54"/>
      <c r="J271" s="55"/>
    </row>
    <row r="272">
      <c r="A272" s="51"/>
      <c r="B272" s="51"/>
      <c r="C272" s="51"/>
      <c r="D272" s="52"/>
      <c r="E272" s="52"/>
      <c r="F272" s="52"/>
      <c r="G272" s="53"/>
      <c r="H272" s="54"/>
      <c r="J272" s="55"/>
    </row>
    <row r="273">
      <c r="A273" s="51"/>
      <c r="B273" s="51"/>
      <c r="C273" s="51"/>
      <c r="D273" s="52"/>
      <c r="E273" s="52"/>
      <c r="F273" s="52"/>
      <c r="G273" s="53"/>
      <c r="H273" s="54"/>
      <c r="J273" s="55"/>
    </row>
    <row r="274">
      <c r="A274" s="51"/>
      <c r="B274" s="51"/>
      <c r="C274" s="51"/>
      <c r="D274" s="52"/>
      <c r="E274" s="52"/>
      <c r="F274" s="52"/>
      <c r="G274" s="53"/>
      <c r="H274" s="54"/>
      <c r="J274" s="55"/>
    </row>
    <row r="275">
      <c r="A275" s="51"/>
      <c r="B275" s="51"/>
      <c r="C275" s="51"/>
      <c r="D275" s="52"/>
      <c r="E275" s="52"/>
      <c r="F275" s="52"/>
      <c r="G275" s="53"/>
      <c r="H275" s="54"/>
      <c r="J275" s="55"/>
    </row>
    <row r="276">
      <c r="A276" s="51"/>
      <c r="B276" s="51"/>
      <c r="C276" s="51"/>
      <c r="D276" s="52"/>
      <c r="E276" s="52"/>
      <c r="F276" s="52"/>
      <c r="G276" s="53"/>
      <c r="H276" s="54"/>
      <c r="J276" s="55"/>
    </row>
    <row r="277">
      <c r="A277" s="51"/>
      <c r="B277" s="51"/>
      <c r="C277" s="51"/>
      <c r="D277" s="52"/>
      <c r="E277" s="52"/>
      <c r="F277" s="52"/>
      <c r="G277" s="53"/>
      <c r="H277" s="54"/>
      <c r="J277" s="55"/>
    </row>
    <row r="278">
      <c r="A278" s="51"/>
      <c r="B278" s="51"/>
      <c r="C278" s="51"/>
      <c r="D278" s="52"/>
      <c r="E278" s="52"/>
      <c r="F278" s="52"/>
      <c r="G278" s="53"/>
      <c r="H278" s="54"/>
      <c r="J278" s="55"/>
    </row>
    <row r="279">
      <c r="A279" s="51"/>
      <c r="B279" s="51"/>
      <c r="C279" s="51"/>
      <c r="D279" s="52"/>
      <c r="E279" s="52"/>
      <c r="F279" s="52"/>
      <c r="G279" s="53"/>
      <c r="H279" s="54"/>
      <c r="J279" s="55"/>
    </row>
    <row r="280">
      <c r="A280" s="51"/>
      <c r="B280" s="51"/>
      <c r="C280" s="51"/>
      <c r="D280" s="52"/>
      <c r="E280" s="52"/>
      <c r="F280" s="52"/>
      <c r="G280" s="53"/>
      <c r="H280" s="54"/>
      <c r="J280" s="55"/>
    </row>
    <row r="281">
      <c r="A281" s="51"/>
      <c r="B281" s="51"/>
      <c r="C281" s="51"/>
      <c r="D281" s="52"/>
      <c r="E281" s="52"/>
      <c r="F281" s="52"/>
      <c r="G281" s="53"/>
      <c r="H281" s="54"/>
      <c r="J281" s="55"/>
    </row>
    <row r="282">
      <c r="A282" s="51"/>
      <c r="B282" s="51"/>
      <c r="C282" s="51"/>
      <c r="D282" s="52"/>
      <c r="E282" s="52"/>
      <c r="F282" s="52"/>
      <c r="G282" s="53"/>
      <c r="H282" s="54"/>
      <c r="J282" s="55"/>
    </row>
    <row r="283">
      <c r="A283" s="51"/>
      <c r="B283" s="51"/>
      <c r="C283" s="51"/>
      <c r="D283" s="52"/>
      <c r="E283" s="52"/>
      <c r="F283" s="52"/>
      <c r="G283" s="53"/>
      <c r="H283" s="54"/>
      <c r="J283" s="55"/>
    </row>
    <row r="284">
      <c r="A284" s="51"/>
      <c r="B284" s="51"/>
      <c r="C284" s="51"/>
      <c r="D284" s="52"/>
      <c r="E284" s="52"/>
      <c r="F284" s="52"/>
      <c r="G284" s="53"/>
      <c r="H284" s="54"/>
      <c r="J284" s="55"/>
    </row>
    <row r="285">
      <c r="A285" s="51"/>
      <c r="B285" s="51"/>
      <c r="C285" s="51"/>
      <c r="D285" s="52"/>
      <c r="E285" s="52"/>
      <c r="F285" s="52"/>
      <c r="G285" s="53"/>
      <c r="H285" s="54"/>
      <c r="J285" s="55"/>
    </row>
    <row r="286">
      <c r="A286" s="51"/>
      <c r="B286" s="51"/>
      <c r="C286" s="51"/>
      <c r="D286" s="52"/>
      <c r="E286" s="52"/>
      <c r="F286" s="52"/>
      <c r="G286" s="53"/>
      <c r="H286" s="54"/>
      <c r="J286" s="55"/>
    </row>
    <row r="287">
      <c r="A287" s="51"/>
      <c r="B287" s="51"/>
      <c r="C287" s="51"/>
      <c r="D287" s="52"/>
      <c r="E287" s="52"/>
      <c r="F287" s="52"/>
      <c r="G287" s="53"/>
      <c r="H287" s="54"/>
      <c r="J287" s="55"/>
    </row>
    <row r="288">
      <c r="A288" s="51"/>
      <c r="B288" s="51"/>
      <c r="C288" s="51"/>
      <c r="D288" s="52"/>
      <c r="E288" s="52"/>
      <c r="F288" s="52"/>
      <c r="G288" s="53"/>
      <c r="H288" s="54"/>
      <c r="J288" s="55"/>
    </row>
    <row r="289">
      <c r="A289" s="51"/>
      <c r="B289" s="51"/>
      <c r="C289" s="51"/>
      <c r="D289" s="52"/>
      <c r="E289" s="52"/>
      <c r="F289" s="52"/>
      <c r="G289" s="53"/>
      <c r="H289" s="54"/>
      <c r="J289" s="55"/>
    </row>
    <row r="290">
      <c r="A290" s="51"/>
      <c r="B290" s="51"/>
      <c r="C290" s="51"/>
      <c r="D290" s="52"/>
      <c r="E290" s="52"/>
      <c r="F290" s="52"/>
      <c r="G290" s="53"/>
      <c r="H290" s="54"/>
      <c r="J290" s="55"/>
    </row>
    <row r="291">
      <c r="A291" s="51"/>
      <c r="B291" s="51"/>
      <c r="C291" s="51"/>
      <c r="D291" s="52"/>
      <c r="E291" s="52"/>
      <c r="F291" s="52"/>
      <c r="G291" s="53"/>
      <c r="H291" s="54"/>
      <c r="J291" s="55"/>
    </row>
    <row r="292">
      <c r="A292" s="51"/>
      <c r="B292" s="51"/>
      <c r="C292" s="51"/>
      <c r="D292" s="52"/>
      <c r="E292" s="52"/>
      <c r="F292" s="52"/>
      <c r="G292" s="53"/>
      <c r="H292" s="54"/>
      <c r="J292" s="55"/>
    </row>
    <row r="293">
      <c r="A293" s="51"/>
      <c r="B293" s="51"/>
      <c r="C293" s="51"/>
      <c r="D293" s="52"/>
      <c r="E293" s="52"/>
      <c r="F293" s="52"/>
      <c r="G293" s="53"/>
      <c r="H293" s="54"/>
      <c r="J293" s="55"/>
    </row>
    <row r="294">
      <c r="A294" s="51"/>
      <c r="B294" s="51"/>
      <c r="C294" s="51"/>
      <c r="D294" s="52"/>
      <c r="E294" s="52"/>
      <c r="F294" s="52"/>
      <c r="G294" s="53"/>
      <c r="H294" s="54"/>
      <c r="J294" s="55"/>
    </row>
    <row r="295">
      <c r="A295" s="51"/>
      <c r="B295" s="51"/>
      <c r="C295" s="51"/>
      <c r="D295" s="52"/>
      <c r="E295" s="52"/>
      <c r="F295" s="52"/>
      <c r="G295" s="53"/>
      <c r="H295" s="54"/>
      <c r="J295" s="55"/>
    </row>
    <row r="296">
      <c r="A296" s="51"/>
      <c r="B296" s="51"/>
      <c r="C296" s="51"/>
      <c r="D296" s="52"/>
      <c r="E296" s="52"/>
      <c r="F296" s="52"/>
      <c r="G296" s="53"/>
      <c r="H296" s="54"/>
      <c r="J296" s="55"/>
    </row>
    <row r="297">
      <c r="A297" s="51"/>
      <c r="B297" s="51"/>
      <c r="C297" s="51"/>
      <c r="D297" s="52"/>
      <c r="E297" s="52"/>
      <c r="F297" s="52"/>
      <c r="G297" s="53"/>
      <c r="H297" s="54"/>
      <c r="J297" s="55"/>
    </row>
    <row r="298">
      <c r="A298" s="51"/>
      <c r="B298" s="51"/>
      <c r="C298" s="51"/>
      <c r="D298" s="52"/>
      <c r="E298" s="52"/>
      <c r="F298" s="52"/>
      <c r="G298" s="53"/>
      <c r="H298" s="54"/>
      <c r="J298" s="55"/>
    </row>
    <row r="299">
      <c r="A299" s="51"/>
      <c r="B299" s="51"/>
      <c r="C299" s="51"/>
      <c r="D299" s="52"/>
      <c r="E299" s="52"/>
      <c r="F299" s="52"/>
      <c r="G299" s="53"/>
      <c r="H299" s="54"/>
      <c r="J299" s="55"/>
    </row>
    <row r="300">
      <c r="A300" s="51"/>
      <c r="B300" s="51"/>
      <c r="C300" s="51"/>
      <c r="D300" s="52"/>
      <c r="E300" s="52"/>
      <c r="F300" s="52"/>
      <c r="G300" s="53"/>
      <c r="H300" s="54"/>
      <c r="J300" s="55"/>
    </row>
    <row r="301">
      <c r="A301" s="51"/>
      <c r="B301" s="51"/>
      <c r="C301" s="51"/>
      <c r="D301" s="52"/>
      <c r="E301" s="52"/>
      <c r="F301" s="52"/>
      <c r="G301" s="53"/>
      <c r="H301" s="54"/>
      <c r="J301" s="55"/>
    </row>
    <row r="302">
      <c r="A302" s="51"/>
      <c r="B302" s="51"/>
      <c r="C302" s="51"/>
      <c r="D302" s="52"/>
      <c r="E302" s="52"/>
      <c r="F302" s="52"/>
      <c r="G302" s="53"/>
      <c r="H302" s="54"/>
      <c r="J302" s="55"/>
    </row>
    <row r="303">
      <c r="A303" s="51"/>
      <c r="B303" s="51"/>
      <c r="C303" s="51"/>
      <c r="D303" s="52"/>
      <c r="E303" s="52"/>
      <c r="F303" s="52"/>
      <c r="G303" s="53"/>
      <c r="H303" s="54"/>
      <c r="J303" s="55"/>
    </row>
    <row r="304">
      <c r="A304" s="51"/>
      <c r="B304" s="51"/>
      <c r="C304" s="51"/>
      <c r="D304" s="52"/>
      <c r="E304" s="52"/>
      <c r="F304" s="52"/>
      <c r="G304" s="53"/>
      <c r="H304" s="54"/>
      <c r="J304" s="55"/>
    </row>
    <row r="305">
      <c r="A305" s="51"/>
      <c r="B305" s="51"/>
      <c r="C305" s="51"/>
      <c r="D305" s="52"/>
      <c r="E305" s="52"/>
      <c r="F305" s="52"/>
      <c r="G305" s="53"/>
      <c r="H305" s="54"/>
      <c r="J305" s="55"/>
    </row>
    <row r="306">
      <c r="A306" s="51"/>
      <c r="B306" s="51"/>
      <c r="C306" s="51"/>
      <c r="D306" s="52"/>
      <c r="E306" s="52"/>
      <c r="F306" s="52"/>
      <c r="G306" s="53"/>
      <c r="H306" s="54"/>
      <c r="J306" s="55"/>
    </row>
    <row r="307">
      <c r="A307" s="51"/>
      <c r="B307" s="51"/>
      <c r="C307" s="51"/>
      <c r="D307" s="52"/>
      <c r="E307" s="52"/>
      <c r="F307" s="52"/>
      <c r="G307" s="53"/>
      <c r="H307" s="54"/>
      <c r="J307" s="55"/>
    </row>
    <row r="308">
      <c r="A308" s="51"/>
      <c r="B308" s="51"/>
      <c r="C308" s="51"/>
      <c r="D308" s="52"/>
      <c r="E308" s="52"/>
      <c r="F308" s="52"/>
      <c r="G308" s="53"/>
      <c r="H308" s="54"/>
      <c r="J308" s="55"/>
    </row>
    <row r="309">
      <c r="A309" s="51"/>
      <c r="B309" s="51"/>
      <c r="C309" s="51"/>
      <c r="D309" s="52"/>
      <c r="E309" s="52"/>
      <c r="F309" s="52"/>
      <c r="G309" s="53"/>
      <c r="H309" s="54"/>
      <c r="J309" s="55"/>
    </row>
    <row r="310">
      <c r="A310" s="51"/>
      <c r="B310" s="51"/>
      <c r="C310" s="51"/>
      <c r="D310" s="52"/>
      <c r="E310" s="52"/>
      <c r="F310" s="52"/>
      <c r="G310" s="53"/>
      <c r="H310" s="54"/>
      <c r="J310" s="55"/>
    </row>
    <row r="311">
      <c r="A311" s="51"/>
      <c r="B311" s="51"/>
      <c r="C311" s="51"/>
      <c r="D311" s="52"/>
      <c r="E311" s="52"/>
      <c r="F311" s="52"/>
      <c r="G311" s="53"/>
      <c r="H311" s="54"/>
      <c r="J311" s="55"/>
    </row>
    <row r="312">
      <c r="A312" s="51"/>
      <c r="B312" s="51"/>
      <c r="C312" s="51"/>
      <c r="D312" s="52"/>
      <c r="E312" s="52"/>
      <c r="F312" s="52"/>
      <c r="G312" s="53"/>
      <c r="H312" s="54"/>
      <c r="J312" s="55"/>
    </row>
    <row r="313">
      <c r="A313" s="51"/>
      <c r="B313" s="51"/>
      <c r="C313" s="51"/>
      <c r="D313" s="52"/>
      <c r="E313" s="52"/>
      <c r="F313" s="52"/>
      <c r="G313" s="53"/>
      <c r="H313" s="54"/>
      <c r="J313" s="55"/>
    </row>
    <row r="314">
      <c r="A314" s="51"/>
      <c r="B314" s="51"/>
      <c r="C314" s="51"/>
      <c r="D314" s="52"/>
      <c r="E314" s="52"/>
      <c r="F314" s="52"/>
      <c r="G314" s="53"/>
      <c r="H314" s="54"/>
      <c r="J314" s="55"/>
    </row>
    <row r="315">
      <c r="A315" s="51"/>
      <c r="B315" s="51"/>
      <c r="C315" s="51"/>
      <c r="D315" s="52"/>
      <c r="E315" s="52"/>
      <c r="F315" s="52"/>
      <c r="G315" s="53"/>
      <c r="H315" s="54"/>
      <c r="J315" s="55"/>
    </row>
    <row r="316">
      <c r="A316" s="51"/>
      <c r="B316" s="51"/>
      <c r="C316" s="51"/>
      <c r="D316" s="52"/>
      <c r="E316" s="52"/>
      <c r="F316" s="52"/>
      <c r="G316" s="53"/>
      <c r="H316" s="54"/>
      <c r="J316" s="55"/>
    </row>
    <row r="317">
      <c r="A317" s="51"/>
      <c r="B317" s="51"/>
      <c r="C317" s="51"/>
      <c r="D317" s="52"/>
      <c r="E317" s="52"/>
      <c r="F317" s="52"/>
      <c r="G317" s="53"/>
      <c r="H317" s="54"/>
      <c r="J317" s="55"/>
    </row>
    <row r="318">
      <c r="A318" s="51"/>
      <c r="B318" s="51"/>
      <c r="C318" s="51"/>
      <c r="D318" s="52"/>
      <c r="E318" s="52"/>
      <c r="F318" s="52"/>
      <c r="G318" s="53"/>
      <c r="H318" s="54"/>
      <c r="J318" s="55"/>
    </row>
    <row r="319">
      <c r="A319" s="51"/>
      <c r="B319" s="51"/>
      <c r="C319" s="51"/>
      <c r="D319" s="52"/>
      <c r="E319" s="52"/>
      <c r="F319" s="52"/>
      <c r="G319" s="53"/>
      <c r="H319" s="54"/>
      <c r="J319" s="55"/>
    </row>
    <row r="320">
      <c r="A320" s="51"/>
      <c r="B320" s="51"/>
      <c r="C320" s="51"/>
      <c r="D320" s="52"/>
      <c r="E320" s="52"/>
      <c r="F320" s="52"/>
      <c r="G320" s="53"/>
      <c r="H320" s="54"/>
      <c r="J320" s="55"/>
    </row>
    <row r="321">
      <c r="A321" s="51"/>
      <c r="B321" s="51"/>
      <c r="C321" s="51"/>
      <c r="D321" s="52"/>
      <c r="E321" s="52"/>
      <c r="F321" s="52"/>
      <c r="G321" s="53"/>
      <c r="H321" s="54"/>
      <c r="J321" s="55"/>
    </row>
    <row r="322">
      <c r="A322" s="51"/>
      <c r="B322" s="51"/>
      <c r="C322" s="51"/>
      <c r="D322" s="52"/>
      <c r="E322" s="52"/>
      <c r="F322" s="52"/>
      <c r="G322" s="53"/>
      <c r="H322" s="54"/>
      <c r="J322" s="55"/>
    </row>
    <row r="323">
      <c r="A323" s="51"/>
      <c r="B323" s="51"/>
      <c r="C323" s="51"/>
      <c r="D323" s="52"/>
      <c r="E323" s="52"/>
      <c r="F323" s="52"/>
      <c r="G323" s="53"/>
      <c r="H323" s="54"/>
      <c r="J323" s="55"/>
    </row>
    <row r="324">
      <c r="A324" s="51"/>
      <c r="B324" s="51"/>
      <c r="C324" s="51"/>
      <c r="D324" s="52"/>
      <c r="E324" s="52"/>
      <c r="F324" s="52"/>
      <c r="G324" s="53"/>
      <c r="H324" s="54"/>
      <c r="J324" s="55"/>
    </row>
    <row r="325">
      <c r="A325" s="51"/>
      <c r="B325" s="51"/>
      <c r="C325" s="51"/>
      <c r="D325" s="52"/>
      <c r="E325" s="52"/>
      <c r="F325" s="52"/>
      <c r="G325" s="53"/>
      <c r="H325" s="54"/>
      <c r="J325" s="55"/>
    </row>
    <row r="326">
      <c r="A326" s="51"/>
      <c r="B326" s="51"/>
      <c r="C326" s="51"/>
      <c r="D326" s="52"/>
      <c r="E326" s="52"/>
      <c r="F326" s="52"/>
      <c r="G326" s="53"/>
      <c r="H326" s="54"/>
      <c r="J326" s="55"/>
    </row>
    <row r="327">
      <c r="A327" s="51"/>
      <c r="B327" s="51"/>
      <c r="C327" s="51"/>
      <c r="D327" s="52"/>
      <c r="E327" s="52"/>
      <c r="F327" s="52"/>
      <c r="G327" s="53"/>
      <c r="H327" s="54"/>
      <c r="J327" s="55"/>
    </row>
    <row r="328">
      <c r="A328" s="51"/>
      <c r="B328" s="51"/>
      <c r="C328" s="51"/>
      <c r="D328" s="52"/>
      <c r="E328" s="52"/>
      <c r="F328" s="52"/>
      <c r="G328" s="53"/>
      <c r="H328" s="54"/>
      <c r="J328" s="55"/>
    </row>
    <row r="329">
      <c r="A329" s="51"/>
      <c r="B329" s="51"/>
      <c r="C329" s="51"/>
      <c r="D329" s="52"/>
      <c r="E329" s="52"/>
      <c r="F329" s="52"/>
      <c r="G329" s="53"/>
      <c r="H329" s="54"/>
      <c r="J329" s="55"/>
    </row>
    <row r="330">
      <c r="A330" s="51"/>
      <c r="B330" s="51"/>
      <c r="C330" s="51"/>
      <c r="D330" s="52"/>
      <c r="E330" s="52"/>
      <c r="F330" s="52"/>
      <c r="G330" s="53"/>
      <c r="H330" s="54"/>
      <c r="J330" s="55"/>
    </row>
    <row r="331">
      <c r="A331" s="51"/>
      <c r="B331" s="51"/>
      <c r="C331" s="51"/>
      <c r="D331" s="52"/>
      <c r="E331" s="52"/>
      <c r="F331" s="52"/>
      <c r="G331" s="53"/>
      <c r="H331" s="54"/>
      <c r="J331" s="55"/>
    </row>
    <row r="332">
      <c r="A332" s="51"/>
      <c r="B332" s="51"/>
      <c r="C332" s="51"/>
      <c r="D332" s="52"/>
      <c r="E332" s="52"/>
      <c r="F332" s="52"/>
      <c r="G332" s="53"/>
      <c r="H332" s="54"/>
      <c r="J332" s="55"/>
    </row>
    <row r="333">
      <c r="A333" s="51"/>
      <c r="B333" s="51"/>
      <c r="C333" s="51"/>
      <c r="D333" s="52"/>
      <c r="E333" s="52"/>
      <c r="F333" s="52"/>
      <c r="G333" s="53"/>
      <c r="H333" s="54"/>
      <c r="J333" s="55"/>
    </row>
    <row r="334">
      <c r="A334" s="51"/>
      <c r="B334" s="51"/>
      <c r="C334" s="51"/>
      <c r="D334" s="52"/>
      <c r="E334" s="52"/>
      <c r="F334" s="52"/>
      <c r="G334" s="53"/>
      <c r="H334" s="54"/>
      <c r="J334" s="55"/>
    </row>
    <row r="335">
      <c r="A335" s="51"/>
      <c r="B335" s="51"/>
      <c r="C335" s="51"/>
      <c r="D335" s="52"/>
      <c r="E335" s="52"/>
      <c r="F335" s="52"/>
      <c r="G335" s="53"/>
      <c r="H335" s="54"/>
      <c r="J335" s="55"/>
    </row>
    <row r="336">
      <c r="A336" s="51"/>
      <c r="B336" s="51"/>
      <c r="C336" s="51"/>
      <c r="D336" s="52"/>
      <c r="E336" s="52"/>
      <c r="F336" s="52"/>
      <c r="G336" s="53"/>
      <c r="H336" s="54"/>
      <c r="J336" s="55"/>
    </row>
    <row r="337">
      <c r="A337" s="51"/>
      <c r="B337" s="51"/>
      <c r="C337" s="51"/>
      <c r="D337" s="52"/>
      <c r="E337" s="52"/>
      <c r="F337" s="52"/>
      <c r="G337" s="53"/>
      <c r="H337" s="54"/>
      <c r="J337" s="55"/>
    </row>
    <row r="338">
      <c r="A338" s="51"/>
      <c r="B338" s="51"/>
      <c r="C338" s="51"/>
      <c r="D338" s="52"/>
      <c r="E338" s="52"/>
      <c r="F338" s="52"/>
      <c r="G338" s="53"/>
      <c r="H338" s="54"/>
      <c r="J338" s="55"/>
    </row>
    <row r="339">
      <c r="A339" s="51"/>
      <c r="B339" s="51"/>
      <c r="C339" s="51"/>
      <c r="D339" s="52"/>
      <c r="E339" s="52"/>
      <c r="F339" s="52"/>
      <c r="G339" s="53"/>
      <c r="H339" s="54"/>
      <c r="J339" s="55"/>
    </row>
    <row r="340">
      <c r="A340" s="51"/>
      <c r="B340" s="51"/>
      <c r="C340" s="51"/>
      <c r="D340" s="52"/>
      <c r="E340" s="52"/>
      <c r="F340" s="52"/>
      <c r="G340" s="53"/>
      <c r="H340" s="54"/>
      <c r="J340" s="55"/>
    </row>
    <row r="341">
      <c r="A341" s="51"/>
      <c r="B341" s="51"/>
      <c r="C341" s="51"/>
      <c r="D341" s="52"/>
      <c r="E341" s="52"/>
      <c r="F341" s="52"/>
      <c r="G341" s="53"/>
      <c r="H341" s="54"/>
      <c r="J341" s="55"/>
    </row>
    <row r="342">
      <c r="A342" s="51"/>
      <c r="B342" s="51"/>
      <c r="C342" s="51"/>
      <c r="D342" s="52"/>
      <c r="E342" s="52"/>
      <c r="F342" s="52"/>
      <c r="G342" s="53"/>
      <c r="H342" s="54"/>
      <c r="J342" s="55"/>
    </row>
    <row r="343">
      <c r="A343" s="51"/>
      <c r="B343" s="51"/>
      <c r="C343" s="51"/>
      <c r="D343" s="52"/>
      <c r="E343" s="52"/>
      <c r="F343" s="52"/>
      <c r="G343" s="53"/>
      <c r="H343" s="54"/>
      <c r="J343" s="55"/>
    </row>
    <row r="344">
      <c r="A344" s="51"/>
      <c r="B344" s="51"/>
      <c r="C344" s="51"/>
      <c r="D344" s="52"/>
      <c r="E344" s="52"/>
      <c r="F344" s="52"/>
      <c r="G344" s="53"/>
      <c r="H344" s="54"/>
      <c r="J344" s="55"/>
    </row>
    <row r="345">
      <c r="A345" s="51"/>
      <c r="B345" s="51"/>
      <c r="C345" s="51"/>
      <c r="D345" s="52"/>
      <c r="E345" s="52"/>
      <c r="F345" s="52"/>
      <c r="G345" s="53"/>
      <c r="H345" s="54"/>
      <c r="J345" s="55"/>
    </row>
    <row r="346">
      <c r="A346" s="51"/>
      <c r="B346" s="51"/>
      <c r="C346" s="51"/>
      <c r="D346" s="52"/>
      <c r="E346" s="52"/>
      <c r="F346" s="52"/>
      <c r="G346" s="53"/>
      <c r="H346" s="54"/>
      <c r="J346" s="55"/>
    </row>
    <row r="347">
      <c r="A347" s="51"/>
      <c r="B347" s="51"/>
      <c r="C347" s="51"/>
      <c r="D347" s="52"/>
      <c r="E347" s="52"/>
      <c r="F347" s="52"/>
      <c r="G347" s="53"/>
      <c r="H347" s="54"/>
      <c r="J347" s="55"/>
    </row>
    <row r="348">
      <c r="A348" s="51"/>
      <c r="B348" s="51"/>
      <c r="C348" s="51"/>
      <c r="D348" s="52"/>
      <c r="E348" s="52"/>
      <c r="F348" s="52"/>
      <c r="G348" s="53"/>
      <c r="H348" s="54"/>
      <c r="J348" s="55"/>
    </row>
    <row r="349">
      <c r="A349" s="51"/>
      <c r="B349" s="51"/>
      <c r="C349" s="51"/>
      <c r="D349" s="52"/>
      <c r="E349" s="52"/>
      <c r="F349" s="52"/>
      <c r="G349" s="53"/>
      <c r="H349" s="54"/>
      <c r="J349" s="55"/>
    </row>
    <row r="350">
      <c r="A350" s="51"/>
      <c r="B350" s="51"/>
      <c r="C350" s="51"/>
      <c r="D350" s="52"/>
      <c r="E350" s="52"/>
      <c r="F350" s="52"/>
      <c r="G350" s="53"/>
      <c r="H350" s="54"/>
      <c r="J350" s="55"/>
    </row>
    <row r="351">
      <c r="A351" s="51"/>
      <c r="B351" s="51"/>
      <c r="C351" s="51"/>
      <c r="D351" s="52"/>
      <c r="E351" s="52"/>
      <c r="F351" s="52"/>
      <c r="G351" s="53"/>
      <c r="H351" s="54"/>
      <c r="J351" s="55"/>
    </row>
    <row r="352">
      <c r="A352" s="51"/>
      <c r="B352" s="51"/>
      <c r="C352" s="51"/>
      <c r="D352" s="52"/>
      <c r="E352" s="52"/>
      <c r="F352" s="52"/>
      <c r="G352" s="53"/>
      <c r="H352" s="54"/>
      <c r="J352" s="55"/>
    </row>
    <row r="353">
      <c r="A353" s="51"/>
      <c r="B353" s="51"/>
      <c r="C353" s="51"/>
      <c r="D353" s="52"/>
      <c r="E353" s="52"/>
      <c r="F353" s="52"/>
      <c r="G353" s="53"/>
      <c r="H353" s="54"/>
      <c r="J353" s="55"/>
    </row>
    <row r="354">
      <c r="A354" s="51"/>
      <c r="B354" s="51"/>
      <c r="C354" s="51"/>
      <c r="D354" s="52"/>
      <c r="E354" s="52"/>
      <c r="F354" s="52"/>
      <c r="G354" s="53"/>
      <c r="H354" s="54"/>
      <c r="J354" s="55"/>
    </row>
    <row r="355">
      <c r="A355" s="51"/>
      <c r="B355" s="51"/>
      <c r="C355" s="51"/>
      <c r="D355" s="52"/>
      <c r="E355" s="52"/>
      <c r="F355" s="52"/>
      <c r="G355" s="53"/>
      <c r="H355" s="54"/>
      <c r="J355" s="55"/>
    </row>
    <row r="356">
      <c r="A356" s="51"/>
      <c r="B356" s="51"/>
      <c r="C356" s="51"/>
      <c r="D356" s="52"/>
      <c r="E356" s="52"/>
      <c r="F356" s="52"/>
      <c r="G356" s="53"/>
      <c r="H356" s="54"/>
      <c r="J356" s="55"/>
    </row>
    <row r="357">
      <c r="A357" s="51"/>
      <c r="B357" s="51"/>
      <c r="C357" s="51"/>
      <c r="D357" s="52"/>
      <c r="E357" s="52"/>
      <c r="F357" s="52"/>
      <c r="G357" s="53"/>
      <c r="H357" s="54"/>
      <c r="J357" s="55"/>
    </row>
    <row r="358">
      <c r="A358" s="51"/>
      <c r="B358" s="51"/>
      <c r="C358" s="51"/>
      <c r="D358" s="52"/>
      <c r="E358" s="52"/>
      <c r="F358" s="52"/>
      <c r="G358" s="53"/>
      <c r="H358" s="54"/>
      <c r="J358" s="55"/>
    </row>
    <row r="359">
      <c r="A359" s="51"/>
      <c r="B359" s="51"/>
      <c r="C359" s="51"/>
      <c r="D359" s="52"/>
      <c r="E359" s="52"/>
      <c r="F359" s="52"/>
      <c r="G359" s="53"/>
      <c r="H359" s="54"/>
      <c r="J359" s="55"/>
    </row>
    <row r="360">
      <c r="A360" s="51"/>
      <c r="B360" s="51"/>
      <c r="C360" s="51"/>
      <c r="D360" s="52"/>
      <c r="E360" s="52"/>
      <c r="F360" s="52"/>
      <c r="G360" s="53"/>
      <c r="H360" s="54"/>
      <c r="J360" s="55"/>
    </row>
    <row r="361">
      <c r="A361" s="51"/>
      <c r="B361" s="51"/>
      <c r="C361" s="51"/>
      <c r="D361" s="52"/>
      <c r="E361" s="52"/>
      <c r="F361" s="52"/>
      <c r="G361" s="53"/>
      <c r="H361" s="54"/>
      <c r="J361" s="55"/>
    </row>
    <row r="362">
      <c r="A362" s="51"/>
      <c r="B362" s="51"/>
      <c r="C362" s="51"/>
      <c r="D362" s="52"/>
      <c r="E362" s="52"/>
      <c r="F362" s="52"/>
      <c r="G362" s="53"/>
      <c r="H362" s="54"/>
      <c r="J362" s="55"/>
    </row>
    <row r="363">
      <c r="A363" s="51"/>
      <c r="B363" s="51"/>
      <c r="C363" s="51"/>
      <c r="D363" s="52"/>
      <c r="E363" s="52"/>
      <c r="F363" s="52"/>
      <c r="G363" s="53"/>
      <c r="H363" s="54"/>
      <c r="J363" s="55"/>
    </row>
    <row r="364">
      <c r="A364" s="51"/>
      <c r="B364" s="51"/>
      <c r="C364" s="51"/>
      <c r="D364" s="52"/>
      <c r="E364" s="52"/>
      <c r="F364" s="52"/>
      <c r="G364" s="53"/>
      <c r="H364" s="54"/>
      <c r="J364" s="55"/>
    </row>
    <row r="365">
      <c r="A365" s="51"/>
      <c r="B365" s="51"/>
      <c r="C365" s="51"/>
      <c r="D365" s="52"/>
      <c r="E365" s="52"/>
      <c r="F365" s="52"/>
      <c r="G365" s="53"/>
      <c r="H365" s="54"/>
      <c r="J365" s="55"/>
    </row>
    <row r="366">
      <c r="A366" s="51"/>
      <c r="B366" s="51"/>
      <c r="C366" s="51"/>
      <c r="D366" s="52"/>
      <c r="E366" s="52"/>
      <c r="F366" s="52"/>
      <c r="G366" s="53"/>
      <c r="H366" s="54"/>
      <c r="J366" s="55"/>
    </row>
    <row r="367">
      <c r="A367" s="51"/>
      <c r="B367" s="51"/>
      <c r="C367" s="51"/>
      <c r="D367" s="52"/>
      <c r="E367" s="52"/>
      <c r="F367" s="52"/>
      <c r="G367" s="53"/>
      <c r="H367" s="54"/>
      <c r="J367" s="55"/>
    </row>
    <row r="368">
      <c r="A368" s="51"/>
      <c r="B368" s="51"/>
      <c r="C368" s="51"/>
      <c r="D368" s="52"/>
      <c r="E368" s="52"/>
      <c r="F368" s="52"/>
      <c r="G368" s="53"/>
      <c r="H368" s="54"/>
      <c r="J368" s="55"/>
    </row>
    <row r="369">
      <c r="A369" s="51"/>
      <c r="B369" s="51"/>
      <c r="C369" s="51"/>
      <c r="D369" s="52"/>
      <c r="E369" s="52"/>
      <c r="F369" s="52"/>
      <c r="G369" s="53"/>
      <c r="H369" s="54"/>
      <c r="J369" s="55"/>
    </row>
    <row r="370">
      <c r="A370" s="51"/>
      <c r="B370" s="51"/>
      <c r="C370" s="51"/>
      <c r="D370" s="52"/>
      <c r="E370" s="52"/>
      <c r="F370" s="52"/>
      <c r="G370" s="53"/>
      <c r="H370" s="54"/>
      <c r="J370" s="55"/>
    </row>
    <row r="371">
      <c r="A371" s="51"/>
      <c r="B371" s="51"/>
      <c r="C371" s="51"/>
      <c r="D371" s="52"/>
      <c r="E371" s="52"/>
      <c r="F371" s="52"/>
      <c r="G371" s="53"/>
      <c r="H371" s="54"/>
      <c r="J371" s="55"/>
    </row>
    <row r="372">
      <c r="A372" s="51"/>
      <c r="B372" s="51"/>
      <c r="C372" s="51"/>
      <c r="D372" s="52"/>
      <c r="E372" s="52"/>
      <c r="F372" s="52"/>
      <c r="G372" s="53"/>
      <c r="H372" s="54"/>
      <c r="J372" s="55"/>
    </row>
    <row r="373">
      <c r="A373" s="51"/>
      <c r="B373" s="51"/>
      <c r="C373" s="51"/>
      <c r="D373" s="52"/>
      <c r="E373" s="52"/>
      <c r="F373" s="52"/>
      <c r="G373" s="53"/>
      <c r="H373" s="54"/>
      <c r="J373" s="55"/>
    </row>
    <row r="374">
      <c r="A374" s="51"/>
      <c r="B374" s="51"/>
      <c r="C374" s="51"/>
      <c r="D374" s="52"/>
      <c r="E374" s="52"/>
      <c r="F374" s="52"/>
      <c r="G374" s="53"/>
      <c r="H374" s="54"/>
      <c r="J374" s="55"/>
    </row>
    <row r="375">
      <c r="A375" s="51"/>
      <c r="B375" s="51"/>
      <c r="C375" s="51"/>
      <c r="D375" s="52"/>
      <c r="E375" s="52"/>
      <c r="F375" s="52"/>
      <c r="G375" s="53"/>
      <c r="H375" s="54"/>
      <c r="J375" s="55"/>
    </row>
    <row r="376">
      <c r="A376" s="51"/>
      <c r="B376" s="51"/>
      <c r="C376" s="51"/>
      <c r="D376" s="52"/>
      <c r="E376" s="52"/>
      <c r="F376" s="52"/>
      <c r="G376" s="53"/>
      <c r="H376" s="54"/>
      <c r="J376" s="55"/>
    </row>
    <row r="377">
      <c r="A377" s="51"/>
      <c r="B377" s="51"/>
      <c r="C377" s="51"/>
      <c r="D377" s="52"/>
      <c r="E377" s="52"/>
      <c r="F377" s="52"/>
      <c r="G377" s="53"/>
      <c r="H377" s="54"/>
      <c r="J377" s="55"/>
    </row>
    <row r="378">
      <c r="A378" s="51"/>
      <c r="B378" s="51"/>
      <c r="C378" s="51"/>
      <c r="D378" s="52"/>
      <c r="E378" s="52"/>
      <c r="F378" s="52"/>
      <c r="G378" s="53"/>
      <c r="H378" s="54"/>
      <c r="J378" s="55"/>
    </row>
    <row r="379">
      <c r="A379" s="51"/>
      <c r="B379" s="51"/>
      <c r="C379" s="51"/>
      <c r="D379" s="52"/>
      <c r="E379" s="52"/>
      <c r="F379" s="52"/>
      <c r="G379" s="53"/>
      <c r="H379" s="54"/>
      <c r="J379" s="55"/>
    </row>
    <row r="380">
      <c r="A380" s="51"/>
      <c r="B380" s="51"/>
      <c r="C380" s="51"/>
      <c r="D380" s="52"/>
      <c r="E380" s="52"/>
      <c r="F380" s="52"/>
      <c r="G380" s="53"/>
      <c r="H380" s="54"/>
      <c r="J380" s="55"/>
    </row>
    <row r="381">
      <c r="A381" s="51"/>
      <c r="B381" s="51"/>
      <c r="C381" s="51"/>
      <c r="D381" s="52"/>
      <c r="E381" s="52"/>
      <c r="F381" s="52"/>
      <c r="G381" s="53"/>
      <c r="H381" s="54"/>
      <c r="J381" s="55"/>
    </row>
    <row r="382">
      <c r="A382" s="51"/>
      <c r="B382" s="51"/>
      <c r="C382" s="51"/>
      <c r="D382" s="52"/>
      <c r="E382" s="52"/>
      <c r="F382" s="52"/>
      <c r="G382" s="53"/>
      <c r="H382" s="54"/>
      <c r="J382" s="55"/>
    </row>
    <row r="383">
      <c r="A383" s="51"/>
      <c r="B383" s="51"/>
      <c r="C383" s="51"/>
      <c r="D383" s="52"/>
      <c r="E383" s="52"/>
      <c r="F383" s="52"/>
      <c r="G383" s="53"/>
      <c r="H383" s="54"/>
      <c r="J383" s="55"/>
    </row>
    <row r="384">
      <c r="A384" s="51"/>
      <c r="B384" s="51"/>
      <c r="C384" s="51"/>
      <c r="D384" s="52"/>
      <c r="E384" s="52"/>
      <c r="F384" s="52"/>
      <c r="G384" s="53"/>
      <c r="H384" s="54"/>
      <c r="J384" s="55"/>
    </row>
    <row r="385">
      <c r="A385" s="51"/>
      <c r="B385" s="51"/>
      <c r="C385" s="51"/>
      <c r="D385" s="52"/>
      <c r="E385" s="52"/>
      <c r="F385" s="52"/>
      <c r="G385" s="53"/>
      <c r="H385" s="54"/>
      <c r="J385" s="55"/>
    </row>
    <row r="386">
      <c r="A386" s="51"/>
      <c r="B386" s="51"/>
      <c r="C386" s="51"/>
      <c r="D386" s="52"/>
      <c r="E386" s="52"/>
      <c r="F386" s="52"/>
      <c r="G386" s="53"/>
      <c r="H386" s="54"/>
      <c r="J386" s="55"/>
    </row>
    <row r="387">
      <c r="A387" s="51"/>
      <c r="B387" s="51"/>
      <c r="C387" s="51"/>
      <c r="D387" s="52"/>
      <c r="E387" s="52"/>
      <c r="F387" s="52"/>
      <c r="G387" s="53"/>
      <c r="H387" s="54"/>
      <c r="J387" s="55"/>
    </row>
    <row r="388">
      <c r="A388" s="51"/>
      <c r="B388" s="51"/>
      <c r="C388" s="51"/>
      <c r="D388" s="52"/>
      <c r="E388" s="52"/>
      <c r="F388" s="52"/>
      <c r="G388" s="53"/>
      <c r="H388" s="54"/>
      <c r="J388" s="55"/>
    </row>
    <row r="389">
      <c r="A389" s="51"/>
      <c r="B389" s="51"/>
      <c r="C389" s="51"/>
      <c r="D389" s="52"/>
      <c r="E389" s="52"/>
      <c r="F389" s="52"/>
      <c r="G389" s="53"/>
      <c r="H389" s="54"/>
      <c r="J389" s="55"/>
    </row>
    <row r="390">
      <c r="A390" s="51"/>
      <c r="B390" s="51"/>
      <c r="C390" s="51"/>
      <c r="D390" s="52"/>
      <c r="E390" s="52"/>
      <c r="F390" s="52"/>
      <c r="G390" s="53"/>
      <c r="H390" s="54"/>
      <c r="J390" s="55"/>
    </row>
    <row r="391">
      <c r="A391" s="51"/>
      <c r="B391" s="51"/>
      <c r="C391" s="51"/>
      <c r="D391" s="52"/>
      <c r="E391" s="52"/>
      <c r="F391" s="52"/>
      <c r="G391" s="53"/>
      <c r="H391" s="54"/>
      <c r="J391" s="55"/>
    </row>
    <row r="392">
      <c r="A392" s="51"/>
      <c r="B392" s="51"/>
      <c r="C392" s="51"/>
      <c r="D392" s="52"/>
      <c r="E392" s="52"/>
      <c r="F392" s="52"/>
      <c r="G392" s="53"/>
      <c r="H392" s="54"/>
      <c r="J392" s="55"/>
    </row>
    <row r="393">
      <c r="A393" s="51"/>
      <c r="B393" s="51"/>
      <c r="C393" s="51"/>
      <c r="D393" s="52"/>
      <c r="E393" s="52"/>
      <c r="F393" s="52"/>
      <c r="G393" s="53"/>
      <c r="H393" s="54"/>
      <c r="J393" s="55"/>
    </row>
    <row r="394">
      <c r="A394" s="51"/>
      <c r="B394" s="51"/>
      <c r="C394" s="51"/>
      <c r="D394" s="52"/>
      <c r="E394" s="52"/>
      <c r="F394" s="52"/>
      <c r="G394" s="53"/>
      <c r="H394" s="54"/>
      <c r="J394" s="55"/>
    </row>
    <row r="395">
      <c r="A395" s="51"/>
      <c r="B395" s="51"/>
      <c r="C395" s="51"/>
      <c r="D395" s="52"/>
      <c r="E395" s="52"/>
      <c r="F395" s="52"/>
      <c r="G395" s="53"/>
      <c r="H395" s="54"/>
      <c r="J395" s="55"/>
    </row>
    <row r="396">
      <c r="A396" s="51"/>
      <c r="B396" s="51"/>
      <c r="C396" s="51"/>
      <c r="D396" s="52"/>
      <c r="E396" s="52"/>
      <c r="F396" s="52"/>
      <c r="G396" s="53"/>
      <c r="H396" s="54"/>
      <c r="J396" s="55"/>
    </row>
    <row r="397">
      <c r="A397" s="51"/>
      <c r="B397" s="51"/>
      <c r="C397" s="51"/>
      <c r="D397" s="52"/>
      <c r="E397" s="52"/>
      <c r="F397" s="52"/>
      <c r="G397" s="53"/>
      <c r="H397" s="54"/>
      <c r="J397" s="55"/>
    </row>
    <row r="398">
      <c r="A398" s="51"/>
      <c r="B398" s="51"/>
      <c r="C398" s="51"/>
      <c r="D398" s="52"/>
      <c r="E398" s="52"/>
      <c r="F398" s="52"/>
      <c r="G398" s="53"/>
      <c r="H398" s="54"/>
      <c r="J398" s="55"/>
    </row>
    <row r="399">
      <c r="A399" s="51"/>
      <c r="B399" s="51"/>
      <c r="C399" s="51"/>
      <c r="D399" s="52"/>
      <c r="E399" s="52"/>
      <c r="F399" s="52"/>
      <c r="G399" s="53"/>
      <c r="H399" s="54"/>
      <c r="J399" s="55"/>
    </row>
    <row r="400">
      <c r="A400" s="51"/>
      <c r="B400" s="51"/>
      <c r="C400" s="51"/>
      <c r="D400" s="52"/>
      <c r="E400" s="52"/>
      <c r="F400" s="52"/>
      <c r="G400" s="53"/>
      <c r="H400" s="54"/>
      <c r="J400" s="55"/>
    </row>
    <row r="401">
      <c r="A401" s="51"/>
      <c r="B401" s="51"/>
      <c r="C401" s="51"/>
      <c r="D401" s="52"/>
      <c r="E401" s="52"/>
      <c r="F401" s="52"/>
      <c r="G401" s="53"/>
      <c r="H401" s="54"/>
      <c r="J401" s="55"/>
    </row>
    <row r="402">
      <c r="A402" s="51"/>
      <c r="B402" s="51"/>
      <c r="C402" s="51"/>
      <c r="D402" s="52"/>
      <c r="E402" s="52"/>
      <c r="F402" s="52"/>
      <c r="G402" s="53"/>
      <c r="H402" s="54"/>
      <c r="J402" s="55"/>
    </row>
    <row r="403">
      <c r="A403" s="51"/>
      <c r="B403" s="51"/>
      <c r="C403" s="51"/>
      <c r="D403" s="52"/>
      <c r="E403" s="52"/>
      <c r="F403" s="52"/>
      <c r="G403" s="53"/>
      <c r="H403" s="54"/>
      <c r="J403" s="55"/>
    </row>
    <row r="404">
      <c r="A404" s="51"/>
      <c r="B404" s="51"/>
      <c r="C404" s="51"/>
      <c r="D404" s="52"/>
      <c r="E404" s="52"/>
      <c r="F404" s="52"/>
      <c r="G404" s="53"/>
      <c r="H404" s="54"/>
      <c r="J404" s="55"/>
    </row>
    <row r="405">
      <c r="A405" s="51"/>
      <c r="B405" s="51"/>
      <c r="C405" s="51"/>
      <c r="D405" s="52"/>
      <c r="E405" s="52"/>
      <c r="F405" s="52"/>
      <c r="G405" s="53"/>
      <c r="H405" s="54"/>
      <c r="J405" s="55"/>
    </row>
    <row r="406">
      <c r="A406" s="51"/>
      <c r="B406" s="51"/>
      <c r="C406" s="51"/>
      <c r="D406" s="52"/>
      <c r="E406" s="52"/>
      <c r="F406" s="52"/>
      <c r="G406" s="53"/>
      <c r="H406" s="54"/>
      <c r="J406" s="55"/>
    </row>
    <row r="407">
      <c r="A407" s="51"/>
      <c r="B407" s="51"/>
      <c r="C407" s="51"/>
      <c r="D407" s="52"/>
      <c r="E407" s="52"/>
      <c r="F407" s="52"/>
      <c r="G407" s="53"/>
      <c r="H407" s="54"/>
      <c r="J407" s="55"/>
    </row>
    <row r="408">
      <c r="A408" s="51"/>
      <c r="B408" s="51"/>
      <c r="C408" s="51"/>
      <c r="D408" s="52"/>
      <c r="E408" s="52"/>
      <c r="F408" s="52"/>
      <c r="G408" s="53"/>
      <c r="H408" s="54"/>
      <c r="J408" s="55"/>
    </row>
    <row r="409">
      <c r="A409" s="51"/>
      <c r="B409" s="51"/>
      <c r="C409" s="51"/>
      <c r="D409" s="52"/>
      <c r="E409" s="52"/>
      <c r="F409" s="52"/>
      <c r="G409" s="53"/>
      <c r="H409" s="54"/>
      <c r="J409" s="55"/>
    </row>
    <row r="410">
      <c r="A410" s="51"/>
      <c r="B410" s="51"/>
      <c r="C410" s="51"/>
      <c r="D410" s="52"/>
      <c r="E410" s="52"/>
      <c r="F410" s="52"/>
      <c r="G410" s="53"/>
      <c r="H410" s="54"/>
      <c r="J410" s="55"/>
    </row>
    <row r="411">
      <c r="A411" s="51"/>
      <c r="B411" s="51"/>
      <c r="C411" s="51"/>
      <c r="D411" s="52"/>
      <c r="E411" s="52"/>
      <c r="F411" s="52"/>
      <c r="G411" s="53"/>
      <c r="H411" s="54"/>
      <c r="J411" s="55"/>
    </row>
    <row r="412">
      <c r="A412" s="51"/>
      <c r="B412" s="51"/>
      <c r="C412" s="51"/>
      <c r="D412" s="52"/>
      <c r="E412" s="52"/>
      <c r="F412" s="52"/>
      <c r="G412" s="53"/>
      <c r="H412" s="54"/>
      <c r="J412" s="55"/>
    </row>
    <row r="413">
      <c r="A413" s="51"/>
      <c r="B413" s="51"/>
      <c r="C413" s="51"/>
      <c r="D413" s="52"/>
      <c r="E413" s="52"/>
      <c r="F413" s="52"/>
      <c r="G413" s="53"/>
      <c r="H413" s="54"/>
      <c r="J413" s="55"/>
    </row>
    <row r="414">
      <c r="A414" s="51"/>
      <c r="B414" s="51"/>
      <c r="C414" s="51"/>
      <c r="D414" s="52"/>
      <c r="E414" s="52"/>
      <c r="F414" s="52"/>
      <c r="G414" s="53"/>
      <c r="H414" s="54"/>
      <c r="J414" s="55"/>
    </row>
    <row r="415">
      <c r="A415" s="51"/>
      <c r="B415" s="51"/>
      <c r="C415" s="51"/>
      <c r="D415" s="52"/>
      <c r="E415" s="52"/>
      <c r="F415" s="52"/>
      <c r="G415" s="53"/>
      <c r="H415" s="54"/>
      <c r="J415" s="55"/>
    </row>
    <row r="416">
      <c r="A416" s="51"/>
      <c r="B416" s="51"/>
      <c r="C416" s="51"/>
      <c r="D416" s="52"/>
      <c r="E416" s="52"/>
      <c r="F416" s="52"/>
      <c r="G416" s="53"/>
      <c r="H416" s="54"/>
      <c r="J416" s="55"/>
    </row>
    <row r="417">
      <c r="A417" s="51"/>
      <c r="B417" s="51"/>
      <c r="C417" s="51"/>
      <c r="D417" s="52"/>
      <c r="E417" s="52"/>
      <c r="F417" s="52"/>
      <c r="G417" s="53"/>
      <c r="H417" s="54"/>
      <c r="J417" s="55"/>
    </row>
    <row r="418">
      <c r="A418" s="51"/>
      <c r="B418" s="51"/>
      <c r="C418" s="51"/>
      <c r="D418" s="52"/>
      <c r="E418" s="52"/>
      <c r="F418" s="52"/>
      <c r="G418" s="53"/>
      <c r="H418" s="54"/>
      <c r="J418" s="55"/>
    </row>
    <row r="419">
      <c r="A419" s="51"/>
      <c r="B419" s="51"/>
      <c r="C419" s="51"/>
      <c r="D419" s="52"/>
      <c r="E419" s="52"/>
      <c r="F419" s="52"/>
      <c r="G419" s="53"/>
      <c r="H419" s="54"/>
      <c r="J419" s="55"/>
    </row>
    <row r="420">
      <c r="A420" s="51"/>
      <c r="B420" s="51"/>
      <c r="C420" s="51"/>
      <c r="D420" s="52"/>
      <c r="E420" s="52"/>
      <c r="F420" s="52"/>
      <c r="G420" s="53"/>
      <c r="H420" s="54"/>
      <c r="J420" s="55"/>
    </row>
    <row r="421">
      <c r="A421" s="51"/>
      <c r="B421" s="51"/>
      <c r="C421" s="51"/>
      <c r="D421" s="52"/>
      <c r="E421" s="52"/>
      <c r="F421" s="52"/>
      <c r="G421" s="53"/>
      <c r="H421" s="54"/>
      <c r="J421" s="55"/>
    </row>
    <row r="422">
      <c r="A422" s="51"/>
      <c r="B422" s="51"/>
      <c r="C422" s="51"/>
      <c r="D422" s="52"/>
      <c r="E422" s="52"/>
      <c r="F422" s="52"/>
      <c r="G422" s="53"/>
      <c r="H422" s="54"/>
      <c r="J422" s="55"/>
    </row>
    <row r="423">
      <c r="A423" s="51"/>
      <c r="B423" s="51"/>
      <c r="C423" s="51"/>
      <c r="D423" s="52"/>
      <c r="E423" s="52"/>
      <c r="F423" s="52"/>
      <c r="G423" s="53"/>
      <c r="H423" s="54"/>
      <c r="J423" s="55"/>
    </row>
    <row r="424">
      <c r="A424" s="51"/>
      <c r="B424" s="51"/>
      <c r="C424" s="51"/>
      <c r="D424" s="52"/>
      <c r="E424" s="52"/>
      <c r="F424" s="52"/>
      <c r="G424" s="53"/>
      <c r="H424" s="54"/>
      <c r="J424" s="55"/>
    </row>
    <row r="425">
      <c r="A425" s="51"/>
      <c r="B425" s="51"/>
      <c r="C425" s="51"/>
      <c r="D425" s="52"/>
      <c r="E425" s="52"/>
      <c r="F425" s="52"/>
      <c r="G425" s="53"/>
      <c r="H425" s="54"/>
      <c r="J425" s="55"/>
    </row>
    <row r="426">
      <c r="A426" s="51"/>
      <c r="B426" s="51"/>
      <c r="C426" s="51"/>
      <c r="D426" s="52"/>
      <c r="E426" s="52"/>
      <c r="F426" s="52"/>
      <c r="G426" s="53"/>
      <c r="H426" s="54"/>
      <c r="J426" s="55"/>
    </row>
    <row r="427">
      <c r="A427" s="51"/>
      <c r="B427" s="51"/>
      <c r="C427" s="51"/>
      <c r="D427" s="52"/>
      <c r="E427" s="52"/>
      <c r="F427" s="52"/>
      <c r="G427" s="53"/>
      <c r="H427" s="54"/>
      <c r="J427" s="55"/>
    </row>
    <row r="428">
      <c r="A428" s="51"/>
      <c r="B428" s="51"/>
      <c r="C428" s="51"/>
      <c r="D428" s="52"/>
      <c r="E428" s="52"/>
      <c r="F428" s="52"/>
      <c r="G428" s="53"/>
      <c r="H428" s="54"/>
      <c r="J428" s="55"/>
    </row>
    <row r="429">
      <c r="A429" s="51"/>
      <c r="B429" s="51"/>
      <c r="C429" s="51"/>
      <c r="D429" s="52"/>
      <c r="E429" s="52"/>
      <c r="F429" s="52"/>
      <c r="G429" s="53"/>
      <c r="H429" s="54"/>
      <c r="J429" s="55"/>
    </row>
    <row r="430">
      <c r="A430" s="51"/>
      <c r="B430" s="51"/>
      <c r="C430" s="51"/>
      <c r="D430" s="52"/>
      <c r="E430" s="52"/>
      <c r="F430" s="52"/>
      <c r="G430" s="53"/>
      <c r="H430" s="54"/>
      <c r="J430" s="55"/>
    </row>
    <row r="431">
      <c r="A431" s="51"/>
      <c r="B431" s="51"/>
      <c r="C431" s="51"/>
      <c r="D431" s="52"/>
      <c r="E431" s="52"/>
      <c r="F431" s="52"/>
      <c r="G431" s="53"/>
      <c r="H431" s="54"/>
      <c r="J431" s="55"/>
    </row>
    <row r="432">
      <c r="A432" s="51"/>
      <c r="B432" s="51"/>
      <c r="C432" s="51"/>
      <c r="D432" s="52"/>
      <c r="E432" s="52"/>
      <c r="F432" s="52"/>
      <c r="G432" s="53"/>
      <c r="H432" s="54"/>
      <c r="J432" s="55"/>
    </row>
    <row r="433">
      <c r="A433" s="51"/>
      <c r="B433" s="51"/>
      <c r="C433" s="51"/>
      <c r="D433" s="52"/>
      <c r="E433" s="52"/>
      <c r="F433" s="52"/>
      <c r="G433" s="53"/>
      <c r="H433" s="54"/>
      <c r="J433" s="55"/>
    </row>
    <row r="434">
      <c r="A434" s="51"/>
      <c r="B434" s="51"/>
      <c r="C434" s="51"/>
      <c r="D434" s="52"/>
      <c r="E434" s="52"/>
      <c r="F434" s="52"/>
      <c r="G434" s="53"/>
      <c r="H434" s="54"/>
      <c r="J434" s="55"/>
    </row>
    <row r="435">
      <c r="A435" s="51"/>
      <c r="B435" s="51"/>
      <c r="C435" s="51"/>
      <c r="D435" s="52"/>
      <c r="E435" s="52"/>
      <c r="F435" s="52"/>
      <c r="G435" s="53"/>
      <c r="H435" s="54"/>
      <c r="J435" s="55"/>
    </row>
    <row r="436">
      <c r="A436" s="51"/>
      <c r="B436" s="51"/>
      <c r="C436" s="51"/>
      <c r="D436" s="52"/>
      <c r="E436" s="52"/>
      <c r="F436" s="52"/>
      <c r="G436" s="53"/>
      <c r="H436" s="54"/>
      <c r="J436" s="55"/>
    </row>
    <row r="437">
      <c r="A437" s="51"/>
      <c r="B437" s="51"/>
      <c r="C437" s="51"/>
      <c r="D437" s="52"/>
      <c r="E437" s="52"/>
      <c r="F437" s="52"/>
      <c r="G437" s="53"/>
      <c r="H437" s="54"/>
      <c r="J437" s="55"/>
    </row>
    <row r="438">
      <c r="A438" s="51"/>
      <c r="B438" s="51"/>
      <c r="C438" s="51"/>
      <c r="D438" s="52"/>
      <c r="E438" s="52"/>
      <c r="F438" s="52"/>
      <c r="G438" s="53"/>
      <c r="H438" s="54"/>
      <c r="J438" s="55"/>
    </row>
    <row r="439">
      <c r="A439" s="51"/>
      <c r="B439" s="51"/>
      <c r="C439" s="51"/>
      <c r="D439" s="52"/>
      <c r="E439" s="52"/>
      <c r="F439" s="52"/>
      <c r="G439" s="53"/>
      <c r="H439" s="54"/>
      <c r="J439" s="55"/>
    </row>
    <row r="440">
      <c r="A440" s="51"/>
      <c r="B440" s="51"/>
      <c r="C440" s="51"/>
      <c r="D440" s="52"/>
      <c r="E440" s="52"/>
      <c r="F440" s="52"/>
      <c r="G440" s="53"/>
      <c r="H440" s="54"/>
      <c r="J440" s="55"/>
    </row>
    <row r="441">
      <c r="A441" s="51"/>
      <c r="B441" s="51"/>
      <c r="C441" s="51"/>
      <c r="D441" s="52"/>
      <c r="E441" s="52"/>
      <c r="F441" s="52"/>
      <c r="G441" s="53"/>
      <c r="H441" s="54"/>
      <c r="J441" s="55"/>
    </row>
    <row r="442">
      <c r="A442" s="51"/>
      <c r="B442" s="51"/>
      <c r="C442" s="51"/>
      <c r="D442" s="52"/>
      <c r="E442" s="52"/>
      <c r="F442" s="52"/>
      <c r="G442" s="53"/>
      <c r="H442" s="54"/>
      <c r="J442" s="55"/>
    </row>
    <row r="443">
      <c r="A443" s="51"/>
      <c r="B443" s="51"/>
      <c r="C443" s="51"/>
      <c r="D443" s="52"/>
      <c r="E443" s="52"/>
      <c r="F443" s="52"/>
      <c r="G443" s="53"/>
      <c r="H443" s="54"/>
      <c r="J443" s="55"/>
    </row>
    <row r="444">
      <c r="A444" s="51"/>
      <c r="B444" s="51"/>
      <c r="C444" s="51"/>
      <c r="D444" s="52"/>
      <c r="E444" s="52"/>
      <c r="F444" s="52"/>
      <c r="G444" s="53"/>
      <c r="H444" s="54"/>
      <c r="J444" s="55"/>
    </row>
    <row r="445">
      <c r="A445" s="51"/>
      <c r="B445" s="51"/>
      <c r="C445" s="51"/>
      <c r="D445" s="52"/>
      <c r="E445" s="52"/>
      <c r="F445" s="52"/>
      <c r="G445" s="53"/>
      <c r="H445" s="54"/>
      <c r="J445" s="55"/>
    </row>
    <row r="446">
      <c r="A446" s="51"/>
      <c r="B446" s="51"/>
      <c r="C446" s="51"/>
      <c r="D446" s="52"/>
      <c r="E446" s="52"/>
      <c r="F446" s="52"/>
      <c r="G446" s="53"/>
      <c r="H446" s="54"/>
      <c r="J446" s="55"/>
    </row>
    <row r="447">
      <c r="A447" s="51"/>
      <c r="B447" s="51"/>
      <c r="C447" s="51"/>
      <c r="D447" s="52"/>
      <c r="E447" s="52"/>
      <c r="F447" s="52"/>
      <c r="G447" s="53"/>
      <c r="H447" s="54"/>
      <c r="J447" s="55"/>
    </row>
    <row r="448">
      <c r="A448" s="51"/>
      <c r="B448" s="51"/>
      <c r="C448" s="51"/>
      <c r="D448" s="52"/>
      <c r="E448" s="52"/>
      <c r="F448" s="52"/>
      <c r="G448" s="53"/>
      <c r="H448" s="54"/>
      <c r="J448" s="55"/>
    </row>
    <row r="449">
      <c r="A449" s="51"/>
      <c r="B449" s="51"/>
      <c r="C449" s="51"/>
      <c r="D449" s="52"/>
      <c r="E449" s="52"/>
      <c r="F449" s="52"/>
      <c r="G449" s="53"/>
      <c r="H449" s="54"/>
      <c r="J449" s="55"/>
    </row>
    <row r="450">
      <c r="A450" s="51"/>
      <c r="B450" s="51"/>
      <c r="C450" s="51"/>
      <c r="D450" s="52"/>
      <c r="E450" s="52"/>
      <c r="F450" s="52"/>
      <c r="G450" s="53"/>
      <c r="H450" s="54"/>
      <c r="J450" s="55"/>
    </row>
    <row r="451">
      <c r="A451" s="51"/>
      <c r="B451" s="51"/>
      <c r="C451" s="51"/>
      <c r="D451" s="52"/>
      <c r="E451" s="52"/>
      <c r="F451" s="52"/>
      <c r="G451" s="53"/>
      <c r="H451" s="54"/>
      <c r="J451" s="55"/>
    </row>
    <row r="452">
      <c r="A452" s="51"/>
      <c r="B452" s="51"/>
      <c r="C452" s="51"/>
      <c r="D452" s="52"/>
      <c r="E452" s="52"/>
      <c r="F452" s="52"/>
      <c r="G452" s="53"/>
      <c r="H452" s="54"/>
      <c r="J452" s="55"/>
    </row>
    <row r="453">
      <c r="A453" s="51"/>
      <c r="B453" s="51"/>
      <c r="C453" s="51"/>
      <c r="D453" s="52"/>
      <c r="E453" s="52"/>
      <c r="F453" s="52"/>
      <c r="G453" s="53"/>
      <c r="H453" s="54"/>
      <c r="J453" s="55"/>
    </row>
    <row r="454">
      <c r="A454" s="51"/>
      <c r="B454" s="51"/>
      <c r="C454" s="51"/>
      <c r="D454" s="52"/>
      <c r="E454" s="52"/>
      <c r="F454" s="52"/>
      <c r="G454" s="53"/>
      <c r="H454" s="54"/>
      <c r="J454" s="55"/>
    </row>
    <row r="455">
      <c r="A455" s="51"/>
      <c r="B455" s="51"/>
      <c r="C455" s="51"/>
      <c r="D455" s="52"/>
      <c r="E455" s="52"/>
      <c r="F455" s="52"/>
      <c r="G455" s="53"/>
      <c r="H455" s="54"/>
      <c r="J455" s="55"/>
    </row>
    <row r="456">
      <c r="A456" s="51"/>
      <c r="B456" s="51"/>
      <c r="C456" s="51"/>
      <c r="D456" s="52"/>
      <c r="E456" s="52"/>
      <c r="F456" s="52"/>
      <c r="G456" s="53"/>
      <c r="H456" s="54"/>
      <c r="J456" s="55"/>
    </row>
    <row r="457">
      <c r="A457" s="51"/>
      <c r="B457" s="51"/>
      <c r="C457" s="51"/>
      <c r="D457" s="52"/>
      <c r="E457" s="52"/>
      <c r="F457" s="52"/>
      <c r="G457" s="53"/>
      <c r="H457" s="54"/>
      <c r="J457" s="55"/>
    </row>
    <row r="458">
      <c r="A458" s="51"/>
      <c r="B458" s="51"/>
      <c r="C458" s="51"/>
      <c r="D458" s="52"/>
      <c r="E458" s="52"/>
      <c r="F458" s="52"/>
      <c r="G458" s="53"/>
      <c r="H458" s="54"/>
      <c r="J458" s="55"/>
    </row>
    <row r="459">
      <c r="A459" s="51"/>
      <c r="B459" s="51"/>
      <c r="C459" s="51"/>
      <c r="D459" s="52"/>
      <c r="E459" s="52"/>
      <c r="F459" s="52"/>
      <c r="G459" s="53"/>
      <c r="H459" s="54"/>
      <c r="J459" s="55"/>
    </row>
    <row r="460">
      <c r="A460" s="51"/>
      <c r="B460" s="51"/>
      <c r="C460" s="51"/>
      <c r="D460" s="52"/>
      <c r="E460" s="52"/>
      <c r="F460" s="52"/>
      <c r="G460" s="53"/>
      <c r="H460" s="54"/>
      <c r="J460" s="55"/>
    </row>
    <row r="461">
      <c r="A461" s="51"/>
      <c r="B461" s="51"/>
      <c r="C461" s="51"/>
      <c r="D461" s="52"/>
      <c r="E461" s="52"/>
      <c r="F461" s="52"/>
      <c r="G461" s="53"/>
      <c r="H461" s="54"/>
      <c r="J461" s="55"/>
    </row>
    <row r="462">
      <c r="A462" s="51"/>
      <c r="B462" s="51"/>
      <c r="C462" s="51"/>
      <c r="D462" s="52"/>
      <c r="E462" s="52"/>
      <c r="F462" s="52"/>
      <c r="G462" s="53"/>
      <c r="H462" s="54"/>
      <c r="J462" s="55"/>
    </row>
    <row r="463">
      <c r="A463" s="51"/>
      <c r="B463" s="51"/>
      <c r="C463" s="51"/>
      <c r="D463" s="52"/>
      <c r="E463" s="52"/>
      <c r="F463" s="52"/>
      <c r="G463" s="53"/>
      <c r="H463" s="54"/>
      <c r="J463" s="55"/>
    </row>
    <row r="464">
      <c r="A464" s="51"/>
      <c r="B464" s="51"/>
      <c r="C464" s="51"/>
      <c r="D464" s="52"/>
      <c r="E464" s="52"/>
      <c r="F464" s="52"/>
      <c r="G464" s="53"/>
      <c r="H464" s="54"/>
      <c r="J464" s="55"/>
    </row>
    <row r="465">
      <c r="A465" s="51"/>
      <c r="B465" s="51"/>
      <c r="C465" s="51"/>
      <c r="D465" s="52"/>
      <c r="E465" s="52"/>
      <c r="F465" s="52"/>
      <c r="G465" s="53"/>
      <c r="H465" s="54"/>
      <c r="J465" s="55"/>
    </row>
    <row r="466">
      <c r="A466" s="51"/>
      <c r="B466" s="51"/>
      <c r="C466" s="51"/>
      <c r="D466" s="52"/>
      <c r="E466" s="52"/>
      <c r="F466" s="52"/>
      <c r="G466" s="53"/>
      <c r="H466" s="54"/>
      <c r="J466" s="55"/>
    </row>
    <row r="467">
      <c r="A467" s="51"/>
      <c r="B467" s="51"/>
      <c r="C467" s="51"/>
      <c r="D467" s="52"/>
      <c r="E467" s="52"/>
      <c r="F467" s="52"/>
      <c r="G467" s="53"/>
      <c r="H467" s="54"/>
      <c r="J467" s="55"/>
    </row>
    <row r="468">
      <c r="A468" s="51"/>
      <c r="B468" s="51"/>
      <c r="C468" s="51"/>
      <c r="D468" s="52"/>
      <c r="E468" s="52"/>
      <c r="F468" s="52"/>
      <c r="G468" s="53"/>
      <c r="H468" s="54"/>
      <c r="J468" s="55"/>
    </row>
    <row r="469">
      <c r="A469" s="51"/>
      <c r="B469" s="51"/>
      <c r="C469" s="51"/>
      <c r="D469" s="52"/>
      <c r="E469" s="52"/>
      <c r="F469" s="52"/>
      <c r="G469" s="53"/>
      <c r="H469" s="54"/>
      <c r="J469" s="55"/>
    </row>
    <row r="470">
      <c r="A470" s="51"/>
      <c r="B470" s="51"/>
      <c r="C470" s="51"/>
      <c r="D470" s="52"/>
      <c r="E470" s="52"/>
      <c r="F470" s="52"/>
      <c r="G470" s="53"/>
      <c r="H470" s="54"/>
      <c r="J470" s="55"/>
    </row>
    <row r="471">
      <c r="A471" s="51"/>
      <c r="B471" s="51"/>
      <c r="C471" s="51"/>
      <c r="D471" s="52"/>
      <c r="E471" s="52"/>
      <c r="F471" s="52"/>
      <c r="G471" s="53"/>
      <c r="H471" s="54"/>
      <c r="J471" s="55"/>
    </row>
    <row r="472">
      <c r="A472" s="51"/>
      <c r="B472" s="51"/>
      <c r="C472" s="51"/>
      <c r="D472" s="52"/>
      <c r="E472" s="52"/>
      <c r="F472" s="52"/>
      <c r="G472" s="53"/>
      <c r="H472" s="54"/>
      <c r="J472" s="55"/>
    </row>
    <row r="473">
      <c r="A473" s="51"/>
      <c r="B473" s="51"/>
      <c r="C473" s="51"/>
      <c r="D473" s="52"/>
      <c r="E473" s="52"/>
      <c r="F473" s="52"/>
      <c r="G473" s="53"/>
      <c r="H473" s="54"/>
      <c r="J473" s="55"/>
    </row>
    <row r="474">
      <c r="A474" s="51"/>
      <c r="B474" s="51"/>
      <c r="C474" s="51"/>
      <c r="D474" s="52"/>
      <c r="E474" s="52"/>
      <c r="F474" s="52"/>
      <c r="G474" s="53"/>
      <c r="H474" s="54"/>
      <c r="J474" s="55"/>
    </row>
    <row r="475">
      <c r="A475" s="51"/>
      <c r="B475" s="51"/>
      <c r="C475" s="51"/>
      <c r="D475" s="52"/>
      <c r="E475" s="52"/>
      <c r="F475" s="52"/>
      <c r="G475" s="53"/>
      <c r="H475" s="54"/>
      <c r="J475" s="55"/>
    </row>
    <row r="476">
      <c r="A476" s="51"/>
      <c r="B476" s="51"/>
      <c r="C476" s="51"/>
      <c r="D476" s="52"/>
      <c r="E476" s="52"/>
      <c r="F476" s="52"/>
      <c r="G476" s="53"/>
      <c r="H476" s="54"/>
      <c r="J476" s="55"/>
    </row>
    <row r="477">
      <c r="A477" s="51"/>
      <c r="B477" s="51"/>
      <c r="C477" s="51"/>
      <c r="D477" s="52"/>
      <c r="E477" s="52"/>
      <c r="F477" s="52"/>
      <c r="G477" s="53"/>
      <c r="H477" s="54"/>
      <c r="J477" s="55"/>
    </row>
    <row r="478">
      <c r="A478" s="51"/>
      <c r="B478" s="51"/>
      <c r="C478" s="51"/>
      <c r="D478" s="52"/>
      <c r="E478" s="52"/>
      <c r="F478" s="52"/>
      <c r="G478" s="53"/>
      <c r="H478" s="54"/>
      <c r="J478" s="55"/>
    </row>
    <row r="479">
      <c r="A479" s="51"/>
      <c r="B479" s="51"/>
      <c r="C479" s="51"/>
      <c r="D479" s="52"/>
      <c r="E479" s="52"/>
      <c r="F479" s="52"/>
      <c r="G479" s="53"/>
      <c r="H479" s="54"/>
      <c r="J479" s="55"/>
    </row>
    <row r="480">
      <c r="A480" s="51"/>
      <c r="B480" s="51"/>
      <c r="C480" s="51"/>
      <c r="D480" s="52"/>
      <c r="E480" s="52"/>
      <c r="F480" s="52"/>
      <c r="G480" s="53"/>
      <c r="H480" s="54"/>
      <c r="J480" s="55"/>
    </row>
    <row r="481">
      <c r="A481" s="51"/>
      <c r="B481" s="51"/>
      <c r="C481" s="51"/>
      <c r="D481" s="52"/>
      <c r="E481" s="52"/>
      <c r="F481" s="52"/>
      <c r="G481" s="53"/>
      <c r="H481" s="54"/>
      <c r="J481" s="55"/>
    </row>
    <row r="482">
      <c r="A482" s="51"/>
      <c r="B482" s="51"/>
      <c r="C482" s="51"/>
      <c r="D482" s="52"/>
      <c r="E482" s="52"/>
      <c r="F482" s="52"/>
      <c r="G482" s="53"/>
      <c r="H482" s="54"/>
      <c r="J482" s="55"/>
    </row>
    <row r="483">
      <c r="A483" s="51"/>
      <c r="B483" s="51"/>
      <c r="C483" s="51"/>
      <c r="D483" s="52"/>
      <c r="E483" s="52"/>
      <c r="F483" s="52"/>
      <c r="G483" s="53"/>
      <c r="H483" s="54"/>
      <c r="J483" s="55"/>
    </row>
    <row r="484">
      <c r="A484" s="51"/>
      <c r="B484" s="51"/>
      <c r="C484" s="51"/>
      <c r="D484" s="52"/>
      <c r="E484" s="52"/>
      <c r="F484" s="52"/>
      <c r="G484" s="53"/>
      <c r="H484" s="54"/>
      <c r="J484" s="55"/>
    </row>
    <row r="485">
      <c r="A485" s="51"/>
      <c r="B485" s="51"/>
      <c r="C485" s="51"/>
      <c r="D485" s="52"/>
      <c r="E485" s="52"/>
      <c r="F485" s="52"/>
      <c r="G485" s="53"/>
      <c r="H485" s="54"/>
      <c r="J485" s="55"/>
    </row>
    <row r="486">
      <c r="A486" s="51"/>
      <c r="B486" s="51"/>
      <c r="C486" s="51"/>
      <c r="D486" s="52"/>
      <c r="E486" s="52"/>
      <c r="F486" s="52"/>
      <c r="G486" s="53"/>
      <c r="H486" s="54"/>
      <c r="J486" s="55"/>
    </row>
    <row r="487">
      <c r="A487" s="51"/>
      <c r="B487" s="51"/>
      <c r="C487" s="51"/>
      <c r="D487" s="52"/>
      <c r="E487" s="52"/>
      <c r="F487" s="52"/>
      <c r="G487" s="53"/>
      <c r="H487" s="54"/>
      <c r="J487" s="55"/>
    </row>
    <row r="488">
      <c r="A488" s="51"/>
      <c r="B488" s="51"/>
      <c r="C488" s="51"/>
      <c r="D488" s="52"/>
      <c r="E488" s="52"/>
      <c r="F488" s="52"/>
      <c r="G488" s="53"/>
      <c r="H488" s="54"/>
      <c r="J488" s="55"/>
    </row>
    <row r="489">
      <c r="A489" s="51"/>
      <c r="B489" s="51"/>
      <c r="C489" s="51"/>
      <c r="D489" s="52"/>
      <c r="E489" s="52"/>
      <c r="F489" s="52"/>
      <c r="G489" s="53"/>
      <c r="H489" s="54"/>
      <c r="J489" s="55"/>
    </row>
    <row r="490">
      <c r="A490" s="51"/>
      <c r="B490" s="51"/>
      <c r="C490" s="51"/>
      <c r="D490" s="52"/>
      <c r="E490" s="52"/>
      <c r="F490" s="52"/>
      <c r="G490" s="53"/>
      <c r="H490" s="54"/>
      <c r="J490" s="55"/>
    </row>
    <row r="491">
      <c r="A491" s="51"/>
      <c r="B491" s="51"/>
      <c r="C491" s="51"/>
      <c r="D491" s="52"/>
      <c r="E491" s="52"/>
      <c r="F491" s="52"/>
      <c r="G491" s="53"/>
      <c r="H491" s="54"/>
      <c r="J491" s="55"/>
    </row>
    <row r="492">
      <c r="A492" s="51"/>
      <c r="B492" s="51"/>
      <c r="C492" s="51"/>
      <c r="D492" s="52"/>
      <c r="E492" s="52"/>
      <c r="F492" s="52"/>
      <c r="G492" s="53"/>
      <c r="H492" s="54"/>
      <c r="J492" s="55"/>
    </row>
    <row r="493">
      <c r="A493" s="51"/>
      <c r="B493" s="51"/>
      <c r="C493" s="51"/>
      <c r="D493" s="52"/>
      <c r="E493" s="52"/>
      <c r="F493" s="52"/>
      <c r="G493" s="53"/>
      <c r="H493" s="54"/>
      <c r="J493" s="55"/>
    </row>
    <row r="494">
      <c r="A494" s="51"/>
      <c r="B494" s="51"/>
      <c r="C494" s="51"/>
      <c r="D494" s="52"/>
      <c r="E494" s="52"/>
      <c r="F494" s="52"/>
      <c r="G494" s="53"/>
      <c r="H494" s="54"/>
      <c r="J494" s="55"/>
    </row>
    <row r="495">
      <c r="A495" s="51"/>
      <c r="B495" s="51"/>
      <c r="C495" s="51"/>
      <c r="D495" s="52"/>
      <c r="E495" s="52"/>
      <c r="F495" s="52"/>
      <c r="G495" s="53"/>
      <c r="H495" s="54"/>
      <c r="J495" s="55"/>
    </row>
    <row r="496">
      <c r="A496" s="51"/>
      <c r="B496" s="51"/>
      <c r="C496" s="51"/>
      <c r="D496" s="52"/>
      <c r="E496" s="52"/>
      <c r="F496" s="52"/>
      <c r="G496" s="53"/>
      <c r="H496" s="54"/>
      <c r="J496" s="55"/>
    </row>
    <row r="497">
      <c r="A497" s="51"/>
      <c r="B497" s="51"/>
      <c r="C497" s="51"/>
      <c r="D497" s="52"/>
      <c r="E497" s="52"/>
      <c r="F497" s="52"/>
      <c r="G497" s="53"/>
      <c r="H497" s="54"/>
      <c r="J497" s="55"/>
    </row>
    <row r="498">
      <c r="A498" s="51"/>
      <c r="B498" s="51"/>
      <c r="C498" s="51"/>
      <c r="D498" s="52"/>
      <c r="E498" s="52"/>
      <c r="F498" s="52"/>
      <c r="G498" s="53"/>
      <c r="H498" s="54"/>
      <c r="J498" s="55"/>
    </row>
    <row r="499">
      <c r="A499" s="51"/>
      <c r="B499" s="51"/>
      <c r="C499" s="51"/>
      <c r="D499" s="52"/>
      <c r="E499" s="52"/>
      <c r="F499" s="52"/>
      <c r="G499" s="53"/>
      <c r="H499" s="54"/>
      <c r="J499" s="55"/>
    </row>
    <row r="500">
      <c r="A500" s="51"/>
      <c r="B500" s="51"/>
      <c r="C500" s="51"/>
      <c r="D500" s="52"/>
      <c r="E500" s="52"/>
      <c r="F500" s="52"/>
      <c r="G500" s="53"/>
      <c r="H500" s="54"/>
      <c r="J500" s="55"/>
    </row>
    <row r="501">
      <c r="A501" s="51"/>
      <c r="B501" s="51"/>
      <c r="C501" s="51"/>
      <c r="D501" s="52"/>
      <c r="E501" s="52"/>
      <c r="F501" s="52"/>
      <c r="G501" s="53"/>
      <c r="H501" s="54"/>
      <c r="J501" s="55"/>
    </row>
    <row r="502">
      <c r="A502" s="51"/>
      <c r="B502" s="51"/>
      <c r="C502" s="51"/>
      <c r="D502" s="52"/>
      <c r="E502" s="52"/>
      <c r="F502" s="52"/>
      <c r="G502" s="53"/>
      <c r="H502" s="54"/>
      <c r="J502" s="55"/>
    </row>
    <row r="503">
      <c r="A503" s="51"/>
      <c r="B503" s="51"/>
      <c r="C503" s="51"/>
      <c r="D503" s="52"/>
      <c r="E503" s="52"/>
      <c r="F503" s="52"/>
      <c r="G503" s="53"/>
      <c r="H503" s="54"/>
      <c r="J503" s="55"/>
    </row>
    <row r="504">
      <c r="A504" s="51"/>
      <c r="B504" s="51"/>
      <c r="C504" s="51"/>
      <c r="D504" s="52"/>
      <c r="E504" s="52"/>
      <c r="F504" s="52"/>
      <c r="G504" s="53"/>
      <c r="H504" s="54"/>
      <c r="J504" s="55"/>
    </row>
    <row r="505">
      <c r="A505" s="51"/>
      <c r="B505" s="51"/>
      <c r="C505" s="51"/>
      <c r="D505" s="52"/>
      <c r="E505" s="52"/>
      <c r="F505" s="52"/>
      <c r="G505" s="53"/>
      <c r="H505" s="54"/>
      <c r="J505" s="55"/>
    </row>
    <row r="506">
      <c r="A506" s="51"/>
      <c r="B506" s="51"/>
      <c r="C506" s="51"/>
      <c r="D506" s="52"/>
      <c r="E506" s="52"/>
      <c r="F506" s="52"/>
      <c r="G506" s="53"/>
      <c r="H506" s="54"/>
      <c r="J506" s="55"/>
    </row>
    <row r="507">
      <c r="A507" s="51"/>
      <c r="B507" s="51"/>
      <c r="C507" s="51"/>
      <c r="D507" s="52"/>
      <c r="E507" s="52"/>
      <c r="F507" s="52"/>
      <c r="G507" s="53"/>
      <c r="H507" s="54"/>
      <c r="J507" s="55"/>
    </row>
    <row r="508">
      <c r="A508" s="51"/>
      <c r="B508" s="51"/>
      <c r="C508" s="51"/>
      <c r="D508" s="52"/>
      <c r="E508" s="52"/>
      <c r="F508" s="52"/>
      <c r="G508" s="53"/>
      <c r="H508" s="54"/>
      <c r="J508" s="55"/>
    </row>
    <row r="509">
      <c r="A509" s="51"/>
      <c r="B509" s="51"/>
      <c r="C509" s="51"/>
      <c r="D509" s="52"/>
      <c r="E509" s="52"/>
      <c r="F509" s="52"/>
      <c r="G509" s="53"/>
      <c r="H509" s="54"/>
      <c r="J509" s="55"/>
    </row>
    <row r="510">
      <c r="A510" s="51"/>
      <c r="B510" s="51"/>
      <c r="C510" s="51"/>
      <c r="D510" s="52"/>
      <c r="E510" s="52"/>
      <c r="F510" s="52"/>
      <c r="G510" s="53"/>
      <c r="H510" s="54"/>
      <c r="J510" s="55"/>
    </row>
    <row r="511">
      <c r="A511" s="51"/>
      <c r="B511" s="51"/>
      <c r="C511" s="51"/>
      <c r="D511" s="52"/>
      <c r="E511" s="52"/>
      <c r="F511" s="52"/>
      <c r="G511" s="53"/>
      <c r="H511" s="54"/>
      <c r="J511" s="55"/>
    </row>
    <row r="512">
      <c r="A512" s="51"/>
      <c r="B512" s="51"/>
      <c r="C512" s="51"/>
      <c r="D512" s="52"/>
      <c r="E512" s="52"/>
      <c r="F512" s="52"/>
      <c r="G512" s="53"/>
      <c r="H512" s="54"/>
      <c r="J512" s="55"/>
    </row>
    <row r="513">
      <c r="A513" s="51"/>
      <c r="B513" s="51"/>
      <c r="C513" s="51"/>
      <c r="D513" s="52"/>
      <c r="E513" s="52"/>
      <c r="F513" s="52"/>
      <c r="G513" s="53"/>
      <c r="H513" s="54"/>
      <c r="J513" s="55"/>
    </row>
    <row r="514">
      <c r="A514" s="51"/>
      <c r="B514" s="51"/>
      <c r="C514" s="51"/>
      <c r="D514" s="52"/>
      <c r="E514" s="52"/>
      <c r="F514" s="52"/>
      <c r="G514" s="53"/>
      <c r="H514" s="54"/>
      <c r="J514" s="55"/>
    </row>
    <row r="515">
      <c r="A515" s="51"/>
      <c r="B515" s="51"/>
      <c r="C515" s="51"/>
      <c r="D515" s="52"/>
      <c r="E515" s="52"/>
      <c r="F515" s="52"/>
      <c r="G515" s="53"/>
      <c r="H515" s="54"/>
      <c r="J515" s="55"/>
    </row>
    <row r="516">
      <c r="A516" s="51"/>
      <c r="B516" s="51"/>
      <c r="C516" s="51"/>
      <c r="D516" s="52"/>
      <c r="E516" s="52"/>
      <c r="F516" s="52"/>
      <c r="G516" s="53"/>
      <c r="H516" s="54"/>
      <c r="J516" s="55"/>
    </row>
    <row r="517">
      <c r="A517" s="51"/>
      <c r="B517" s="51"/>
      <c r="C517" s="51"/>
      <c r="D517" s="52"/>
      <c r="E517" s="52"/>
      <c r="F517" s="52"/>
      <c r="G517" s="53"/>
      <c r="H517" s="54"/>
      <c r="J517" s="55"/>
    </row>
    <row r="518">
      <c r="A518" s="51"/>
      <c r="B518" s="51"/>
      <c r="C518" s="51"/>
      <c r="D518" s="52"/>
      <c r="E518" s="52"/>
      <c r="F518" s="52"/>
      <c r="G518" s="53"/>
      <c r="H518" s="54"/>
      <c r="J518" s="55"/>
    </row>
    <row r="519">
      <c r="A519" s="51"/>
      <c r="B519" s="51"/>
      <c r="C519" s="51"/>
      <c r="D519" s="52"/>
      <c r="E519" s="52"/>
      <c r="F519" s="52"/>
      <c r="G519" s="53"/>
      <c r="H519" s="54"/>
      <c r="J519" s="55"/>
    </row>
    <row r="520">
      <c r="A520" s="51"/>
      <c r="B520" s="51"/>
      <c r="C520" s="51"/>
      <c r="D520" s="52"/>
      <c r="E520" s="52"/>
      <c r="F520" s="52"/>
      <c r="G520" s="53"/>
      <c r="H520" s="54"/>
      <c r="J520" s="55"/>
    </row>
    <row r="521">
      <c r="A521" s="51"/>
      <c r="B521" s="51"/>
      <c r="C521" s="51"/>
      <c r="D521" s="52"/>
      <c r="E521" s="52"/>
      <c r="F521" s="52"/>
      <c r="G521" s="53"/>
      <c r="H521" s="54"/>
      <c r="J521" s="55"/>
    </row>
    <row r="522">
      <c r="A522" s="51"/>
      <c r="B522" s="51"/>
      <c r="C522" s="51"/>
      <c r="D522" s="52"/>
      <c r="E522" s="52"/>
      <c r="F522" s="52"/>
      <c r="G522" s="53"/>
      <c r="H522" s="54"/>
      <c r="J522" s="55"/>
    </row>
    <row r="523">
      <c r="A523" s="51"/>
      <c r="B523" s="51"/>
      <c r="C523" s="51"/>
      <c r="D523" s="52"/>
      <c r="E523" s="52"/>
      <c r="F523" s="52"/>
      <c r="G523" s="53"/>
      <c r="H523" s="54"/>
      <c r="J523" s="55"/>
    </row>
    <row r="524">
      <c r="A524" s="51"/>
      <c r="B524" s="51"/>
      <c r="C524" s="51"/>
      <c r="D524" s="52"/>
      <c r="E524" s="52"/>
      <c r="F524" s="52"/>
      <c r="G524" s="53"/>
      <c r="H524" s="54"/>
      <c r="J524" s="55"/>
    </row>
    <row r="525">
      <c r="A525" s="51"/>
      <c r="B525" s="51"/>
      <c r="C525" s="51"/>
      <c r="D525" s="52"/>
      <c r="E525" s="52"/>
      <c r="F525" s="52"/>
      <c r="G525" s="53"/>
      <c r="H525" s="54"/>
      <c r="J525" s="55"/>
    </row>
    <row r="526">
      <c r="A526" s="51"/>
      <c r="B526" s="51"/>
      <c r="C526" s="51"/>
      <c r="D526" s="52"/>
      <c r="E526" s="52"/>
      <c r="F526" s="52"/>
      <c r="G526" s="53"/>
      <c r="H526" s="54"/>
      <c r="J526" s="55"/>
    </row>
    <row r="527">
      <c r="A527" s="51"/>
      <c r="B527" s="51"/>
      <c r="C527" s="51"/>
      <c r="D527" s="52"/>
      <c r="E527" s="52"/>
      <c r="F527" s="52"/>
      <c r="G527" s="53"/>
      <c r="H527" s="54"/>
      <c r="J527" s="55"/>
    </row>
    <row r="528">
      <c r="A528" s="51"/>
      <c r="B528" s="51"/>
      <c r="C528" s="51"/>
      <c r="D528" s="52"/>
      <c r="E528" s="52"/>
      <c r="F528" s="52"/>
      <c r="G528" s="53"/>
      <c r="H528" s="54"/>
      <c r="J528" s="55"/>
    </row>
    <row r="529">
      <c r="A529" s="51"/>
      <c r="B529" s="51"/>
      <c r="C529" s="51"/>
      <c r="D529" s="52"/>
      <c r="E529" s="52"/>
      <c r="F529" s="52"/>
      <c r="G529" s="53"/>
      <c r="H529" s="54"/>
      <c r="J529" s="55"/>
    </row>
    <row r="530">
      <c r="A530" s="51"/>
      <c r="B530" s="51"/>
      <c r="C530" s="51"/>
      <c r="D530" s="52"/>
      <c r="E530" s="52"/>
      <c r="F530" s="52"/>
      <c r="G530" s="53"/>
      <c r="H530" s="54"/>
      <c r="J530" s="55"/>
    </row>
    <row r="531">
      <c r="A531" s="51"/>
      <c r="B531" s="51"/>
      <c r="C531" s="51"/>
      <c r="D531" s="52"/>
      <c r="E531" s="52"/>
      <c r="F531" s="52"/>
      <c r="G531" s="53"/>
      <c r="H531" s="54"/>
      <c r="J531" s="55"/>
    </row>
    <row r="532">
      <c r="A532" s="51"/>
      <c r="B532" s="51"/>
      <c r="C532" s="51"/>
      <c r="D532" s="52"/>
      <c r="E532" s="52"/>
      <c r="F532" s="52"/>
      <c r="G532" s="53"/>
      <c r="H532" s="54"/>
      <c r="J532" s="55"/>
    </row>
    <row r="533">
      <c r="A533" s="51"/>
      <c r="B533" s="51"/>
      <c r="C533" s="51"/>
      <c r="D533" s="52"/>
      <c r="E533" s="52"/>
      <c r="F533" s="52"/>
      <c r="G533" s="53"/>
      <c r="H533" s="54"/>
      <c r="J533" s="55"/>
    </row>
    <row r="534">
      <c r="A534" s="51"/>
      <c r="B534" s="51"/>
      <c r="C534" s="51"/>
      <c r="D534" s="52"/>
      <c r="E534" s="52"/>
      <c r="F534" s="52"/>
      <c r="G534" s="53"/>
      <c r="H534" s="54"/>
      <c r="J534" s="55"/>
    </row>
    <row r="535">
      <c r="A535" s="51"/>
      <c r="B535" s="51"/>
      <c r="C535" s="51"/>
      <c r="D535" s="52"/>
      <c r="E535" s="52"/>
      <c r="F535" s="52"/>
      <c r="G535" s="53"/>
      <c r="H535" s="54"/>
      <c r="J535" s="55"/>
    </row>
    <row r="536">
      <c r="A536" s="51"/>
      <c r="B536" s="51"/>
      <c r="C536" s="51"/>
      <c r="D536" s="52"/>
      <c r="E536" s="52"/>
      <c r="F536" s="52"/>
      <c r="G536" s="53"/>
      <c r="H536" s="54"/>
      <c r="J536" s="55"/>
    </row>
    <row r="537">
      <c r="A537" s="51"/>
      <c r="B537" s="51"/>
      <c r="C537" s="51"/>
      <c r="D537" s="52"/>
      <c r="E537" s="52"/>
      <c r="F537" s="52"/>
      <c r="G537" s="53"/>
      <c r="H537" s="54"/>
      <c r="J537" s="55"/>
    </row>
    <row r="538">
      <c r="A538" s="51"/>
      <c r="B538" s="51"/>
      <c r="C538" s="51"/>
      <c r="D538" s="52"/>
      <c r="E538" s="52"/>
      <c r="F538" s="52"/>
      <c r="G538" s="53"/>
      <c r="H538" s="54"/>
      <c r="J538" s="55"/>
    </row>
    <row r="539">
      <c r="A539" s="51"/>
      <c r="B539" s="51"/>
      <c r="C539" s="51"/>
      <c r="D539" s="52"/>
      <c r="E539" s="52"/>
      <c r="F539" s="52"/>
      <c r="G539" s="53"/>
      <c r="H539" s="54"/>
      <c r="J539" s="55"/>
    </row>
    <row r="540">
      <c r="A540" s="51"/>
      <c r="B540" s="51"/>
      <c r="C540" s="51"/>
      <c r="D540" s="52"/>
      <c r="E540" s="52"/>
      <c r="F540" s="52"/>
      <c r="G540" s="53"/>
      <c r="H540" s="54"/>
      <c r="J540" s="55"/>
    </row>
    <row r="541">
      <c r="A541" s="51"/>
      <c r="B541" s="51"/>
      <c r="C541" s="51"/>
      <c r="D541" s="52"/>
      <c r="E541" s="52"/>
      <c r="F541" s="52"/>
      <c r="G541" s="53"/>
      <c r="H541" s="54"/>
      <c r="J541" s="55"/>
    </row>
    <row r="542">
      <c r="A542" s="51"/>
      <c r="B542" s="51"/>
      <c r="C542" s="51"/>
      <c r="D542" s="52"/>
      <c r="E542" s="52"/>
      <c r="F542" s="52"/>
      <c r="G542" s="53"/>
      <c r="H542" s="54"/>
      <c r="J542" s="55"/>
    </row>
    <row r="543">
      <c r="A543" s="51"/>
      <c r="B543" s="51"/>
      <c r="C543" s="51"/>
      <c r="D543" s="52"/>
      <c r="E543" s="52"/>
      <c r="F543" s="52"/>
      <c r="G543" s="53"/>
      <c r="H543" s="54"/>
      <c r="J543" s="55"/>
    </row>
    <row r="544">
      <c r="A544" s="51"/>
      <c r="B544" s="51"/>
      <c r="C544" s="51"/>
      <c r="D544" s="52"/>
      <c r="E544" s="52"/>
      <c r="F544" s="52"/>
      <c r="G544" s="53"/>
      <c r="H544" s="54"/>
      <c r="J544" s="55"/>
    </row>
    <row r="545">
      <c r="A545" s="51"/>
      <c r="B545" s="51"/>
      <c r="C545" s="51"/>
      <c r="D545" s="52"/>
      <c r="E545" s="52"/>
      <c r="F545" s="52"/>
      <c r="G545" s="53"/>
      <c r="H545" s="54"/>
      <c r="J545" s="55"/>
    </row>
    <row r="546">
      <c r="A546" s="51"/>
      <c r="B546" s="51"/>
      <c r="C546" s="51"/>
      <c r="D546" s="52"/>
      <c r="E546" s="52"/>
      <c r="F546" s="52"/>
      <c r="G546" s="53"/>
      <c r="H546" s="54"/>
      <c r="J546" s="55"/>
    </row>
    <row r="547">
      <c r="A547" s="51"/>
      <c r="B547" s="51"/>
      <c r="C547" s="51"/>
      <c r="D547" s="52"/>
      <c r="E547" s="52"/>
      <c r="F547" s="52"/>
      <c r="G547" s="53"/>
      <c r="H547" s="54"/>
      <c r="J547" s="55"/>
    </row>
    <row r="548">
      <c r="A548" s="51"/>
      <c r="B548" s="51"/>
      <c r="C548" s="51"/>
      <c r="D548" s="52"/>
      <c r="E548" s="52"/>
      <c r="F548" s="52"/>
      <c r="G548" s="53"/>
      <c r="H548" s="54"/>
      <c r="J548" s="55"/>
    </row>
    <row r="549">
      <c r="A549" s="51"/>
      <c r="B549" s="51"/>
      <c r="C549" s="51"/>
      <c r="D549" s="52"/>
      <c r="E549" s="52"/>
      <c r="F549" s="52"/>
      <c r="G549" s="53"/>
      <c r="H549" s="54"/>
      <c r="J549" s="55"/>
    </row>
    <row r="550">
      <c r="A550" s="51"/>
      <c r="B550" s="51"/>
      <c r="C550" s="51"/>
      <c r="D550" s="52"/>
      <c r="E550" s="52"/>
      <c r="F550" s="52"/>
      <c r="G550" s="53"/>
      <c r="H550" s="54"/>
      <c r="J550" s="55"/>
    </row>
    <row r="551">
      <c r="A551" s="51"/>
      <c r="B551" s="51"/>
      <c r="C551" s="51"/>
      <c r="D551" s="52"/>
      <c r="E551" s="52"/>
      <c r="F551" s="52"/>
      <c r="G551" s="53"/>
      <c r="H551" s="54"/>
      <c r="J551" s="55"/>
    </row>
    <row r="552">
      <c r="A552" s="51"/>
      <c r="B552" s="51"/>
      <c r="C552" s="51"/>
      <c r="D552" s="52"/>
      <c r="E552" s="52"/>
      <c r="F552" s="52"/>
      <c r="G552" s="53"/>
      <c r="H552" s="54"/>
      <c r="J552" s="55"/>
    </row>
    <row r="553">
      <c r="A553" s="51"/>
      <c r="B553" s="51"/>
      <c r="C553" s="51"/>
      <c r="D553" s="52"/>
      <c r="E553" s="52"/>
      <c r="F553" s="52"/>
      <c r="G553" s="53"/>
      <c r="H553" s="54"/>
      <c r="J553" s="55"/>
    </row>
    <row r="554">
      <c r="A554" s="51"/>
      <c r="B554" s="51"/>
      <c r="C554" s="51"/>
      <c r="D554" s="52"/>
      <c r="E554" s="52"/>
      <c r="F554" s="52"/>
      <c r="G554" s="53"/>
      <c r="H554" s="54"/>
      <c r="J554" s="55"/>
    </row>
    <row r="555">
      <c r="A555" s="51"/>
      <c r="B555" s="51"/>
      <c r="C555" s="51"/>
      <c r="D555" s="52"/>
      <c r="E555" s="52"/>
      <c r="F555" s="52"/>
      <c r="G555" s="53"/>
      <c r="H555" s="54"/>
      <c r="J555" s="55"/>
    </row>
    <row r="556">
      <c r="A556" s="51"/>
      <c r="B556" s="51"/>
      <c r="C556" s="51"/>
      <c r="D556" s="52"/>
      <c r="E556" s="52"/>
      <c r="F556" s="52"/>
      <c r="G556" s="53"/>
      <c r="H556" s="54"/>
      <c r="J556" s="55"/>
    </row>
    <row r="557">
      <c r="A557" s="51"/>
      <c r="B557" s="51"/>
      <c r="C557" s="51"/>
      <c r="D557" s="52"/>
      <c r="E557" s="52"/>
      <c r="F557" s="52"/>
      <c r="G557" s="53"/>
      <c r="H557" s="54"/>
      <c r="J557" s="55"/>
    </row>
    <row r="558">
      <c r="A558" s="51"/>
      <c r="B558" s="51"/>
      <c r="C558" s="51"/>
      <c r="D558" s="52"/>
      <c r="E558" s="52"/>
      <c r="F558" s="52"/>
      <c r="G558" s="53"/>
      <c r="H558" s="54"/>
      <c r="J558" s="55"/>
    </row>
    <row r="559">
      <c r="A559" s="51"/>
      <c r="B559" s="51"/>
      <c r="C559" s="51"/>
      <c r="D559" s="52"/>
      <c r="E559" s="52"/>
      <c r="F559" s="52"/>
      <c r="G559" s="53"/>
      <c r="H559" s="54"/>
      <c r="J559" s="55"/>
    </row>
    <row r="560">
      <c r="A560" s="51"/>
      <c r="B560" s="51"/>
      <c r="C560" s="51"/>
      <c r="D560" s="52"/>
      <c r="E560" s="52"/>
      <c r="F560" s="52"/>
      <c r="G560" s="53"/>
      <c r="H560" s="54"/>
      <c r="J560" s="55"/>
    </row>
    <row r="561">
      <c r="A561" s="51"/>
      <c r="B561" s="51"/>
      <c r="C561" s="51"/>
      <c r="D561" s="52"/>
      <c r="E561" s="52"/>
      <c r="F561" s="52"/>
      <c r="G561" s="53"/>
      <c r="H561" s="54"/>
      <c r="J561" s="55"/>
    </row>
    <row r="562">
      <c r="A562" s="51"/>
      <c r="B562" s="51"/>
      <c r="C562" s="51"/>
      <c r="D562" s="52"/>
      <c r="E562" s="52"/>
      <c r="F562" s="52"/>
      <c r="G562" s="53"/>
      <c r="H562" s="54"/>
      <c r="J562" s="55"/>
    </row>
    <row r="563">
      <c r="A563" s="51"/>
      <c r="B563" s="51"/>
      <c r="C563" s="51"/>
      <c r="D563" s="52"/>
      <c r="E563" s="52"/>
      <c r="F563" s="52"/>
      <c r="G563" s="53"/>
      <c r="H563" s="54"/>
      <c r="J563" s="55"/>
    </row>
    <row r="564">
      <c r="A564" s="51"/>
      <c r="B564" s="51"/>
      <c r="C564" s="51"/>
      <c r="D564" s="52"/>
      <c r="E564" s="52"/>
      <c r="F564" s="52"/>
      <c r="G564" s="53"/>
      <c r="H564" s="54"/>
      <c r="J564" s="55"/>
    </row>
    <row r="565">
      <c r="A565" s="51"/>
      <c r="B565" s="51"/>
      <c r="C565" s="51"/>
      <c r="D565" s="52"/>
      <c r="E565" s="52"/>
      <c r="F565" s="52"/>
      <c r="G565" s="53"/>
      <c r="H565" s="54"/>
      <c r="J565" s="55"/>
    </row>
    <row r="566">
      <c r="A566" s="51"/>
      <c r="B566" s="51"/>
      <c r="C566" s="51"/>
      <c r="D566" s="52"/>
      <c r="E566" s="52"/>
      <c r="F566" s="52"/>
      <c r="G566" s="53"/>
      <c r="H566" s="54"/>
      <c r="J566" s="55"/>
    </row>
    <row r="567">
      <c r="A567" s="51"/>
      <c r="B567" s="51"/>
      <c r="C567" s="51"/>
      <c r="D567" s="52"/>
      <c r="E567" s="52"/>
      <c r="F567" s="52"/>
      <c r="G567" s="53"/>
      <c r="H567" s="54"/>
      <c r="J567" s="55"/>
    </row>
    <row r="568">
      <c r="A568" s="51"/>
      <c r="B568" s="51"/>
      <c r="C568" s="51"/>
      <c r="D568" s="52"/>
      <c r="E568" s="52"/>
      <c r="F568" s="52"/>
      <c r="G568" s="53"/>
      <c r="H568" s="54"/>
      <c r="J568" s="55"/>
    </row>
    <row r="569">
      <c r="A569" s="51"/>
      <c r="B569" s="51"/>
      <c r="C569" s="51"/>
      <c r="D569" s="52"/>
      <c r="E569" s="52"/>
      <c r="F569" s="52"/>
      <c r="G569" s="53"/>
      <c r="H569" s="54"/>
      <c r="J569" s="55"/>
    </row>
    <row r="570">
      <c r="A570" s="51"/>
      <c r="B570" s="51"/>
      <c r="C570" s="51"/>
      <c r="D570" s="52"/>
      <c r="E570" s="52"/>
      <c r="F570" s="52"/>
      <c r="G570" s="53"/>
      <c r="H570" s="54"/>
      <c r="J570" s="55"/>
    </row>
    <row r="571">
      <c r="A571" s="51"/>
      <c r="B571" s="51"/>
      <c r="C571" s="51"/>
      <c r="D571" s="52"/>
      <c r="E571" s="52"/>
      <c r="F571" s="52"/>
      <c r="G571" s="53"/>
      <c r="H571" s="54"/>
      <c r="J571" s="55"/>
    </row>
    <row r="572">
      <c r="A572" s="51"/>
      <c r="B572" s="51"/>
      <c r="C572" s="51"/>
      <c r="D572" s="52"/>
      <c r="E572" s="52"/>
      <c r="F572" s="52"/>
      <c r="G572" s="53"/>
      <c r="H572" s="54"/>
      <c r="J572" s="55"/>
    </row>
    <row r="573">
      <c r="A573" s="51"/>
      <c r="B573" s="51"/>
      <c r="C573" s="51"/>
      <c r="D573" s="52"/>
      <c r="E573" s="52"/>
      <c r="F573" s="52"/>
      <c r="G573" s="53"/>
      <c r="H573" s="54"/>
      <c r="J573" s="55"/>
    </row>
    <row r="574">
      <c r="A574" s="51"/>
      <c r="B574" s="51"/>
      <c r="C574" s="51"/>
      <c r="D574" s="52"/>
      <c r="E574" s="52"/>
      <c r="F574" s="52"/>
      <c r="G574" s="53"/>
      <c r="H574" s="54"/>
      <c r="J574" s="55"/>
    </row>
    <row r="575">
      <c r="A575" s="51"/>
      <c r="B575" s="51"/>
      <c r="C575" s="51"/>
      <c r="D575" s="52"/>
      <c r="E575" s="52"/>
      <c r="F575" s="52"/>
      <c r="G575" s="53"/>
      <c r="H575" s="54"/>
      <c r="J575" s="55"/>
    </row>
    <row r="576">
      <c r="A576" s="51"/>
      <c r="B576" s="51"/>
      <c r="C576" s="51"/>
      <c r="D576" s="52"/>
      <c r="E576" s="52"/>
      <c r="F576" s="52"/>
      <c r="G576" s="53"/>
      <c r="H576" s="54"/>
      <c r="J576" s="55"/>
    </row>
    <row r="577">
      <c r="A577" s="51"/>
      <c r="B577" s="51"/>
      <c r="C577" s="51"/>
      <c r="D577" s="52"/>
      <c r="E577" s="52"/>
      <c r="F577" s="52"/>
      <c r="G577" s="53"/>
      <c r="H577" s="54"/>
      <c r="J577" s="55"/>
    </row>
    <row r="578">
      <c r="A578" s="51"/>
      <c r="B578" s="51"/>
      <c r="C578" s="51"/>
      <c r="D578" s="52"/>
      <c r="E578" s="52"/>
      <c r="F578" s="52"/>
      <c r="G578" s="53"/>
      <c r="H578" s="54"/>
      <c r="J578" s="55"/>
    </row>
    <row r="579">
      <c r="A579" s="51"/>
      <c r="B579" s="51"/>
      <c r="C579" s="51"/>
      <c r="D579" s="52"/>
      <c r="E579" s="52"/>
      <c r="F579" s="52"/>
      <c r="G579" s="53"/>
      <c r="H579" s="54"/>
      <c r="J579" s="55"/>
    </row>
    <row r="580">
      <c r="A580" s="51"/>
      <c r="B580" s="51"/>
      <c r="C580" s="51"/>
      <c r="D580" s="52"/>
      <c r="E580" s="52"/>
      <c r="F580" s="52"/>
      <c r="G580" s="53"/>
      <c r="H580" s="54"/>
      <c r="J580" s="55"/>
    </row>
    <row r="581">
      <c r="A581" s="51"/>
      <c r="B581" s="51"/>
      <c r="C581" s="51"/>
      <c r="D581" s="52"/>
      <c r="E581" s="52"/>
      <c r="F581" s="52"/>
      <c r="G581" s="53"/>
      <c r="H581" s="54"/>
      <c r="J581" s="55"/>
    </row>
    <row r="582">
      <c r="A582" s="51"/>
      <c r="B582" s="51"/>
      <c r="C582" s="51"/>
      <c r="D582" s="52"/>
      <c r="E582" s="52"/>
      <c r="F582" s="52"/>
      <c r="G582" s="53"/>
      <c r="H582" s="54"/>
      <c r="J582" s="55"/>
    </row>
    <row r="583">
      <c r="A583" s="51"/>
      <c r="B583" s="51"/>
      <c r="C583" s="51"/>
      <c r="D583" s="52"/>
      <c r="E583" s="52"/>
      <c r="F583" s="52"/>
      <c r="G583" s="53"/>
      <c r="H583" s="54"/>
      <c r="J583" s="55"/>
    </row>
    <row r="584">
      <c r="A584" s="51"/>
      <c r="B584" s="51"/>
      <c r="C584" s="51"/>
      <c r="D584" s="52"/>
      <c r="E584" s="52"/>
      <c r="F584" s="52"/>
      <c r="G584" s="53"/>
      <c r="H584" s="54"/>
      <c r="J584" s="55"/>
    </row>
    <row r="585">
      <c r="A585" s="51"/>
      <c r="B585" s="51"/>
      <c r="C585" s="51"/>
      <c r="D585" s="52"/>
      <c r="E585" s="52"/>
      <c r="F585" s="52"/>
      <c r="G585" s="53"/>
      <c r="H585" s="54"/>
      <c r="J585" s="55"/>
    </row>
    <row r="586">
      <c r="A586" s="51"/>
      <c r="B586" s="51"/>
      <c r="C586" s="51"/>
      <c r="D586" s="52"/>
      <c r="E586" s="52"/>
      <c r="F586" s="52"/>
      <c r="G586" s="53"/>
      <c r="H586" s="54"/>
      <c r="J586" s="55"/>
    </row>
    <row r="587">
      <c r="A587" s="51"/>
      <c r="B587" s="51"/>
      <c r="C587" s="51"/>
      <c r="D587" s="52"/>
      <c r="E587" s="52"/>
      <c r="F587" s="52"/>
      <c r="G587" s="53"/>
      <c r="H587" s="54"/>
      <c r="J587" s="55"/>
    </row>
    <row r="588">
      <c r="A588" s="51"/>
      <c r="B588" s="51"/>
      <c r="C588" s="51"/>
      <c r="D588" s="52"/>
      <c r="E588" s="52"/>
      <c r="F588" s="52"/>
      <c r="G588" s="53"/>
      <c r="H588" s="54"/>
      <c r="J588" s="55"/>
    </row>
    <row r="589">
      <c r="A589" s="51"/>
      <c r="B589" s="51"/>
      <c r="C589" s="51"/>
      <c r="D589" s="52"/>
      <c r="E589" s="52"/>
      <c r="F589" s="52"/>
      <c r="G589" s="53"/>
      <c r="H589" s="54"/>
      <c r="J589" s="55"/>
    </row>
    <row r="590">
      <c r="A590" s="51"/>
      <c r="B590" s="51"/>
      <c r="C590" s="51"/>
      <c r="D590" s="52"/>
      <c r="E590" s="52"/>
      <c r="F590" s="52"/>
      <c r="G590" s="53"/>
      <c r="H590" s="54"/>
      <c r="J590" s="55"/>
    </row>
    <row r="591">
      <c r="A591" s="51"/>
      <c r="B591" s="51"/>
      <c r="C591" s="51"/>
      <c r="D591" s="52"/>
      <c r="E591" s="52"/>
      <c r="F591" s="52"/>
      <c r="G591" s="53"/>
      <c r="H591" s="54"/>
      <c r="J591" s="55"/>
    </row>
    <row r="592">
      <c r="A592" s="51"/>
      <c r="B592" s="51"/>
      <c r="C592" s="51"/>
      <c r="D592" s="52"/>
      <c r="E592" s="52"/>
      <c r="F592" s="52"/>
      <c r="G592" s="53"/>
      <c r="H592" s="54"/>
      <c r="J592" s="55"/>
    </row>
    <row r="593">
      <c r="A593" s="51"/>
      <c r="B593" s="51"/>
      <c r="C593" s="51"/>
      <c r="D593" s="52"/>
      <c r="E593" s="52"/>
      <c r="F593" s="52"/>
      <c r="G593" s="53"/>
      <c r="H593" s="54"/>
      <c r="J593" s="55"/>
    </row>
    <row r="594">
      <c r="A594" s="51"/>
      <c r="B594" s="51"/>
      <c r="C594" s="51"/>
      <c r="D594" s="52"/>
      <c r="E594" s="52"/>
      <c r="F594" s="52"/>
      <c r="G594" s="53"/>
      <c r="H594" s="54"/>
      <c r="J594" s="55"/>
    </row>
    <row r="595">
      <c r="A595" s="51"/>
      <c r="B595" s="51"/>
      <c r="C595" s="51"/>
      <c r="D595" s="52"/>
      <c r="E595" s="52"/>
      <c r="F595" s="52"/>
      <c r="G595" s="53"/>
      <c r="H595" s="54"/>
      <c r="J595" s="55"/>
    </row>
    <row r="596">
      <c r="A596" s="51"/>
      <c r="B596" s="51"/>
      <c r="C596" s="51"/>
      <c r="D596" s="52"/>
      <c r="E596" s="52"/>
      <c r="F596" s="52"/>
      <c r="G596" s="53"/>
      <c r="H596" s="54"/>
      <c r="J596" s="55"/>
    </row>
    <row r="597">
      <c r="A597" s="51"/>
      <c r="B597" s="51"/>
      <c r="C597" s="51"/>
      <c r="D597" s="52"/>
      <c r="E597" s="52"/>
      <c r="F597" s="52"/>
      <c r="G597" s="53"/>
      <c r="H597" s="54"/>
      <c r="J597" s="55"/>
    </row>
    <row r="598">
      <c r="A598" s="51"/>
      <c r="B598" s="51"/>
      <c r="C598" s="51"/>
      <c r="D598" s="52"/>
      <c r="E598" s="52"/>
      <c r="F598" s="52"/>
      <c r="G598" s="53"/>
      <c r="H598" s="54"/>
      <c r="J598" s="55"/>
    </row>
    <row r="599">
      <c r="A599" s="51"/>
      <c r="B599" s="51"/>
      <c r="C599" s="51"/>
      <c r="D599" s="52"/>
      <c r="E599" s="52"/>
      <c r="F599" s="52"/>
      <c r="G599" s="53"/>
      <c r="H599" s="54"/>
      <c r="J599" s="55"/>
    </row>
    <row r="600">
      <c r="A600" s="51"/>
      <c r="B600" s="51"/>
      <c r="C600" s="51"/>
      <c r="D600" s="52"/>
      <c r="E600" s="52"/>
      <c r="F600" s="52"/>
      <c r="G600" s="53"/>
      <c r="H600" s="54"/>
      <c r="J600" s="55"/>
    </row>
    <row r="601">
      <c r="A601" s="51"/>
      <c r="B601" s="51"/>
      <c r="C601" s="51"/>
      <c r="D601" s="52"/>
      <c r="E601" s="52"/>
      <c r="F601" s="52"/>
      <c r="G601" s="53"/>
      <c r="H601" s="54"/>
      <c r="J601" s="55"/>
    </row>
    <row r="602">
      <c r="A602" s="51"/>
      <c r="B602" s="51"/>
      <c r="C602" s="51"/>
      <c r="D602" s="52"/>
      <c r="E602" s="52"/>
      <c r="F602" s="52"/>
      <c r="G602" s="53"/>
      <c r="H602" s="54"/>
      <c r="J602" s="55"/>
    </row>
    <row r="603">
      <c r="A603" s="51"/>
      <c r="B603" s="51"/>
      <c r="C603" s="51"/>
      <c r="D603" s="52"/>
      <c r="E603" s="52"/>
      <c r="F603" s="52"/>
      <c r="G603" s="53"/>
      <c r="H603" s="54"/>
      <c r="J603" s="55"/>
    </row>
    <row r="604">
      <c r="A604" s="51"/>
      <c r="B604" s="51"/>
      <c r="C604" s="51"/>
      <c r="D604" s="52"/>
      <c r="E604" s="52"/>
      <c r="F604" s="52"/>
      <c r="G604" s="53"/>
      <c r="H604" s="54"/>
      <c r="J604" s="55"/>
    </row>
    <row r="605">
      <c r="A605" s="51"/>
      <c r="B605" s="51"/>
      <c r="C605" s="51"/>
      <c r="D605" s="52"/>
      <c r="E605" s="52"/>
      <c r="F605" s="52"/>
      <c r="G605" s="53"/>
      <c r="H605" s="54"/>
      <c r="J605" s="55"/>
    </row>
    <row r="606">
      <c r="A606" s="51"/>
      <c r="B606" s="51"/>
      <c r="C606" s="51"/>
      <c r="D606" s="52"/>
      <c r="E606" s="52"/>
      <c r="F606" s="52"/>
      <c r="G606" s="53"/>
      <c r="H606" s="54"/>
      <c r="J606" s="55"/>
    </row>
    <row r="607">
      <c r="A607" s="51"/>
      <c r="B607" s="51"/>
      <c r="C607" s="51"/>
      <c r="D607" s="52"/>
      <c r="E607" s="52"/>
      <c r="F607" s="52"/>
      <c r="G607" s="53"/>
      <c r="H607" s="54"/>
      <c r="J607" s="55"/>
    </row>
    <row r="608">
      <c r="A608" s="51"/>
      <c r="B608" s="51"/>
      <c r="C608" s="51"/>
      <c r="D608" s="52"/>
      <c r="E608" s="52"/>
      <c r="F608" s="52"/>
      <c r="G608" s="53"/>
      <c r="H608" s="54"/>
      <c r="J608" s="55"/>
    </row>
    <row r="609">
      <c r="A609" s="51"/>
      <c r="B609" s="51"/>
      <c r="C609" s="51"/>
      <c r="D609" s="52"/>
      <c r="E609" s="52"/>
      <c r="F609" s="52"/>
      <c r="G609" s="53"/>
      <c r="H609" s="54"/>
      <c r="J609" s="55"/>
    </row>
    <row r="610">
      <c r="A610" s="51"/>
      <c r="B610" s="51"/>
      <c r="C610" s="51"/>
      <c r="D610" s="52"/>
      <c r="E610" s="52"/>
      <c r="F610" s="52"/>
      <c r="G610" s="53"/>
      <c r="H610" s="54"/>
      <c r="J610" s="55"/>
    </row>
    <row r="611">
      <c r="A611" s="51"/>
      <c r="B611" s="51"/>
      <c r="C611" s="51"/>
      <c r="D611" s="52"/>
      <c r="E611" s="52"/>
      <c r="F611" s="52"/>
      <c r="G611" s="53"/>
      <c r="H611" s="54"/>
      <c r="J611" s="55"/>
    </row>
    <row r="612">
      <c r="A612" s="51"/>
      <c r="B612" s="51"/>
      <c r="C612" s="51"/>
      <c r="D612" s="52"/>
      <c r="E612" s="52"/>
      <c r="F612" s="52"/>
      <c r="G612" s="53"/>
      <c r="H612" s="54"/>
      <c r="J612" s="55"/>
    </row>
    <row r="613">
      <c r="A613" s="51"/>
      <c r="B613" s="51"/>
      <c r="C613" s="51"/>
      <c r="D613" s="52"/>
      <c r="E613" s="52"/>
      <c r="F613" s="52"/>
      <c r="G613" s="53"/>
      <c r="H613" s="54"/>
      <c r="J613" s="55"/>
    </row>
    <row r="614">
      <c r="A614" s="51"/>
      <c r="B614" s="51"/>
      <c r="C614" s="51"/>
      <c r="D614" s="52"/>
      <c r="E614" s="52"/>
      <c r="F614" s="52"/>
      <c r="G614" s="53"/>
      <c r="H614" s="54"/>
      <c r="J614" s="55"/>
    </row>
    <row r="615">
      <c r="A615" s="51"/>
      <c r="B615" s="51"/>
      <c r="C615" s="51"/>
      <c r="D615" s="52"/>
      <c r="E615" s="52"/>
      <c r="F615" s="52"/>
      <c r="G615" s="53"/>
      <c r="H615" s="54"/>
      <c r="J615" s="55"/>
    </row>
    <row r="616">
      <c r="A616" s="51"/>
      <c r="B616" s="51"/>
      <c r="C616" s="51"/>
      <c r="D616" s="52"/>
      <c r="E616" s="52"/>
      <c r="F616" s="52"/>
      <c r="G616" s="53"/>
      <c r="H616" s="54"/>
      <c r="J616" s="55"/>
    </row>
    <row r="617">
      <c r="A617" s="51"/>
      <c r="B617" s="51"/>
      <c r="C617" s="51"/>
      <c r="D617" s="52"/>
      <c r="E617" s="52"/>
      <c r="F617" s="52"/>
      <c r="G617" s="53"/>
      <c r="H617" s="54"/>
      <c r="J617" s="55"/>
    </row>
    <row r="618">
      <c r="A618" s="51"/>
      <c r="B618" s="51"/>
      <c r="C618" s="51"/>
      <c r="D618" s="52"/>
      <c r="E618" s="52"/>
      <c r="F618" s="52"/>
      <c r="G618" s="53"/>
      <c r="H618" s="54"/>
      <c r="J618" s="55"/>
    </row>
    <row r="619">
      <c r="A619" s="51"/>
      <c r="B619" s="51"/>
      <c r="C619" s="51"/>
      <c r="D619" s="52"/>
      <c r="E619" s="52"/>
      <c r="F619" s="52"/>
      <c r="G619" s="53"/>
      <c r="H619" s="54"/>
      <c r="J619" s="55"/>
    </row>
    <row r="620">
      <c r="A620" s="51"/>
      <c r="B620" s="51"/>
      <c r="C620" s="51"/>
      <c r="D620" s="52"/>
      <c r="E620" s="52"/>
      <c r="F620" s="52"/>
      <c r="G620" s="53"/>
      <c r="H620" s="54"/>
      <c r="J620" s="55"/>
    </row>
    <row r="621">
      <c r="A621" s="51"/>
      <c r="B621" s="51"/>
      <c r="C621" s="51"/>
      <c r="D621" s="52"/>
      <c r="E621" s="52"/>
      <c r="F621" s="52"/>
      <c r="G621" s="53"/>
      <c r="H621" s="54"/>
      <c r="J621" s="55"/>
    </row>
    <row r="622">
      <c r="A622" s="51"/>
      <c r="B622" s="51"/>
      <c r="C622" s="51"/>
      <c r="D622" s="52"/>
      <c r="E622" s="52"/>
      <c r="F622" s="52"/>
      <c r="G622" s="53"/>
      <c r="H622" s="54"/>
      <c r="J622" s="55"/>
    </row>
    <row r="623">
      <c r="A623" s="51"/>
      <c r="B623" s="51"/>
      <c r="C623" s="51"/>
      <c r="D623" s="52"/>
      <c r="E623" s="52"/>
      <c r="F623" s="52"/>
      <c r="G623" s="53"/>
      <c r="H623" s="54"/>
      <c r="J623" s="55"/>
    </row>
    <row r="624">
      <c r="A624" s="51"/>
      <c r="B624" s="51"/>
      <c r="C624" s="51"/>
      <c r="D624" s="52"/>
      <c r="E624" s="52"/>
      <c r="F624" s="52"/>
      <c r="G624" s="53"/>
      <c r="H624" s="54"/>
      <c r="J624" s="55"/>
    </row>
    <row r="625">
      <c r="A625" s="51"/>
      <c r="B625" s="51"/>
      <c r="C625" s="51"/>
      <c r="D625" s="52"/>
      <c r="E625" s="52"/>
      <c r="F625" s="52"/>
      <c r="G625" s="53"/>
      <c r="H625" s="54"/>
      <c r="J625" s="55"/>
    </row>
    <row r="626">
      <c r="A626" s="51"/>
      <c r="B626" s="51"/>
      <c r="C626" s="51"/>
      <c r="D626" s="52"/>
      <c r="E626" s="52"/>
      <c r="F626" s="52"/>
      <c r="G626" s="53"/>
      <c r="H626" s="54"/>
      <c r="J626" s="55"/>
    </row>
    <row r="627">
      <c r="A627" s="51"/>
      <c r="B627" s="51"/>
      <c r="C627" s="51"/>
      <c r="D627" s="52"/>
      <c r="E627" s="52"/>
      <c r="F627" s="52"/>
      <c r="G627" s="53"/>
      <c r="H627" s="54"/>
      <c r="J627" s="55"/>
    </row>
    <row r="628">
      <c r="A628" s="51"/>
      <c r="B628" s="51"/>
      <c r="C628" s="51"/>
      <c r="D628" s="52"/>
      <c r="E628" s="52"/>
      <c r="F628" s="52"/>
      <c r="G628" s="53"/>
      <c r="H628" s="54"/>
      <c r="J628" s="55"/>
    </row>
    <row r="629">
      <c r="A629" s="51"/>
      <c r="B629" s="51"/>
      <c r="C629" s="51"/>
      <c r="D629" s="52"/>
      <c r="E629" s="52"/>
      <c r="F629" s="52"/>
      <c r="G629" s="53"/>
      <c r="H629" s="54"/>
      <c r="J629" s="55"/>
    </row>
    <row r="630">
      <c r="A630" s="51"/>
      <c r="B630" s="51"/>
      <c r="C630" s="51"/>
      <c r="D630" s="52"/>
      <c r="E630" s="52"/>
      <c r="F630" s="52"/>
      <c r="G630" s="53"/>
      <c r="H630" s="54"/>
      <c r="J630" s="55"/>
    </row>
    <row r="631">
      <c r="A631" s="51"/>
      <c r="B631" s="51"/>
      <c r="C631" s="51"/>
      <c r="D631" s="52"/>
      <c r="E631" s="52"/>
      <c r="F631" s="52"/>
      <c r="G631" s="53"/>
      <c r="H631" s="54"/>
      <c r="J631" s="55"/>
    </row>
    <row r="632">
      <c r="A632" s="51"/>
      <c r="B632" s="51"/>
      <c r="C632" s="51"/>
      <c r="D632" s="52"/>
      <c r="E632" s="52"/>
      <c r="F632" s="52"/>
      <c r="G632" s="53"/>
      <c r="H632" s="54"/>
      <c r="J632" s="55"/>
    </row>
    <row r="633">
      <c r="A633" s="51"/>
      <c r="B633" s="51"/>
      <c r="C633" s="51"/>
      <c r="D633" s="52"/>
      <c r="E633" s="52"/>
      <c r="F633" s="52"/>
      <c r="G633" s="53"/>
      <c r="H633" s="54"/>
      <c r="J633" s="55"/>
    </row>
    <row r="634">
      <c r="A634" s="51"/>
      <c r="B634" s="51"/>
      <c r="C634" s="51"/>
      <c r="D634" s="52"/>
      <c r="E634" s="52"/>
      <c r="F634" s="52"/>
      <c r="G634" s="53"/>
      <c r="H634" s="54"/>
      <c r="J634" s="55"/>
    </row>
    <row r="635">
      <c r="A635" s="51"/>
      <c r="B635" s="51"/>
      <c r="C635" s="51"/>
      <c r="D635" s="52"/>
      <c r="E635" s="52"/>
      <c r="F635" s="52"/>
      <c r="G635" s="53"/>
      <c r="H635" s="54"/>
      <c r="J635" s="55"/>
    </row>
    <row r="636">
      <c r="A636" s="51"/>
      <c r="B636" s="51"/>
      <c r="C636" s="51"/>
      <c r="D636" s="52"/>
      <c r="E636" s="52"/>
      <c r="F636" s="52"/>
      <c r="G636" s="53"/>
      <c r="H636" s="54"/>
      <c r="J636" s="55"/>
    </row>
    <row r="637">
      <c r="A637" s="51"/>
      <c r="B637" s="51"/>
      <c r="C637" s="51"/>
      <c r="D637" s="52"/>
      <c r="E637" s="52"/>
      <c r="F637" s="52"/>
      <c r="G637" s="53"/>
      <c r="H637" s="54"/>
      <c r="J637" s="55"/>
    </row>
    <row r="638">
      <c r="A638" s="51"/>
      <c r="B638" s="51"/>
      <c r="C638" s="51"/>
      <c r="D638" s="52"/>
      <c r="E638" s="52"/>
      <c r="F638" s="52"/>
      <c r="G638" s="53"/>
      <c r="H638" s="54"/>
      <c r="J638" s="55"/>
    </row>
    <row r="639">
      <c r="A639" s="51"/>
      <c r="B639" s="51"/>
      <c r="C639" s="51"/>
      <c r="D639" s="52"/>
      <c r="E639" s="52"/>
      <c r="F639" s="52"/>
      <c r="G639" s="53"/>
      <c r="H639" s="54"/>
      <c r="J639" s="55"/>
    </row>
    <row r="640">
      <c r="A640" s="51"/>
      <c r="B640" s="51"/>
      <c r="C640" s="51"/>
      <c r="D640" s="52"/>
      <c r="E640" s="52"/>
      <c r="F640" s="52"/>
      <c r="G640" s="53"/>
      <c r="H640" s="54"/>
      <c r="J640" s="55"/>
    </row>
    <row r="641">
      <c r="A641" s="51"/>
      <c r="B641" s="51"/>
      <c r="C641" s="51"/>
      <c r="D641" s="52"/>
      <c r="E641" s="52"/>
      <c r="F641" s="52"/>
      <c r="G641" s="53"/>
      <c r="H641" s="54"/>
      <c r="J641" s="55"/>
    </row>
    <row r="642">
      <c r="A642" s="51"/>
      <c r="B642" s="51"/>
      <c r="C642" s="51"/>
      <c r="D642" s="52"/>
      <c r="E642" s="52"/>
      <c r="F642" s="52"/>
      <c r="G642" s="53"/>
      <c r="H642" s="54"/>
      <c r="J642" s="55"/>
    </row>
    <row r="643">
      <c r="A643" s="51"/>
      <c r="B643" s="51"/>
      <c r="C643" s="51"/>
      <c r="D643" s="52"/>
      <c r="E643" s="52"/>
      <c r="F643" s="52"/>
      <c r="G643" s="53"/>
      <c r="H643" s="54"/>
      <c r="J643" s="55"/>
    </row>
    <row r="644">
      <c r="A644" s="51"/>
      <c r="B644" s="51"/>
      <c r="C644" s="51"/>
      <c r="D644" s="52"/>
      <c r="E644" s="52"/>
      <c r="F644" s="52"/>
      <c r="G644" s="53"/>
      <c r="H644" s="54"/>
      <c r="J644" s="55"/>
    </row>
    <row r="645">
      <c r="A645" s="51"/>
      <c r="B645" s="51"/>
      <c r="C645" s="51"/>
      <c r="D645" s="52"/>
      <c r="E645" s="52"/>
      <c r="F645" s="52"/>
      <c r="G645" s="53"/>
      <c r="H645" s="54"/>
      <c r="J645" s="55"/>
    </row>
    <row r="646">
      <c r="A646" s="51"/>
      <c r="B646" s="51"/>
      <c r="C646" s="51"/>
      <c r="D646" s="52"/>
      <c r="E646" s="52"/>
      <c r="F646" s="52"/>
      <c r="G646" s="53"/>
      <c r="H646" s="54"/>
      <c r="J646" s="55"/>
    </row>
    <row r="647">
      <c r="A647" s="51"/>
      <c r="B647" s="51"/>
      <c r="C647" s="51"/>
      <c r="D647" s="52"/>
      <c r="E647" s="52"/>
      <c r="F647" s="52"/>
      <c r="G647" s="53"/>
      <c r="H647" s="54"/>
      <c r="J647" s="55"/>
    </row>
    <row r="648">
      <c r="A648" s="51"/>
      <c r="B648" s="51"/>
      <c r="C648" s="51"/>
      <c r="D648" s="52"/>
      <c r="E648" s="52"/>
      <c r="F648" s="52"/>
      <c r="G648" s="53"/>
      <c r="H648" s="54"/>
      <c r="J648" s="55"/>
    </row>
    <row r="649">
      <c r="A649" s="51"/>
      <c r="B649" s="51"/>
      <c r="C649" s="51"/>
      <c r="D649" s="52"/>
      <c r="E649" s="52"/>
      <c r="F649" s="52"/>
      <c r="G649" s="53"/>
      <c r="H649" s="54"/>
      <c r="J649" s="55"/>
    </row>
    <row r="650">
      <c r="A650" s="51"/>
      <c r="B650" s="51"/>
      <c r="C650" s="51"/>
      <c r="D650" s="52"/>
      <c r="E650" s="52"/>
      <c r="F650" s="52"/>
      <c r="G650" s="53"/>
      <c r="H650" s="54"/>
      <c r="J650" s="55"/>
    </row>
    <row r="651">
      <c r="A651" s="51"/>
      <c r="B651" s="51"/>
      <c r="C651" s="51"/>
      <c r="D651" s="52"/>
      <c r="E651" s="52"/>
      <c r="F651" s="52"/>
      <c r="G651" s="53"/>
      <c r="H651" s="54"/>
      <c r="J651" s="55"/>
    </row>
    <row r="652">
      <c r="A652" s="51"/>
      <c r="B652" s="51"/>
      <c r="C652" s="51"/>
      <c r="D652" s="52"/>
      <c r="E652" s="52"/>
      <c r="F652" s="52"/>
      <c r="G652" s="53"/>
      <c r="H652" s="54"/>
      <c r="J652" s="55"/>
    </row>
    <row r="653">
      <c r="A653" s="51"/>
      <c r="B653" s="51"/>
      <c r="C653" s="51"/>
      <c r="D653" s="52"/>
      <c r="E653" s="52"/>
      <c r="F653" s="52"/>
      <c r="G653" s="53"/>
      <c r="H653" s="54"/>
      <c r="J653" s="55"/>
    </row>
    <row r="654">
      <c r="A654" s="51"/>
      <c r="B654" s="51"/>
      <c r="C654" s="51"/>
      <c r="D654" s="52"/>
      <c r="E654" s="52"/>
      <c r="F654" s="52"/>
      <c r="G654" s="53"/>
      <c r="H654" s="54"/>
      <c r="J654" s="55"/>
    </row>
    <row r="655">
      <c r="A655" s="51"/>
      <c r="B655" s="51"/>
      <c r="C655" s="51"/>
      <c r="D655" s="52"/>
      <c r="E655" s="52"/>
      <c r="F655" s="52"/>
      <c r="G655" s="53"/>
      <c r="H655" s="54"/>
      <c r="J655" s="55"/>
    </row>
    <row r="656">
      <c r="A656" s="51"/>
      <c r="B656" s="51"/>
      <c r="C656" s="51"/>
      <c r="D656" s="52"/>
      <c r="E656" s="52"/>
      <c r="F656" s="52"/>
      <c r="G656" s="53"/>
      <c r="H656" s="54"/>
      <c r="J656" s="55"/>
    </row>
    <row r="657">
      <c r="A657" s="51"/>
      <c r="B657" s="51"/>
      <c r="C657" s="51"/>
      <c r="D657" s="52"/>
      <c r="E657" s="52"/>
      <c r="F657" s="52"/>
      <c r="G657" s="53"/>
      <c r="H657" s="54"/>
      <c r="J657" s="55"/>
    </row>
    <row r="658">
      <c r="A658" s="51"/>
      <c r="B658" s="51"/>
      <c r="C658" s="51"/>
      <c r="D658" s="52"/>
      <c r="E658" s="52"/>
      <c r="F658" s="52"/>
      <c r="G658" s="53"/>
      <c r="H658" s="54"/>
      <c r="J658" s="55"/>
    </row>
    <row r="659">
      <c r="A659" s="51"/>
      <c r="B659" s="51"/>
      <c r="C659" s="51"/>
      <c r="D659" s="52"/>
      <c r="E659" s="52"/>
      <c r="F659" s="52"/>
      <c r="G659" s="53"/>
      <c r="H659" s="54"/>
      <c r="J659" s="55"/>
    </row>
    <row r="660">
      <c r="A660" s="51"/>
      <c r="B660" s="51"/>
      <c r="C660" s="51"/>
      <c r="D660" s="52"/>
      <c r="E660" s="52"/>
      <c r="F660" s="52"/>
      <c r="G660" s="53"/>
      <c r="H660" s="54"/>
      <c r="J660" s="55"/>
    </row>
    <row r="661">
      <c r="A661" s="51"/>
      <c r="B661" s="51"/>
      <c r="C661" s="51"/>
      <c r="D661" s="52"/>
      <c r="E661" s="52"/>
      <c r="F661" s="52"/>
      <c r="G661" s="53"/>
      <c r="H661" s="54"/>
      <c r="J661" s="55"/>
    </row>
    <row r="662">
      <c r="A662" s="51"/>
      <c r="B662" s="51"/>
      <c r="C662" s="51"/>
      <c r="D662" s="52"/>
      <c r="E662" s="52"/>
      <c r="F662" s="52"/>
      <c r="G662" s="53"/>
      <c r="H662" s="54"/>
      <c r="J662" s="55"/>
    </row>
    <row r="663">
      <c r="A663" s="51"/>
      <c r="B663" s="51"/>
      <c r="C663" s="51"/>
      <c r="D663" s="52"/>
      <c r="E663" s="52"/>
      <c r="F663" s="52"/>
      <c r="G663" s="53"/>
      <c r="H663" s="54"/>
      <c r="J663" s="55"/>
    </row>
    <row r="664">
      <c r="A664" s="51"/>
      <c r="B664" s="51"/>
      <c r="C664" s="51"/>
      <c r="D664" s="52"/>
      <c r="E664" s="52"/>
      <c r="F664" s="52"/>
      <c r="G664" s="53"/>
      <c r="H664" s="54"/>
      <c r="J664" s="55"/>
    </row>
    <row r="665">
      <c r="A665" s="51"/>
      <c r="B665" s="51"/>
      <c r="C665" s="51"/>
      <c r="D665" s="52"/>
      <c r="E665" s="52"/>
      <c r="F665" s="52"/>
      <c r="G665" s="53"/>
      <c r="H665" s="54"/>
      <c r="J665" s="55"/>
    </row>
    <row r="666">
      <c r="A666" s="51"/>
      <c r="B666" s="51"/>
      <c r="C666" s="51"/>
      <c r="D666" s="52"/>
      <c r="E666" s="52"/>
      <c r="F666" s="52"/>
      <c r="G666" s="53"/>
      <c r="H666" s="54"/>
      <c r="J666" s="55"/>
    </row>
    <row r="667">
      <c r="A667" s="51"/>
      <c r="B667" s="51"/>
      <c r="C667" s="51"/>
      <c r="D667" s="52"/>
      <c r="E667" s="52"/>
      <c r="F667" s="52"/>
      <c r="G667" s="53"/>
      <c r="H667" s="54"/>
      <c r="J667" s="55"/>
    </row>
    <row r="668">
      <c r="A668" s="51"/>
      <c r="B668" s="51"/>
      <c r="C668" s="51"/>
      <c r="D668" s="52"/>
      <c r="E668" s="52"/>
      <c r="F668" s="52"/>
      <c r="G668" s="53"/>
      <c r="H668" s="54"/>
      <c r="J668" s="55"/>
    </row>
    <row r="669">
      <c r="A669" s="51"/>
      <c r="B669" s="51"/>
      <c r="C669" s="51"/>
      <c r="D669" s="52"/>
      <c r="E669" s="52"/>
      <c r="F669" s="52"/>
      <c r="G669" s="53"/>
      <c r="H669" s="54"/>
      <c r="J669" s="55"/>
    </row>
    <row r="670">
      <c r="A670" s="51"/>
      <c r="B670" s="51"/>
      <c r="C670" s="51"/>
      <c r="D670" s="52"/>
      <c r="E670" s="52"/>
      <c r="F670" s="52"/>
      <c r="G670" s="53"/>
      <c r="H670" s="54"/>
      <c r="J670" s="55"/>
    </row>
    <row r="671">
      <c r="A671" s="51"/>
      <c r="B671" s="51"/>
      <c r="C671" s="51"/>
      <c r="D671" s="52"/>
      <c r="E671" s="52"/>
      <c r="F671" s="52"/>
      <c r="G671" s="53"/>
      <c r="H671" s="54"/>
      <c r="J671" s="55"/>
    </row>
    <row r="672">
      <c r="A672" s="51"/>
      <c r="B672" s="51"/>
      <c r="C672" s="51"/>
      <c r="D672" s="52"/>
      <c r="E672" s="52"/>
      <c r="F672" s="52"/>
      <c r="G672" s="53"/>
      <c r="H672" s="54"/>
      <c r="J672" s="55"/>
    </row>
    <row r="673">
      <c r="A673" s="51"/>
      <c r="B673" s="51"/>
      <c r="C673" s="51"/>
      <c r="D673" s="52"/>
      <c r="E673" s="52"/>
      <c r="F673" s="52"/>
      <c r="G673" s="53"/>
      <c r="H673" s="54"/>
      <c r="J673" s="55"/>
    </row>
    <row r="674">
      <c r="A674" s="51"/>
      <c r="B674" s="51"/>
      <c r="C674" s="51"/>
      <c r="D674" s="52"/>
      <c r="E674" s="52"/>
      <c r="F674" s="52"/>
      <c r="G674" s="53"/>
      <c r="H674" s="54"/>
      <c r="J674" s="55"/>
    </row>
    <row r="675">
      <c r="A675" s="51"/>
      <c r="B675" s="51"/>
      <c r="C675" s="51"/>
      <c r="D675" s="52"/>
      <c r="E675" s="52"/>
      <c r="F675" s="52"/>
      <c r="G675" s="53"/>
      <c r="H675" s="54"/>
      <c r="J675" s="55"/>
    </row>
    <row r="676">
      <c r="A676" s="51"/>
      <c r="B676" s="51"/>
      <c r="C676" s="51"/>
      <c r="D676" s="52"/>
      <c r="E676" s="52"/>
      <c r="F676" s="52"/>
      <c r="G676" s="53"/>
      <c r="H676" s="54"/>
      <c r="J676" s="55"/>
    </row>
    <row r="677">
      <c r="A677" s="51"/>
      <c r="B677" s="51"/>
      <c r="C677" s="51"/>
      <c r="D677" s="52"/>
      <c r="E677" s="52"/>
      <c r="F677" s="52"/>
      <c r="G677" s="53"/>
      <c r="H677" s="54"/>
      <c r="J677" s="55"/>
    </row>
    <row r="678">
      <c r="A678" s="51"/>
      <c r="B678" s="51"/>
      <c r="C678" s="51"/>
      <c r="D678" s="52"/>
      <c r="E678" s="52"/>
      <c r="F678" s="52"/>
      <c r="G678" s="53"/>
      <c r="H678" s="54"/>
      <c r="J678" s="55"/>
    </row>
    <row r="679">
      <c r="A679" s="51"/>
      <c r="B679" s="51"/>
      <c r="C679" s="51"/>
      <c r="D679" s="52"/>
      <c r="E679" s="52"/>
      <c r="F679" s="52"/>
      <c r="G679" s="53"/>
      <c r="H679" s="54"/>
      <c r="J679" s="55"/>
    </row>
    <row r="680">
      <c r="A680" s="51"/>
      <c r="B680" s="51"/>
      <c r="C680" s="51"/>
      <c r="D680" s="52"/>
      <c r="E680" s="52"/>
      <c r="F680" s="52"/>
      <c r="G680" s="53"/>
      <c r="H680" s="54"/>
      <c r="J680" s="55"/>
    </row>
    <row r="681">
      <c r="A681" s="51"/>
      <c r="B681" s="51"/>
      <c r="C681" s="51"/>
      <c r="D681" s="52"/>
      <c r="E681" s="52"/>
      <c r="F681" s="52"/>
      <c r="G681" s="53"/>
      <c r="H681" s="54"/>
      <c r="J681" s="55"/>
    </row>
    <row r="682">
      <c r="A682" s="51"/>
      <c r="B682" s="51"/>
      <c r="C682" s="51"/>
      <c r="D682" s="52"/>
      <c r="E682" s="52"/>
      <c r="F682" s="52"/>
      <c r="G682" s="53"/>
      <c r="H682" s="54"/>
      <c r="J682" s="55"/>
    </row>
    <row r="683">
      <c r="A683" s="51"/>
      <c r="B683" s="51"/>
      <c r="C683" s="51"/>
      <c r="D683" s="52"/>
      <c r="E683" s="52"/>
      <c r="F683" s="52"/>
      <c r="G683" s="53"/>
      <c r="H683" s="54"/>
      <c r="J683" s="55"/>
    </row>
    <row r="684">
      <c r="A684" s="51"/>
      <c r="B684" s="51"/>
      <c r="C684" s="51"/>
      <c r="D684" s="52"/>
      <c r="E684" s="52"/>
      <c r="F684" s="52"/>
      <c r="G684" s="53"/>
      <c r="H684" s="54"/>
      <c r="J684" s="55"/>
    </row>
    <row r="685">
      <c r="A685" s="51"/>
      <c r="B685" s="51"/>
      <c r="C685" s="51"/>
      <c r="D685" s="52"/>
      <c r="E685" s="52"/>
      <c r="F685" s="52"/>
      <c r="G685" s="53"/>
      <c r="H685" s="54"/>
      <c r="J685" s="55"/>
    </row>
    <row r="686">
      <c r="A686" s="51"/>
      <c r="B686" s="51"/>
      <c r="C686" s="51"/>
      <c r="D686" s="52"/>
      <c r="E686" s="52"/>
      <c r="F686" s="52"/>
      <c r="G686" s="53"/>
      <c r="H686" s="54"/>
      <c r="J686" s="55"/>
    </row>
    <row r="687">
      <c r="A687" s="51"/>
      <c r="B687" s="51"/>
      <c r="C687" s="51"/>
      <c r="D687" s="52"/>
      <c r="E687" s="52"/>
      <c r="F687" s="52"/>
      <c r="G687" s="53"/>
      <c r="H687" s="54"/>
      <c r="J687" s="55"/>
    </row>
    <row r="688">
      <c r="A688" s="51"/>
      <c r="B688" s="51"/>
      <c r="C688" s="51"/>
      <c r="D688" s="52"/>
      <c r="E688" s="52"/>
      <c r="F688" s="52"/>
      <c r="G688" s="53"/>
      <c r="H688" s="54"/>
      <c r="J688" s="55"/>
    </row>
    <row r="689">
      <c r="A689" s="51"/>
      <c r="B689" s="51"/>
      <c r="C689" s="51"/>
      <c r="D689" s="52"/>
      <c r="E689" s="52"/>
      <c r="F689" s="52"/>
      <c r="G689" s="53"/>
      <c r="H689" s="54"/>
      <c r="J689" s="55"/>
    </row>
    <row r="690">
      <c r="A690" s="51"/>
      <c r="B690" s="51"/>
      <c r="C690" s="51"/>
      <c r="D690" s="52"/>
      <c r="E690" s="52"/>
      <c r="F690" s="52"/>
      <c r="G690" s="53"/>
      <c r="H690" s="54"/>
      <c r="J690" s="55"/>
    </row>
    <row r="691">
      <c r="A691" s="51"/>
      <c r="B691" s="51"/>
      <c r="C691" s="51"/>
      <c r="D691" s="52"/>
      <c r="E691" s="52"/>
      <c r="F691" s="52"/>
      <c r="G691" s="53"/>
      <c r="H691" s="54"/>
      <c r="J691" s="55"/>
    </row>
    <row r="692">
      <c r="A692" s="51"/>
      <c r="B692" s="51"/>
      <c r="C692" s="51"/>
      <c r="D692" s="52"/>
      <c r="E692" s="52"/>
      <c r="F692" s="52"/>
      <c r="G692" s="53"/>
      <c r="H692" s="54"/>
      <c r="J692" s="55"/>
    </row>
    <row r="693">
      <c r="A693" s="51"/>
      <c r="B693" s="51"/>
      <c r="C693" s="51"/>
      <c r="D693" s="52"/>
      <c r="E693" s="52"/>
      <c r="F693" s="52"/>
      <c r="G693" s="53"/>
      <c r="H693" s="54"/>
      <c r="J693" s="55"/>
    </row>
    <row r="694">
      <c r="A694" s="51"/>
      <c r="B694" s="51"/>
      <c r="C694" s="51"/>
      <c r="D694" s="52"/>
      <c r="E694" s="52"/>
      <c r="F694" s="52"/>
      <c r="G694" s="53"/>
      <c r="H694" s="54"/>
      <c r="J694" s="55"/>
    </row>
    <row r="695">
      <c r="A695" s="51"/>
      <c r="B695" s="51"/>
      <c r="C695" s="51"/>
      <c r="D695" s="52"/>
      <c r="E695" s="52"/>
      <c r="F695" s="52"/>
      <c r="G695" s="53"/>
      <c r="H695" s="54"/>
      <c r="J695" s="55"/>
    </row>
    <row r="696">
      <c r="A696" s="51"/>
      <c r="B696" s="51"/>
      <c r="C696" s="51"/>
      <c r="D696" s="52"/>
      <c r="E696" s="52"/>
      <c r="F696" s="52"/>
      <c r="G696" s="53"/>
      <c r="H696" s="54"/>
      <c r="J696" s="55"/>
    </row>
    <row r="697">
      <c r="A697" s="51"/>
      <c r="B697" s="51"/>
      <c r="C697" s="51"/>
      <c r="D697" s="52"/>
      <c r="E697" s="52"/>
      <c r="F697" s="52"/>
      <c r="G697" s="53"/>
      <c r="H697" s="54"/>
      <c r="J697" s="55"/>
    </row>
    <row r="698">
      <c r="A698" s="51"/>
      <c r="B698" s="51"/>
      <c r="C698" s="51"/>
      <c r="D698" s="52"/>
      <c r="E698" s="52"/>
      <c r="F698" s="52"/>
      <c r="G698" s="53"/>
      <c r="H698" s="54"/>
      <c r="J698" s="55"/>
    </row>
    <row r="699">
      <c r="A699" s="51"/>
      <c r="B699" s="51"/>
      <c r="C699" s="51"/>
      <c r="D699" s="52"/>
      <c r="E699" s="52"/>
      <c r="F699" s="52"/>
      <c r="G699" s="53"/>
      <c r="H699" s="54"/>
      <c r="J699" s="55"/>
    </row>
    <row r="700">
      <c r="A700" s="51"/>
      <c r="B700" s="51"/>
      <c r="C700" s="51"/>
      <c r="D700" s="52"/>
      <c r="E700" s="52"/>
      <c r="F700" s="52"/>
      <c r="G700" s="53"/>
      <c r="H700" s="54"/>
      <c r="J700" s="55"/>
    </row>
    <row r="701">
      <c r="A701" s="51"/>
      <c r="B701" s="51"/>
      <c r="C701" s="51"/>
      <c r="D701" s="52"/>
      <c r="E701" s="52"/>
      <c r="F701" s="52"/>
      <c r="G701" s="53"/>
      <c r="H701" s="54"/>
      <c r="J701" s="55"/>
    </row>
    <row r="702">
      <c r="A702" s="51"/>
      <c r="B702" s="51"/>
      <c r="C702" s="51"/>
      <c r="D702" s="52"/>
      <c r="E702" s="52"/>
      <c r="F702" s="52"/>
      <c r="G702" s="53"/>
      <c r="H702" s="54"/>
      <c r="J702" s="55"/>
    </row>
    <row r="703">
      <c r="A703" s="51"/>
      <c r="B703" s="51"/>
      <c r="C703" s="51"/>
      <c r="D703" s="52"/>
      <c r="E703" s="52"/>
      <c r="F703" s="52"/>
      <c r="G703" s="53"/>
      <c r="H703" s="54"/>
      <c r="J703" s="55"/>
    </row>
    <row r="704">
      <c r="A704" s="51"/>
      <c r="B704" s="51"/>
      <c r="C704" s="51"/>
      <c r="D704" s="52"/>
      <c r="E704" s="52"/>
      <c r="F704" s="52"/>
      <c r="G704" s="53"/>
      <c r="H704" s="54"/>
      <c r="J704" s="55"/>
    </row>
    <row r="705">
      <c r="A705" s="51"/>
      <c r="B705" s="51"/>
      <c r="C705" s="51"/>
      <c r="D705" s="52"/>
      <c r="E705" s="52"/>
      <c r="F705" s="52"/>
      <c r="G705" s="53"/>
      <c r="H705" s="54"/>
      <c r="J705" s="55"/>
    </row>
    <row r="706">
      <c r="A706" s="51"/>
      <c r="B706" s="51"/>
      <c r="C706" s="51"/>
      <c r="D706" s="52"/>
      <c r="E706" s="52"/>
      <c r="F706" s="52"/>
      <c r="G706" s="53"/>
      <c r="H706" s="54"/>
      <c r="J706" s="55"/>
    </row>
    <row r="707">
      <c r="A707" s="51"/>
      <c r="B707" s="51"/>
      <c r="C707" s="51"/>
      <c r="D707" s="52"/>
      <c r="E707" s="52"/>
      <c r="F707" s="52"/>
      <c r="G707" s="53"/>
      <c r="H707" s="54"/>
      <c r="J707" s="55"/>
    </row>
    <row r="708">
      <c r="A708" s="51"/>
      <c r="B708" s="51"/>
      <c r="C708" s="51"/>
      <c r="D708" s="52"/>
      <c r="E708" s="52"/>
      <c r="F708" s="52"/>
      <c r="G708" s="53"/>
      <c r="H708" s="54"/>
      <c r="J708" s="55"/>
    </row>
    <row r="709">
      <c r="A709" s="51"/>
      <c r="B709" s="51"/>
      <c r="C709" s="51"/>
      <c r="D709" s="52"/>
      <c r="E709" s="52"/>
      <c r="F709" s="52"/>
      <c r="G709" s="53"/>
      <c r="H709" s="54"/>
      <c r="J709" s="55"/>
    </row>
    <row r="710">
      <c r="A710" s="51"/>
      <c r="B710" s="51"/>
      <c r="C710" s="51"/>
      <c r="D710" s="52"/>
      <c r="E710" s="52"/>
      <c r="F710" s="52"/>
      <c r="G710" s="53"/>
      <c r="H710" s="54"/>
      <c r="J710" s="55"/>
    </row>
    <row r="711">
      <c r="A711" s="51"/>
      <c r="B711" s="51"/>
      <c r="C711" s="51"/>
      <c r="D711" s="52"/>
      <c r="E711" s="52"/>
      <c r="F711" s="52"/>
      <c r="G711" s="53"/>
      <c r="H711" s="54"/>
      <c r="J711" s="55"/>
    </row>
    <row r="712">
      <c r="A712" s="51"/>
      <c r="B712" s="51"/>
      <c r="C712" s="51"/>
      <c r="D712" s="52"/>
      <c r="E712" s="52"/>
      <c r="F712" s="52"/>
      <c r="G712" s="53"/>
      <c r="H712" s="54"/>
      <c r="J712" s="55"/>
    </row>
    <row r="713">
      <c r="A713" s="51"/>
      <c r="B713" s="51"/>
      <c r="C713" s="51"/>
      <c r="D713" s="52"/>
      <c r="E713" s="52"/>
      <c r="F713" s="52"/>
      <c r="G713" s="53"/>
      <c r="H713" s="54"/>
      <c r="J713" s="55"/>
    </row>
    <row r="714">
      <c r="A714" s="51"/>
      <c r="B714" s="51"/>
      <c r="C714" s="51"/>
      <c r="D714" s="52"/>
      <c r="E714" s="52"/>
      <c r="F714" s="52"/>
      <c r="G714" s="53"/>
      <c r="H714" s="54"/>
      <c r="J714" s="55"/>
    </row>
    <row r="715">
      <c r="A715" s="51"/>
      <c r="B715" s="51"/>
      <c r="C715" s="51"/>
      <c r="D715" s="52"/>
      <c r="E715" s="52"/>
      <c r="F715" s="52"/>
      <c r="G715" s="53"/>
      <c r="H715" s="54"/>
      <c r="J715" s="55"/>
    </row>
    <row r="716">
      <c r="A716" s="51"/>
      <c r="B716" s="51"/>
      <c r="C716" s="51"/>
      <c r="D716" s="52"/>
      <c r="E716" s="52"/>
      <c r="F716" s="52"/>
      <c r="G716" s="53"/>
      <c r="H716" s="54"/>
      <c r="J716" s="55"/>
    </row>
    <row r="717">
      <c r="A717" s="51"/>
      <c r="B717" s="51"/>
      <c r="C717" s="51"/>
      <c r="D717" s="52"/>
      <c r="E717" s="52"/>
      <c r="F717" s="52"/>
      <c r="G717" s="53"/>
      <c r="H717" s="54"/>
      <c r="J717" s="55"/>
    </row>
    <row r="718">
      <c r="A718" s="51"/>
      <c r="B718" s="51"/>
      <c r="C718" s="51"/>
      <c r="D718" s="52"/>
      <c r="E718" s="52"/>
      <c r="F718" s="52"/>
      <c r="G718" s="53"/>
      <c r="H718" s="54"/>
      <c r="J718" s="55"/>
    </row>
    <row r="719">
      <c r="A719" s="51"/>
      <c r="B719" s="51"/>
      <c r="C719" s="51"/>
      <c r="D719" s="52"/>
      <c r="E719" s="52"/>
      <c r="F719" s="52"/>
      <c r="G719" s="53"/>
      <c r="H719" s="54"/>
      <c r="J719" s="55"/>
    </row>
    <row r="720">
      <c r="A720" s="51"/>
      <c r="B720" s="51"/>
      <c r="C720" s="51"/>
      <c r="D720" s="52"/>
      <c r="E720" s="52"/>
      <c r="F720" s="52"/>
      <c r="G720" s="53"/>
      <c r="H720" s="54"/>
      <c r="J720" s="55"/>
    </row>
    <row r="721">
      <c r="A721" s="51"/>
      <c r="B721" s="51"/>
      <c r="C721" s="51"/>
      <c r="D721" s="52"/>
      <c r="E721" s="52"/>
      <c r="F721" s="52"/>
      <c r="G721" s="53"/>
      <c r="H721" s="54"/>
      <c r="J721" s="55"/>
    </row>
    <row r="722">
      <c r="A722" s="51"/>
      <c r="B722" s="51"/>
      <c r="C722" s="51"/>
      <c r="D722" s="52"/>
      <c r="E722" s="52"/>
      <c r="F722" s="52"/>
      <c r="G722" s="53"/>
      <c r="H722" s="54"/>
      <c r="J722" s="55"/>
    </row>
    <row r="723">
      <c r="A723" s="51"/>
      <c r="B723" s="51"/>
      <c r="C723" s="51"/>
      <c r="D723" s="52"/>
      <c r="E723" s="52"/>
      <c r="F723" s="52"/>
      <c r="G723" s="53"/>
      <c r="H723" s="54"/>
      <c r="J723" s="55"/>
    </row>
    <row r="724">
      <c r="A724" s="51"/>
      <c r="B724" s="51"/>
      <c r="C724" s="51"/>
      <c r="D724" s="52"/>
      <c r="E724" s="52"/>
      <c r="F724" s="52"/>
      <c r="G724" s="53"/>
      <c r="H724" s="54"/>
      <c r="J724" s="55"/>
    </row>
    <row r="725">
      <c r="A725" s="51"/>
      <c r="B725" s="51"/>
      <c r="C725" s="51"/>
      <c r="D725" s="52"/>
      <c r="E725" s="52"/>
      <c r="F725" s="52"/>
      <c r="G725" s="53"/>
      <c r="H725" s="54"/>
      <c r="J725" s="55"/>
    </row>
    <row r="726">
      <c r="A726" s="51"/>
      <c r="B726" s="51"/>
      <c r="C726" s="51"/>
      <c r="D726" s="52"/>
      <c r="E726" s="52"/>
      <c r="F726" s="52"/>
      <c r="G726" s="53"/>
      <c r="H726" s="54"/>
      <c r="J726" s="55"/>
    </row>
    <row r="727">
      <c r="A727" s="51"/>
      <c r="B727" s="51"/>
      <c r="C727" s="51"/>
      <c r="D727" s="52"/>
      <c r="E727" s="52"/>
      <c r="F727" s="52"/>
      <c r="G727" s="53"/>
      <c r="H727" s="54"/>
      <c r="J727" s="55"/>
    </row>
    <row r="728">
      <c r="A728" s="51"/>
      <c r="B728" s="51"/>
      <c r="C728" s="51"/>
      <c r="D728" s="52"/>
      <c r="E728" s="52"/>
      <c r="F728" s="52"/>
      <c r="G728" s="53"/>
      <c r="H728" s="54"/>
      <c r="J728" s="55"/>
    </row>
    <row r="729">
      <c r="A729" s="51"/>
      <c r="B729" s="51"/>
      <c r="C729" s="51"/>
      <c r="D729" s="52"/>
      <c r="E729" s="52"/>
      <c r="F729" s="52"/>
      <c r="G729" s="53"/>
      <c r="H729" s="54"/>
      <c r="J729" s="55"/>
    </row>
    <row r="730">
      <c r="A730" s="51"/>
      <c r="B730" s="51"/>
      <c r="C730" s="51"/>
      <c r="D730" s="52"/>
      <c r="E730" s="52"/>
      <c r="F730" s="52"/>
      <c r="G730" s="53"/>
      <c r="H730" s="54"/>
      <c r="J730" s="55"/>
    </row>
    <row r="731">
      <c r="A731" s="51"/>
      <c r="B731" s="51"/>
      <c r="C731" s="51"/>
      <c r="D731" s="52"/>
      <c r="E731" s="52"/>
      <c r="F731" s="52"/>
      <c r="G731" s="53"/>
      <c r="H731" s="54"/>
      <c r="J731" s="55"/>
    </row>
    <row r="732">
      <c r="A732" s="51"/>
      <c r="B732" s="51"/>
      <c r="C732" s="51"/>
      <c r="D732" s="52"/>
      <c r="E732" s="52"/>
      <c r="F732" s="52"/>
      <c r="G732" s="53"/>
      <c r="H732" s="54"/>
      <c r="J732" s="55"/>
    </row>
    <row r="733">
      <c r="A733" s="51"/>
      <c r="B733" s="51"/>
      <c r="C733" s="51"/>
      <c r="D733" s="52"/>
      <c r="E733" s="52"/>
      <c r="F733" s="52"/>
      <c r="G733" s="53"/>
      <c r="H733" s="54"/>
      <c r="J733" s="55"/>
    </row>
    <row r="734">
      <c r="A734" s="51"/>
      <c r="B734" s="51"/>
      <c r="C734" s="51"/>
      <c r="D734" s="52"/>
      <c r="E734" s="52"/>
      <c r="F734" s="52"/>
      <c r="G734" s="53"/>
      <c r="H734" s="54"/>
      <c r="J734" s="55"/>
    </row>
    <row r="735">
      <c r="A735" s="51"/>
      <c r="B735" s="51"/>
      <c r="C735" s="51"/>
      <c r="D735" s="52"/>
      <c r="E735" s="52"/>
      <c r="F735" s="52"/>
      <c r="G735" s="53"/>
      <c r="H735" s="54"/>
      <c r="J735" s="55"/>
    </row>
    <row r="736">
      <c r="A736" s="51"/>
      <c r="B736" s="51"/>
      <c r="C736" s="51"/>
      <c r="D736" s="52"/>
      <c r="E736" s="52"/>
      <c r="F736" s="52"/>
      <c r="G736" s="53"/>
      <c r="H736" s="54"/>
      <c r="J736" s="55"/>
    </row>
    <row r="737">
      <c r="A737" s="51"/>
      <c r="B737" s="51"/>
      <c r="C737" s="51"/>
      <c r="D737" s="52"/>
      <c r="E737" s="52"/>
      <c r="F737" s="52"/>
      <c r="G737" s="53"/>
      <c r="H737" s="54"/>
      <c r="J737" s="55"/>
    </row>
    <row r="738">
      <c r="A738" s="51"/>
      <c r="B738" s="51"/>
      <c r="C738" s="51"/>
      <c r="D738" s="52"/>
      <c r="E738" s="52"/>
      <c r="F738" s="52"/>
      <c r="G738" s="53"/>
      <c r="H738" s="54"/>
      <c r="J738" s="55"/>
    </row>
    <row r="739">
      <c r="A739" s="51"/>
      <c r="B739" s="51"/>
      <c r="C739" s="51"/>
      <c r="D739" s="52"/>
      <c r="E739" s="52"/>
      <c r="F739" s="52"/>
      <c r="G739" s="53"/>
      <c r="H739" s="54"/>
      <c r="J739" s="55"/>
    </row>
    <row r="740">
      <c r="A740" s="51"/>
      <c r="B740" s="51"/>
      <c r="C740" s="51"/>
      <c r="D740" s="52"/>
      <c r="E740" s="52"/>
      <c r="F740" s="52"/>
      <c r="G740" s="53"/>
      <c r="H740" s="54"/>
      <c r="J740" s="55"/>
    </row>
    <row r="741">
      <c r="A741" s="51"/>
      <c r="B741" s="51"/>
      <c r="C741" s="51"/>
      <c r="D741" s="52"/>
      <c r="E741" s="52"/>
      <c r="F741" s="52"/>
      <c r="G741" s="53"/>
      <c r="H741" s="54"/>
      <c r="J741" s="55"/>
    </row>
    <row r="742">
      <c r="A742" s="51"/>
      <c r="B742" s="51"/>
      <c r="C742" s="51"/>
      <c r="D742" s="52"/>
      <c r="E742" s="52"/>
      <c r="F742" s="52"/>
      <c r="G742" s="53"/>
      <c r="H742" s="54"/>
      <c r="J742" s="55"/>
    </row>
    <row r="743">
      <c r="A743" s="51"/>
      <c r="B743" s="51"/>
      <c r="C743" s="51"/>
      <c r="D743" s="52"/>
      <c r="E743" s="52"/>
      <c r="F743" s="52"/>
      <c r="G743" s="53"/>
      <c r="H743" s="54"/>
      <c r="J743" s="55"/>
    </row>
    <row r="744">
      <c r="A744" s="51"/>
      <c r="B744" s="51"/>
      <c r="C744" s="51"/>
      <c r="D744" s="52"/>
      <c r="E744" s="52"/>
      <c r="F744" s="52"/>
      <c r="G744" s="53"/>
      <c r="H744" s="54"/>
      <c r="J744" s="55"/>
    </row>
    <row r="745">
      <c r="A745" s="51"/>
      <c r="B745" s="51"/>
      <c r="C745" s="51"/>
      <c r="D745" s="52"/>
      <c r="E745" s="52"/>
      <c r="F745" s="52"/>
      <c r="G745" s="53"/>
      <c r="H745" s="54"/>
      <c r="J745" s="55"/>
    </row>
    <row r="746">
      <c r="A746" s="51"/>
      <c r="B746" s="51"/>
      <c r="C746" s="51"/>
      <c r="D746" s="52"/>
      <c r="E746" s="52"/>
      <c r="F746" s="52"/>
      <c r="G746" s="53"/>
      <c r="H746" s="54"/>
      <c r="J746" s="55"/>
    </row>
    <row r="747">
      <c r="A747" s="51"/>
      <c r="B747" s="51"/>
      <c r="C747" s="51"/>
      <c r="D747" s="52"/>
      <c r="E747" s="52"/>
      <c r="F747" s="52"/>
      <c r="G747" s="53"/>
      <c r="H747" s="54"/>
      <c r="J747" s="55"/>
    </row>
    <row r="748">
      <c r="A748" s="51"/>
      <c r="B748" s="51"/>
      <c r="C748" s="51"/>
      <c r="D748" s="52"/>
      <c r="E748" s="52"/>
      <c r="F748" s="52"/>
      <c r="G748" s="53"/>
      <c r="H748" s="54"/>
      <c r="J748" s="55"/>
    </row>
    <row r="749">
      <c r="A749" s="51"/>
      <c r="B749" s="51"/>
      <c r="C749" s="51"/>
      <c r="D749" s="52"/>
      <c r="E749" s="52"/>
      <c r="F749" s="52"/>
      <c r="G749" s="53"/>
      <c r="H749" s="54"/>
      <c r="J749" s="55"/>
    </row>
    <row r="750">
      <c r="A750" s="51"/>
      <c r="B750" s="51"/>
      <c r="C750" s="51"/>
      <c r="D750" s="52"/>
      <c r="E750" s="52"/>
      <c r="F750" s="52"/>
      <c r="G750" s="53"/>
      <c r="H750" s="54"/>
      <c r="J750" s="55"/>
    </row>
    <row r="751">
      <c r="A751" s="51"/>
      <c r="B751" s="51"/>
      <c r="C751" s="51"/>
      <c r="D751" s="52"/>
      <c r="E751" s="52"/>
      <c r="F751" s="52"/>
      <c r="G751" s="53"/>
      <c r="H751" s="54"/>
      <c r="J751" s="55"/>
    </row>
    <row r="752">
      <c r="A752" s="51"/>
      <c r="B752" s="51"/>
      <c r="C752" s="51"/>
      <c r="D752" s="52"/>
      <c r="E752" s="52"/>
      <c r="F752" s="52"/>
      <c r="G752" s="53"/>
      <c r="H752" s="54"/>
      <c r="J752" s="55"/>
    </row>
    <row r="753">
      <c r="A753" s="51"/>
      <c r="B753" s="51"/>
      <c r="C753" s="51"/>
      <c r="D753" s="52"/>
      <c r="E753" s="52"/>
      <c r="F753" s="52"/>
      <c r="G753" s="53"/>
      <c r="H753" s="54"/>
      <c r="J753" s="55"/>
    </row>
    <row r="754">
      <c r="A754" s="51"/>
      <c r="B754" s="51"/>
      <c r="C754" s="51"/>
      <c r="D754" s="52"/>
      <c r="E754" s="52"/>
      <c r="F754" s="52"/>
      <c r="G754" s="53"/>
      <c r="H754" s="54"/>
      <c r="J754" s="55"/>
    </row>
    <row r="755">
      <c r="A755" s="51"/>
      <c r="B755" s="51"/>
      <c r="C755" s="51"/>
      <c r="D755" s="52"/>
      <c r="E755" s="52"/>
      <c r="F755" s="52"/>
      <c r="G755" s="53"/>
      <c r="H755" s="54"/>
      <c r="J755" s="55"/>
    </row>
    <row r="756">
      <c r="A756" s="51"/>
      <c r="B756" s="51"/>
      <c r="C756" s="51"/>
      <c r="D756" s="52"/>
      <c r="E756" s="52"/>
      <c r="F756" s="52"/>
      <c r="G756" s="53"/>
      <c r="H756" s="54"/>
      <c r="J756" s="55"/>
    </row>
    <row r="757">
      <c r="A757" s="51"/>
      <c r="B757" s="51"/>
      <c r="C757" s="51"/>
      <c r="D757" s="52"/>
      <c r="E757" s="52"/>
      <c r="F757" s="52"/>
      <c r="G757" s="53"/>
      <c r="H757" s="54"/>
      <c r="J757" s="55"/>
    </row>
    <row r="758">
      <c r="A758" s="51"/>
      <c r="B758" s="51"/>
      <c r="C758" s="51"/>
      <c r="D758" s="52"/>
      <c r="E758" s="52"/>
      <c r="F758" s="52"/>
      <c r="G758" s="53"/>
      <c r="H758" s="54"/>
      <c r="J758" s="55"/>
    </row>
    <row r="759">
      <c r="A759" s="51"/>
      <c r="B759" s="51"/>
      <c r="C759" s="51"/>
      <c r="D759" s="52"/>
      <c r="E759" s="52"/>
      <c r="F759" s="52"/>
      <c r="G759" s="53"/>
      <c r="H759" s="54"/>
      <c r="J759" s="55"/>
    </row>
    <row r="760">
      <c r="A760" s="51"/>
      <c r="B760" s="51"/>
      <c r="C760" s="51"/>
      <c r="D760" s="52"/>
      <c r="E760" s="52"/>
      <c r="F760" s="52"/>
      <c r="G760" s="53"/>
      <c r="H760" s="54"/>
      <c r="J760" s="55"/>
    </row>
    <row r="761">
      <c r="A761" s="51"/>
      <c r="B761" s="51"/>
      <c r="C761" s="51"/>
      <c r="D761" s="52"/>
      <c r="E761" s="52"/>
      <c r="F761" s="52"/>
      <c r="G761" s="53"/>
      <c r="H761" s="54"/>
      <c r="J761" s="55"/>
    </row>
    <row r="762">
      <c r="A762" s="51"/>
      <c r="B762" s="51"/>
      <c r="C762" s="51"/>
      <c r="D762" s="52"/>
      <c r="E762" s="52"/>
      <c r="F762" s="52"/>
      <c r="G762" s="53"/>
      <c r="H762" s="54"/>
      <c r="J762" s="55"/>
    </row>
    <row r="763">
      <c r="A763" s="51"/>
      <c r="B763" s="51"/>
      <c r="C763" s="51"/>
      <c r="D763" s="52"/>
      <c r="E763" s="52"/>
      <c r="F763" s="52"/>
      <c r="G763" s="53"/>
      <c r="H763" s="54"/>
      <c r="J763" s="55"/>
    </row>
    <row r="764">
      <c r="A764" s="51"/>
      <c r="B764" s="51"/>
      <c r="C764" s="51"/>
      <c r="D764" s="52"/>
      <c r="E764" s="52"/>
      <c r="F764" s="52"/>
      <c r="G764" s="53"/>
      <c r="H764" s="54"/>
      <c r="J764" s="55"/>
    </row>
    <row r="765">
      <c r="A765" s="51"/>
      <c r="B765" s="51"/>
      <c r="C765" s="51"/>
      <c r="D765" s="52"/>
      <c r="E765" s="52"/>
      <c r="F765" s="52"/>
      <c r="G765" s="53"/>
      <c r="H765" s="54"/>
      <c r="J765" s="55"/>
    </row>
    <row r="766">
      <c r="A766" s="51"/>
      <c r="B766" s="51"/>
      <c r="C766" s="51"/>
      <c r="D766" s="52"/>
      <c r="E766" s="52"/>
      <c r="F766" s="52"/>
      <c r="G766" s="53"/>
      <c r="H766" s="54"/>
      <c r="J766" s="55"/>
    </row>
    <row r="767">
      <c r="A767" s="51"/>
      <c r="B767" s="51"/>
      <c r="C767" s="51"/>
      <c r="D767" s="52"/>
      <c r="E767" s="52"/>
      <c r="F767" s="52"/>
      <c r="G767" s="53"/>
      <c r="H767" s="54"/>
      <c r="J767" s="55"/>
    </row>
    <row r="768">
      <c r="A768" s="51"/>
      <c r="B768" s="51"/>
      <c r="C768" s="51"/>
      <c r="D768" s="52"/>
      <c r="E768" s="52"/>
      <c r="F768" s="52"/>
      <c r="G768" s="53"/>
      <c r="H768" s="54"/>
      <c r="J768" s="55"/>
    </row>
    <row r="769">
      <c r="A769" s="51"/>
      <c r="B769" s="51"/>
      <c r="C769" s="51"/>
      <c r="D769" s="52"/>
      <c r="E769" s="52"/>
      <c r="F769" s="52"/>
      <c r="G769" s="53"/>
      <c r="H769" s="54"/>
      <c r="J769" s="55"/>
    </row>
    <row r="770">
      <c r="A770" s="51"/>
      <c r="B770" s="51"/>
      <c r="C770" s="51"/>
      <c r="D770" s="52"/>
      <c r="E770" s="52"/>
      <c r="F770" s="52"/>
      <c r="G770" s="53"/>
      <c r="H770" s="54"/>
      <c r="J770" s="55"/>
    </row>
    <row r="771">
      <c r="A771" s="51"/>
      <c r="B771" s="51"/>
      <c r="C771" s="51"/>
      <c r="D771" s="52"/>
      <c r="E771" s="52"/>
      <c r="F771" s="52"/>
      <c r="G771" s="53"/>
      <c r="H771" s="54"/>
      <c r="J771" s="55"/>
    </row>
    <row r="772">
      <c r="A772" s="51"/>
      <c r="B772" s="51"/>
      <c r="C772" s="51"/>
      <c r="D772" s="52"/>
      <c r="E772" s="52"/>
      <c r="F772" s="52"/>
      <c r="G772" s="53"/>
      <c r="H772" s="54"/>
      <c r="J772" s="55"/>
    </row>
    <row r="773">
      <c r="A773" s="51"/>
      <c r="B773" s="51"/>
      <c r="C773" s="51"/>
      <c r="D773" s="52"/>
      <c r="E773" s="52"/>
      <c r="F773" s="52"/>
      <c r="G773" s="53"/>
      <c r="H773" s="54"/>
      <c r="J773" s="55"/>
    </row>
    <row r="774">
      <c r="A774" s="51"/>
      <c r="B774" s="51"/>
      <c r="C774" s="51"/>
      <c r="D774" s="52"/>
      <c r="E774" s="52"/>
      <c r="F774" s="52"/>
      <c r="G774" s="53"/>
      <c r="H774" s="54"/>
      <c r="J774" s="55"/>
    </row>
    <row r="775">
      <c r="A775" s="51"/>
      <c r="B775" s="51"/>
      <c r="C775" s="51"/>
      <c r="D775" s="52"/>
      <c r="E775" s="52"/>
      <c r="F775" s="52"/>
      <c r="G775" s="53"/>
      <c r="H775" s="54"/>
      <c r="J775" s="55"/>
    </row>
    <row r="776">
      <c r="A776" s="51"/>
      <c r="B776" s="51"/>
      <c r="C776" s="51"/>
      <c r="D776" s="52"/>
      <c r="E776" s="52"/>
      <c r="F776" s="52"/>
      <c r="G776" s="53"/>
      <c r="H776" s="54"/>
      <c r="J776" s="55"/>
    </row>
    <row r="777">
      <c r="A777" s="51"/>
      <c r="B777" s="51"/>
      <c r="C777" s="51"/>
      <c r="D777" s="52"/>
      <c r="E777" s="52"/>
      <c r="F777" s="52"/>
      <c r="G777" s="53"/>
      <c r="H777" s="54"/>
      <c r="J777" s="55"/>
    </row>
    <row r="778">
      <c r="A778" s="51"/>
      <c r="B778" s="51"/>
      <c r="C778" s="51"/>
      <c r="D778" s="52"/>
      <c r="E778" s="52"/>
      <c r="F778" s="52"/>
      <c r="G778" s="53"/>
      <c r="H778" s="54"/>
      <c r="J778" s="55"/>
    </row>
    <row r="779">
      <c r="A779" s="51"/>
      <c r="B779" s="51"/>
      <c r="C779" s="51"/>
      <c r="D779" s="52"/>
      <c r="E779" s="52"/>
      <c r="F779" s="52"/>
      <c r="G779" s="53"/>
      <c r="H779" s="54"/>
      <c r="J779" s="55"/>
    </row>
    <row r="780">
      <c r="A780" s="51"/>
      <c r="B780" s="51"/>
      <c r="C780" s="51"/>
      <c r="D780" s="52"/>
      <c r="E780" s="52"/>
      <c r="F780" s="52"/>
      <c r="G780" s="53"/>
      <c r="H780" s="54"/>
      <c r="J780" s="55"/>
    </row>
    <row r="781">
      <c r="A781" s="51"/>
      <c r="B781" s="51"/>
      <c r="C781" s="51"/>
      <c r="D781" s="52"/>
      <c r="E781" s="52"/>
      <c r="F781" s="52"/>
      <c r="G781" s="53"/>
      <c r="H781" s="54"/>
      <c r="J781" s="55"/>
    </row>
    <row r="782">
      <c r="A782" s="51"/>
      <c r="B782" s="51"/>
      <c r="C782" s="51"/>
      <c r="D782" s="52"/>
      <c r="E782" s="52"/>
      <c r="F782" s="52"/>
      <c r="G782" s="53"/>
      <c r="H782" s="54"/>
      <c r="J782" s="55"/>
    </row>
    <row r="783">
      <c r="A783" s="51"/>
      <c r="B783" s="51"/>
      <c r="C783" s="51"/>
      <c r="D783" s="52"/>
      <c r="E783" s="52"/>
      <c r="F783" s="52"/>
      <c r="G783" s="53"/>
      <c r="H783" s="54"/>
      <c r="J783" s="55"/>
    </row>
    <row r="784">
      <c r="A784" s="51"/>
      <c r="B784" s="51"/>
      <c r="C784" s="51"/>
      <c r="D784" s="52"/>
      <c r="E784" s="52"/>
      <c r="F784" s="52"/>
      <c r="G784" s="53"/>
      <c r="H784" s="54"/>
      <c r="J784" s="55"/>
    </row>
    <row r="785">
      <c r="A785" s="51"/>
      <c r="B785" s="51"/>
      <c r="C785" s="51"/>
      <c r="D785" s="52"/>
      <c r="E785" s="52"/>
      <c r="F785" s="52"/>
      <c r="G785" s="53"/>
      <c r="H785" s="54"/>
      <c r="J785" s="55"/>
    </row>
    <row r="786">
      <c r="A786" s="51"/>
      <c r="B786" s="51"/>
      <c r="C786" s="51"/>
      <c r="D786" s="52"/>
      <c r="E786" s="52"/>
      <c r="F786" s="52"/>
      <c r="G786" s="53"/>
      <c r="H786" s="54"/>
      <c r="J786" s="55"/>
    </row>
    <row r="787">
      <c r="A787" s="51"/>
      <c r="B787" s="51"/>
      <c r="C787" s="51"/>
      <c r="D787" s="52"/>
      <c r="E787" s="52"/>
      <c r="F787" s="52"/>
      <c r="G787" s="53"/>
      <c r="H787" s="54"/>
      <c r="J787" s="55"/>
    </row>
    <row r="788">
      <c r="A788" s="51"/>
      <c r="B788" s="51"/>
      <c r="C788" s="51"/>
      <c r="D788" s="52"/>
      <c r="E788" s="52"/>
      <c r="F788" s="52"/>
      <c r="G788" s="53"/>
      <c r="H788" s="54"/>
      <c r="J788" s="55"/>
    </row>
    <row r="789">
      <c r="A789" s="51"/>
      <c r="B789" s="51"/>
      <c r="C789" s="51"/>
      <c r="D789" s="52"/>
      <c r="E789" s="52"/>
      <c r="F789" s="52"/>
      <c r="G789" s="53"/>
      <c r="H789" s="54"/>
      <c r="J789" s="55"/>
    </row>
    <row r="790">
      <c r="A790" s="51"/>
      <c r="B790" s="51"/>
      <c r="C790" s="51"/>
      <c r="D790" s="52"/>
      <c r="E790" s="52"/>
      <c r="F790" s="52"/>
      <c r="G790" s="53"/>
      <c r="H790" s="54"/>
      <c r="J790" s="55"/>
    </row>
    <row r="791">
      <c r="A791" s="51"/>
      <c r="B791" s="51"/>
      <c r="C791" s="51"/>
      <c r="D791" s="52"/>
      <c r="E791" s="52"/>
      <c r="F791" s="52"/>
      <c r="G791" s="53"/>
      <c r="H791" s="54"/>
      <c r="J791" s="55"/>
    </row>
    <row r="792">
      <c r="A792" s="51"/>
      <c r="B792" s="51"/>
      <c r="C792" s="51"/>
      <c r="D792" s="52"/>
      <c r="E792" s="52"/>
      <c r="F792" s="52"/>
      <c r="G792" s="53"/>
      <c r="H792" s="54"/>
      <c r="J792" s="55"/>
    </row>
    <row r="793">
      <c r="A793" s="51"/>
      <c r="B793" s="51"/>
      <c r="C793" s="51"/>
      <c r="D793" s="52"/>
      <c r="E793" s="52"/>
      <c r="F793" s="52"/>
      <c r="G793" s="53"/>
      <c r="H793" s="54"/>
      <c r="J793" s="55"/>
    </row>
    <row r="794">
      <c r="A794" s="51"/>
      <c r="B794" s="51"/>
      <c r="C794" s="51"/>
      <c r="D794" s="52"/>
      <c r="E794" s="52"/>
      <c r="F794" s="52"/>
      <c r="G794" s="53"/>
      <c r="H794" s="54"/>
      <c r="J794" s="55"/>
    </row>
    <row r="795">
      <c r="A795" s="51"/>
      <c r="B795" s="51"/>
      <c r="C795" s="51"/>
      <c r="D795" s="52"/>
      <c r="E795" s="52"/>
      <c r="F795" s="52"/>
      <c r="G795" s="53"/>
      <c r="H795" s="54"/>
      <c r="J795" s="55"/>
    </row>
    <row r="796">
      <c r="A796" s="51"/>
      <c r="B796" s="51"/>
      <c r="C796" s="51"/>
      <c r="D796" s="52"/>
      <c r="E796" s="52"/>
      <c r="F796" s="52"/>
      <c r="G796" s="53"/>
      <c r="H796" s="54"/>
      <c r="J796" s="55"/>
    </row>
    <row r="797">
      <c r="A797" s="51"/>
      <c r="B797" s="51"/>
      <c r="C797" s="51"/>
      <c r="D797" s="52"/>
      <c r="E797" s="52"/>
      <c r="F797" s="52"/>
      <c r="G797" s="53"/>
      <c r="H797" s="54"/>
      <c r="J797" s="55"/>
    </row>
    <row r="798">
      <c r="A798" s="51"/>
      <c r="B798" s="51"/>
      <c r="C798" s="51"/>
      <c r="D798" s="52"/>
      <c r="E798" s="52"/>
      <c r="F798" s="52"/>
      <c r="G798" s="53"/>
      <c r="H798" s="54"/>
      <c r="J798" s="55"/>
    </row>
    <row r="799">
      <c r="A799" s="51"/>
      <c r="B799" s="51"/>
      <c r="C799" s="51"/>
      <c r="D799" s="52"/>
      <c r="E799" s="52"/>
      <c r="F799" s="52"/>
      <c r="G799" s="53"/>
      <c r="H799" s="54"/>
      <c r="J799" s="55"/>
    </row>
    <row r="800">
      <c r="A800" s="51"/>
      <c r="B800" s="51"/>
      <c r="C800" s="51"/>
      <c r="D800" s="52"/>
      <c r="E800" s="52"/>
      <c r="F800" s="52"/>
      <c r="G800" s="53"/>
      <c r="H800" s="54"/>
      <c r="J800" s="55"/>
    </row>
    <row r="801">
      <c r="A801" s="51"/>
      <c r="B801" s="51"/>
      <c r="C801" s="51"/>
      <c r="D801" s="52"/>
      <c r="E801" s="52"/>
      <c r="F801" s="52"/>
      <c r="G801" s="53"/>
      <c r="H801" s="54"/>
      <c r="J801" s="55"/>
    </row>
    <row r="802">
      <c r="A802" s="51"/>
      <c r="B802" s="51"/>
      <c r="C802" s="51"/>
      <c r="D802" s="52"/>
      <c r="E802" s="52"/>
      <c r="F802" s="52"/>
      <c r="G802" s="53"/>
      <c r="H802" s="54"/>
      <c r="J802" s="55"/>
    </row>
    <row r="803">
      <c r="A803" s="51"/>
      <c r="B803" s="51"/>
      <c r="C803" s="51"/>
      <c r="D803" s="52"/>
      <c r="E803" s="52"/>
      <c r="F803" s="52"/>
      <c r="G803" s="53"/>
      <c r="H803" s="54"/>
      <c r="J803" s="55"/>
    </row>
    <row r="804">
      <c r="A804" s="51"/>
      <c r="B804" s="51"/>
      <c r="C804" s="51"/>
      <c r="D804" s="52"/>
      <c r="E804" s="52"/>
      <c r="F804" s="52"/>
      <c r="G804" s="53"/>
      <c r="H804" s="54"/>
      <c r="J804" s="55"/>
    </row>
    <row r="805">
      <c r="A805" s="51"/>
      <c r="B805" s="51"/>
      <c r="C805" s="51"/>
      <c r="D805" s="52"/>
      <c r="E805" s="52"/>
      <c r="F805" s="52"/>
      <c r="G805" s="53"/>
      <c r="H805" s="54"/>
      <c r="J805" s="55"/>
    </row>
    <row r="806">
      <c r="A806" s="51"/>
      <c r="B806" s="51"/>
      <c r="C806" s="51"/>
      <c r="D806" s="52"/>
      <c r="E806" s="52"/>
      <c r="F806" s="52"/>
      <c r="G806" s="53"/>
      <c r="H806" s="54"/>
      <c r="J806" s="55"/>
    </row>
    <row r="807">
      <c r="A807" s="51"/>
      <c r="B807" s="51"/>
      <c r="C807" s="51"/>
      <c r="D807" s="52"/>
      <c r="E807" s="52"/>
      <c r="F807" s="52"/>
      <c r="G807" s="53"/>
      <c r="H807" s="54"/>
      <c r="J807" s="55"/>
    </row>
    <row r="808">
      <c r="A808" s="51"/>
      <c r="B808" s="51"/>
      <c r="C808" s="51"/>
      <c r="D808" s="52"/>
      <c r="E808" s="52"/>
      <c r="F808" s="52"/>
      <c r="G808" s="53"/>
      <c r="H808" s="54"/>
      <c r="J808" s="55"/>
    </row>
    <row r="809">
      <c r="A809" s="51"/>
      <c r="B809" s="51"/>
      <c r="C809" s="51"/>
      <c r="D809" s="52"/>
      <c r="E809" s="52"/>
      <c r="F809" s="52"/>
      <c r="G809" s="53"/>
      <c r="H809" s="54"/>
      <c r="J809" s="55"/>
    </row>
    <row r="810">
      <c r="A810" s="51"/>
      <c r="B810" s="51"/>
      <c r="C810" s="51"/>
      <c r="D810" s="52"/>
      <c r="E810" s="52"/>
      <c r="F810" s="52"/>
      <c r="G810" s="53"/>
      <c r="H810" s="54"/>
      <c r="J810" s="55"/>
    </row>
    <row r="811">
      <c r="A811" s="51"/>
      <c r="B811" s="51"/>
      <c r="C811" s="51"/>
      <c r="D811" s="52"/>
      <c r="E811" s="52"/>
      <c r="F811" s="52"/>
      <c r="G811" s="53"/>
      <c r="H811" s="54"/>
      <c r="J811" s="55"/>
    </row>
    <row r="812">
      <c r="A812" s="51"/>
      <c r="B812" s="51"/>
      <c r="C812" s="51"/>
      <c r="D812" s="52"/>
      <c r="E812" s="52"/>
      <c r="F812" s="52"/>
      <c r="G812" s="53"/>
      <c r="H812" s="54"/>
      <c r="J812" s="55"/>
    </row>
    <row r="813">
      <c r="A813" s="51"/>
      <c r="B813" s="51"/>
      <c r="C813" s="51"/>
      <c r="D813" s="52"/>
      <c r="E813" s="52"/>
      <c r="F813" s="52"/>
      <c r="G813" s="53"/>
      <c r="H813" s="54"/>
      <c r="J813" s="55"/>
    </row>
    <row r="814">
      <c r="A814" s="51"/>
      <c r="B814" s="51"/>
      <c r="C814" s="51"/>
      <c r="D814" s="52"/>
      <c r="E814" s="52"/>
      <c r="F814" s="52"/>
      <c r="G814" s="53"/>
      <c r="H814" s="54"/>
      <c r="J814" s="55"/>
    </row>
    <row r="815">
      <c r="A815" s="51"/>
      <c r="B815" s="51"/>
      <c r="C815" s="51"/>
      <c r="D815" s="52"/>
      <c r="E815" s="52"/>
      <c r="F815" s="52"/>
      <c r="G815" s="53"/>
      <c r="H815" s="54"/>
      <c r="J815" s="55"/>
    </row>
    <row r="816">
      <c r="A816" s="51"/>
      <c r="B816" s="51"/>
      <c r="C816" s="51"/>
      <c r="D816" s="52"/>
      <c r="E816" s="52"/>
      <c r="F816" s="52"/>
      <c r="G816" s="53"/>
      <c r="H816" s="54"/>
      <c r="J816" s="55"/>
    </row>
    <row r="817">
      <c r="A817" s="51"/>
      <c r="B817" s="51"/>
      <c r="C817" s="51"/>
      <c r="D817" s="52"/>
      <c r="E817" s="52"/>
      <c r="F817" s="52"/>
      <c r="G817" s="53"/>
      <c r="H817" s="54"/>
      <c r="J817" s="55"/>
    </row>
    <row r="818">
      <c r="A818" s="51"/>
      <c r="B818" s="51"/>
      <c r="C818" s="51"/>
      <c r="D818" s="52"/>
      <c r="E818" s="52"/>
      <c r="F818" s="52"/>
      <c r="G818" s="53"/>
      <c r="H818" s="54"/>
      <c r="J818" s="55"/>
    </row>
    <row r="819">
      <c r="A819" s="51"/>
      <c r="B819" s="51"/>
      <c r="C819" s="51"/>
      <c r="D819" s="52"/>
      <c r="E819" s="52"/>
      <c r="F819" s="52"/>
      <c r="G819" s="53"/>
      <c r="H819" s="54"/>
      <c r="J819" s="55"/>
    </row>
    <row r="820">
      <c r="A820" s="51"/>
      <c r="B820" s="51"/>
      <c r="C820" s="51"/>
      <c r="D820" s="52"/>
      <c r="E820" s="52"/>
      <c r="F820" s="52"/>
      <c r="G820" s="53"/>
      <c r="H820" s="54"/>
      <c r="J820" s="55"/>
    </row>
    <row r="821">
      <c r="A821" s="51"/>
      <c r="B821" s="51"/>
      <c r="C821" s="51"/>
      <c r="D821" s="52"/>
      <c r="E821" s="52"/>
      <c r="F821" s="52"/>
      <c r="G821" s="53"/>
      <c r="H821" s="54"/>
      <c r="J821" s="55"/>
    </row>
    <row r="822">
      <c r="A822" s="51"/>
      <c r="B822" s="51"/>
      <c r="C822" s="51"/>
      <c r="D822" s="52"/>
      <c r="E822" s="52"/>
      <c r="F822" s="52"/>
      <c r="G822" s="53"/>
      <c r="H822" s="54"/>
      <c r="J822" s="55"/>
    </row>
    <row r="823">
      <c r="A823" s="51"/>
      <c r="B823" s="51"/>
      <c r="C823" s="51"/>
      <c r="D823" s="52"/>
      <c r="E823" s="52"/>
      <c r="F823" s="52"/>
      <c r="G823" s="53"/>
      <c r="H823" s="54"/>
      <c r="J823" s="55"/>
    </row>
    <row r="824">
      <c r="A824" s="51"/>
      <c r="B824" s="51"/>
      <c r="C824" s="51"/>
      <c r="D824" s="52"/>
      <c r="E824" s="52"/>
      <c r="F824" s="52"/>
      <c r="G824" s="53"/>
      <c r="H824" s="54"/>
      <c r="J824" s="55"/>
    </row>
    <row r="825">
      <c r="A825" s="51"/>
      <c r="B825" s="51"/>
      <c r="C825" s="51"/>
      <c r="D825" s="52"/>
      <c r="E825" s="52"/>
      <c r="F825" s="52"/>
      <c r="G825" s="53"/>
      <c r="H825" s="54"/>
      <c r="J825" s="55"/>
    </row>
    <row r="826">
      <c r="A826" s="51"/>
      <c r="B826" s="51"/>
      <c r="C826" s="51"/>
      <c r="D826" s="52"/>
      <c r="E826" s="52"/>
      <c r="F826" s="52"/>
      <c r="G826" s="53"/>
      <c r="H826" s="54"/>
      <c r="J826" s="55"/>
    </row>
    <row r="827">
      <c r="A827" s="51"/>
      <c r="B827" s="51"/>
      <c r="C827" s="51"/>
      <c r="D827" s="52"/>
      <c r="E827" s="52"/>
      <c r="F827" s="52"/>
      <c r="G827" s="53"/>
      <c r="H827" s="54"/>
      <c r="J827" s="55"/>
    </row>
    <row r="828">
      <c r="A828" s="51"/>
      <c r="B828" s="51"/>
      <c r="C828" s="51"/>
      <c r="D828" s="52"/>
      <c r="E828" s="52"/>
      <c r="F828" s="52"/>
      <c r="G828" s="53"/>
      <c r="H828" s="54"/>
      <c r="J828" s="55"/>
    </row>
    <row r="829">
      <c r="A829" s="51"/>
      <c r="B829" s="51"/>
      <c r="C829" s="51"/>
      <c r="D829" s="52"/>
      <c r="E829" s="52"/>
      <c r="F829" s="52"/>
      <c r="G829" s="53"/>
      <c r="H829" s="54"/>
      <c r="J829" s="55"/>
    </row>
    <row r="830">
      <c r="A830" s="51"/>
      <c r="B830" s="51"/>
      <c r="C830" s="51"/>
      <c r="D830" s="52"/>
      <c r="E830" s="52"/>
      <c r="F830" s="52"/>
      <c r="G830" s="53"/>
      <c r="H830" s="54"/>
      <c r="J830" s="55"/>
    </row>
    <row r="831">
      <c r="A831" s="51"/>
      <c r="B831" s="51"/>
      <c r="C831" s="51"/>
      <c r="D831" s="52"/>
      <c r="E831" s="52"/>
      <c r="F831" s="52"/>
      <c r="G831" s="53"/>
      <c r="H831" s="54"/>
      <c r="J831" s="55"/>
    </row>
    <row r="832">
      <c r="A832" s="51"/>
      <c r="B832" s="51"/>
      <c r="C832" s="51"/>
      <c r="D832" s="52"/>
      <c r="E832" s="52"/>
      <c r="F832" s="52"/>
      <c r="G832" s="53"/>
      <c r="H832" s="54"/>
      <c r="J832" s="55"/>
    </row>
    <row r="833">
      <c r="A833" s="51"/>
      <c r="B833" s="51"/>
      <c r="C833" s="51"/>
      <c r="D833" s="52"/>
      <c r="E833" s="52"/>
      <c r="F833" s="52"/>
      <c r="G833" s="53"/>
      <c r="H833" s="54"/>
      <c r="J833" s="55"/>
    </row>
    <row r="834">
      <c r="A834" s="51"/>
      <c r="B834" s="51"/>
      <c r="C834" s="51"/>
      <c r="D834" s="52"/>
      <c r="E834" s="52"/>
      <c r="F834" s="52"/>
      <c r="G834" s="53"/>
      <c r="H834" s="54"/>
      <c r="J834" s="55"/>
    </row>
    <row r="835">
      <c r="A835" s="51"/>
      <c r="B835" s="51"/>
      <c r="C835" s="51"/>
      <c r="D835" s="52"/>
      <c r="E835" s="52"/>
      <c r="F835" s="52"/>
      <c r="G835" s="53"/>
      <c r="H835" s="54"/>
      <c r="J835" s="55"/>
    </row>
    <row r="836">
      <c r="A836" s="51"/>
      <c r="B836" s="51"/>
      <c r="C836" s="51"/>
      <c r="D836" s="52"/>
      <c r="E836" s="52"/>
      <c r="F836" s="52"/>
      <c r="G836" s="53"/>
      <c r="H836" s="54"/>
      <c r="J836" s="55"/>
    </row>
    <row r="837">
      <c r="A837" s="51"/>
      <c r="B837" s="51"/>
      <c r="C837" s="51"/>
      <c r="D837" s="52"/>
      <c r="E837" s="52"/>
      <c r="F837" s="52"/>
      <c r="G837" s="53"/>
      <c r="H837" s="54"/>
      <c r="J837" s="55"/>
    </row>
    <row r="838">
      <c r="A838" s="51"/>
      <c r="B838" s="51"/>
      <c r="C838" s="51"/>
      <c r="D838" s="52"/>
      <c r="E838" s="52"/>
      <c r="F838" s="52"/>
      <c r="G838" s="53"/>
      <c r="H838" s="54"/>
      <c r="J838" s="55"/>
    </row>
    <row r="839">
      <c r="A839" s="51"/>
      <c r="B839" s="51"/>
      <c r="C839" s="51"/>
      <c r="D839" s="52"/>
      <c r="E839" s="52"/>
      <c r="F839" s="52"/>
      <c r="G839" s="53"/>
      <c r="H839" s="54"/>
      <c r="J839" s="55"/>
    </row>
    <row r="840">
      <c r="A840" s="51"/>
      <c r="B840" s="51"/>
      <c r="C840" s="51"/>
      <c r="D840" s="52"/>
      <c r="E840" s="52"/>
      <c r="F840" s="52"/>
      <c r="G840" s="53"/>
      <c r="H840" s="54"/>
      <c r="J840" s="55"/>
    </row>
    <row r="841">
      <c r="A841" s="51"/>
      <c r="B841" s="51"/>
      <c r="C841" s="51"/>
      <c r="D841" s="52"/>
      <c r="E841" s="52"/>
      <c r="F841" s="52"/>
      <c r="G841" s="53"/>
      <c r="H841" s="54"/>
      <c r="J841" s="55"/>
    </row>
    <row r="842">
      <c r="A842" s="51"/>
      <c r="B842" s="51"/>
      <c r="C842" s="51"/>
      <c r="D842" s="52"/>
      <c r="E842" s="52"/>
      <c r="F842" s="52"/>
      <c r="G842" s="53"/>
      <c r="H842" s="54"/>
      <c r="J842" s="55"/>
    </row>
    <row r="843">
      <c r="A843" s="51"/>
      <c r="B843" s="51"/>
      <c r="C843" s="51"/>
      <c r="D843" s="52"/>
      <c r="E843" s="52"/>
      <c r="F843" s="52"/>
      <c r="G843" s="53"/>
      <c r="H843" s="54"/>
      <c r="J843" s="55"/>
    </row>
    <row r="844">
      <c r="A844" s="51"/>
      <c r="B844" s="51"/>
      <c r="C844" s="51"/>
      <c r="D844" s="52"/>
      <c r="E844" s="52"/>
      <c r="F844" s="52"/>
      <c r="G844" s="53"/>
      <c r="H844" s="54"/>
      <c r="J844" s="55"/>
    </row>
    <row r="845">
      <c r="A845" s="51"/>
      <c r="B845" s="51"/>
      <c r="C845" s="51"/>
      <c r="D845" s="52"/>
      <c r="E845" s="52"/>
      <c r="F845" s="52"/>
      <c r="G845" s="53"/>
      <c r="H845" s="54"/>
      <c r="J845" s="55"/>
    </row>
    <row r="846">
      <c r="A846" s="51"/>
      <c r="B846" s="51"/>
      <c r="C846" s="51"/>
      <c r="D846" s="52"/>
      <c r="E846" s="52"/>
      <c r="F846" s="52"/>
      <c r="G846" s="53"/>
      <c r="H846" s="54"/>
      <c r="J846" s="55"/>
    </row>
    <row r="847">
      <c r="A847" s="51"/>
      <c r="B847" s="51"/>
      <c r="C847" s="51"/>
      <c r="D847" s="52"/>
      <c r="E847" s="52"/>
      <c r="F847" s="52"/>
      <c r="G847" s="53"/>
      <c r="H847" s="54"/>
      <c r="J847" s="55"/>
    </row>
    <row r="848">
      <c r="A848" s="51"/>
      <c r="B848" s="51"/>
      <c r="C848" s="51"/>
      <c r="D848" s="52"/>
      <c r="E848" s="52"/>
      <c r="F848" s="52"/>
      <c r="G848" s="53"/>
      <c r="H848" s="54"/>
      <c r="J848" s="55"/>
    </row>
    <row r="849">
      <c r="A849" s="51"/>
      <c r="B849" s="51"/>
      <c r="C849" s="51"/>
      <c r="D849" s="52"/>
      <c r="E849" s="52"/>
      <c r="F849" s="52"/>
      <c r="G849" s="53"/>
      <c r="H849" s="54"/>
      <c r="J849" s="55"/>
    </row>
    <row r="850">
      <c r="A850" s="51"/>
      <c r="B850" s="51"/>
      <c r="C850" s="51"/>
      <c r="D850" s="52"/>
      <c r="E850" s="52"/>
      <c r="F850" s="52"/>
      <c r="G850" s="53"/>
      <c r="H850" s="54"/>
      <c r="J850" s="55"/>
    </row>
    <row r="851">
      <c r="A851" s="51"/>
      <c r="B851" s="51"/>
      <c r="C851" s="51"/>
      <c r="D851" s="52"/>
      <c r="E851" s="52"/>
      <c r="F851" s="52"/>
      <c r="G851" s="53"/>
      <c r="H851" s="54"/>
      <c r="J851" s="55"/>
    </row>
    <row r="852">
      <c r="A852" s="51"/>
      <c r="B852" s="51"/>
      <c r="C852" s="51"/>
      <c r="D852" s="52"/>
      <c r="E852" s="52"/>
      <c r="F852" s="52"/>
      <c r="G852" s="53"/>
      <c r="H852" s="54"/>
      <c r="J852" s="55"/>
    </row>
    <row r="853">
      <c r="A853" s="51"/>
      <c r="B853" s="51"/>
      <c r="C853" s="51"/>
      <c r="D853" s="52"/>
      <c r="E853" s="52"/>
      <c r="F853" s="52"/>
      <c r="G853" s="53"/>
      <c r="H853" s="54"/>
      <c r="J853" s="55"/>
    </row>
    <row r="854">
      <c r="A854" s="51"/>
      <c r="B854" s="51"/>
      <c r="C854" s="51"/>
      <c r="D854" s="52"/>
      <c r="E854" s="52"/>
      <c r="F854" s="52"/>
      <c r="G854" s="53"/>
      <c r="H854" s="54"/>
      <c r="J854" s="55"/>
    </row>
    <row r="855">
      <c r="A855" s="51"/>
      <c r="B855" s="51"/>
      <c r="C855" s="51"/>
      <c r="D855" s="52"/>
      <c r="E855" s="52"/>
      <c r="F855" s="52"/>
      <c r="G855" s="53"/>
      <c r="H855" s="54"/>
      <c r="J855" s="55"/>
    </row>
    <row r="856">
      <c r="A856" s="51"/>
      <c r="B856" s="51"/>
      <c r="C856" s="51"/>
      <c r="D856" s="52"/>
      <c r="E856" s="52"/>
      <c r="F856" s="52"/>
      <c r="G856" s="53"/>
      <c r="H856" s="54"/>
      <c r="J856" s="55"/>
    </row>
    <row r="857">
      <c r="A857" s="51"/>
      <c r="B857" s="51"/>
      <c r="C857" s="51"/>
      <c r="D857" s="52"/>
      <c r="E857" s="52"/>
      <c r="F857" s="52"/>
      <c r="G857" s="53"/>
      <c r="H857" s="54"/>
      <c r="J857" s="55"/>
    </row>
    <row r="858">
      <c r="A858" s="51"/>
      <c r="B858" s="51"/>
      <c r="C858" s="51"/>
      <c r="D858" s="52"/>
      <c r="E858" s="52"/>
      <c r="F858" s="52"/>
      <c r="G858" s="53"/>
      <c r="H858" s="54"/>
      <c r="J858" s="55"/>
    </row>
    <row r="859">
      <c r="A859" s="51"/>
      <c r="B859" s="51"/>
      <c r="C859" s="51"/>
      <c r="D859" s="52"/>
      <c r="E859" s="52"/>
      <c r="F859" s="52"/>
      <c r="G859" s="53"/>
      <c r="H859" s="54"/>
      <c r="J859" s="55"/>
    </row>
    <row r="860">
      <c r="A860" s="51"/>
      <c r="B860" s="51"/>
      <c r="C860" s="51"/>
      <c r="D860" s="52"/>
      <c r="E860" s="52"/>
      <c r="F860" s="52"/>
      <c r="G860" s="53"/>
      <c r="H860" s="54"/>
      <c r="J860" s="55"/>
    </row>
    <row r="861">
      <c r="A861" s="51"/>
      <c r="B861" s="51"/>
      <c r="C861" s="51"/>
      <c r="D861" s="52"/>
      <c r="E861" s="52"/>
      <c r="F861" s="52"/>
      <c r="G861" s="53"/>
      <c r="H861" s="54"/>
      <c r="J861" s="55"/>
    </row>
    <row r="862">
      <c r="A862" s="51"/>
      <c r="B862" s="51"/>
      <c r="C862" s="51"/>
      <c r="D862" s="52"/>
      <c r="E862" s="52"/>
      <c r="F862" s="52"/>
      <c r="G862" s="53"/>
      <c r="H862" s="54"/>
      <c r="J862" s="55"/>
    </row>
    <row r="863">
      <c r="A863" s="51"/>
      <c r="B863" s="51"/>
      <c r="C863" s="51"/>
      <c r="D863" s="52"/>
      <c r="E863" s="52"/>
      <c r="F863" s="52"/>
      <c r="G863" s="53"/>
      <c r="H863" s="54"/>
      <c r="J863" s="55"/>
    </row>
    <row r="864">
      <c r="A864" s="51"/>
      <c r="B864" s="51"/>
      <c r="C864" s="51"/>
      <c r="D864" s="52"/>
      <c r="E864" s="52"/>
      <c r="F864" s="52"/>
      <c r="G864" s="53"/>
      <c r="H864" s="54"/>
      <c r="J864" s="55"/>
    </row>
    <row r="865">
      <c r="A865" s="51"/>
      <c r="B865" s="51"/>
      <c r="C865" s="51"/>
      <c r="D865" s="52"/>
      <c r="E865" s="52"/>
      <c r="F865" s="52"/>
      <c r="G865" s="53"/>
      <c r="H865" s="54"/>
      <c r="J865" s="55"/>
    </row>
    <row r="866">
      <c r="A866" s="51"/>
      <c r="B866" s="51"/>
      <c r="C866" s="51"/>
      <c r="D866" s="52"/>
      <c r="E866" s="52"/>
      <c r="F866" s="52"/>
      <c r="G866" s="53"/>
      <c r="H866" s="54"/>
      <c r="J866" s="55"/>
    </row>
    <row r="867">
      <c r="A867" s="51"/>
      <c r="B867" s="51"/>
      <c r="C867" s="51"/>
      <c r="D867" s="52"/>
      <c r="E867" s="52"/>
      <c r="F867" s="52"/>
      <c r="G867" s="53"/>
      <c r="H867" s="54"/>
      <c r="J867" s="55"/>
    </row>
    <row r="868">
      <c r="A868" s="51"/>
      <c r="B868" s="51"/>
      <c r="C868" s="51"/>
      <c r="D868" s="52"/>
      <c r="E868" s="52"/>
      <c r="F868" s="52"/>
      <c r="G868" s="53"/>
      <c r="H868" s="54"/>
      <c r="J868" s="55"/>
    </row>
    <row r="869">
      <c r="A869" s="51"/>
      <c r="B869" s="51"/>
      <c r="C869" s="51"/>
      <c r="D869" s="52"/>
      <c r="E869" s="52"/>
      <c r="F869" s="52"/>
      <c r="G869" s="53"/>
      <c r="H869" s="54"/>
      <c r="J869" s="55"/>
    </row>
    <row r="870">
      <c r="A870" s="51"/>
      <c r="B870" s="51"/>
      <c r="C870" s="51"/>
      <c r="D870" s="52"/>
      <c r="E870" s="52"/>
      <c r="F870" s="52"/>
      <c r="G870" s="53"/>
      <c r="H870" s="54"/>
      <c r="J870" s="55"/>
    </row>
    <row r="871">
      <c r="A871" s="51"/>
      <c r="B871" s="51"/>
      <c r="C871" s="51"/>
      <c r="D871" s="52"/>
      <c r="E871" s="52"/>
      <c r="F871" s="52"/>
      <c r="G871" s="53"/>
      <c r="H871" s="54"/>
      <c r="J871" s="55"/>
    </row>
    <row r="872">
      <c r="A872" s="51"/>
      <c r="B872" s="51"/>
      <c r="C872" s="51"/>
      <c r="D872" s="52"/>
      <c r="E872" s="52"/>
      <c r="F872" s="52"/>
      <c r="G872" s="53"/>
      <c r="H872" s="54"/>
      <c r="J872" s="55"/>
    </row>
    <row r="873">
      <c r="A873" s="51"/>
      <c r="B873" s="51"/>
      <c r="C873" s="51"/>
      <c r="D873" s="52"/>
      <c r="E873" s="52"/>
      <c r="F873" s="52"/>
      <c r="G873" s="53"/>
      <c r="H873" s="54"/>
      <c r="J873" s="55"/>
    </row>
    <row r="874">
      <c r="A874" s="51"/>
      <c r="B874" s="51"/>
      <c r="C874" s="51"/>
      <c r="D874" s="52"/>
      <c r="E874" s="52"/>
      <c r="F874" s="52"/>
      <c r="G874" s="53"/>
      <c r="H874" s="54"/>
      <c r="J874" s="55"/>
    </row>
    <row r="875">
      <c r="A875" s="51"/>
      <c r="B875" s="51"/>
      <c r="C875" s="51"/>
      <c r="D875" s="52"/>
      <c r="E875" s="52"/>
      <c r="F875" s="52"/>
      <c r="G875" s="53"/>
      <c r="H875" s="54"/>
      <c r="J875" s="55"/>
    </row>
    <row r="876">
      <c r="A876" s="51"/>
      <c r="B876" s="51"/>
      <c r="C876" s="51"/>
      <c r="D876" s="52"/>
      <c r="E876" s="52"/>
      <c r="F876" s="52"/>
      <c r="G876" s="53"/>
      <c r="H876" s="54"/>
      <c r="J876" s="55"/>
    </row>
    <row r="877">
      <c r="A877" s="51"/>
      <c r="B877" s="51"/>
      <c r="C877" s="51"/>
      <c r="D877" s="52"/>
      <c r="E877" s="52"/>
      <c r="F877" s="52"/>
      <c r="G877" s="53"/>
      <c r="H877" s="54"/>
      <c r="J877" s="55"/>
    </row>
    <row r="878">
      <c r="A878" s="51"/>
      <c r="B878" s="51"/>
      <c r="C878" s="51"/>
      <c r="D878" s="52"/>
      <c r="E878" s="52"/>
      <c r="F878" s="52"/>
      <c r="G878" s="53"/>
      <c r="H878" s="54"/>
      <c r="J878" s="55"/>
    </row>
    <row r="879">
      <c r="A879" s="51"/>
      <c r="B879" s="51"/>
      <c r="C879" s="51"/>
      <c r="D879" s="52"/>
      <c r="E879" s="52"/>
      <c r="F879" s="52"/>
      <c r="G879" s="53"/>
      <c r="H879" s="54"/>
      <c r="J879" s="55"/>
    </row>
    <row r="880">
      <c r="A880" s="51"/>
      <c r="B880" s="51"/>
      <c r="C880" s="51"/>
      <c r="D880" s="52"/>
      <c r="E880" s="52"/>
      <c r="F880" s="52"/>
      <c r="G880" s="53"/>
      <c r="H880" s="54"/>
      <c r="J880" s="55"/>
    </row>
    <row r="881">
      <c r="A881" s="51"/>
      <c r="B881" s="51"/>
      <c r="C881" s="51"/>
      <c r="D881" s="52"/>
      <c r="E881" s="52"/>
      <c r="F881" s="52"/>
      <c r="G881" s="53"/>
      <c r="H881" s="54"/>
      <c r="J881" s="55"/>
    </row>
    <row r="882">
      <c r="A882" s="51"/>
      <c r="B882" s="51"/>
      <c r="C882" s="51"/>
      <c r="D882" s="52"/>
      <c r="E882" s="52"/>
      <c r="F882" s="52"/>
      <c r="G882" s="53"/>
      <c r="H882" s="54"/>
      <c r="J882" s="55"/>
    </row>
    <row r="883">
      <c r="A883" s="51"/>
      <c r="B883" s="51"/>
      <c r="C883" s="51"/>
      <c r="D883" s="52"/>
      <c r="E883" s="52"/>
      <c r="F883" s="52"/>
      <c r="G883" s="53"/>
      <c r="H883" s="54"/>
      <c r="J883" s="55"/>
    </row>
    <row r="884">
      <c r="A884" s="51"/>
      <c r="B884" s="51"/>
      <c r="C884" s="51"/>
      <c r="D884" s="52"/>
      <c r="E884" s="52"/>
      <c r="F884" s="52"/>
      <c r="G884" s="53"/>
      <c r="H884" s="54"/>
      <c r="J884" s="55"/>
    </row>
    <row r="885">
      <c r="A885" s="51"/>
      <c r="B885" s="51"/>
      <c r="C885" s="51"/>
      <c r="D885" s="52"/>
      <c r="E885" s="52"/>
      <c r="F885" s="52"/>
      <c r="G885" s="53"/>
      <c r="H885" s="54"/>
      <c r="J885" s="55"/>
    </row>
    <row r="886">
      <c r="A886" s="51"/>
      <c r="B886" s="51"/>
      <c r="C886" s="51"/>
      <c r="D886" s="52"/>
      <c r="E886" s="52"/>
      <c r="F886" s="52"/>
      <c r="G886" s="53"/>
      <c r="H886" s="54"/>
      <c r="J886" s="55"/>
    </row>
    <row r="887">
      <c r="A887" s="51"/>
      <c r="B887" s="51"/>
      <c r="C887" s="51"/>
      <c r="D887" s="52"/>
      <c r="E887" s="52"/>
      <c r="F887" s="52"/>
      <c r="G887" s="53"/>
      <c r="H887" s="54"/>
      <c r="J887" s="55"/>
    </row>
    <row r="888">
      <c r="A888" s="51"/>
      <c r="B888" s="51"/>
      <c r="C888" s="51"/>
      <c r="D888" s="52"/>
      <c r="E888" s="52"/>
      <c r="F888" s="52"/>
      <c r="G888" s="53"/>
      <c r="H888" s="54"/>
      <c r="J888" s="55"/>
    </row>
    <row r="889">
      <c r="A889" s="51"/>
      <c r="B889" s="51"/>
      <c r="C889" s="51"/>
      <c r="D889" s="52"/>
      <c r="E889" s="52"/>
      <c r="F889" s="52"/>
      <c r="G889" s="53"/>
      <c r="H889" s="54"/>
      <c r="J889" s="55"/>
    </row>
    <row r="890">
      <c r="A890" s="51"/>
      <c r="B890" s="51"/>
      <c r="C890" s="51"/>
      <c r="D890" s="52"/>
      <c r="E890" s="52"/>
      <c r="F890" s="52"/>
      <c r="G890" s="53"/>
      <c r="H890" s="54"/>
      <c r="J890" s="55"/>
    </row>
    <row r="891">
      <c r="A891" s="51"/>
      <c r="B891" s="51"/>
      <c r="C891" s="51"/>
      <c r="D891" s="52"/>
      <c r="E891" s="52"/>
      <c r="F891" s="52"/>
      <c r="G891" s="53"/>
      <c r="H891" s="54"/>
      <c r="J891" s="55"/>
    </row>
    <row r="892">
      <c r="A892" s="51"/>
      <c r="B892" s="51"/>
      <c r="C892" s="51"/>
      <c r="D892" s="52"/>
      <c r="E892" s="52"/>
      <c r="F892" s="52"/>
      <c r="G892" s="53"/>
      <c r="H892" s="54"/>
      <c r="J892" s="55"/>
    </row>
    <row r="893">
      <c r="A893" s="51"/>
      <c r="B893" s="51"/>
      <c r="C893" s="51"/>
      <c r="D893" s="52"/>
      <c r="E893" s="52"/>
      <c r="F893" s="52"/>
      <c r="G893" s="53"/>
      <c r="H893" s="54"/>
      <c r="J893" s="55"/>
    </row>
    <row r="894">
      <c r="A894" s="51"/>
      <c r="B894" s="51"/>
      <c r="C894" s="51"/>
      <c r="D894" s="52"/>
      <c r="E894" s="52"/>
      <c r="F894" s="52"/>
      <c r="G894" s="53"/>
      <c r="H894" s="54"/>
      <c r="J894" s="55"/>
    </row>
    <row r="895">
      <c r="A895" s="51"/>
      <c r="B895" s="51"/>
      <c r="C895" s="51"/>
      <c r="D895" s="52"/>
      <c r="E895" s="52"/>
      <c r="F895" s="52"/>
      <c r="G895" s="53"/>
      <c r="H895" s="54"/>
      <c r="J895" s="55"/>
    </row>
    <row r="896">
      <c r="A896" s="51"/>
      <c r="B896" s="51"/>
      <c r="C896" s="51"/>
      <c r="D896" s="52"/>
      <c r="E896" s="52"/>
      <c r="F896" s="52"/>
      <c r="G896" s="53"/>
      <c r="H896" s="54"/>
      <c r="J896" s="55"/>
    </row>
    <row r="897">
      <c r="A897" s="51"/>
      <c r="B897" s="51"/>
      <c r="C897" s="51"/>
      <c r="D897" s="52"/>
      <c r="E897" s="52"/>
      <c r="F897" s="52"/>
      <c r="G897" s="53"/>
      <c r="H897" s="54"/>
      <c r="J897" s="55"/>
    </row>
    <row r="898">
      <c r="A898" s="51"/>
      <c r="B898" s="51"/>
      <c r="C898" s="51"/>
      <c r="D898" s="52"/>
      <c r="E898" s="52"/>
      <c r="F898" s="52"/>
      <c r="G898" s="53"/>
      <c r="H898" s="54"/>
      <c r="J898" s="55"/>
    </row>
    <row r="899">
      <c r="A899" s="51"/>
      <c r="B899" s="51"/>
      <c r="C899" s="51"/>
      <c r="D899" s="52"/>
      <c r="E899" s="52"/>
      <c r="F899" s="52"/>
      <c r="G899" s="53"/>
      <c r="H899" s="54"/>
      <c r="J899" s="55"/>
    </row>
    <row r="900">
      <c r="A900" s="51"/>
      <c r="B900" s="51"/>
      <c r="C900" s="51"/>
      <c r="D900" s="52"/>
      <c r="E900" s="52"/>
      <c r="F900" s="52"/>
      <c r="G900" s="53"/>
      <c r="H900" s="54"/>
      <c r="J900" s="55"/>
    </row>
    <row r="901">
      <c r="A901" s="51"/>
      <c r="B901" s="51"/>
      <c r="C901" s="51"/>
      <c r="D901" s="52"/>
      <c r="E901" s="52"/>
      <c r="F901" s="52"/>
      <c r="G901" s="53"/>
      <c r="H901" s="54"/>
      <c r="J901" s="55"/>
    </row>
    <row r="902">
      <c r="A902" s="51"/>
      <c r="B902" s="51"/>
      <c r="C902" s="51"/>
      <c r="D902" s="52"/>
      <c r="E902" s="52"/>
      <c r="F902" s="52"/>
      <c r="G902" s="53"/>
      <c r="H902" s="54"/>
      <c r="J902" s="55"/>
    </row>
    <row r="903">
      <c r="A903" s="51"/>
      <c r="B903" s="51"/>
      <c r="C903" s="51"/>
      <c r="D903" s="52"/>
      <c r="E903" s="52"/>
      <c r="F903" s="52"/>
      <c r="G903" s="53"/>
      <c r="H903" s="54"/>
      <c r="J903" s="55"/>
    </row>
    <row r="904">
      <c r="A904" s="51"/>
      <c r="B904" s="51"/>
      <c r="C904" s="51"/>
      <c r="D904" s="52"/>
      <c r="E904" s="52"/>
      <c r="F904" s="52"/>
      <c r="G904" s="53"/>
      <c r="H904" s="54"/>
      <c r="J904" s="55"/>
    </row>
    <row r="905">
      <c r="A905" s="51"/>
      <c r="B905" s="51"/>
      <c r="C905" s="51"/>
      <c r="D905" s="52"/>
      <c r="E905" s="52"/>
      <c r="F905" s="52"/>
      <c r="G905" s="53"/>
      <c r="H905" s="54"/>
      <c r="J905" s="55"/>
    </row>
    <row r="906">
      <c r="A906" s="51"/>
      <c r="B906" s="51"/>
      <c r="C906" s="51"/>
      <c r="D906" s="52"/>
      <c r="E906" s="52"/>
      <c r="F906" s="52"/>
      <c r="G906" s="53"/>
      <c r="H906" s="54"/>
      <c r="J906" s="55"/>
    </row>
    <row r="907">
      <c r="A907" s="51"/>
      <c r="B907" s="51"/>
      <c r="C907" s="51"/>
      <c r="D907" s="52"/>
      <c r="E907" s="52"/>
      <c r="F907" s="52"/>
      <c r="G907" s="53"/>
      <c r="H907" s="54"/>
      <c r="J907" s="55"/>
    </row>
    <row r="908">
      <c r="A908" s="51"/>
      <c r="B908" s="51"/>
      <c r="C908" s="51"/>
      <c r="D908" s="52"/>
      <c r="E908" s="52"/>
      <c r="F908" s="52"/>
      <c r="G908" s="53"/>
      <c r="H908" s="54"/>
      <c r="J908" s="55"/>
    </row>
    <row r="909">
      <c r="A909" s="51"/>
      <c r="B909" s="51"/>
      <c r="C909" s="51"/>
      <c r="D909" s="52"/>
      <c r="E909" s="52"/>
      <c r="F909" s="52"/>
      <c r="G909" s="53"/>
      <c r="H909" s="54"/>
      <c r="J909" s="55"/>
    </row>
    <row r="910">
      <c r="A910" s="51"/>
      <c r="B910" s="51"/>
      <c r="C910" s="51"/>
      <c r="D910" s="52"/>
      <c r="E910" s="52"/>
      <c r="F910" s="52"/>
      <c r="G910" s="53"/>
      <c r="H910" s="54"/>
      <c r="J910" s="55"/>
    </row>
    <row r="911">
      <c r="A911" s="51"/>
      <c r="B911" s="51"/>
      <c r="C911" s="51"/>
      <c r="D911" s="52"/>
      <c r="E911" s="52"/>
      <c r="F911" s="52"/>
      <c r="G911" s="53"/>
      <c r="H911" s="54"/>
      <c r="J911" s="55"/>
    </row>
    <row r="912">
      <c r="A912" s="51"/>
      <c r="B912" s="51"/>
      <c r="C912" s="51"/>
      <c r="D912" s="52"/>
      <c r="E912" s="52"/>
      <c r="F912" s="52"/>
      <c r="G912" s="53"/>
      <c r="H912" s="54"/>
      <c r="J912" s="55"/>
    </row>
    <row r="913">
      <c r="A913" s="51"/>
      <c r="B913" s="51"/>
      <c r="C913" s="51"/>
      <c r="D913" s="52"/>
      <c r="E913" s="52"/>
      <c r="F913" s="52"/>
      <c r="G913" s="53"/>
      <c r="H913" s="54"/>
      <c r="J913" s="55"/>
    </row>
    <row r="914">
      <c r="A914" s="51"/>
      <c r="B914" s="51"/>
      <c r="C914" s="51"/>
      <c r="D914" s="52"/>
      <c r="E914" s="52"/>
      <c r="F914" s="52"/>
      <c r="G914" s="53"/>
      <c r="H914" s="54"/>
      <c r="J914" s="55"/>
    </row>
    <row r="915">
      <c r="A915" s="51"/>
      <c r="B915" s="51"/>
      <c r="C915" s="51"/>
      <c r="D915" s="52"/>
      <c r="E915" s="52"/>
      <c r="F915" s="52"/>
      <c r="G915" s="53"/>
      <c r="H915" s="54"/>
      <c r="J915" s="55"/>
    </row>
    <row r="916">
      <c r="A916" s="51"/>
      <c r="B916" s="51"/>
      <c r="C916" s="51"/>
      <c r="D916" s="52"/>
      <c r="E916" s="52"/>
      <c r="F916" s="52"/>
      <c r="G916" s="53"/>
      <c r="H916" s="54"/>
      <c r="J916" s="55"/>
    </row>
    <row r="917">
      <c r="A917" s="51"/>
      <c r="B917" s="51"/>
      <c r="C917" s="51"/>
      <c r="D917" s="52"/>
      <c r="E917" s="52"/>
      <c r="F917" s="52"/>
      <c r="G917" s="53"/>
      <c r="H917" s="54"/>
      <c r="J917" s="55"/>
    </row>
    <row r="918">
      <c r="A918" s="51"/>
      <c r="B918" s="51"/>
      <c r="C918" s="51"/>
      <c r="D918" s="52"/>
      <c r="E918" s="52"/>
      <c r="F918" s="52"/>
      <c r="G918" s="53"/>
      <c r="H918" s="54"/>
      <c r="J918" s="55"/>
    </row>
    <row r="919">
      <c r="A919" s="51"/>
      <c r="B919" s="51"/>
      <c r="C919" s="51"/>
      <c r="D919" s="52"/>
      <c r="E919" s="52"/>
      <c r="F919" s="52"/>
      <c r="G919" s="53"/>
      <c r="H919" s="54"/>
      <c r="J919" s="55"/>
    </row>
    <row r="920">
      <c r="A920" s="51"/>
      <c r="B920" s="51"/>
      <c r="C920" s="51"/>
      <c r="D920" s="52"/>
      <c r="E920" s="52"/>
      <c r="F920" s="52"/>
      <c r="G920" s="53"/>
      <c r="H920" s="54"/>
      <c r="J920" s="55"/>
    </row>
    <row r="921">
      <c r="A921" s="51"/>
      <c r="B921" s="51"/>
      <c r="C921" s="51"/>
      <c r="D921" s="52"/>
      <c r="E921" s="52"/>
      <c r="F921" s="52"/>
      <c r="G921" s="53"/>
      <c r="H921" s="54"/>
      <c r="J921" s="55"/>
    </row>
    <row r="922">
      <c r="A922" s="51"/>
      <c r="B922" s="51"/>
      <c r="C922" s="51"/>
      <c r="D922" s="52"/>
      <c r="E922" s="52"/>
      <c r="F922" s="52"/>
      <c r="G922" s="53"/>
      <c r="H922" s="54"/>
      <c r="J922" s="55"/>
    </row>
    <row r="923">
      <c r="A923" s="51"/>
      <c r="B923" s="51"/>
      <c r="C923" s="51"/>
      <c r="D923" s="52"/>
      <c r="E923" s="52"/>
      <c r="F923" s="52"/>
      <c r="G923" s="53"/>
      <c r="H923" s="54"/>
      <c r="J923" s="55"/>
    </row>
    <row r="924">
      <c r="A924" s="51"/>
      <c r="B924" s="51"/>
      <c r="C924" s="51"/>
      <c r="D924" s="52"/>
      <c r="E924" s="52"/>
      <c r="F924" s="52"/>
      <c r="G924" s="53"/>
      <c r="H924" s="54"/>
      <c r="J924" s="55"/>
    </row>
    <row r="925">
      <c r="A925" s="51"/>
      <c r="B925" s="51"/>
      <c r="C925" s="51"/>
      <c r="D925" s="52"/>
      <c r="E925" s="52"/>
      <c r="F925" s="52"/>
      <c r="G925" s="53"/>
      <c r="H925" s="54"/>
      <c r="J925" s="55"/>
    </row>
    <row r="926">
      <c r="A926" s="51"/>
      <c r="B926" s="51"/>
      <c r="C926" s="51"/>
      <c r="D926" s="52"/>
      <c r="E926" s="52"/>
      <c r="F926" s="52"/>
      <c r="G926" s="53"/>
      <c r="H926" s="54"/>
      <c r="J926" s="55"/>
    </row>
    <row r="927">
      <c r="A927" s="51"/>
      <c r="B927" s="51"/>
      <c r="C927" s="51"/>
      <c r="D927" s="52"/>
      <c r="E927" s="52"/>
      <c r="F927" s="52"/>
      <c r="G927" s="53"/>
      <c r="H927" s="54"/>
      <c r="J927" s="55"/>
    </row>
    <row r="928">
      <c r="A928" s="51"/>
      <c r="B928" s="51"/>
      <c r="C928" s="51"/>
      <c r="D928" s="52"/>
      <c r="E928" s="52"/>
      <c r="F928" s="52"/>
      <c r="G928" s="53"/>
      <c r="H928" s="54"/>
      <c r="J928" s="55"/>
    </row>
    <row r="929">
      <c r="A929" s="51"/>
      <c r="B929" s="51"/>
      <c r="C929" s="51"/>
      <c r="D929" s="52"/>
      <c r="E929" s="52"/>
      <c r="F929" s="52"/>
      <c r="G929" s="53"/>
      <c r="H929" s="54"/>
      <c r="J929" s="55"/>
    </row>
    <row r="930">
      <c r="A930" s="51"/>
      <c r="B930" s="51"/>
      <c r="C930" s="51"/>
      <c r="D930" s="52"/>
      <c r="E930" s="52"/>
      <c r="F930" s="52"/>
      <c r="G930" s="53"/>
      <c r="H930" s="54"/>
      <c r="J930" s="55"/>
    </row>
    <row r="931">
      <c r="A931" s="51"/>
      <c r="B931" s="51"/>
      <c r="C931" s="51"/>
      <c r="D931" s="52"/>
      <c r="E931" s="52"/>
      <c r="F931" s="52"/>
      <c r="G931" s="53"/>
      <c r="H931" s="54"/>
      <c r="J931" s="55"/>
    </row>
    <row r="932">
      <c r="A932" s="51"/>
      <c r="B932" s="51"/>
      <c r="C932" s="51"/>
      <c r="D932" s="52"/>
      <c r="E932" s="52"/>
      <c r="F932" s="52"/>
      <c r="G932" s="53"/>
      <c r="H932" s="54"/>
      <c r="J932" s="55"/>
    </row>
    <row r="933">
      <c r="A933" s="51"/>
      <c r="B933" s="51"/>
      <c r="C933" s="51"/>
      <c r="D933" s="52"/>
      <c r="E933" s="52"/>
      <c r="F933" s="52"/>
      <c r="G933" s="53"/>
      <c r="H933" s="54"/>
      <c r="J933" s="55"/>
    </row>
    <row r="934">
      <c r="A934" s="51"/>
      <c r="B934" s="51"/>
      <c r="C934" s="51"/>
      <c r="D934" s="52"/>
      <c r="E934" s="52"/>
      <c r="F934" s="52"/>
      <c r="G934" s="53"/>
      <c r="H934" s="54"/>
      <c r="J934" s="55"/>
    </row>
    <row r="935">
      <c r="A935" s="51"/>
      <c r="B935" s="51"/>
      <c r="C935" s="51"/>
      <c r="D935" s="52"/>
      <c r="E935" s="52"/>
      <c r="F935" s="52"/>
      <c r="G935" s="53"/>
      <c r="H935" s="54"/>
      <c r="J935" s="55"/>
    </row>
    <row r="936">
      <c r="A936" s="51"/>
      <c r="B936" s="51"/>
      <c r="C936" s="51"/>
      <c r="D936" s="52"/>
      <c r="E936" s="52"/>
      <c r="F936" s="52"/>
      <c r="G936" s="53"/>
      <c r="H936" s="54"/>
      <c r="J936" s="55"/>
    </row>
    <row r="937">
      <c r="A937" s="51"/>
      <c r="B937" s="51"/>
      <c r="C937" s="51"/>
      <c r="D937" s="52"/>
      <c r="E937" s="52"/>
      <c r="F937" s="52"/>
      <c r="G937" s="53"/>
      <c r="H937" s="54"/>
      <c r="J937" s="55"/>
    </row>
    <row r="938">
      <c r="A938" s="51"/>
      <c r="B938" s="51"/>
      <c r="C938" s="51"/>
      <c r="D938" s="52"/>
      <c r="E938" s="52"/>
      <c r="F938" s="52"/>
      <c r="G938" s="53"/>
      <c r="H938" s="54"/>
      <c r="J938" s="55"/>
    </row>
    <row r="939">
      <c r="A939" s="51"/>
      <c r="B939" s="51"/>
      <c r="C939" s="51"/>
      <c r="D939" s="52"/>
      <c r="E939" s="52"/>
      <c r="F939" s="52"/>
      <c r="G939" s="53"/>
      <c r="H939" s="54"/>
      <c r="J939" s="55"/>
    </row>
    <row r="940">
      <c r="A940" s="51"/>
      <c r="B940" s="51"/>
      <c r="C940" s="51"/>
      <c r="D940" s="52"/>
      <c r="E940" s="52"/>
      <c r="F940" s="52"/>
      <c r="G940" s="53"/>
      <c r="H940" s="54"/>
      <c r="J940" s="55"/>
    </row>
    <row r="941">
      <c r="A941" s="51"/>
      <c r="B941" s="51"/>
      <c r="C941" s="51"/>
      <c r="D941" s="52"/>
      <c r="E941" s="52"/>
      <c r="F941" s="52"/>
      <c r="G941" s="53"/>
      <c r="H941" s="54"/>
      <c r="J941" s="55"/>
    </row>
    <row r="942">
      <c r="A942" s="51"/>
      <c r="B942" s="51"/>
      <c r="C942" s="51"/>
      <c r="D942" s="52"/>
      <c r="E942" s="52"/>
      <c r="F942" s="52"/>
      <c r="G942" s="53"/>
      <c r="H942" s="54"/>
      <c r="J942" s="55"/>
    </row>
    <row r="943">
      <c r="A943" s="51"/>
      <c r="B943" s="51"/>
      <c r="C943" s="51"/>
      <c r="D943" s="52"/>
      <c r="E943" s="52"/>
      <c r="F943" s="52"/>
      <c r="G943" s="53"/>
      <c r="H943" s="54"/>
      <c r="J943" s="55"/>
    </row>
    <row r="944">
      <c r="A944" s="51"/>
      <c r="B944" s="51"/>
      <c r="C944" s="51"/>
      <c r="D944" s="52"/>
      <c r="E944" s="52"/>
      <c r="F944" s="52"/>
      <c r="G944" s="53"/>
      <c r="H944" s="54"/>
      <c r="J944" s="55"/>
    </row>
    <row r="945">
      <c r="A945" s="51"/>
      <c r="B945" s="51"/>
      <c r="C945" s="51"/>
      <c r="D945" s="52"/>
      <c r="E945" s="52"/>
      <c r="F945" s="52"/>
      <c r="G945" s="53"/>
      <c r="H945" s="54"/>
      <c r="J945" s="55"/>
    </row>
    <row r="946">
      <c r="A946" s="51"/>
      <c r="B946" s="51"/>
      <c r="C946" s="51"/>
      <c r="D946" s="52"/>
      <c r="E946" s="52"/>
      <c r="F946" s="52"/>
      <c r="G946" s="53"/>
      <c r="H946" s="54"/>
      <c r="J946" s="55"/>
    </row>
    <row r="947">
      <c r="A947" s="51"/>
      <c r="B947" s="51"/>
      <c r="C947" s="51"/>
      <c r="D947" s="52"/>
      <c r="E947" s="52"/>
      <c r="F947" s="52"/>
      <c r="G947" s="53"/>
      <c r="H947" s="54"/>
      <c r="J947" s="55"/>
    </row>
    <row r="948">
      <c r="A948" s="51"/>
      <c r="B948" s="51"/>
      <c r="C948" s="51"/>
      <c r="D948" s="52"/>
      <c r="E948" s="52"/>
      <c r="F948" s="52"/>
      <c r="G948" s="53"/>
      <c r="H948" s="54"/>
      <c r="J948" s="55"/>
    </row>
    <row r="949">
      <c r="A949" s="51"/>
      <c r="B949" s="51"/>
      <c r="C949" s="51"/>
      <c r="D949" s="52"/>
      <c r="E949" s="52"/>
      <c r="F949" s="52"/>
      <c r="G949" s="53"/>
      <c r="H949" s="54"/>
      <c r="J949" s="55"/>
    </row>
    <row r="950">
      <c r="A950" s="51"/>
      <c r="B950" s="51"/>
      <c r="C950" s="51"/>
      <c r="D950" s="52"/>
      <c r="E950" s="52"/>
      <c r="F950" s="52"/>
      <c r="G950" s="53"/>
      <c r="H950" s="54"/>
      <c r="J950" s="55"/>
    </row>
    <row r="951">
      <c r="A951" s="51"/>
      <c r="B951" s="51"/>
      <c r="C951" s="51"/>
      <c r="D951" s="52"/>
      <c r="E951" s="52"/>
      <c r="F951" s="52"/>
      <c r="G951" s="53"/>
      <c r="H951" s="54"/>
      <c r="J951" s="55"/>
    </row>
    <row r="952">
      <c r="A952" s="51"/>
      <c r="B952" s="51"/>
      <c r="C952" s="51"/>
      <c r="D952" s="52"/>
      <c r="E952" s="52"/>
      <c r="F952" s="52"/>
      <c r="G952" s="53"/>
      <c r="H952" s="54"/>
      <c r="J952" s="55"/>
    </row>
    <row r="953">
      <c r="A953" s="51"/>
      <c r="B953" s="51"/>
      <c r="C953" s="51"/>
      <c r="D953" s="52"/>
      <c r="E953" s="52"/>
      <c r="F953" s="52"/>
      <c r="G953" s="53"/>
      <c r="H953" s="54"/>
      <c r="J953" s="55"/>
    </row>
    <row r="954">
      <c r="A954" s="51"/>
      <c r="B954" s="51"/>
      <c r="C954" s="51"/>
      <c r="D954" s="52"/>
      <c r="E954" s="52"/>
      <c r="F954" s="52"/>
      <c r="G954" s="53"/>
      <c r="H954" s="54"/>
      <c r="J954" s="55"/>
    </row>
    <row r="955">
      <c r="A955" s="51"/>
      <c r="B955" s="51"/>
      <c r="C955" s="51"/>
      <c r="D955" s="52"/>
      <c r="E955" s="52"/>
      <c r="F955" s="52"/>
      <c r="G955" s="53"/>
      <c r="H955" s="54"/>
      <c r="J955" s="55"/>
    </row>
    <row r="956">
      <c r="A956" s="51"/>
      <c r="B956" s="51"/>
      <c r="C956" s="51"/>
      <c r="D956" s="52"/>
      <c r="E956" s="52"/>
      <c r="F956" s="52"/>
      <c r="G956" s="53"/>
      <c r="H956" s="54"/>
      <c r="J956" s="55"/>
    </row>
    <row r="957">
      <c r="A957" s="51"/>
      <c r="B957" s="51"/>
      <c r="C957" s="51"/>
      <c r="D957" s="52"/>
      <c r="E957" s="52"/>
      <c r="F957" s="52"/>
      <c r="G957" s="53"/>
      <c r="H957" s="54"/>
      <c r="J957" s="55"/>
    </row>
    <row r="958">
      <c r="A958" s="51"/>
      <c r="B958" s="51"/>
      <c r="C958" s="51"/>
      <c r="D958" s="52"/>
      <c r="E958" s="52"/>
      <c r="F958" s="52"/>
      <c r="G958" s="53"/>
      <c r="H958" s="54"/>
      <c r="J958" s="55"/>
    </row>
    <row r="959">
      <c r="A959" s="51"/>
      <c r="B959" s="51"/>
      <c r="C959" s="51"/>
      <c r="D959" s="52"/>
      <c r="E959" s="52"/>
      <c r="F959" s="52"/>
      <c r="G959" s="53"/>
      <c r="H959" s="54"/>
      <c r="J959" s="55"/>
    </row>
    <row r="960">
      <c r="A960" s="51"/>
      <c r="B960" s="51"/>
      <c r="C960" s="51"/>
      <c r="D960" s="52"/>
      <c r="E960" s="52"/>
      <c r="F960" s="52"/>
      <c r="G960" s="53"/>
      <c r="H960" s="54"/>
      <c r="J960" s="55"/>
    </row>
    <row r="961">
      <c r="A961" s="51"/>
      <c r="B961" s="51"/>
      <c r="C961" s="51"/>
      <c r="D961" s="52"/>
      <c r="E961" s="52"/>
      <c r="F961" s="52"/>
      <c r="G961" s="53"/>
      <c r="H961" s="54"/>
      <c r="J961" s="55"/>
    </row>
    <row r="962">
      <c r="A962" s="51"/>
      <c r="B962" s="51"/>
      <c r="C962" s="51"/>
      <c r="D962" s="52"/>
      <c r="E962" s="52"/>
      <c r="F962" s="52"/>
      <c r="G962" s="53"/>
      <c r="H962" s="54"/>
      <c r="J962" s="55"/>
    </row>
    <row r="963">
      <c r="A963" s="51"/>
      <c r="B963" s="51"/>
      <c r="C963" s="51"/>
      <c r="D963" s="52"/>
      <c r="E963" s="52"/>
      <c r="F963" s="52"/>
      <c r="G963" s="53"/>
      <c r="H963" s="54"/>
      <c r="J963" s="55"/>
    </row>
    <row r="964">
      <c r="A964" s="51"/>
      <c r="B964" s="51"/>
      <c r="C964" s="51"/>
      <c r="D964" s="52"/>
      <c r="E964" s="52"/>
      <c r="F964" s="52"/>
      <c r="G964" s="53"/>
      <c r="H964" s="54"/>
      <c r="J964" s="55"/>
    </row>
    <row r="965">
      <c r="A965" s="51"/>
      <c r="B965" s="51"/>
      <c r="C965" s="51"/>
      <c r="D965" s="52"/>
      <c r="E965" s="52"/>
      <c r="F965" s="52"/>
      <c r="G965" s="53"/>
      <c r="H965" s="54"/>
      <c r="J965" s="55"/>
    </row>
    <row r="966">
      <c r="A966" s="51"/>
      <c r="B966" s="51"/>
      <c r="C966" s="51"/>
      <c r="D966" s="52"/>
      <c r="E966" s="52"/>
      <c r="F966" s="52"/>
      <c r="G966" s="53"/>
      <c r="H966" s="54"/>
      <c r="J966" s="55"/>
    </row>
    <row r="967">
      <c r="A967" s="51"/>
      <c r="B967" s="51"/>
      <c r="C967" s="51"/>
      <c r="D967" s="52"/>
      <c r="E967" s="52"/>
      <c r="F967" s="52"/>
      <c r="G967" s="53"/>
      <c r="H967" s="54"/>
      <c r="J967" s="55"/>
    </row>
    <row r="968">
      <c r="A968" s="51"/>
      <c r="B968" s="51"/>
      <c r="C968" s="51"/>
      <c r="D968" s="52"/>
      <c r="E968" s="52"/>
      <c r="F968" s="52"/>
      <c r="G968" s="53"/>
      <c r="H968" s="54"/>
      <c r="J968" s="55"/>
    </row>
    <row r="969">
      <c r="A969" s="51"/>
      <c r="B969" s="51"/>
      <c r="C969" s="51"/>
      <c r="D969" s="52"/>
      <c r="E969" s="52"/>
      <c r="F969" s="52"/>
      <c r="G969" s="53"/>
      <c r="H969" s="54"/>
      <c r="J969" s="55"/>
    </row>
    <row r="970">
      <c r="A970" s="51"/>
      <c r="B970" s="51"/>
      <c r="C970" s="51"/>
      <c r="D970" s="52"/>
      <c r="E970" s="52"/>
      <c r="F970" s="52"/>
      <c r="G970" s="53"/>
      <c r="H970" s="54"/>
      <c r="J970" s="55"/>
    </row>
    <row r="971">
      <c r="A971" s="51"/>
      <c r="B971" s="51"/>
      <c r="C971" s="51"/>
      <c r="D971" s="52"/>
      <c r="E971" s="52"/>
      <c r="F971" s="52"/>
      <c r="G971" s="53"/>
      <c r="H971" s="54"/>
      <c r="J971" s="55"/>
    </row>
    <row r="972">
      <c r="A972" s="51"/>
      <c r="B972" s="51"/>
      <c r="C972" s="51"/>
      <c r="D972" s="52"/>
      <c r="E972" s="52"/>
      <c r="F972" s="52"/>
      <c r="G972" s="53"/>
      <c r="H972" s="54"/>
      <c r="J972" s="55"/>
    </row>
    <row r="973">
      <c r="A973" s="51"/>
      <c r="B973" s="51"/>
      <c r="C973" s="51"/>
      <c r="D973" s="52"/>
      <c r="E973" s="52"/>
      <c r="F973" s="52"/>
      <c r="G973" s="53"/>
      <c r="H973" s="54"/>
      <c r="J973" s="55"/>
    </row>
    <row r="974">
      <c r="A974" s="51"/>
      <c r="B974" s="51"/>
      <c r="C974" s="51"/>
      <c r="D974" s="52"/>
      <c r="E974" s="52"/>
      <c r="F974" s="52"/>
      <c r="G974" s="53"/>
      <c r="H974" s="54"/>
      <c r="J974" s="55"/>
    </row>
    <row r="975">
      <c r="A975" s="51"/>
      <c r="B975" s="51"/>
      <c r="C975" s="51"/>
      <c r="D975" s="52"/>
      <c r="E975" s="52"/>
      <c r="F975" s="52"/>
      <c r="G975" s="53"/>
      <c r="H975" s="54"/>
      <c r="J975" s="55"/>
    </row>
    <row r="976">
      <c r="A976" s="51"/>
      <c r="B976" s="51"/>
      <c r="C976" s="51"/>
      <c r="D976" s="52"/>
      <c r="E976" s="52"/>
      <c r="F976" s="52"/>
      <c r="G976" s="53"/>
      <c r="H976" s="54"/>
      <c r="J976" s="55"/>
    </row>
    <row r="977">
      <c r="A977" s="51"/>
      <c r="B977" s="51"/>
      <c r="C977" s="51"/>
      <c r="D977" s="52"/>
      <c r="E977" s="52"/>
      <c r="F977" s="52"/>
      <c r="G977" s="53"/>
      <c r="H977" s="54"/>
      <c r="J977" s="55"/>
    </row>
    <row r="978">
      <c r="A978" s="51"/>
      <c r="B978" s="51"/>
      <c r="C978" s="51"/>
      <c r="D978" s="52"/>
      <c r="E978" s="52"/>
      <c r="F978" s="52"/>
      <c r="G978" s="53"/>
      <c r="H978" s="54"/>
      <c r="J978" s="55"/>
    </row>
    <row r="979">
      <c r="A979" s="51"/>
      <c r="B979" s="51"/>
      <c r="C979" s="51"/>
      <c r="D979" s="52"/>
      <c r="E979" s="52"/>
      <c r="F979" s="52"/>
      <c r="G979" s="53"/>
      <c r="H979" s="54"/>
      <c r="J979" s="55"/>
    </row>
    <row r="980">
      <c r="A980" s="51"/>
      <c r="B980" s="51"/>
      <c r="C980" s="51"/>
      <c r="D980" s="52"/>
      <c r="E980" s="52"/>
      <c r="F980" s="52"/>
      <c r="G980" s="53"/>
      <c r="H980" s="54"/>
      <c r="J980" s="55"/>
    </row>
    <row r="981">
      <c r="A981" s="51"/>
      <c r="B981" s="51"/>
      <c r="C981" s="51"/>
      <c r="D981" s="52"/>
      <c r="E981" s="52"/>
      <c r="F981" s="52"/>
      <c r="G981" s="53"/>
      <c r="H981" s="54"/>
      <c r="J981" s="55"/>
    </row>
    <row r="982">
      <c r="A982" s="51"/>
      <c r="B982" s="51"/>
      <c r="C982" s="51"/>
      <c r="D982" s="52"/>
      <c r="E982" s="52"/>
      <c r="F982" s="52"/>
      <c r="G982" s="53"/>
      <c r="H982" s="54"/>
      <c r="J982" s="55"/>
    </row>
    <row r="983">
      <c r="A983" s="51"/>
      <c r="B983" s="51"/>
      <c r="C983" s="51"/>
      <c r="D983" s="52"/>
      <c r="E983" s="52"/>
      <c r="F983" s="52"/>
      <c r="G983" s="53"/>
      <c r="H983" s="54"/>
      <c r="J983" s="55"/>
    </row>
    <row r="984">
      <c r="A984" s="51"/>
      <c r="B984" s="51"/>
      <c r="C984" s="51"/>
      <c r="D984" s="52"/>
      <c r="E984" s="52"/>
      <c r="F984" s="52"/>
      <c r="G984" s="53"/>
      <c r="H984" s="54"/>
      <c r="J984" s="55"/>
    </row>
    <row r="985">
      <c r="A985" s="51"/>
      <c r="B985" s="51"/>
      <c r="C985" s="51"/>
      <c r="D985" s="52"/>
      <c r="E985" s="52"/>
      <c r="F985" s="52"/>
      <c r="G985" s="53"/>
      <c r="H985" s="54"/>
      <c r="J985" s="55"/>
    </row>
    <row r="986">
      <c r="A986" s="51"/>
      <c r="B986" s="51"/>
      <c r="C986" s="51"/>
      <c r="D986" s="52"/>
      <c r="E986" s="52"/>
      <c r="F986" s="52"/>
      <c r="G986" s="53"/>
      <c r="H986" s="54"/>
      <c r="J986" s="55"/>
    </row>
    <row r="987">
      <c r="A987" s="51"/>
      <c r="B987" s="51"/>
      <c r="C987" s="51"/>
      <c r="D987" s="52"/>
      <c r="E987" s="52"/>
      <c r="F987" s="52"/>
      <c r="G987" s="53"/>
      <c r="H987" s="54"/>
      <c r="J987" s="55"/>
    </row>
    <row r="988">
      <c r="A988" s="51"/>
      <c r="B988" s="51"/>
      <c r="C988" s="51"/>
      <c r="D988" s="52"/>
      <c r="E988" s="52"/>
      <c r="F988" s="52"/>
      <c r="G988" s="53"/>
      <c r="H988" s="54"/>
      <c r="J988" s="55"/>
    </row>
    <row r="989">
      <c r="A989" s="51"/>
      <c r="B989" s="51"/>
      <c r="C989" s="51"/>
      <c r="D989" s="52"/>
      <c r="E989" s="52"/>
      <c r="F989" s="52"/>
      <c r="G989" s="53"/>
      <c r="H989" s="54"/>
      <c r="J989" s="55"/>
    </row>
    <row r="990">
      <c r="A990" s="51"/>
      <c r="B990" s="51"/>
      <c r="C990" s="51"/>
      <c r="D990" s="52"/>
      <c r="E990" s="52"/>
      <c r="F990" s="52"/>
      <c r="G990" s="53"/>
      <c r="H990" s="54"/>
      <c r="J990" s="55"/>
    </row>
    <row r="991">
      <c r="A991" s="51"/>
      <c r="B991" s="51"/>
      <c r="C991" s="51"/>
      <c r="D991" s="52"/>
      <c r="E991" s="52"/>
      <c r="F991" s="52"/>
      <c r="G991" s="53"/>
      <c r="H991" s="54"/>
      <c r="J991" s="55"/>
    </row>
    <row r="992">
      <c r="A992" s="51"/>
      <c r="B992" s="51"/>
      <c r="C992" s="51"/>
      <c r="D992" s="52"/>
      <c r="E992" s="52"/>
      <c r="F992" s="52"/>
      <c r="G992" s="53"/>
      <c r="H992" s="54"/>
      <c r="J992" s="55"/>
    </row>
    <row r="993">
      <c r="A993" s="51"/>
      <c r="B993" s="51"/>
      <c r="C993" s="51"/>
      <c r="D993" s="52"/>
      <c r="E993" s="52"/>
      <c r="F993" s="52"/>
      <c r="G993" s="53"/>
      <c r="H993" s="54"/>
      <c r="J993" s="55"/>
    </row>
    <row r="994">
      <c r="A994" s="51"/>
      <c r="B994" s="51"/>
      <c r="C994" s="51"/>
      <c r="D994" s="52"/>
      <c r="E994" s="52"/>
      <c r="F994" s="52"/>
      <c r="G994" s="53"/>
      <c r="H994" s="54"/>
      <c r="J994" s="55"/>
    </row>
    <row r="995">
      <c r="A995" s="51"/>
      <c r="B995" s="51"/>
      <c r="C995" s="51"/>
      <c r="D995" s="52"/>
      <c r="E995" s="52"/>
      <c r="F995" s="52"/>
      <c r="G995" s="53"/>
      <c r="H995" s="54"/>
      <c r="J995" s="55"/>
    </row>
    <row r="996">
      <c r="A996" s="51"/>
      <c r="B996" s="51"/>
      <c r="C996" s="51"/>
      <c r="D996" s="52"/>
      <c r="E996" s="52"/>
      <c r="F996" s="52"/>
      <c r="G996" s="53"/>
      <c r="H996" s="54"/>
      <c r="J996" s="55"/>
    </row>
    <row r="997">
      <c r="A997" s="51"/>
      <c r="B997" s="51"/>
      <c r="C997" s="51"/>
      <c r="D997" s="52"/>
      <c r="E997" s="52"/>
      <c r="F997" s="52"/>
      <c r="G997" s="53"/>
      <c r="H997" s="54"/>
      <c r="J997" s="55"/>
    </row>
    <row r="998">
      <c r="A998" s="51"/>
      <c r="B998" s="51"/>
      <c r="C998" s="51"/>
      <c r="D998" s="52"/>
      <c r="E998" s="52"/>
      <c r="F998" s="52"/>
      <c r="G998" s="53"/>
      <c r="H998" s="54"/>
      <c r="J998" s="55"/>
    </row>
  </sheetData>
  <customSheetViews>
    <customSheetView guid="{8F60E62B-6915-430C-A95D-8E28C7459DA1}" filter="1" showAutoFilter="1">
      <autoFilter ref="$A$1:$H$998"/>
    </customSheetView>
  </customSheetViews>
  <conditionalFormatting sqref="J2:J197">
    <cfRule type="notContainsText" dxfId="0" priority="1" operator="notContains" text="0">
      <formula>ISERROR(SEARCH(("0"),(J2)))</formula>
    </cfRule>
  </conditionalFormatting>
  <conditionalFormatting sqref="K154">
    <cfRule type="notContainsBlanks" dxfId="1" priority="2">
      <formula>LEN(TRIM(K154))&gt;0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2.0"/>
    <col customWidth="1" min="6" max="6" width="33.63"/>
    <col customWidth="1" min="10" max="10" width="11.5"/>
  </cols>
  <sheetData>
    <row r="1">
      <c r="A1" s="56" t="s">
        <v>228</v>
      </c>
      <c r="B1" s="56" t="s">
        <v>229</v>
      </c>
      <c r="C1" s="56" t="s">
        <v>230</v>
      </c>
      <c r="D1" s="56" t="s">
        <v>231</v>
      </c>
      <c r="E1" s="56" t="s">
        <v>232</v>
      </c>
      <c r="F1" s="57" t="s">
        <v>233</v>
      </c>
      <c r="G1" s="56" t="s">
        <v>230</v>
      </c>
      <c r="H1" s="56" t="s">
        <v>231</v>
      </c>
      <c r="I1" s="56" t="s">
        <v>232</v>
      </c>
      <c r="J1" s="58" t="s">
        <v>234</v>
      </c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>
      <c r="A2" s="60" t="s">
        <v>19</v>
      </c>
      <c r="B2" s="61">
        <f>AVERAGEIF('Weights, Changes and Percentage'!$C$2:$C$998,A2,'Weights, Changes and Percentage'!$F$2:$F$998)</f>
        <v>12.02857143</v>
      </c>
      <c r="C2" s="61">
        <f>MINIFS('Weights, Changes and Percentage'!$F$2:$F$998,'Weights, Changes and Percentage'!$C$2:$C$998,A2)</f>
        <v>7.2</v>
      </c>
      <c r="D2" s="61">
        <f>MAXIFS('Weights, Changes and Percentage'!$F$2:$F$998,'Weights, Changes and Percentage'!$C$2:$C$998,A2)</f>
        <v>16.7</v>
      </c>
      <c r="E2" s="61">
        <f>IFERROR(__xludf.DUMMYFUNCTION("STDEV(FILTER('Weights, Changes and Percentage'!$F$2:$F$998,'Weights, Changes and Percentage'!$C$2:$C$998=A2))"),3.1017187720132435)</f>
        <v>3.101718772</v>
      </c>
      <c r="F2" s="61">
        <f>AVERAGEIF('Weights, Changes and Percentage'!$C$2:$C$998,A2,'Weights, Changes and Percentage'!$G$2:$G$998)</f>
        <v>10.42106472</v>
      </c>
      <c r="G2" s="61">
        <f>MINIFS('Weights, Changes and Percentage'!$G$2:$G$998,'Weights, Changes and Percentage'!$C$2:$C$998,A2)</f>
        <v>6.206896552</v>
      </c>
      <c r="H2" s="61">
        <f>MAXIFS('Weights, Changes and Percentage'!$G$2:$G$998,'Weights, Changes and Percentage'!$C$2:$C$998,A2)</f>
        <v>14.45887446</v>
      </c>
      <c r="I2" s="61">
        <f>IFERROR(__xludf.DUMMYFUNCTION("STDEV(FILTER('Weights, Changes and Percentage'!$G$2:$G$998,'Weights, Changes and Percentage'!$C$2:$C$998=A2))"),2.6929952229619567)</f>
        <v>2.692995223</v>
      </c>
      <c r="J2" s="62">
        <f>COUNTIFS('Weights, Changes and Percentage'!$C$2:$C$998,A2)</f>
        <v>14</v>
      </c>
      <c r="K2" s="59"/>
      <c r="L2" s="59"/>
      <c r="M2" s="59"/>
      <c r="N2" s="59"/>
      <c r="O2" s="59"/>
      <c r="P2" s="59"/>
      <c r="Q2" s="63"/>
      <c r="R2" s="63"/>
      <c r="S2" s="63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</row>
    <row r="3">
      <c r="A3" s="64" t="s">
        <v>11</v>
      </c>
      <c r="B3" s="61">
        <f>AVERAGEIF('Weights, Changes and Percentage'!$C$2:$C$998,A3,'Weights, Changes and Percentage'!$F$2:$F$998)</f>
        <v>17.48</v>
      </c>
      <c r="C3" s="61">
        <f>MINIFS('Weights, Changes and Percentage'!$F$2:$F$998,'Weights, Changes and Percentage'!$C$2:$C$998,A3)</f>
        <v>12.2</v>
      </c>
      <c r="D3" s="61">
        <f>MAXIFS('Weights, Changes and Percentage'!$F$2:$F$998,'Weights, Changes and Percentage'!$C$2:$C$998,A3)</f>
        <v>21.9</v>
      </c>
      <c r="E3" s="61">
        <f>IFERROR(__xludf.DUMMYFUNCTION("STDEV(FILTER('Weights, Changes and Percentage'!$F$2:$F$998,'Weights, Changes and Percentage'!$C$2:$C$998=A3))"),3.1015408357065963)</f>
        <v>3.101540836</v>
      </c>
      <c r="F3" s="61">
        <f>AVERAGEIF('Weights, Changes and Percentage'!$C$2:$C$998,A3,'Weights, Changes and Percentage'!$G$2:$G$998)</f>
        <v>13.97173394</v>
      </c>
      <c r="G3" s="61">
        <f>MINIFS('Weights, Changes and Percentage'!$G$2:$G$998,'Weights, Changes and Percentage'!$C$2:$C$998,A3)</f>
        <v>9.838709677</v>
      </c>
      <c r="H3" s="61">
        <f>MAXIFS('Weights, Changes and Percentage'!$G$2:$G$998,'Weights, Changes and Percentage'!$C$2:$C$998,A3)</f>
        <v>17.4501992</v>
      </c>
      <c r="I3" s="61">
        <f>IFERROR(__xludf.DUMMYFUNCTION("STDEV(FILTER('Weights, Changes and Percentage'!$G$2:$G$998,'Weights, Changes and Percentage'!$C$2:$C$998=A3))"),2.4387354667287173)</f>
        <v>2.438735467</v>
      </c>
      <c r="J3" s="62">
        <f>COUNTIFS('Weights, Changes and Percentage'!$C$2:$C$998,A3)</f>
        <v>10</v>
      </c>
      <c r="K3" s="59"/>
      <c r="L3" s="59"/>
      <c r="M3" s="59"/>
      <c r="N3" s="59"/>
      <c r="O3" s="59"/>
      <c r="P3" s="59"/>
      <c r="Q3" s="63"/>
      <c r="R3" s="63"/>
      <c r="S3" s="63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</row>
    <row r="4">
      <c r="A4" s="60" t="s">
        <v>121</v>
      </c>
      <c r="B4" s="61">
        <f>AVERAGEIF('Weights, Changes and Percentage'!$C$2:$C$998,A4,'Weights, Changes and Percentage'!$F$2:$F$998)</f>
        <v>10.9</v>
      </c>
      <c r="C4" s="61">
        <f>MINIFS('Weights, Changes and Percentage'!$F$2:$F$998,'Weights, Changes and Percentage'!$C$2:$C$998,A4)</f>
        <v>4.7</v>
      </c>
      <c r="D4" s="61">
        <f>MAXIFS('Weights, Changes and Percentage'!$F$2:$F$998,'Weights, Changes and Percentage'!$C$2:$C$998,A4)</f>
        <v>19.6</v>
      </c>
      <c r="E4" s="61">
        <f>IFERROR(__xludf.DUMMYFUNCTION("STDEV(FILTER('Weights, Changes and Percentage'!$F$2:$F$998,'Weights, Changes and Percentage'!$C$2:$C$998=A4))"),4.20611799304639)</f>
        <v>4.206117993</v>
      </c>
      <c r="F4" s="61">
        <f>AVERAGEIF('Weights, Changes and Percentage'!$C$2:$C$998,A4,'Weights, Changes and Percentage'!$G$2:$G$998)</f>
        <v>8.690807053</v>
      </c>
      <c r="G4" s="61">
        <f>MINIFS('Weights, Changes and Percentage'!$G$2:$G$998,'Weights, Changes and Percentage'!$C$2:$C$998,A4)</f>
        <v>3.74501992</v>
      </c>
      <c r="H4" s="61">
        <f>MAXIFS('Weights, Changes and Percentage'!$G$2:$G$998,'Weights, Changes and Percentage'!$C$2:$C$998,A4)</f>
        <v>15.55555556</v>
      </c>
      <c r="I4" s="61">
        <f>IFERROR(__xludf.DUMMYFUNCTION("STDEV(FILTER('Weights, Changes and Percentage'!$G$2:$G$998,'Weights, Changes and Percentage'!$C$2:$C$998=A4))"),3.334801977359628)</f>
        <v>3.334801977</v>
      </c>
      <c r="J4" s="62">
        <f>COUNTIFS('Weights, Changes and Percentage'!$C$2:$C$998,A4)</f>
        <v>8</v>
      </c>
      <c r="K4" s="59"/>
      <c r="L4" s="59"/>
      <c r="M4" s="59"/>
      <c r="N4" s="59"/>
      <c r="O4" s="59"/>
      <c r="P4" s="59"/>
      <c r="Q4" s="63"/>
      <c r="R4" s="63"/>
      <c r="S4" s="63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</row>
    <row r="5">
      <c r="A5" s="64" t="s">
        <v>14</v>
      </c>
      <c r="B5" s="61">
        <f>AVERAGEIF('Weights, Changes and Percentage'!$C$2:$C$998,A5,'Weights, Changes and Percentage'!$F$2:$F$998)</f>
        <v>16.87173913</v>
      </c>
      <c r="C5" s="61">
        <f>MINIFS('Weights, Changes and Percentage'!$F$2:$F$998,'Weights, Changes and Percentage'!$C$2:$C$998,A5)</f>
        <v>7.3</v>
      </c>
      <c r="D5" s="61">
        <f>MAXIFS('Weights, Changes and Percentage'!$F$2:$F$998,'Weights, Changes and Percentage'!$C$2:$C$998,A5)</f>
        <v>23.5</v>
      </c>
      <c r="E5" s="61">
        <f>IFERROR(__xludf.DUMMYFUNCTION("STDEV(FILTER('Weights, Changes and Percentage'!$F$2:$F$998,'Weights, Changes and Percentage'!$C$2:$C$998=A5))"),4.0561976197462055)</f>
        <v>4.05619762</v>
      </c>
      <c r="F5" s="61">
        <f>AVERAGEIF('Weights, Changes and Percentage'!$C$2:$C$998,A5,'Weights, Changes and Percentage'!$G$2:$G$998)</f>
        <v>12.46287766</v>
      </c>
      <c r="G5" s="61">
        <f>MINIFS('Weights, Changes and Percentage'!$G$2:$G$998,'Weights, Changes and Percentage'!$C$2:$C$998,A5)</f>
        <v>5.419450631</v>
      </c>
      <c r="H5" s="61">
        <f>MAXIFS('Weights, Changes and Percentage'!$G$2:$G$998,'Weights, Changes and Percentage'!$C$2:$C$998,A5)</f>
        <v>17.34317343</v>
      </c>
      <c r="I5" s="61">
        <f>IFERROR(__xludf.DUMMYFUNCTION("STDEV(FILTER('Weights, Changes and Percentage'!$G$2:$G$998,'Weights, Changes and Percentage'!$C$2:$C$998=A5))"),3.004015967595045)</f>
        <v>3.004015968</v>
      </c>
      <c r="J5" s="62">
        <f>COUNTIFS('Weights, Changes and Percentage'!$C$2:$C$998,A5)</f>
        <v>46</v>
      </c>
      <c r="K5" s="59"/>
      <c r="L5" s="59"/>
      <c r="M5" s="59"/>
      <c r="N5" s="59"/>
      <c r="O5" s="59"/>
      <c r="P5" s="59"/>
      <c r="Q5" s="63"/>
      <c r="R5" s="63"/>
      <c r="S5" s="63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</row>
    <row r="6">
      <c r="A6" s="60" t="s">
        <v>77</v>
      </c>
      <c r="B6" s="61">
        <f>AVERAGEIF('Weights, Changes and Percentage'!$C$2:$C$998,A6,'Weights, Changes and Percentage'!$F$2:$F$998)</f>
        <v>14.4</v>
      </c>
      <c r="C6" s="61">
        <f>MINIFS('Weights, Changes and Percentage'!$F$2:$F$998,'Weights, Changes and Percentage'!$C$2:$C$998,A6)</f>
        <v>6.7</v>
      </c>
      <c r="D6" s="61">
        <f>MAXIFS('Weights, Changes and Percentage'!$F$2:$F$998,'Weights, Changes and Percentage'!$C$2:$C$998,A6)</f>
        <v>24</v>
      </c>
      <c r="E6" s="61">
        <f>IFERROR(__xludf.DUMMYFUNCTION("STDEV(FILTER('Weights, Changes and Percentage'!$F$2:$F$998,'Weights, Changes and Percentage'!$C$2:$C$998=A6))"),6.047904005285044)</f>
        <v>6.047904005</v>
      </c>
      <c r="F6" s="61">
        <f>AVERAGEIF('Weights, Changes and Percentage'!$C$2:$C$998,A6,'Weights, Changes and Percentage'!$G$2:$G$998)</f>
        <v>10.6415499</v>
      </c>
      <c r="G6" s="61">
        <f>MINIFS('Weights, Changes and Percentage'!$G$2:$G$998,'Weights, Changes and Percentage'!$C$2:$C$998,A6)</f>
        <v>4.944649446</v>
      </c>
      <c r="H6" s="61">
        <f>MAXIFS('Weights, Changes and Percentage'!$G$2:$G$998,'Weights, Changes and Percentage'!$C$2:$C$998,A6)</f>
        <v>17.77777778</v>
      </c>
      <c r="I6" s="61">
        <f>IFERROR(__xludf.DUMMYFUNCTION("STDEV(FILTER('Weights, Changes and Percentage'!$G$2:$G$998,'Weights, Changes and Percentage'!$C$2:$C$998=A6))"),4.481703548786274)</f>
        <v>4.481703549</v>
      </c>
      <c r="J6" s="62">
        <f>COUNTIFS('Weights, Changes and Percentage'!$C$2:$C$998,A6)</f>
        <v>8</v>
      </c>
      <c r="K6" s="59"/>
      <c r="L6" s="59"/>
      <c r="M6" s="59"/>
      <c r="N6" s="59"/>
      <c r="O6" s="59"/>
      <c r="P6" s="59"/>
      <c r="Q6" s="63"/>
      <c r="R6" s="63"/>
      <c r="S6" s="63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</row>
    <row r="7">
      <c r="A7" s="64" t="s">
        <v>17</v>
      </c>
      <c r="B7" s="61">
        <f>AVERAGEIF('Weights, Changes and Percentage'!$C$2:$C$998,A7,'Weights, Changes and Percentage'!$F$2:$F$998)</f>
        <v>19.03888889</v>
      </c>
      <c r="C7" s="61">
        <f>MINIFS('Weights, Changes and Percentage'!$F$2:$F$998,'Weights, Changes and Percentage'!$C$2:$C$998,A7)</f>
        <v>12.5</v>
      </c>
      <c r="D7" s="61">
        <f>MAXIFS('Weights, Changes and Percentage'!$F$2:$F$998,'Weights, Changes and Percentage'!$C$2:$C$998,A7)</f>
        <v>24.2</v>
      </c>
      <c r="E7" s="61">
        <f>IFERROR(__xludf.DUMMYFUNCTION("STDEV(FILTER('Weights, Changes and Percentage'!$F$2:$F$998,'Weights, Changes and Percentage'!$C$2:$C$998=A7))"),3.5787179579036685)</f>
        <v>3.578717958</v>
      </c>
      <c r="F7" s="61">
        <f>AVERAGEIF('Weights, Changes and Percentage'!$C$2:$C$998,A7,'Weights, Changes and Percentage'!$G$2:$G$998)</f>
        <v>13.09615015</v>
      </c>
      <c r="G7" s="61">
        <f>MINIFS('Weights, Changes and Percentage'!$G$2:$G$998,'Weights, Changes and Percentage'!$C$2:$C$998,A7)</f>
        <v>8.650519031</v>
      </c>
      <c r="H7" s="61">
        <f>MAXIFS('Weights, Changes and Percentage'!$G$2:$G$998,'Weights, Changes and Percentage'!$C$2:$C$998,A7)</f>
        <v>16.68965517</v>
      </c>
      <c r="I7" s="61">
        <f>IFERROR(__xludf.DUMMYFUNCTION("STDEV(FILTER('Weights, Changes and Percentage'!$G$2:$G$998,'Weights, Changes and Percentage'!$C$2:$C$998=A7))"),2.4673443004032314)</f>
        <v>2.4673443</v>
      </c>
      <c r="J7" s="62">
        <f>COUNTIFS('Weights, Changes and Percentage'!$C$2:$C$998,A7)</f>
        <v>18</v>
      </c>
      <c r="K7" s="59"/>
      <c r="L7" s="59"/>
      <c r="M7" s="59"/>
      <c r="N7" s="59"/>
      <c r="O7" s="59"/>
      <c r="P7" s="59"/>
      <c r="Q7" s="63"/>
      <c r="R7" s="63"/>
      <c r="S7" s="63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</row>
    <row r="8">
      <c r="A8" s="60" t="s">
        <v>46</v>
      </c>
      <c r="B8" s="61">
        <f>AVERAGEIF('Weights, Changes and Percentage'!$C$2:$C$998,A8,'Weights, Changes and Percentage'!$F$2:$F$998)</f>
        <v>12.625</v>
      </c>
      <c r="C8" s="61">
        <f>MINIFS('Weights, Changes and Percentage'!$F$2:$F$998,'Weights, Changes and Percentage'!$C$2:$C$998,A8)</f>
        <v>11</v>
      </c>
      <c r="D8" s="61">
        <f>MAXIFS('Weights, Changes and Percentage'!$F$2:$F$998,'Weights, Changes and Percentage'!$C$2:$C$998,A8)</f>
        <v>16.5</v>
      </c>
      <c r="E8" s="61">
        <f>IFERROR(__xludf.DUMMYFUNCTION("STDEV(FILTER('Weights, Changes and Percentage'!$F$2:$F$998,'Weights, Changes and Percentage'!$C$2:$C$998=A8))"),2.625991876098122)</f>
        <v>2.625991876</v>
      </c>
      <c r="F8" s="61">
        <f>AVERAGEIF('Weights, Changes and Percentage'!$C$2:$C$998,A8,'Weights, Changes and Percentage'!$G$2:$G$998)</f>
        <v>8.728030035</v>
      </c>
      <c r="G8" s="61">
        <f>MINIFS('Weights, Changes and Percentage'!$G$2:$G$998,'Weights, Changes and Percentage'!$C$2:$C$998,A8)</f>
        <v>7.534246575</v>
      </c>
      <c r="H8" s="61">
        <f>MAXIFS('Weights, Changes and Percentage'!$G$2:$G$998,'Weights, Changes and Percentage'!$C$2:$C$998,A8)</f>
        <v>11.45833333</v>
      </c>
      <c r="I8" s="61">
        <f>IFERROR(__xludf.DUMMYFUNCTION("STDEV(FILTER('Weights, Changes and Percentage'!$G$2:$G$998,'Weights, Changes and Percentage'!$C$2:$C$998=A8))"),1.856450072516917)</f>
        <v>1.856450073</v>
      </c>
      <c r="J8" s="62">
        <f>COUNTIFS('Weights, Changes and Percentage'!$C$2:$C$998,A8)</f>
        <v>4</v>
      </c>
      <c r="K8" s="59"/>
      <c r="L8" s="59"/>
      <c r="M8" s="59"/>
      <c r="N8" s="59"/>
      <c r="O8" s="59"/>
      <c r="P8" s="59"/>
      <c r="Q8" s="63"/>
      <c r="R8" s="63"/>
      <c r="S8" s="63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</row>
    <row r="9">
      <c r="A9" s="64" t="s">
        <v>52</v>
      </c>
      <c r="B9" s="61">
        <f>AVERAGEIF('Weights, Changes and Percentage'!$C$2:$C$998,A9,'Weights, Changes and Percentage'!$F$2:$F$998)</f>
        <v>15.62857143</v>
      </c>
      <c r="C9" s="61">
        <f>MINIFS('Weights, Changes and Percentage'!$F$2:$F$998,'Weights, Changes and Percentage'!$C$2:$C$998,A9)</f>
        <v>2</v>
      </c>
      <c r="D9" s="61">
        <f>MAXIFS('Weights, Changes and Percentage'!$F$2:$F$998,'Weights, Changes and Percentage'!$C$2:$C$998,A9)</f>
        <v>26.8</v>
      </c>
      <c r="E9" s="61">
        <f>IFERROR(__xludf.DUMMYFUNCTION("STDEV(FILTER('Weights, Changes and Percentage'!$F$2:$F$998,'Weights, Changes and Percentage'!$C$2:$C$998=A9))"),7.291135668787087)</f>
        <v>7.291135669</v>
      </c>
      <c r="F9" s="61">
        <f>AVERAGEIF('Weights, Changes and Percentage'!$C$2:$C$998,A9,'Weights, Changes and Percentage'!$G$2:$G$998)</f>
        <v>10.06718065</v>
      </c>
      <c r="G9" s="61">
        <f>MINIFS('Weights, Changes and Percentage'!$G$2:$G$998,'Weights, Changes and Percentage'!$C$2:$C$998,A9)</f>
        <v>1.298701299</v>
      </c>
      <c r="H9" s="61">
        <f>MAXIFS('Weights, Changes and Percentage'!$G$2:$G$998,'Weights, Changes and Percentage'!$C$2:$C$998,A9)</f>
        <v>17.29032258</v>
      </c>
      <c r="I9" s="61">
        <f>IFERROR(__xludf.DUMMYFUNCTION("STDEV(FILTER('Weights, Changes and Percentage'!$G$2:$G$998,'Weights, Changes and Percentage'!$C$2:$C$998=A9))"),4.70562107123355)</f>
        <v>4.705621071</v>
      </c>
      <c r="J9" s="62">
        <f>COUNTIFS('Weights, Changes and Percentage'!$C$2:$C$998,A9)</f>
        <v>14</v>
      </c>
      <c r="K9" s="59"/>
      <c r="L9" s="59"/>
      <c r="M9" s="59"/>
      <c r="N9" s="59"/>
      <c r="O9" s="59"/>
      <c r="P9" s="59"/>
      <c r="Q9" s="63"/>
      <c r="R9" s="63"/>
      <c r="S9" s="63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</row>
    <row r="10">
      <c r="A10" s="64" t="s">
        <v>56</v>
      </c>
      <c r="B10" s="61">
        <f>AVERAGEIF('Weights, Changes and Percentage'!$C$2:$C$998,A10,'Weights, Changes and Percentage'!$F$2:$F$998)</f>
        <v>16.17777778</v>
      </c>
      <c r="C10" s="61">
        <f>MINIFS('Weights, Changes and Percentage'!$F$2:$F$998,'Weights, Changes and Percentage'!$C$2:$C$998,A10)</f>
        <v>7.7</v>
      </c>
      <c r="D10" s="61">
        <f>MAXIFS('Weights, Changes and Percentage'!$F$2:$F$998,'Weights, Changes and Percentage'!$C$2:$C$998,A10)</f>
        <v>30.3</v>
      </c>
      <c r="E10" s="61">
        <f>IFERROR(__xludf.DUMMYFUNCTION("STDEV(FILTER('Weights, Changes and Percentage'!$F$2:$F$998,'Weights, Changes and Percentage'!$C$2:$C$998=A10))"),5.800157762109539)</f>
        <v>5.800157762</v>
      </c>
      <c r="F10" s="61">
        <f>AVERAGEIF('Weights, Changes and Percentage'!$C$2:$C$998,A10,'Weights, Changes and Percentage'!$G$2:$G$998)</f>
        <v>9.502246268</v>
      </c>
      <c r="G10" s="61">
        <f>MINIFS('Weights, Changes and Percentage'!$G$2:$G$998,'Weights, Changes and Percentage'!$C$2:$C$998,A10)</f>
        <v>4.542772861</v>
      </c>
      <c r="H10" s="61">
        <f>MAXIFS('Weights, Changes and Percentage'!$G$2:$G$998,'Weights, Changes and Percentage'!$C$2:$C$998,A10)</f>
        <v>17.771261</v>
      </c>
      <c r="I10" s="61">
        <f>IFERROR(__xludf.DUMMYFUNCTION("STDEV(FILTER('Weights, Changes and Percentage'!$G$2:$G$998,'Weights, Changes and Percentage'!$C$2:$C$998=A10))"),3.3955111465751147)</f>
        <v>3.395511147</v>
      </c>
      <c r="J10" s="62">
        <f>COUNTIFS('Weights, Changes and Percentage'!$C$2:$C$998,A10)</f>
        <v>18</v>
      </c>
      <c r="K10" s="59"/>
      <c r="L10" s="59"/>
      <c r="M10" s="59"/>
      <c r="N10" s="59"/>
      <c r="O10" s="59"/>
      <c r="P10" s="59"/>
      <c r="Q10" s="63"/>
      <c r="R10" s="63"/>
      <c r="S10" s="63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</row>
    <row r="11">
      <c r="A11" s="64" t="s">
        <v>26</v>
      </c>
      <c r="B11" s="61">
        <f>AVERAGEIF('Weights, Changes and Percentage'!$C$2:$C$998,A11,'Weights, Changes and Percentage'!$F$2:$F$998)</f>
        <v>18.33636364</v>
      </c>
      <c r="C11" s="61">
        <f>MINIFS('Weights, Changes and Percentage'!$F$2:$F$998,'Weights, Changes and Percentage'!$C$2:$C$998,A11)</f>
        <v>6.9</v>
      </c>
      <c r="D11" s="61">
        <f>MAXIFS('Weights, Changes and Percentage'!$F$2:$F$998,'Weights, Changes and Percentage'!$C$2:$C$998,A11)</f>
        <v>29.7</v>
      </c>
      <c r="E11" s="61">
        <f>IFERROR(__xludf.DUMMYFUNCTION("STDEV(FILTER('Weights, Changes and Percentage'!$F$2:$F$998,'Weights, Changes and Percentage'!$C$2:$C$998=A11))"),6.496998974218455)</f>
        <v>6.496998974</v>
      </c>
      <c r="F11" s="61">
        <f>AVERAGEIF('Weights, Changes and Percentage'!$C$2:$C$998,A11,'Weights, Changes and Percentage'!$G$2:$G$998)</f>
        <v>9.893843566</v>
      </c>
      <c r="G11" s="61">
        <f>MINIFS('Weights, Changes and Percentage'!$G$2:$G$998,'Weights, Changes and Percentage'!$C$2:$C$998,A11)</f>
        <v>3.760217984</v>
      </c>
      <c r="H11" s="61">
        <f>MAXIFS('Weights, Changes and Percentage'!$G$2:$G$998,'Weights, Changes and Percentage'!$C$2:$C$998,A11)</f>
        <v>16.01078167</v>
      </c>
      <c r="I11" s="61">
        <f>IFERROR(__xludf.DUMMYFUNCTION("STDEV(FILTER('Weights, Changes and Percentage'!$G$2:$G$998,'Weights, Changes and Percentage'!$C$2:$C$998=A11))"),3.502775735579044)</f>
        <v>3.502775736</v>
      </c>
      <c r="J11" s="62">
        <f>COUNTIFS('Weights, Changes and Percentage'!$C$2:$C$998,A11)</f>
        <v>22</v>
      </c>
      <c r="K11" s="59"/>
      <c r="L11" s="59"/>
      <c r="M11" s="63"/>
      <c r="N11" s="59"/>
      <c r="O11" s="59"/>
      <c r="P11" s="59"/>
      <c r="Q11" s="63"/>
      <c r="R11" s="63"/>
      <c r="S11" s="63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</row>
    <row r="12">
      <c r="A12" s="64" t="s">
        <v>43</v>
      </c>
      <c r="B12" s="61">
        <f>AVERAGEIF('Weights, Changes and Percentage'!$C$2:$C$998,A12,'Weights, Changes and Percentage'!$F$2:$F$998)</f>
        <v>14.07857143</v>
      </c>
      <c r="C12" s="61">
        <f>MINIFS('Weights, Changes and Percentage'!$F$2:$F$998,'Weights, Changes and Percentage'!$C$2:$C$998,A12)</f>
        <v>2.4</v>
      </c>
      <c r="D12" s="61">
        <f>MAXIFS('Weights, Changes and Percentage'!$F$2:$F$998,'Weights, Changes and Percentage'!$C$2:$C$998,A12)</f>
        <v>25.7</v>
      </c>
      <c r="E12" s="61">
        <f>IFERROR(__xludf.DUMMYFUNCTION("STDEV(FILTER('Weights, Changes and Percentage'!$F$2:$F$998,'Weights, Changes and Percentage'!$C$2:$C$998=A12))"),6.084555299018423)</f>
        <v>6.084555299</v>
      </c>
      <c r="F12" s="61">
        <f>AVERAGEIF('Weights, Changes and Percentage'!$C$2:$C$998,A12,'Weights, Changes and Percentage'!$G$2:$G$998)</f>
        <v>6.882863642</v>
      </c>
      <c r="G12" s="61">
        <f>MINIFS('Weights, Changes and Percentage'!$G$2:$G$998,'Weights, Changes and Percentage'!$C$2:$C$998,A12)</f>
        <v>1.2</v>
      </c>
      <c r="H12" s="61">
        <f>MAXIFS('Weights, Changes and Percentage'!$G$2:$G$998,'Weights, Changes and Percentage'!$C$2:$C$998,A12)</f>
        <v>12.56723716</v>
      </c>
      <c r="I12" s="61">
        <f>IFERROR(__xludf.DUMMYFUNCTION("STDEV(FILTER('Weights, Changes and Percentage'!$G$2:$G$998,'Weights, Changes and Percentage'!$C$2:$C$998=A12))"),2.9742442514938543)</f>
        <v>2.974244251</v>
      </c>
      <c r="J12" s="62">
        <f>COUNTIFS('Weights, Changes and Percentage'!$C$2:$C$998,A12)</f>
        <v>14</v>
      </c>
      <c r="K12" s="59"/>
      <c r="L12" s="59"/>
      <c r="M12" s="63"/>
      <c r="N12" s="59"/>
      <c r="O12" s="59"/>
      <c r="P12" s="59"/>
      <c r="Q12" s="63"/>
      <c r="R12" s="63"/>
      <c r="S12" s="63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</row>
    <row r="13">
      <c r="A13" s="64" t="s">
        <v>49</v>
      </c>
      <c r="B13" s="61">
        <f>AVERAGEIF('Weights, Changes and Percentage'!$C$2:$C$998,A13,'Weights, Changes and Percentage'!$F$2:$F$998)</f>
        <v>4.3</v>
      </c>
      <c r="C13" s="61">
        <f>MINIFS('Weights, Changes and Percentage'!$F$2:$F$998,'Weights, Changes and Percentage'!$C$2:$C$998,A13)</f>
        <v>-2.8</v>
      </c>
      <c r="D13" s="61">
        <f>MAXIFS('Weights, Changes and Percentage'!$F$2:$F$998,'Weights, Changes and Percentage'!$C$2:$C$998,A13)</f>
        <v>24.4</v>
      </c>
      <c r="E13" s="61">
        <f>IFERROR(__xludf.DUMMYFUNCTION("STDEV(FILTER('Weights, Changes and Percentage'!$F$2:$F$998,'Weights, Changes and Percentage'!$C$2:$C$998=A13))"),7.500181815978009)</f>
        <v>7.500181816</v>
      </c>
      <c r="F13" s="61">
        <f>AVERAGEIF('Weights, Changes and Percentage'!$C$2:$C$998,A13,'Weights, Changes and Percentage'!$G$2:$G$998)</f>
        <v>1.681182722</v>
      </c>
      <c r="G13" s="61">
        <f>MINIFS('Weights, Changes and Percentage'!$G$2:$G$998,'Weights, Changes and Percentage'!$C$2:$C$998,A13)</f>
        <v>-1.191489362</v>
      </c>
      <c r="H13" s="61">
        <f>MAXIFS('Weights, Changes and Percentage'!$G$2:$G$998,'Weights, Changes and Percentage'!$C$2:$C$998,A13)</f>
        <v>9.172932331</v>
      </c>
      <c r="I13" s="61">
        <f>IFERROR(__xludf.DUMMYFUNCTION("STDEV(FILTER('Weights, Changes and Percentage'!$G$2:$G$998,'Weights, Changes and Percentage'!$C$2:$C$998=A13))"),2.872056437325928)</f>
        <v>2.872056437</v>
      </c>
      <c r="J13" s="62">
        <f>COUNTIFS('Weights, Changes and Percentage'!$C$2:$C$998,A13)</f>
        <v>12</v>
      </c>
      <c r="K13" s="59"/>
      <c r="L13" s="59"/>
      <c r="M13" s="63"/>
      <c r="N13" s="59"/>
      <c r="O13" s="59"/>
      <c r="P13" s="59"/>
      <c r="Q13" s="63"/>
      <c r="R13" s="63"/>
      <c r="S13" s="63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</row>
    <row r="14">
      <c r="A14" s="60" t="s">
        <v>54</v>
      </c>
      <c r="B14" s="61">
        <f>AVERAGEIF('Weights, Changes and Percentage'!$C$2:$C$998,A14,'Weights, Changes and Percentage'!$F$2:$F$998)</f>
        <v>12.7</v>
      </c>
      <c r="C14" s="61">
        <f>MINIFS('Weights, Changes and Percentage'!$F$2:$F$998,'Weights, Changes and Percentage'!$C$2:$C$998,A14)</f>
        <v>6</v>
      </c>
      <c r="D14" s="61">
        <f>MAXIFS('Weights, Changes and Percentage'!$F$2:$F$998,'Weights, Changes and Percentage'!$C$2:$C$998,A14)</f>
        <v>24.8</v>
      </c>
      <c r="E14" s="61">
        <f>IFERROR(__xludf.DUMMYFUNCTION("STDEV(FILTER('Weights, Changes and Percentage'!$F$2:$F$998,'Weights, Changes and Percentage'!$C$2:$C$998=A14))"),6.097540487770462)</f>
        <v>6.097540488</v>
      </c>
      <c r="F14" s="61">
        <f>AVERAGEIF('Weights, Changes and Percentage'!$C$2:$C$998,A14,'Weights, Changes and Percentage'!$G$2:$G$998)</f>
        <v>9.03407541</v>
      </c>
      <c r="G14" s="61">
        <f>MINIFS('Weights, Changes and Percentage'!$G$2:$G$998,'Weights, Changes and Percentage'!$C$2:$C$998,A14)</f>
        <v>4.316546763</v>
      </c>
      <c r="H14" s="61">
        <f>MAXIFS('Weights, Changes and Percentage'!$G$2:$G$998,'Weights, Changes and Percentage'!$C$2:$C$998,A14)</f>
        <v>17.71428571</v>
      </c>
      <c r="I14" s="61">
        <f>IFERROR(__xludf.DUMMYFUNCTION("STDEV(FILTER('Weights, Changes and Percentage'!$G$2:$G$998,'Weights, Changes and Percentage'!$C$2:$C$998=A14))"),4.493313765786434)</f>
        <v>4.493313766</v>
      </c>
      <c r="J14" s="62">
        <f>COUNTIFS('Weights, Changes and Percentage'!$C$2:$C$998,A14)</f>
        <v>8</v>
      </c>
      <c r="K14" s="59"/>
      <c r="L14" s="59"/>
      <c r="M14" s="63"/>
      <c r="N14" s="59"/>
      <c r="O14" s="59"/>
      <c r="P14" s="59"/>
      <c r="Q14" s="63"/>
      <c r="R14" s="63"/>
      <c r="S14" s="63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6"/>
      <c r="K15" s="67"/>
      <c r="L15" s="59"/>
      <c r="M15" s="63"/>
      <c r="N15" s="59"/>
      <c r="O15" s="59"/>
      <c r="P15" s="59"/>
      <c r="Q15" s="63"/>
      <c r="R15" s="63"/>
      <c r="S15" s="63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</row>
    <row r="16">
      <c r="A16" s="68" t="s">
        <v>0</v>
      </c>
      <c r="B16" s="68" t="s">
        <v>229</v>
      </c>
      <c r="C16" s="68" t="s">
        <v>230</v>
      </c>
      <c r="D16" s="68" t="s">
        <v>231</v>
      </c>
      <c r="E16" s="68" t="s">
        <v>232</v>
      </c>
      <c r="F16" s="68" t="s">
        <v>233</v>
      </c>
      <c r="G16" s="68" t="s">
        <v>230</v>
      </c>
      <c r="H16" s="68" t="s">
        <v>231</v>
      </c>
      <c r="I16" s="68" t="s">
        <v>232</v>
      </c>
      <c r="J16" s="69" t="s">
        <v>234</v>
      </c>
      <c r="K16" s="59"/>
      <c r="L16" s="59"/>
      <c r="M16" s="63"/>
      <c r="N16" s="59"/>
      <c r="O16" s="59"/>
      <c r="P16" s="59"/>
      <c r="Q16" s="63"/>
      <c r="R16" s="63"/>
      <c r="S16" s="63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</row>
    <row r="17">
      <c r="A17" s="64" t="s">
        <v>235</v>
      </c>
      <c r="B17" s="70">
        <f>AVERAGEIF('Weights, Changes and Percentage'!$A$2:$A$998,"1- UFC 227",'Weights, Changes and Percentage'!$F$2:$F$998)</f>
        <v>16.00416667</v>
      </c>
      <c r="C17" s="70">
        <f>MINIFS('Weights, Changes and Percentage'!$F$2:$F$998,'Weights, Changes and Percentage'!$A$2:$A$998,"1- UFC 227")</f>
        <v>7.3</v>
      </c>
      <c r="D17" s="61">
        <f>MAXIFS('Weights, Changes and Percentage'!$F$2:$F$998,'Weights, Changes and Percentage'!$A$2:$A$998,"1- UFC 227")</f>
        <v>24</v>
      </c>
      <c r="E17" s="61">
        <f t="array" ref="E17">STDEV(IF('Weights, Changes and Percentage'!$A$2:$A$998="1- UFC 227",'Weights, Changes and Percentage'!$F$2:$F$998))</f>
        <v>4.10349577</v>
      </c>
      <c r="F17" s="61">
        <f>AVERAGEIF('Weights, Changes and Percentage'!$A$2:$A$998,"1- UFC 227",'Weights, Changes and Percentage'!$G$2:$G$998)</f>
        <v>11.8411583</v>
      </c>
      <c r="G17" s="61">
        <f>MINIFS('Weights, Changes and Percentage'!$G$2:$G$998,'Weights, Changes and Percentage'!$A$2:$A$998,"1- UFC 227")</f>
        <v>4.493773687</v>
      </c>
      <c r="H17" s="61">
        <f>MAXIFS('Weights, Changes and Percentage'!$G$2:$G$998,'Weights, Changes and Percentage'!$A$2:$A$998,"1- UFC 227")</f>
        <v>16.86390533</v>
      </c>
      <c r="I17" s="61">
        <f t="array" ref="I17">STDEV(IF('Weights, Changes and Percentage'!$A$2:$A$998="1- UFC 227",'Weights, Changes and Percentage'!$G$2:$G$998))</f>
        <v>2.864971273</v>
      </c>
      <c r="J17" s="62">
        <f>COUNTIF('Weights, Changes and Percentage'!$A$2:$A$998,"1- UFC 227")</f>
        <v>24</v>
      </c>
      <c r="K17" s="59"/>
      <c r="L17" s="59"/>
      <c r="M17" s="63"/>
      <c r="N17" s="59"/>
      <c r="O17" s="59"/>
      <c r="P17" s="59"/>
      <c r="Q17" s="63"/>
      <c r="R17" s="63"/>
      <c r="S17" s="63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</row>
    <row r="18">
      <c r="A18" s="64" t="s">
        <v>236</v>
      </c>
      <c r="B18" s="70">
        <f>AVERAGEIF('Weights, Changes and Percentage'!$A$2:$A$998,"2- UFC 232",'Weights, Changes and Percentage'!$F$2:$F$998)</f>
        <v>13</v>
      </c>
      <c r="C18" s="61">
        <f>MINIFS('Weights, Changes and Percentage'!$F$2:$F$998,'Weights, Changes and Percentage'!$A$2:$A$998,"2- UFC 232")</f>
        <v>1.5</v>
      </c>
      <c r="D18" s="61">
        <f>MAXIFS('Weights, Changes and Percentage'!$F$2:$F$998,'Weights, Changes and Percentage'!$A$2:$A$998,"2- UFC 232")</f>
        <v>21.5</v>
      </c>
      <c r="E18" s="61">
        <f t="array" ref="E18">STDEV(IF('Weights, Changes and Percentage'!$A$2:$A$998="2- UFC 232",'Weights, Changes and Percentage'!$F$2:$F$998))</f>
        <v>5.425863987</v>
      </c>
      <c r="F18" s="70">
        <f>AVERAGEIF('Weights, Changes and Percentage'!$A$2:$A$998,"2- UFC 232",'Weights, Changes and Percentage'!$G$2:$G$998)</f>
        <v>8.15807808</v>
      </c>
      <c r="G18" s="61">
        <f>MINIFS('Weights, Changes and Percentage'!$G$2:$G$998,'Weights, Changes and Percentage'!$A$2:$A$998,"2- UFC 232")</f>
        <v>0.580270793</v>
      </c>
      <c r="H18" s="61">
        <f>MAXIFS('Weights, Changes and Percentage'!$G$2:$G$998,'Weights, Changes and Percentage'!$A$2:$A$998,"2- UFC 232")</f>
        <v>14.86988848</v>
      </c>
      <c r="I18" s="61">
        <f t="array" ref="I18">STDEV(IF('Weights, Changes and Percentage'!$A$2:$A$998="2- UFC 232",'Weights, Changes and Percentage'!$G$2:$G$998))</f>
        <v>3.641481464</v>
      </c>
      <c r="J18" s="71">
        <f>COUNTIF('Weights, Changes and Percentage'!$A$2:$A$998,"2- UFC 232")</f>
        <v>26</v>
      </c>
      <c r="K18" s="59"/>
      <c r="L18" s="59"/>
      <c r="M18" s="63"/>
      <c r="N18" s="59"/>
      <c r="O18" s="59"/>
      <c r="P18" s="59"/>
      <c r="Q18" s="63"/>
      <c r="R18" s="63"/>
      <c r="S18" s="63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</row>
    <row r="19">
      <c r="A19" s="64" t="s">
        <v>237</v>
      </c>
      <c r="B19" s="70">
        <f>AVERAGEIF('Weights, Changes and Percentage'!$A$2:$A$998,"3- UFC on ESPN+ 13",'Weights, Changes and Percentage'!$F$2:$F$998)</f>
        <v>16.375</v>
      </c>
      <c r="C19" s="61">
        <f>MINIFS('Weights, Changes and Percentage'!$F$2:$F$998,'Weights, Changes and Percentage'!$A$2:$A$998,"3- UFC on ESPN+ 13")</f>
        <v>6.7</v>
      </c>
      <c r="D19" s="61">
        <f>MAXIFS('Weights, Changes and Percentage'!$F$2:$F$998,'Weights, Changes and Percentage'!$A$2:$A$998,"3- UFC on ESPN+ 13")</f>
        <v>25.5</v>
      </c>
      <c r="E19" s="61">
        <f t="array" ref="E19">STDEV(IF('Weights, Changes and Percentage'!$A$2:$A$998="3- UFC on ESPN+ 13",'Weights, Changes and Percentage'!$F$2:$F$998))</f>
        <v>5.372818061</v>
      </c>
      <c r="F19" s="70">
        <f>AVERAGEIF('Weights, Changes and Percentage'!$A$2:$A$998,"3- UFC on ESPN+ 13",'Weights, Changes and Percentage'!$G$2:$G$998)</f>
        <v>10.9948124</v>
      </c>
      <c r="G19" s="61">
        <f>MINIFS('Weights, Changes and Percentage'!$G$2:$G$998,'Weights, Changes and Percentage'!$A$2:$A$998,"3- UFC on ESPN+ 13")</f>
        <v>4.944649446</v>
      </c>
      <c r="H19" s="61">
        <f>MAXIFS('Weights, Changes and Percentage'!$G$2:$G$998,'Weights, Changes and Percentage'!$A$2:$A$998,"3- UFC on ESPN+ 13")</f>
        <v>17.77777778</v>
      </c>
      <c r="I19" s="61">
        <f t="array" ref="I19">STDEV(IF('Weights, Changes and Percentage'!$A$2:$A$998="3- UFC on ESPN+ 13",'Weights, Changes and Percentage'!$G$2:$G$998))</f>
        <v>3.618659858</v>
      </c>
      <c r="J19" s="71">
        <f>COUNTIF('Weights, Changes and Percentage'!$A$2:$A$998,"3- UFC on ESPN+ 13")</f>
        <v>24</v>
      </c>
      <c r="K19" s="51"/>
      <c r="L19" s="59"/>
      <c r="M19" s="63"/>
      <c r="N19" s="59"/>
      <c r="O19" s="59"/>
      <c r="P19" s="59"/>
      <c r="Q19" s="63"/>
      <c r="R19" s="63"/>
      <c r="S19" s="63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</row>
    <row r="20">
      <c r="A20" s="64" t="s">
        <v>238</v>
      </c>
      <c r="B20" s="70">
        <f>AVERAGEIF('Weights, Changes and Percentage'!$A$2:$A$998,"4- UFC 241",'Weights, Changes and Percentage'!$F$2:$F$998)</f>
        <v>15.71666667</v>
      </c>
      <c r="C20" s="61">
        <f>MINIFS('Weights, Changes and Percentage'!$F$2:$F$998,'Weights, Changes and Percentage'!$A$2:$A$998,"4- UFC 241")</f>
        <v>2.5</v>
      </c>
      <c r="D20" s="61">
        <f>MAXIFS('Weights, Changes and Percentage'!$F$2:$F$998,'Weights, Changes and Percentage'!$A$2:$A$998,"4- UFC 241")</f>
        <v>27.8</v>
      </c>
      <c r="E20" s="61">
        <f t="array" ref="E20">STDEV(IF('Weights, Changes and Percentage'!$A$2:$A$998="4- UFC 241",'Weights, Changes and Percentage'!$F$2:$F$998))</f>
        <v>6.612088183</v>
      </c>
      <c r="F20" s="70">
        <f>AVERAGEIF('Weights, Changes and Percentage'!$A$2:$A$998,"4- UFC 241",'Weights, Changes and Percentage'!$G$2:$G$998)</f>
        <v>10.42983829</v>
      </c>
      <c r="G20" s="61">
        <f>MINIFS('Weights, Changes and Percentage'!$G$2:$G$998,'Weights, Changes and Percentage'!$A$2:$A$998,"4- UFC 241")</f>
        <v>1.084598698</v>
      </c>
      <c r="H20" s="61">
        <f>MAXIFS('Weights, Changes and Percentage'!$G$2:$G$998,'Weights, Changes and Percentage'!$A$2:$A$998,"4- UFC 241")</f>
        <v>17.71428571</v>
      </c>
      <c r="I20" s="61">
        <f t="array" ref="I20">STDEV(IF('Weights, Changes and Percentage'!$A$2:$A$998="4- UFC 241",'Weights, Changes and Percentage'!$G$2:$G$998))</f>
        <v>4.486792176</v>
      </c>
      <c r="J20" s="62">
        <f>COUNTIF('Weights, Changes and Percentage'!$A$2:$A$998,"4- UFC 241")</f>
        <v>24</v>
      </c>
      <c r="K20" s="59"/>
      <c r="L20" s="59"/>
      <c r="M20" s="63"/>
      <c r="N20" s="59"/>
      <c r="O20" s="59"/>
      <c r="P20" s="59"/>
      <c r="Q20" s="63"/>
      <c r="R20" s="63"/>
      <c r="S20" s="63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</row>
    <row r="21">
      <c r="A21" s="60" t="s">
        <v>239</v>
      </c>
      <c r="B21" s="72">
        <f>AVERAGEIF('Weights, Changes and Percentage'!$A$2:$A$998,"5- UFC 270",'Weights, Changes and Percentage'!$F$2:$F$998)</f>
        <v>14.30909091</v>
      </c>
      <c r="C21" s="72">
        <f>MINIFS('Weights, Changes and Percentage'!$F$2:$F$998,'Weights, Changes and Percentage'!$A$2:$A$998,"5- UFC 270")</f>
        <v>-2</v>
      </c>
      <c r="D21" s="72">
        <f>MAXIFS('Weights, Changes and Percentage'!$F$2:$F$998,'Weights, Changes and Percentage'!$A$2:$A$998,"5- UFC 270")</f>
        <v>23.5</v>
      </c>
      <c r="E21" s="72">
        <f t="array" ref="E21">STDEV(IF('Weights, Changes and Percentage'!$A$2:$A$998="5- UFC 270",'Weights, Changes and Percentage'!$F$2:$F$998))</f>
        <v>6.049235221</v>
      </c>
      <c r="F21" s="72">
        <f>AVERAGEIF('Weights, Changes and Percentage'!$A$2:$A$998,"5- UFC 270",'Weights, Changes and Percentage'!$G$2:$G$998)</f>
        <v>10.04165354</v>
      </c>
      <c r="G21" s="72">
        <f>MINIFS('Weights, Changes and Percentage'!$G$2:$G$998,'Weights, Changes and Percentage'!$A$2:$A$998,"5- UFC 270")</f>
        <v>-0.8097165992</v>
      </c>
      <c r="H21" s="72">
        <f>MAXIFS('Weights, Changes and Percentage'!$G$2:$G$998,'Weights, Changes and Percentage'!$A$2:$A$998,"5- UFC 270")</f>
        <v>17.34317343</v>
      </c>
      <c r="I21" s="72">
        <f t="array" ref="I21">STDEV(IF('Weights, Changes and Percentage'!$A$2:$A$998="5- UFC 270",'Weights, Changes and Percentage'!$G$2:$G$998))</f>
        <v>4.323952023</v>
      </c>
      <c r="J21" s="73">
        <f>COUNTIF('Weights, Changes and Percentage'!$A$2:$A$998,"5- UFC 270")</f>
        <v>22</v>
      </c>
      <c r="K21" s="59"/>
      <c r="L21" s="51"/>
      <c r="M21" s="63"/>
      <c r="N21" s="59"/>
      <c r="O21" s="59"/>
      <c r="P21" s="59"/>
      <c r="Q21" s="63"/>
      <c r="R21" s="63"/>
      <c r="S21" s="63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</row>
    <row r="22">
      <c r="A22" s="60" t="s">
        <v>240</v>
      </c>
      <c r="B22" s="72">
        <f>AVERAGEIF('Weights, Changes and Percentage'!$A$2:$A$998,"6- UFC on ESPN 41",'Weights, Changes and Percentage'!$F$2:$F$998)</f>
        <v>13.84615385</v>
      </c>
      <c r="C22" s="72">
        <f>MINIFS('Weights, Changes and Percentage'!$F$2:$F$998,'Weights, Changes and Percentage'!$A$2:$A$998,"6- UFC on ESPN 41")</f>
        <v>3.5</v>
      </c>
      <c r="D22" s="72">
        <f>MAXIFS('Weights, Changes and Percentage'!$F$2:$F$998,'Weights, Changes and Percentage'!$A$2:$A$998,"6- UFC on ESPN 41")</f>
        <v>24.4</v>
      </c>
      <c r="E22" s="72">
        <f t="array" ref="E22">STDEV(IF('Weights, Changes and Percentage'!$A$2:$A$998="6- UFC on ESPN 41",'Weights, Changes and Percentage'!$F$2:$F$998))</f>
        <v>4.933496186</v>
      </c>
      <c r="F22" s="72">
        <f>AVERAGEIF('Weights, Changes and Percentage'!$A$2:$A$998,"6- UFC on ESPN 41",'Weights, Changes and Percentage'!$G$2:$G$998)</f>
        <v>9.34786939</v>
      </c>
      <c r="G22" s="72">
        <f>MINIFS('Weights, Changes and Percentage'!$G$2:$G$998,'Weights, Changes and Percentage'!$A$2:$A$998,"6- UFC on ESPN 41")</f>
        <v>1.479915433</v>
      </c>
      <c r="H22" s="72">
        <f>MAXIFS('Weights, Changes and Percentage'!$G$2:$G$998,'Weights, Changes and Percentage'!$A$2:$A$998,"6- UFC on ESPN 41")</f>
        <v>16.03174603</v>
      </c>
      <c r="I22" s="72">
        <f t="array" ref="I22">STDEV(IF('Weights, Changes and Percentage'!$A$2:$A$998="6- UFC on ESPN 41",'Weights, Changes and Percentage'!$G$2:$G$998))</f>
        <v>3.586145645</v>
      </c>
      <c r="J22" s="73">
        <f>COUNTIF('Weights, Changes and Percentage'!$A$2:$A$998,"6- UFC on ESPN 41")</f>
        <v>26</v>
      </c>
      <c r="K22" s="59"/>
      <c r="L22" s="51"/>
      <c r="M22" s="63"/>
      <c r="N22" s="59"/>
      <c r="O22" s="59"/>
      <c r="P22" s="59"/>
      <c r="Q22" s="63"/>
      <c r="R22" s="63"/>
      <c r="S22" s="63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</row>
    <row r="23">
      <c r="A23" s="60" t="s">
        <v>241</v>
      </c>
      <c r="B23" s="72">
        <f>AVERAGEIF('Weights, Changes and Percentage'!$A$2:$A$998,"7- UFC 298",'Weights, Changes and Percentage'!$F$2:$F$998)</f>
        <v>16.55</v>
      </c>
      <c r="C23" s="72">
        <f>MINIFS('Weights, Changes and Percentage'!$F$2:$F$998,'Weights, Changes and Percentage'!$A$2:$A$998,"7- UFC 298")</f>
        <v>-2</v>
      </c>
      <c r="D23" s="72">
        <f>MAXIFS('Weights, Changes and Percentage'!$F$2:$F$998,'Weights, Changes and Percentage'!$A$2:$A$998,"7- UFC 298")</f>
        <v>30.3</v>
      </c>
      <c r="E23" s="72">
        <f t="array" ref="E23">STDEV(IF('Weights, Changes and Percentage'!$A$2:$A$998="7- UFC 298",'Weights, Changes and Percentage'!$F$2:$F$998))</f>
        <v>7.917454576</v>
      </c>
      <c r="F23" s="72">
        <f>AVERAGEIF('Weights, Changes and Percentage'!$A$2:$A$998,"7- UFC 298",'Weights, Changes and Percentage'!$G$2:$G$998)</f>
        <v>10.38710958</v>
      </c>
      <c r="G23" s="72">
        <f>MINIFS('Weights, Changes and Percentage'!$G$2:$G$998,'Weights, Changes and Percentage'!$A$2:$A$998,"7- UFC 298")</f>
        <v>-0.8032128514</v>
      </c>
      <c r="H23" s="72">
        <f>MAXIFS('Weights, Changes and Percentage'!$G$2:$G$998,'Weights, Changes and Percentage'!$A$2:$A$998,"7- UFC 298")</f>
        <v>17.771261</v>
      </c>
      <c r="I23" s="72">
        <f t="array" ref="I23">STDEV(IF('Weights, Changes and Percentage'!$A$2:$A$998="7- UFC 298",'Weights, Changes and Percentage'!$G$2:$G$998))</f>
        <v>4.750575521</v>
      </c>
      <c r="J23" s="73">
        <f>COUNTIF('Weights, Changes and Percentage'!$A$2:$A$998,"7- UFC 298")</f>
        <v>24</v>
      </c>
      <c r="K23" s="59"/>
      <c r="L23" s="51"/>
      <c r="M23" s="63"/>
      <c r="N23" s="59"/>
      <c r="O23" s="59"/>
      <c r="P23" s="59"/>
      <c r="Q23" s="63"/>
      <c r="R23" s="63"/>
      <c r="S23" s="63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</row>
    <row r="24">
      <c r="A24" s="60" t="s">
        <v>242</v>
      </c>
      <c r="B24" s="64">
        <f>AVERAGEIF('Weights, Changes and Percentage'!$A$2:$A$998,"8- UFC 311",'Weights, Changes and Percentage'!$F$2:$F$998)</f>
        <v>15.93461538</v>
      </c>
      <c r="C24" s="64">
        <f>MINIFS('Weights, Changes and Percentage'!$F$2:$F$998,'Weights, Changes and Percentage'!$A$2:$A$998,"8- UFC 311")</f>
        <v>-2.8</v>
      </c>
      <c r="D24" s="64">
        <f>MAXIFS('Weights, Changes and Percentage'!$F$2:$F$998,'Weights, Changes and Percentage'!$A$2:$A$998,"8- UFC 311")</f>
        <v>27.5</v>
      </c>
      <c r="E24" s="64">
        <f t="array" ref="E24">STDEV(IF('Weights, Changes and Percentage'!$A$2:$A$998="8- UFC 311",'Weights, Changes and Percentage'!$F$2:$F$998))</f>
        <v>8.149745631</v>
      </c>
      <c r="F24" s="64">
        <f>AVERAGEIF('Weights, Changes and Percentage'!$A$2:$A$998,"8- UFC 311",'Weights, Changes and Percentage'!$G$2:$G$998)</f>
        <v>10.72760176</v>
      </c>
      <c r="G24" s="64">
        <f>MINIFS('Weights, Changes and Percentage'!$G$2:$G$998,'Weights, Changes and Percentage'!$A$2:$A$998,"8- UFC 311")</f>
        <v>-1.191489362</v>
      </c>
      <c r="H24" s="64">
        <f>MAXIFS('Weights, Changes and Percentage'!$G$2:$G$998,'Weights, Changes and Percentage'!$A$2:$A$998,"8- UFC 311")</f>
        <v>17.4501992</v>
      </c>
      <c r="I24" s="64">
        <f t="array" ref="I24">STDEV(IF('Weights, Changes and Percentage'!$A$2:$A$998="8- UFC 311",'Weights, Changes and Percentage'!$G$2:$G$998))</f>
        <v>5.813178637</v>
      </c>
      <c r="J24" s="74">
        <f>COUNTIF('Weights, Changes and Percentage'!$A$2:$A$998,"8- UFC 311")</f>
        <v>26</v>
      </c>
      <c r="K24" s="59"/>
      <c r="L24" s="51"/>
      <c r="M24" s="63"/>
      <c r="N24" s="59"/>
      <c r="O24" s="59"/>
      <c r="P24" s="59"/>
      <c r="Q24" s="63"/>
      <c r="R24" s="63"/>
      <c r="S24" s="63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6"/>
      <c r="K25" s="59"/>
      <c r="L25" s="51"/>
      <c r="M25" s="63"/>
      <c r="N25" s="59"/>
      <c r="O25" s="59"/>
      <c r="P25" s="59"/>
      <c r="Q25" s="63"/>
      <c r="R25" s="63"/>
      <c r="S25" s="63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</row>
    <row r="26">
      <c r="A26" s="75" t="s">
        <v>7</v>
      </c>
      <c r="B26" s="75" t="s">
        <v>229</v>
      </c>
      <c r="C26" s="75" t="s">
        <v>230</v>
      </c>
      <c r="D26" s="75" t="s">
        <v>231</v>
      </c>
      <c r="E26" s="75" t="s">
        <v>232</v>
      </c>
      <c r="F26" s="75" t="s">
        <v>233</v>
      </c>
      <c r="G26" s="75" t="s">
        <v>230</v>
      </c>
      <c r="H26" s="75" t="s">
        <v>231</v>
      </c>
      <c r="I26" s="75" t="s">
        <v>232</v>
      </c>
      <c r="J26" s="76" t="s">
        <v>234</v>
      </c>
      <c r="K26" s="59"/>
      <c r="L26" s="59"/>
      <c r="M26" s="63"/>
      <c r="N26" s="59"/>
      <c r="O26" s="59"/>
      <c r="P26" s="59"/>
      <c r="Q26" s="63"/>
      <c r="R26" s="63"/>
      <c r="S26" s="63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</row>
    <row r="27">
      <c r="A27" s="64" t="s">
        <v>12</v>
      </c>
      <c r="B27" s="70">
        <f>AVERAGEIF('Weights, Changes and Percentage'!$H$2:$H$998,"M",'Weights, Changes and Percentage'!$F$2:$F$998)</f>
        <v>15.86875</v>
      </c>
      <c r="C27" s="70">
        <f>MINIFS('Weights, Changes and Percentage'!$F$2:$F$998,'Weights, Changes and Percentage'!$H$2:$H$998,"M")</f>
        <v>-2.8</v>
      </c>
      <c r="D27" s="61">
        <f>MAXIFS('Weights, Changes and Percentage'!$F$2:$F$998,'Weights, Changes and Percentage'!$H$2:$H$998,"M")</f>
        <v>30.3</v>
      </c>
      <c r="E27" s="61">
        <f t="array" ref="E27">STDEV(IF('Weights, Changes and Percentage'!$H$2:$H$998="M",'Weights, Changes and Percentage'!$F$2:$F$998))</f>
        <v>6.432104886</v>
      </c>
      <c r="F27" s="61">
        <f>AVERAGEIF('Weights, Changes and Percentage'!$H$2:$H$998,"M",'Weights, Changes and Percentage'!$G$2:$G$998)</f>
        <v>10.32400211</v>
      </c>
      <c r="G27" s="61">
        <f>MINIFS('Weights, Changes and Percentage'!$G$2:$G$998,'Weights, Changes and Percentage'!$H$2:$H$998,"M")</f>
        <v>-1.191489362</v>
      </c>
      <c r="H27" s="61">
        <f>MAXIFS('Weights, Changes and Percentage'!$G$2:$G$998,'Weights, Changes and Percentage'!$H$2:$H$998,"M")</f>
        <v>17.771261</v>
      </c>
      <c r="I27" s="61">
        <f t="array" ref="I27">STDEV(IF('Weights, Changes and Percentage'!$H$2:$H$998="M",'Weights, Changes and Percentage'!$G$2:$G$998))</f>
        <v>4.491219594</v>
      </c>
      <c r="J27" s="62">
        <f>COUNTIF('Weights, Changes and Percentage'!$H$2:$H$998,"M")</f>
        <v>160</v>
      </c>
      <c r="K27" s="59"/>
      <c r="L27" s="59"/>
      <c r="M27" s="63"/>
      <c r="N27" s="59"/>
      <c r="O27" s="59"/>
      <c r="P27" s="59"/>
      <c r="Q27" s="63"/>
      <c r="R27" s="63"/>
      <c r="S27" s="63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</row>
    <row r="28">
      <c r="A28" s="64" t="s">
        <v>20</v>
      </c>
      <c r="B28" s="61">
        <f>AVERAGEIF('Weights, Changes and Percentage'!$H$2:$H$998,"F",'Weights, Changes and Percentage'!$F$2:$F$998)</f>
        <v>12.21111111</v>
      </c>
      <c r="C28" s="61">
        <f>MINIFS('Weights, Changes and Percentage'!$F$2:$F$998,'Weights, Changes and Percentage'!$H$2:$H$998,"F")</f>
        <v>4.7</v>
      </c>
      <c r="D28" s="61">
        <f>MAXIFS('Weights, Changes and Percentage'!$F$2:$F$998,'Weights, Changes and Percentage'!$H$2:$H$998,"F")</f>
        <v>24</v>
      </c>
      <c r="E28" s="61">
        <f t="array" ref="E28">STDEV(IF('Weights, Changes and Percentage'!$H$2:$H$998="F",'Weights, Changes and Percentage'!$F$2:$F$998))</f>
        <v>4.155738049</v>
      </c>
      <c r="F28" s="61">
        <f>AVERAGEIF('Weights, Changes and Percentage'!$H$2:$H$998,"F",'Weights, Changes and Percentage'!$G$2:$G$998)</f>
        <v>9.744954609</v>
      </c>
      <c r="G28" s="61">
        <f>MINIFS('Weights, Changes and Percentage'!$G$2:$G$998,'Weights, Changes and Percentage'!$H$2:$H$998,"F")</f>
        <v>3.74501992</v>
      </c>
      <c r="H28" s="70">
        <f>MAXIFS('Weights, Changes and Percentage'!$G$2:$G$998,'Weights, Changes and Percentage'!$H$2:$H$998,"F")</f>
        <v>17.77777778</v>
      </c>
      <c r="I28" s="61">
        <f t="array" ref="I28">STDEV(IF('Weights, Changes and Percentage'!$H$2:$H$998="F",'Weights, Changes and Percentage'!$G$2:$G$998))</f>
        <v>3.217782148</v>
      </c>
      <c r="J28" s="71">
        <f>COUNTIF('Weights, Changes and Percentage'!$H$2:$H$998,"F")</f>
        <v>36</v>
      </c>
      <c r="K28" s="59"/>
      <c r="L28" s="59"/>
      <c r="M28" s="59"/>
      <c r="N28" s="59"/>
      <c r="O28" s="59"/>
      <c r="P28" s="63"/>
      <c r="Q28" s="63"/>
      <c r="R28" s="63"/>
      <c r="S28" s="63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77"/>
      <c r="K29" s="59"/>
      <c r="L29" s="59"/>
      <c r="M29" s="59"/>
      <c r="N29" s="59"/>
      <c r="O29" s="59"/>
      <c r="P29" s="63"/>
      <c r="Q29" s="63"/>
      <c r="R29" s="63"/>
      <c r="S29" s="63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</row>
    <row r="30">
      <c r="A30" s="63"/>
      <c r="B30" s="59"/>
      <c r="C30" s="59"/>
      <c r="D30" s="59"/>
      <c r="E30" s="59"/>
      <c r="F30" s="59"/>
      <c r="G30" s="59"/>
      <c r="H30" s="59"/>
      <c r="I30" s="59"/>
      <c r="J30" s="77"/>
      <c r="K30" s="59"/>
      <c r="L30" s="59"/>
      <c r="M30" s="59"/>
      <c r="N30" s="59"/>
      <c r="O30" s="59"/>
      <c r="P30" s="63"/>
      <c r="Q30" s="63"/>
      <c r="R30" s="63"/>
      <c r="S30" s="63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</row>
    <row r="31">
      <c r="A31" s="63"/>
      <c r="B31" s="63"/>
      <c r="C31" s="59"/>
      <c r="D31" s="59"/>
      <c r="E31" s="59"/>
      <c r="F31" s="59"/>
      <c r="G31" s="59"/>
      <c r="H31" s="59"/>
      <c r="I31" s="59"/>
      <c r="J31" s="77"/>
      <c r="K31" s="59"/>
      <c r="L31" s="59"/>
      <c r="M31" s="59"/>
      <c r="N31" s="59"/>
      <c r="O31" s="59"/>
      <c r="P31" s="63"/>
      <c r="Q31" s="63"/>
      <c r="R31" s="63"/>
      <c r="S31" s="63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</row>
    <row r="32">
      <c r="A32" s="63"/>
      <c r="B32" s="63"/>
      <c r="C32" s="59"/>
      <c r="D32" s="59"/>
      <c r="E32" s="59"/>
      <c r="F32" s="59"/>
      <c r="G32" s="59"/>
      <c r="H32" s="59"/>
      <c r="I32" s="59"/>
      <c r="J32" s="77"/>
      <c r="K32" s="59"/>
      <c r="L32" s="59"/>
      <c r="M32" s="59"/>
      <c r="N32" s="59"/>
      <c r="O32" s="59"/>
      <c r="P32" s="63"/>
      <c r="Q32" s="63"/>
      <c r="R32" s="63"/>
      <c r="S32" s="63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</row>
    <row r="33">
      <c r="A33" s="63"/>
      <c r="B33" s="63"/>
      <c r="C33" s="59"/>
      <c r="D33" s="59"/>
      <c r="E33" s="59"/>
      <c r="F33" s="59"/>
      <c r="G33" s="59"/>
      <c r="H33" s="59"/>
      <c r="I33" s="59"/>
      <c r="J33" s="77"/>
      <c r="K33" s="59"/>
      <c r="L33" s="59"/>
      <c r="M33" s="59"/>
      <c r="N33" s="59"/>
      <c r="O33" s="59"/>
      <c r="P33" s="63"/>
      <c r="Q33" s="63"/>
      <c r="R33" s="63"/>
      <c r="S33" s="63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</row>
    <row r="34">
      <c r="A34" s="63"/>
      <c r="B34" s="63"/>
      <c r="C34" s="59"/>
      <c r="D34" s="59"/>
      <c r="E34" s="59"/>
      <c r="F34" s="59"/>
      <c r="G34" s="59"/>
      <c r="H34" s="59"/>
      <c r="I34" s="59"/>
      <c r="J34" s="77"/>
      <c r="K34" s="59"/>
      <c r="L34" s="59"/>
      <c r="M34" s="59"/>
      <c r="N34" s="59"/>
      <c r="O34" s="59"/>
      <c r="P34" s="63"/>
      <c r="Q34" s="63"/>
      <c r="R34" s="63"/>
      <c r="S34" s="63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</row>
    <row r="35">
      <c r="A35" s="63"/>
      <c r="B35" s="63"/>
      <c r="C35" s="59"/>
      <c r="D35" s="59"/>
      <c r="E35" s="59"/>
      <c r="F35" s="59"/>
      <c r="G35" s="59"/>
      <c r="H35" s="59"/>
      <c r="I35" s="59"/>
      <c r="J35" s="77"/>
      <c r="K35" s="59"/>
      <c r="L35" s="59"/>
      <c r="M35" s="59"/>
      <c r="N35" s="59"/>
      <c r="O35" s="59"/>
      <c r="P35" s="63"/>
      <c r="Q35" s="63"/>
      <c r="R35" s="63"/>
      <c r="S35" s="63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</row>
    <row r="36">
      <c r="A36" s="63"/>
      <c r="B36" s="63"/>
      <c r="C36" s="59"/>
      <c r="D36" s="59"/>
      <c r="E36" s="59"/>
      <c r="F36" s="59"/>
      <c r="G36" s="59"/>
      <c r="H36" s="59"/>
      <c r="I36" s="59"/>
      <c r="J36" s="77"/>
      <c r="K36" s="59"/>
      <c r="L36" s="59"/>
      <c r="M36" s="59"/>
      <c r="N36" s="59"/>
      <c r="O36" s="59"/>
      <c r="P36" s="63"/>
      <c r="Q36" s="63"/>
      <c r="R36" s="63"/>
      <c r="S36" s="63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</row>
    <row r="37">
      <c r="A37" s="63"/>
      <c r="B37" s="63"/>
      <c r="C37" s="59"/>
      <c r="D37" s="59"/>
      <c r="E37" s="59"/>
      <c r="F37" s="59"/>
      <c r="G37" s="59"/>
      <c r="H37" s="59"/>
      <c r="I37" s="59"/>
      <c r="J37" s="77"/>
      <c r="K37" s="59"/>
      <c r="L37" s="59"/>
      <c r="M37" s="59"/>
      <c r="N37" s="59"/>
      <c r="O37" s="59"/>
      <c r="P37" s="63"/>
      <c r="Q37" s="63"/>
      <c r="R37" s="63"/>
      <c r="S37" s="63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</row>
    <row r="38">
      <c r="A38" s="63"/>
      <c r="B38" s="63"/>
      <c r="C38" s="59"/>
      <c r="D38" s="59"/>
      <c r="E38" s="59"/>
      <c r="F38" s="59"/>
      <c r="G38" s="59"/>
      <c r="H38" s="59"/>
      <c r="I38" s="59"/>
      <c r="J38" s="77"/>
      <c r="K38" s="59"/>
      <c r="L38" s="59"/>
      <c r="M38" s="59"/>
      <c r="N38" s="59"/>
      <c r="O38" s="59"/>
      <c r="P38" s="63"/>
      <c r="Q38" s="63"/>
      <c r="R38" s="63"/>
      <c r="S38" s="63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</row>
    <row r="39">
      <c r="A39" s="63"/>
      <c r="B39" s="63"/>
      <c r="C39" s="59"/>
      <c r="D39" s="59"/>
      <c r="E39" s="59"/>
      <c r="F39" s="59"/>
      <c r="G39" s="59"/>
      <c r="H39" s="59"/>
      <c r="I39" s="59"/>
      <c r="J39" s="77"/>
      <c r="K39" s="59"/>
      <c r="L39" s="59"/>
      <c r="M39" s="59"/>
      <c r="N39" s="59"/>
      <c r="O39" s="59"/>
      <c r="P39" s="63"/>
      <c r="Q39" s="63"/>
      <c r="R39" s="63"/>
      <c r="S39" s="63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77"/>
      <c r="K40" s="59"/>
      <c r="L40" s="59"/>
      <c r="M40" s="59"/>
      <c r="N40" s="59"/>
      <c r="O40" s="59"/>
      <c r="P40" s="63"/>
      <c r="Q40" s="63"/>
      <c r="R40" s="63"/>
      <c r="S40" s="63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77"/>
      <c r="K41" s="59"/>
      <c r="L41" s="59"/>
      <c r="M41" s="59"/>
      <c r="N41" s="59"/>
      <c r="O41" s="59"/>
      <c r="P41" s="63"/>
      <c r="Q41" s="63"/>
      <c r="R41" s="63"/>
      <c r="S41" s="63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</row>
    <row r="42">
      <c r="A42" s="59"/>
      <c r="B42" s="59"/>
      <c r="C42" s="59"/>
      <c r="D42" s="59"/>
      <c r="E42" s="59"/>
      <c r="G42" s="59"/>
      <c r="H42" s="59"/>
      <c r="I42" s="59"/>
      <c r="J42" s="77"/>
      <c r="K42" s="59"/>
      <c r="L42" s="59"/>
      <c r="M42" s="59"/>
      <c r="N42" s="59"/>
      <c r="O42" s="59"/>
      <c r="P42" s="63"/>
      <c r="Q42" s="63"/>
      <c r="R42" s="63"/>
      <c r="S42" s="63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77"/>
      <c r="K43" s="59"/>
      <c r="L43" s="59"/>
      <c r="M43" s="59"/>
      <c r="N43" s="59"/>
      <c r="O43" s="59"/>
      <c r="P43" s="63"/>
      <c r="Q43" s="63"/>
      <c r="R43" s="63"/>
      <c r="S43" s="63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77"/>
      <c r="K44" s="59"/>
      <c r="L44" s="59"/>
      <c r="M44" s="59"/>
      <c r="N44" s="59"/>
      <c r="O44" s="59"/>
      <c r="P44" s="63"/>
      <c r="Q44" s="63"/>
      <c r="R44" s="63"/>
      <c r="S44" s="63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77"/>
      <c r="K45" s="59"/>
      <c r="L45" s="59"/>
      <c r="M45" s="59"/>
      <c r="N45" s="59"/>
      <c r="O45" s="59"/>
      <c r="P45" s="63"/>
      <c r="Q45" s="63"/>
      <c r="R45" s="63"/>
      <c r="S45" s="63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77"/>
      <c r="K46" s="59"/>
      <c r="L46" s="59"/>
      <c r="M46" s="59"/>
      <c r="N46" s="59"/>
      <c r="O46" s="59"/>
      <c r="P46" s="63"/>
      <c r="Q46" s="63"/>
      <c r="R46" s="63"/>
      <c r="S46" s="63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</row>
    <row r="47">
      <c r="A47" s="59"/>
      <c r="B47" s="63"/>
      <c r="C47" s="63"/>
      <c r="D47" s="63"/>
      <c r="E47" s="63"/>
      <c r="F47" s="59"/>
      <c r="G47" s="59"/>
      <c r="H47" s="59"/>
      <c r="I47" s="59"/>
      <c r="J47" s="77"/>
      <c r="K47" s="59"/>
      <c r="L47" s="59"/>
      <c r="M47" s="59"/>
      <c r="N47" s="59"/>
      <c r="O47" s="59"/>
      <c r="P47" s="63"/>
      <c r="Q47" s="63"/>
      <c r="R47" s="63"/>
      <c r="S47" s="63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77"/>
      <c r="K48" s="59"/>
      <c r="L48" s="59"/>
      <c r="M48" s="59"/>
      <c r="N48" s="59"/>
      <c r="O48" s="59"/>
      <c r="P48" s="63"/>
      <c r="Q48" s="63"/>
      <c r="R48" s="63"/>
      <c r="S48" s="63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77"/>
      <c r="K49" s="59"/>
      <c r="L49" s="59"/>
      <c r="M49" s="59"/>
      <c r="N49" s="59"/>
      <c r="O49" s="59"/>
      <c r="P49" s="63"/>
      <c r="Q49" s="63"/>
      <c r="R49" s="63"/>
      <c r="S49" s="63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77"/>
      <c r="K50" s="59"/>
      <c r="L50" s="59"/>
      <c r="M50" s="59"/>
      <c r="N50" s="59"/>
      <c r="O50" s="59"/>
      <c r="P50" s="63"/>
      <c r="Q50" s="63"/>
      <c r="R50" s="63"/>
      <c r="S50" s="63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77"/>
      <c r="K51" s="59"/>
      <c r="L51" s="59"/>
      <c r="M51" s="59"/>
      <c r="N51" s="59"/>
      <c r="O51" s="59"/>
      <c r="P51" s="63"/>
      <c r="Q51" s="63"/>
      <c r="R51" s="63"/>
      <c r="S51" s="63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77"/>
      <c r="K52" s="59"/>
      <c r="L52" s="59"/>
      <c r="M52" s="59"/>
      <c r="N52" s="59"/>
      <c r="O52" s="59"/>
      <c r="P52" s="63"/>
      <c r="Q52" s="63"/>
      <c r="R52" s="63"/>
      <c r="S52" s="63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77"/>
      <c r="K53" s="59"/>
      <c r="L53" s="59"/>
      <c r="M53" s="59"/>
      <c r="N53" s="59"/>
      <c r="O53" s="59"/>
      <c r="P53" s="63"/>
      <c r="Q53" s="63"/>
      <c r="R53" s="63"/>
      <c r="S53" s="63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77"/>
      <c r="K54" s="59"/>
      <c r="L54" s="59"/>
      <c r="M54" s="59"/>
      <c r="N54" s="59"/>
      <c r="O54" s="59"/>
      <c r="P54" s="63"/>
      <c r="Q54" s="63"/>
      <c r="R54" s="63"/>
      <c r="S54" s="63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77"/>
      <c r="K55" s="59"/>
      <c r="L55" s="59"/>
      <c r="M55" s="59"/>
      <c r="N55" s="59"/>
      <c r="O55" s="59"/>
      <c r="P55" s="63"/>
      <c r="Q55" s="63"/>
      <c r="R55" s="63"/>
      <c r="S55" s="63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77"/>
      <c r="K56" s="59"/>
      <c r="L56" s="59"/>
      <c r="M56" s="59"/>
      <c r="N56" s="59"/>
      <c r="O56" s="59"/>
      <c r="P56" s="63"/>
      <c r="Q56" s="63"/>
      <c r="R56" s="63"/>
      <c r="S56" s="63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77"/>
      <c r="K57" s="59"/>
      <c r="L57" s="59"/>
      <c r="M57" s="59"/>
      <c r="N57" s="59"/>
      <c r="O57" s="59"/>
      <c r="P57" s="63"/>
      <c r="Q57" s="63"/>
      <c r="R57" s="63"/>
      <c r="S57" s="63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77"/>
      <c r="K58" s="59"/>
      <c r="L58" s="59"/>
      <c r="M58" s="59"/>
      <c r="N58" s="59"/>
      <c r="O58" s="59"/>
      <c r="P58" s="63"/>
      <c r="Q58" s="63"/>
      <c r="R58" s="63"/>
      <c r="S58" s="63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77"/>
      <c r="K59" s="59"/>
      <c r="L59" s="59"/>
      <c r="M59" s="59"/>
      <c r="N59" s="59"/>
      <c r="O59" s="59"/>
      <c r="P59" s="63"/>
      <c r="Q59" s="63"/>
      <c r="R59" s="63"/>
      <c r="S59" s="63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77"/>
      <c r="K60" s="59"/>
      <c r="L60" s="59"/>
      <c r="M60" s="59"/>
      <c r="N60" s="59"/>
      <c r="O60" s="59"/>
      <c r="P60" s="63"/>
      <c r="Q60" s="63"/>
      <c r="R60" s="63"/>
      <c r="S60" s="63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77"/>
      <c r="K61" s="59"/>
      <c r="L61" s="59"/>
      <c r="M61" s="59"/>
      <c r="N61" s="59"/>
      <c r="O61" s="59"/>
      <c r="P61" s="63"/>
      <c r="Q61" s="63"/>
      <c r="R61" s="63"/>
      <c r="S61" s="63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77"/>
      <c r="K62" s="59"/>
      <c r="L62" s="59"/>
      <c r="M62" s="59"/>
      <c r="N62" s="59"/>
      <c r="O62" s="59"/>
      <c r="P62" s="63"/>
      <c r="Q62" s="63"/>
      <c r="R62" s="63"/>
      <c r="S62" s="63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77"/>
      <c r="K63" s="59"/>
      <c r="L63" s="59"/>
      <c r="M63" s="59"/>
      <c r="N63" s="59"/>
      <c r="O63" s="59"/>
      <c r="P63" s="63"/>
      <c r="Q63" s="63"/>
      <c r="R63" s="63"/>
      <c r="S63" s="63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77"/>
      <c r="K64" s="59"/>
      <c r="L64" s="59"/>
      <c r="M64" s="59"/>
      <c r="N64" s="59"/>
      <c r="O64" s="59"/>
      <c r="P64" s="63"/>
      <c r="Q64" s="63"/>
      <c r="R64" s="63"/>
      <c r="S64" s="63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77"/>
      <c r="K65" s="59"/>
      <c r="L65" s="59"/>
      <c r="M65" s="59"/>
      <c r="N65" s="59"/>
      <c r="O65" s="59"/>
      <c r="P65" s="63"/>
      <c r="Q65" s="63"/>
      <c r="R65" s="63"/>
      <c r="S65" s="63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77"/>
      <c r="K66" s="59"/>
      <c r="L66" s="59"/>
      <c r="M66" s="59"/>
      <c r="N66" s="59"/>
      <c r="O66" s="59"/>
      <c r="P66" s="63"/>
      <c r="Q66" s="63"/>
      <c r="R66" s="63"/>
      <c r="S66" s="63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77"/>
      <c r="K67" s="59"/>
      <c r="L67" s="59"/>
      <c r="M67" s="59"/>
      <c r="N67" s="59"/>
      <c r="O67" s="59"/>
      <c r="P67" s="63"/>
      <c r="Q67" s="63"/>
      <c r="R67" s="63"/>
      <c r="S67" s="63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77"/>
      <c r="K68" s="59"/>
      <c r="L68" s="59"/>
      <c r="M68" s="59"/>
      <c r="N68" s="59"/>
      <c r="O68" s="59"/>
      <c r="P68" s="63"/>
      <c r="Q68" s="63"/>
      <c r="R68" s="63"/>
      <c r="S68" s="63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77"/>
      <c r="K69" s="59"/>
      <c r="L69" s="59"/>
      <c r="M69" s="59"/>
      <c r="N69" s="59"/>
      <c r="O69" s="59"/>
      <c r="P69" s="63"/>
      <c r="Q69" s="63"/>
      <c r="R69" s="63"/>
      <c r="S69" s="63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77"/>
      <c r="K70" s="59"/>
      <c r="L70" s="59"/>
      <c r="M70" s="59"/>
      <c r="N70" s="59"/>
      <c r="O70" s="59"/>
      <c r="P70" s="63"/>
      <c r="Q70" s="63"/>
      <c r="R70" s="63"/>
      <c r="S70" s="63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77"/>
      <c r="K71" s="59"/>
      <c r="L71" s="59"/>
      <c r="M71" s="59"/>
      <c r="N71" s="59"/>
      <c r="O71" s="59"/>
      <c r="P71" s="63"/>
      <c r="Q71" s="63"/>
      <c r="R71" s="63"/>
      <c r="S71" s="63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77"/>
      <c r="K72" s="59"/>
      <c r="L72" s="59"/>
      <c r="M72" s="59"/>
      <c r="N72" s="59"/>
      <c r="O72" s="59"/>
      <c r="P72" s="63"/>
      <c r="Q72" s="63"/>
      <c r="R72" s="63"/>
      <c r="S72" s="63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77"/>
      <c r="K73" s="59"/>
      <c r="L73" s="59"/>
      <c r="M73" s="59"/>
      <c r="N73" s="59"/>
      <c r="O73" s="59"/>
      <c r="P73" s="63"/>
      <c r="Q73" s="63"/>
      <c r="R73" s="63"/>
      <c r="S73" s="63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77"/>
      <c r="K74" s="59"/>
      <c r="L74" s="59"/>
      <c r="M74" s="59"/>
      <c r="N74" s="59"/>
      <c r="O74" s="59"/>
      <c r="P74" s="63"/>
      <c r="Q74" s="63"/>
      <c r="R74" s="63"/>
      <c r="S74" s="63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77"/>
      <c r="K75" s="59"/>
      <c r="L75" s="59"/>
      <c r="M75" s="59"/>
      <c r="N75" s="59"/>
      <c r="O75" s="59"/>
      <c r="P75" s="63"/>
      <c r="Q75" s="63"/>
      <c r="R75" s="63"/>
      <c r="S75" s="63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77"/>
      <c r="K76" s="59"/>
      <c r="L76" s="59"/>
      <c r="M76" s="59"/>
      <c r="N76" s="59"/>
      <c r="O76" s="59"/>
      <c r="P76" s="63"/>
      <c r="Q76" s="63"/>
      <c r="R76" s="63"/>
      <c r="S76" s="63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77"/>
      <c r="K77" s="59"/>
      <c r="L77" s="59"/>
      <c r="M77" s="59"/>
      <c r="N77" s="59"/>
      <c r="O77" s="59"/>
      <c r="P77" s="63"/>
      <c r="Q77" s="63"/>
      <c r="R77" s="63"/>
      <c r="S77" s="63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77"/>
      <c r="K78" s="59"/>
      <c r="L78" s="59"/>
      <c r="M78" s="59"/>
      <c r="N78" s="59"/>
      <c r="O78" s="59"/>
      <c r="P78" s="63"/>
      <c r="Q78" s="63"/>
      <c r="R78" s="63"/>
      <c r="S78" s="63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77"/>
      <c r="K79" s="59"/>
      <c r="L79" s="59"/>
      <c r="M79" s="59"/>
      <c r="N79" s="59"/>
      <c r="O79" s="59"/>
      <c r="P79" s="63"/>
      <c r="Q79" s="63"/>
      <c r="R79" s="63"/>
      <c r="S79" s="63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77"/>
      <c r="K80" s="59"/>
      <c r="L80" s="59"/>
      <c r="M80" s="59"/>
      <c r="N80" s="59"/>
      <c r="O80" s="59"/>
      <c r="P80" s="63"/>
      <c r="Q80" s="63"/>
      <c r="R80" s="63"/>
      <c r="S80" s="63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77"/>
      <c r="K81" s="59"/>
      <c r="L81" s="59"/>
      <c r="M81" s="59"/>
      <c r="N81" s="59"/>
      <c r="O81" s="59"/>
      <c r="P81" s="63"/>
      <c r="Q81" s="63"/>
      <c r="R81" s="63"/>
      <c r="S81" s="63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77"/>
      <c r="K82" s="59"/>
      <c r="L82" s="59"/>
      <c r="M82" s="59"/>
      <c r="N82" s="59"/>
      <c r="O82" s="59"/>
      <c r="P82" s="63"/>
      <c r="Q82" s="63"/>
      <c r="R82" s="63"/>
      <c r="S82" s="63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77"/>
      <c r="K83" s="59"/>
      <c r="L83" s="59"/>
      <c r="M83" s="59"/>
      <c r="N83" s="59"/>
      <c r="O83" s="59"/>
      <c r="P83" s="63"/>
      <c r="Q83" s="63"/>
      <c r="R83" s="63"/>
      <c r="S83" s="63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77"/>
      <c r="K84" s="59"/>
      <c r="L84" s="59"/>
      <c r="M84" s="59"/>
      <c r="N84" s="59"/>
      <c r="O84" s="59"/>
      <c r="P84" s="63"/>
      <c r="Q84" s="63"/>
      <c r="R84" s="63"/>
      <c r="S84" s="63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77"/>
      <c r="K85" s="59"/>
      <c r="L85" s="59"/>
      <c r="M85" s="59"/>
      <c r="N85" s="59"/>
      <c r="O85" s="59"/>
      <c r="P85" s="63"/>
      <c r="Q85" s="63"/>
      <c r="R85" s="63"/>
      <c r="S85" s="63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77"/>
      <c r="K86" s="59"/>
      <c r="L86" s="59"/>
      <c r="M86" s="59"/>
      <c r="N86" s="59"/>
      <c r="O86" s="59"/>
      <c r="P86" s="63"/>
      <c r="Q86" s="63"/>
      <c r="R86" s="63"/>
      <c r="S86" s="63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77"/>
      <c r="K87" s="59"/>
      <c r="L87" s="59"/>
      <c r="M87" s="59"/>
      <c r="N87" s="59"/>
      <c r="O87" s="59"/>
      <c r="P87" s="63"/>
      <c r="Q87" s="63"/>
      <c r="R87" s="63"/>
      <c r="S87" s="63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77"/>
      <c r="K88" s="59"/>
      <c r="L88" s="59"/>
      <c r="M88" s="59"/>
      <c r="N88" s="59"/>
      <c r="O88" s="59"/>
      <c r="P88" s="63"/>
      <c r="Q88" s="63"/>
      <c r="R88" s="63"/>
      <c r="S88" s="63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77"/>
      <c r="K89" s="59"/>
      <c r="L89" s="59"/>
      <c r="M89" s="59"/>
      <c r="N89" s="59"/>
      <c r="O89" s="59"/>
      <c r="P89" s="63"/>
      <c r="Q89" s="63"/>
      <c r="R89" s="63"/>
      <c r="S89" s="63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77"/>
      <c r="K90" s="59"/>
      <c r="L90" s="59"/>
      <c r="M90" s="59"/>
      <c r="N90" s="59"/>
      <c r="O90" s="59"/>
      <c r="P90" s="63"/>
      <c r="Q90" s="63"/>
      <c r="R90" s="63"/>
      <c r="S90" s="63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77"/>
      <c r="K91" s="59"/>
      <c r="L91" s="59"/>
      <c r="M91" s="59"/>
      <c r="N91" s="59"/>
      <c r="O91" s="59"/>
      <c r="P91" s="63"/>
      <c r="Q91" s="63"/>
      <c r="R91" s="63"/>
      <c r="S91" s="63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77"/>
      <c r="K92" s="59"/>
      <c r="L92" s="59"/>
      <c r="M92" s="59"/>
      <c r="N92" s="59"/>
      <c r="O92" s="59"/>
      <c r="P92" s="63"/>
      <c r="Q92" s="63"/>
      <c r="R92" s="63"/>
      <c r="S92" s="63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77"/>
      <c r="K93" s="59"/>
      <c r="L93" s="59"/>
      <c r="M93" s="59"/>
      <c r="N93" s="59"/>
      <c r="O93" s="59"/>
      <c r="P93" s="63"/>
      <c r="Q93" s="63"/>
      <c r="R93" s="63"/>
      <c r="S93" s="63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77"/>
      <c r="K94" s="59"/>
      <c r="L94" s="59"/>
      <c r="M94" s="59"/>
      <c r="N94" s="59"/>
      <c r="O94" s="59"/>
      <c r="P94" s="63"/>
      <c r="Q94" s="63"/>
      <c r="R94" s="63"/>
      <c r="S94" s="63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77"/>
      <c r="K95" s="59"/>
      <c r="L95" s="59"/>
      <c r="M95" s="59"/>
      <c r="N95" s="59"/>
      <c r="O95" s="59"/>
      <c r="P95" s="63"/>
      <c r="Q95" s="63"/>
      <c r="R95" s="63"/>
      <c r="S95" s="63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77"/>
      <c r="K96" s="59"/>
      <c r="L96" s="59"/>
      <c r="M96" s="59"/>
      <c r="N96" s="59"/>
      <c r="O96" s="59"/>
      <c r="P96" s="63"/>
      <c r="Q96" s="63"/>
      <c r="R96" s="63"/>
      <c r="S96" s="63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77"/>
      <c r="K97" s="59"/>
      <c r="L97" s="59"/>
      <c r="M97" s="59"/>
      <c r="N97" s="59"/>
      <c r="O97" s="59"/>
      <c r="P97" s="63"/>
      <c r="Q97" s="63"/>
      <c r="R97" s="63"/>
      <c r="S97" s="63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77"/>
      <c r="K98" s="59"/>
      <c r="L98" s="59"/>
      <c r="M98" s="59"/>
      <c r="N98" s="59"/>
      <c r="O98" s="59"/>
      <c r="P98" s="63"/>
      <c r="Q98" s="63"/>
      <c r="R98" s="63"/>
      <c r="S98" s="63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77"/>
      <c r="K99" s="59"/>
      <c r="L99" s="59"/>
      <c r="M99" s="59"/>
      <c r="N99" s="59"/>
      <c r="O99" s="59"/>
      <c r="P99" s="63"/>
      <c r="Q99" s="63"/>
      <c r="R99" s="63"/>
      <c r="S99" s="63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77"/>
      <c r="K100" s="59"/>
      <c r="L100" s="59"/>
      <c r="M100" s="59"/>
      <c r="N100" s="59"/>
      <c r="O100" s="59"/>
      <c r="P100" s="63"/>
      <c r="Q100" s="63"/>
      <c r="R100" s="63"/>
      <c r="S100" s="63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77"/>
      <c r="K101" s="59"/>
      <c r="L101" s="59"/>
      <c r="M101" s="59"/>
      <c r="N101" s="59"/>
      <c r="O101" s="59"/>
      <c r="P101" s="63"/>
      <c r="Q101" s="63"/>
      <c r="R101" s="63"/>
      <c r="S101" s="63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77"/>
      <c r="K102" s="59"/>
      <c r="L102" s="59"/>
      <c r="M102" s="59"/>
      <c r="N102" s="59"/>
      <c r="O102" s="59"/>
      <c r="P102" s="63"/>
      <c r="Q102" s="63"/>
      <c r="R102" s="63"/>
      <c r="S102" s="63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77"/>
      <c r="K103" s="59"/>
      <c r="L103" s="59"/>
      <c r="M103" s="59"/>
      <c r="N103" s="59"/>
      <c r="O103" s="59"/>
      <c r="P103" s="63"/>
      <c r="Q103" s="63"/>
      <c r="R103" s="63"/>
      <c r="S103" s="63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77"/>
      <c r="K104" s="59"/>
      <c r="L104" s="59"/>
      <c r="M104" s="59"/>
      <c r="N104" s="59"/>
      <c r="O104" s="59"/>
      <c r="P104" s="63"/>
      <c r="Q104" s="63"/>
      <c r="R104" s="63"/>
      <c r="S104" s="63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77"/>
      <c r="K105" s="59"/>
      <c r="L105" s="59"/>
      <c r="M105" s="59"/>
      <c r="N105" s="59"/>
      <c r="O105" s="59"/>
      <c r="P105" s="63"/>
      <c r="Q105" s="63"/>
      <c r="R105" s="63"/>
      <c r="S105" s="63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77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77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77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77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77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77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77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77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77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77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77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77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77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77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77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77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77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77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77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77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77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77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77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77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77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77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77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77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77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77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77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77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77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77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77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77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77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77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77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77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77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77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77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77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77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77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77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77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77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77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77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77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77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77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77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77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77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77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77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77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77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77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77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77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77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77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77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77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77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77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77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77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77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77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77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77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77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77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77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77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77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77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77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77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77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77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77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77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77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77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77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77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77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77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77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77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77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77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77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77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77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77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77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77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77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77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77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77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77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77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77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77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77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77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77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77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77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77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77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77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77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77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77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77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77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77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77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77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77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77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77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77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77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77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77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77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77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77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77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77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77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77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77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77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77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77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77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77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77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77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77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77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77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77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77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77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77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77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77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77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77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77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77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77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77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77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77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77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77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77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77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77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77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77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77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77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77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77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77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77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77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77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77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77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77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77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77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77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77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77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77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77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77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77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77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77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77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77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77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77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77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77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77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77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77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77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77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77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77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77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77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77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77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77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77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77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77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77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77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77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77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77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77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77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77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77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77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77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77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77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77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77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77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77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77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77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77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77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77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77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77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77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77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77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77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77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77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77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77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77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77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77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77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77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77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77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77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77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77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77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77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77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77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77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77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77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77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77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77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77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77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77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77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77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77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77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77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77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77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77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77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77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77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77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77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77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77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77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77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77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77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77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77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77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77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77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77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77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77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77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77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77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77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77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77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77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77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77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77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77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77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77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77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77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77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77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77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77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77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77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77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77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77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77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77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77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77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77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77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77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77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77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77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77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77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77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77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77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77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77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77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77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77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77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77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77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77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77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77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77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77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77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77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77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77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77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77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77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77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77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77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77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77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77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77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77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77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77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77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77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77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77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77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77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77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77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77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77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77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77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77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77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77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77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77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77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77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77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77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77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77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77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77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77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77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77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77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77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77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77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77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77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77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77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77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77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77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77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77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77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77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77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77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77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77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77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77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77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77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77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77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77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77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77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77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77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77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77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77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77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77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77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77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77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77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77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77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77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77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77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77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77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77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77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77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77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77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77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77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77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77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77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77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77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77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77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77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77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77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77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77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77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77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77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77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77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77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77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77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77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77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77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77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77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77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77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77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77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77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77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77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77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77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77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77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77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77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77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77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77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77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77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77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77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77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77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77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77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77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77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77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77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77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77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77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77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77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77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77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77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77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77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77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77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77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77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77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77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77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77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77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77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77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77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77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77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77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77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77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77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77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77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77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77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77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77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77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77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77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77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77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77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77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77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77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77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77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77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77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77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77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77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77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77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77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77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77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77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77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77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77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77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77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77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77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77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77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77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77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77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77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77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77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77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77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77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77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77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77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77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77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77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77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77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77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77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77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77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77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77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77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77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77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77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77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77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77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77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77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77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77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77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77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77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77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77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77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77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77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77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77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77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77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77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77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77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77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77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77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77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77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77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77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77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77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77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77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77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77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77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77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77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77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77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77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77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77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77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77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77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77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77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77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77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77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77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77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77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77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77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77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77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77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77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77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77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77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77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77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77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77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77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77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77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77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77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77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77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77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77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77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77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77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77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77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77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77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77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77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77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77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77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77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77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77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77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77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77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77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77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77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77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77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77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77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77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77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77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77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77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77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77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77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77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77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77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77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77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77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77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77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77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77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77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77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77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77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77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77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77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77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77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77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77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77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77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77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77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77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77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77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77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77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77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77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77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77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77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77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77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77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77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77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77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77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77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77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77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77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77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77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77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77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77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77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77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77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77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77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77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77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77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77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77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77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77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77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77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77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77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77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77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77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77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77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77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77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77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77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77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77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77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77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77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77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77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77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77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77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77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77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77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77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77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77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77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77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77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77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77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77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77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77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77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77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77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77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77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77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77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77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77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77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77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77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77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77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77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77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77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77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77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77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77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77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77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77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77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77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77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77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77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77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77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77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77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77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77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77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77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77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77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77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77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77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77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77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77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77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77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77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77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77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77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77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77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77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77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77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77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77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77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77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77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77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77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77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77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77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77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77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77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77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77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77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77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77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77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77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77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77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77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77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77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77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77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77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77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77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77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77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77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77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77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77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</row>
    <row r="1001">
      <c r="A1001" s="59"/>
      <c r="B1001" s="59"/>
      <c r="C1001" s="59"/>
      <c r="D1001" s="59"/>
      <c r="E1001" s="59"/>
      <c r="F1001" s="59"/>
      <c r="G1001" s="59"/>
      <c r="H1001" s="59"/>
      <c r="I1001" s="59"/>
      <c r="J1001" s="77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</row>
    <row r="1002">
      <c r="A1002" s="59"/>
      <c r="B1002" s="59"/>
      <c r="C1002" s="59"/>
      <c r="D1002" s="59"/>
      <c r="E1002" s="59"/>
      <c r="F1002" s="59"/>
      <c r="G1002" s="59"/>
      <c r="H1002" s="59"/>
      <c r="I1002" s="59"/>
      <c r="J1002" s="77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</row>
    <row r="1003">
      <c r="A1003" s="59"/>
      <c r="B1003" s="59"/>
      <c r="C1003" s="59"/>
      <c r="D1003" s="59"/>
      <c r="E1003" s="59"/>
      <c r="F1003" s="59"/>
      <c r="G1003" s="59"/>
      <c r="H1003" s="59"/>
      <c r="I1003" s="59"/>
      <c r="J1003" s="77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</row>
    <row r="1004">
      <c r="A1004" s="59"/>
      <c r="B1004" s="59"/>
      <c r="C1004" s="59"/>
      <c r="D1004" s="59"/>
      <c r="E1004" s="59"/>
      <c r="F1004" s="59"/>
      <c r="G1004" s="59"/>
      <c r="H1004" s="59"/>
      <c r="I1004" s="59"/>
      <c r="J1004" s="77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</row>
    <row r="1005">
      <c r="A1005" s="59"/>
      <c r="B1005" s="59"/>
      <c r="C1005" s="59"/>
      <c r="D1005" s="59"/>
      <c r="E1005" s="59"/>
      <c r="F1005" s="59"/>
      <c r="G1005" s="59"/>
      <c r="H1005" s="59"/>
      <c r="I1005" s="59"/>
      <c r="J1005" s="77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</row>
    <row r="1006">
      <c r="A1006" s="59"/>
      <c r="B1006" s="59"/>
      <c r="C1006" s="59"/>
      <c r="D1006" s="59"/>
      <c r="E1006" s="59"/>
      <c r="F1006" s="59"/>
      <c r="G1006" s="59"/>
      <c r="H1006" s="59"/>
      <c r="I1006" s="59"/>
      <c r="J1006" s="77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7.38"/>
    <col customWidth="1" min="3" max="3" width="28.63"/>
    <col customWidth="1" min="4" max="4" width="20.25"/>
    <col customWidth="1" min="5" max="5" width="26.75"/>
    <col customWidth="1" min="6" max="6" width="28.25"/>
    <col customWidth="1" min="7" max="7" width="23.25"/>
  </cols>
  <sheetData>
    <row r="1">
      <c r="A1" s="78" t="s">
        <v>243</v>
      </c>
      <c r="B1" s="78" t="str">
        <f t="array" ref="B1:B96">{"WINNER WEIGHT INCREASE (lbs)";VLOOKUP(A2:A96,'Weights, Changes and Percentage'!$B$2:$H$998,5,0)}</f>
        <v>WINNER WEIGHT INCREASE (lbs)</v>
      </c>
      <c r="C1" s="78" t="str">
        <f t="array" ref="C1:C96">{"WINNER PERCENTAGE REGAINED";VLOOKUP(A2:A96,'Weights, Changes and Percentage'!$B$2:$H$998,6,0)}</f>
        <v>WINNER PERCENTAGE REGAINED</v>
      </c>
      <c r="D1" s="79" t="s">
        <v>244</v>
      </c>
      <c r="E1" s="79" t="s">
        <v>245</v>
      </c>
      <c r="F1" s="79" t="s">
        <v>246</v>
      </c>
      <c r="G1" s="80" t="s">
        <v>247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81" t="s">
        <v>38</v>
      </c>
      <c r="B2" s="82">
        <v>14.5</v>
      </c>
      <c r="C2" s="83">
        <v>10.74074074074074</v>
      </c>
      <c r="D2" s="81" t="s">
        <v>15</v>
      </c>
      <c r="E2" s="82">
        <f t="array" ref="E2">vlookup(D2,'Weights, Changes and Percentage'!$B$2:$H$998,5,false)</f>
        <v>7.3</v>
      </c>
      <c r="F2" s="83">
        <f t="array" ref="F2">vlookup(D2,'Weights, Changes and Percentage'!$B$2:$H$998,6,false)</f>
        <v>5.419450631</v>
      </c>
      <c r="G2" s="84" t="str">
        <f t="shared" ref="G2:G96" si="1">IF(B2&gt;E2,"YES","NO")</f>
        <v>YES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81" t="s">
        <v>22</v>
      </c>
      <c r="B3" s="82">
        <v>16.5</v>
      </c>
      <c r="C3" s="83">
        <v>13.253012048192772</v>
      </c>
      <c r="D3" s="81" t="s">
        <v>21</v>
      </c>
      <c r="E3" s="82">
        <f t="array" ref="E3">vlookup(D3,'Weights, Changes and Percentage'!$B$2:$H$998,5,false)</f>
        <v>17</v>
      </c>
      <c r="F3" s="83">
        <f t="array" ref="F3">vlookup(D3,'Weights, Changes and Percentage'!$B$2:$H$998,6,false)</f>
        <v>13.6</v>
      </c>
      <c r="G3" s="84" t="str">
        <f t="shared" si="1"/>
        <v>NO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81" t="s">
        <v>33</v>
      </c>
      <c r="B4" s="82">
        <v>19.5</v>
      </c>
      <c r="C4" s="83">
        <v>13.356164383561644</v>
      </c>
      <c r="D4" s="81" t="s">
        <v>16</v>
      </c>
      <c r="E4" s="82">
        <f t="array" ref="E4">vlookup(D4,'Weights, Changes and Percentage'!$B$2:$H$998,5,false)</f>
        <v>15.3</v>
      </c>
      <c r="F4" s="83">
        <f t="array" ref="F4">vlookup(D4,'Weights, Changes and Percentage'!$B$2:$H$998,6,false)</f>
        <v>10.53719008</v>
      </c>
      <c r="G4" s="84" t="str">
        <f t="shared" si="1"/>
        <v>YES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81" t="s">
        <v>23</v>
      </c>
      <c r="B5" s="82">
        <v>14.700000000000003</v>
      </c>
      <c r="C5" s="83">
        <v>12.69430051813472</v>
      </c>
      <c r="D5" s="81" t="s">
        <v>32</v>
      </c>
      <c r="E5" s="82">
        <f t="array" ref="E5">vlookup(D5,'Weights, Changes and Percentage'!$B$2:$H$998,5,false)</f>
        <v>14.5</v>
      </c>
      <c r="F5" s="83">
        <f t="array" ref="F5">vlookup(D5,'Weights, Changes and Percentage'!$B$2:$H$998,6,false)</f>
        <v>12.60869565</v>
      </c>
      <c r="G5" s="84" t="str">
        <f t="shared" si="1"/>
        <v>YES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81" t="s">
        <v>37</v>
      </c>
      <c r="B6" s="82">
        <v>24.0</v>
      </c>
      <c r="C6" s="83">
        <v>12.93800539083558</v>
      </c>
      <c r="D6" s="81" t="s">
        <v>25</v>
      </c>
      <c r="E6" s="82">
        <f t="array" ref="E6">vlookup(D6,'Weights, Changes and Percentage'!$B$2:$H$998,5,false)</f>
        <v>8.3</v>
      </c>
      <c r="F6" s="83">
        <f t="array" ref="F6">vlookup(D6,'Weights, Changes and Percentage'!$B$2:$H$998,6,false)</f>
        <v>4.493773687</v>
      </c>
      <c r="G6" s="84" t="str">
        <f t="shared" si="1"/>
        <v>YES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81" t="s">
        <v>31</v>
      </c>
      <c r="B7" s="82">
        <v>16.0</v>
      </c>
      <c r="C7" s="83">
        <v>11.851851851851853</v>
      </c>
      <c r="D7" s="81" t="s">
        <v>13</v>
      </c>
      <c r="E7" s="82">
        <f t="array" ref="E7">vlookup(D7,'Weights, Changes and Percentage'!$B$2:$H$998,5,false)</f>
        <v>22.8</v>
      </c>
      <c r="F7" s="83">
        <f t="array" ref="F7">vlookup(D7,'Weights, Changes and Percentage'!$B$2:$H$998,6,false)</f>
        <v>16.86390533</v>
      </c>
      <c r="G7" s="84" t="str">
        <f t="shared" si="1"/>
        <v>NO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81" t="s">
        <v>35</v>
      </c>
      <c r="B8" s="82">
        <v>16.80000000000001</v>
      </c>
      <c r="C8" s="83">
        <v>12.42603550295859</v>
      </c>
      <c r="D8" s="81" t="s">
        <v>30</v>
      </c>
      <c r="E8" s="82">
        <f t="array" ref="E8">vlookup(D8,'Weights, Changes and Percentage'!$B$2:$H$998,5,false)</f>
        <v>16</v>
      </c>
      <c r="F8" s="83">
        <f t="array" ref="F8">vlookup(D8,'Weights, Changes and Percentage'!$B$2:$H$998,6,false)</f>
        <v>11.76470588</v>
      </c>
      <c r="G8" s="84" t="str">
        <f t="shared" si="1"/>
        <v>YES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81" t="s">
        <v>34</v>
      </c>
      <c r="B9" s="82">
        <v>18.0</v>
      </c>
      <c r="C9" s="83">
        <v>13.284132841328415</v>
      </c>
      <c r="D9" s="81" t="s">
        <v>27</v>
      </c>
      <c r="E9" s="82">
        <f t="array" ref="E9">vlookup(D9,'Weights, Changes and Percentage'!$B$2:$H$998,5,false)</f>
        <v>18</v>
      </c>
      <c r="F9" s="83">
        <f t="array" ref="F9">vlookup(D9,'Weights, Changes and Percentage'!$B$2:$H$998,6,false)</f>
        <v>13.23529412</v>
      </c>
      <c r="G9" s="84" t="str">
        <f t="shared" si="1"/>
        <v>NO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81" t="s">
        <v>36</v>
      </c>
      <c r="B10" s="82">
        <v>18.0</v>
      </c>
      <c r="C10" s="83">
        <v>12.32876712328767</v>
      </c>
      <c r="D10" s="81" t="s">
        <v>29</v>
      </c>
      <c r="E10" s="82">
        <f t="array" ref="E10">vlookup(D10,'Weights, Changes and Percentage'!$B$2:$H$998,5,false)</f>
        <v>19.3</v>
      </c>
      <c r="F10" s="83">
        <f t="array" ref="F10">vlookup(D10,'Weights, Changes and Percentage'!$B$2:$H$998,6,false)</f>
        <v>13.24639671</v>
      </c>
      <c r="G10" s="84" t="str">
        <f t="shared" si="1"/>
        <v>NO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81" t="s">
        <v>10</v>
      </c>
      <c r="B11" s="82">
        <v>20.5</v>
      </c>
      <c r="C11" s="83">
        <v>16.26984126984127</v>
      </c>
      <c r="D11" s="81" t="s">
        <v>24</v>
      </c>
      <c r="E11" s="82">
        <f t="array" ref="E11">vlookup(D11,'Weights, Changes and Percentage'!$B$2:$H$998,5,false)</f>
        <v>18</v>
      </c>
      <c r="F11" s="83">
        <f t="array" ref="F11">vlookup(D11,'Weights, Changes and Percentage'!$B$2:$H$998,6,false)</f>
        <v>14.4</v>
      </c>
      <c r="G11" s="84" t="str">
        <f t="shared" si="1"/>
        <v>YES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81" t="s">
        <v>39</v>
      </c>
      <c r="B12" s="82">
        <v>11.5</v>
      </c>
      <c r="C12" s="83">
        <v>9.956709956709958</v>
      </c>
      <c r="D12" s="81" t="s">
        <v>18</v>
      </c>
      <c r="E12" s="82">
        <f t="array" ref="E12">vlookup(D12,'Weights, Changes and Percentage'!$B$2:$H$998,5,false)</f>
        <v>9.1</v>
      </c>
      <c r="F12" s="83">
        <f t="array" ref="F12">vlookup(D12,'Weights, Changes and Percentage'!$B$2:$H$998,6,false)</f>
        <v>7.885615251</v>
      </c>
      <c r="G12" s="84" t="str">
        <f t="shared" si="1"/>
        <v>YES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81" t="s">
        <v>28</v>
      </c>
      <c r="B13" s="82">
        <v>14.5</v>
      </c>
      <c r="C13" s="83">
        <v>10.70110701107011</v>
      </c>
      <c r="D13" s="81" t="s">
        <v>40</v>
      </c>
      <c r="E13" s="82">
        <f t="array" ref="E13">vlookup(D13,'Weights, Changes and Percentage'!$B$2:$H$998,5,false)</f>
        <v>14</v>
      </c>
      <c r="F13" s="83">
        <f t="array" ref="F13">vlookup(D13,'Weights, Changes and Percentage'!$B$2:$H$998,6,false)</f>
        <v>10.33210332</v>
      </c>
      <c r="G13" s="84" t="str">
        <f t="shared" si="1"/>
        <v>YES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85" t="s">
        <v>64</v>
      </c>
      <c r="B14" s="86">
        <v>18.5</v>
      </c>
      <c r="C14" s="87">
        <v>9.068627450980392</v>
      </c>
      <c r="D14" s="85" t="s">
        <v>42</v>
      </c>
      <c r="E14" s="86">
        <f t="array" ref="E14">vlookup(D14,'Weights, Changes and Percentage'!$B$2:$H$998,5,false)</f>
        <v>15</v>
      </c>
      <c r="F14" s="87">
        <f t="array" ref="F14">vlookup(D14,'Weights, Changes and Percentage'!$B$2:$H$998,6,false)</f>
        <v>7.334963325</v>
      </c>
      <c r="G14" s="88" t="str">
        <f t="shared" si="1"/>
        <v>YES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85" t="s">
        <v>45</v>
      </c>
      <c r="B15" s="86">
        <v>11.0</v>
      </c>
      <c r="C15" s="87">
        <v>7.586206896551724</v>
      </c>
      <c r="D15" s="85" t="s">
        <v>60</v>
      </c>
      <c r="E15" s="86">
        <f t="array" ref="E15">vlookup(D15,'Weights, Changes and Percentage'!$B$2:$H$998,5,false)</f>
        <v>16.5</v>
      </c>
      <c r="F15" s="87">
        <f t="array" ref="F15">vlookup(D15,'Weights, Changes and Percentage'!$B$2:$H$998,6,false)</f>
        <v>11.45833333</v>
      </c>
      <c r="G15" s="88" t="str">
        <f t="shared" si="1"/>
        <v>NO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85" t="s">
        <v>66</v>
      </c>
      <c r="B16" s="86">
        <v>17.5</v>
      </c>
      <c r="C16" s="87">
        <v>10.263929618768328</v>
      </c>
      <c r="D16" s="85" t="s">
        <v>55</v>
      </c>
      <c r="E16" s="86">
        <f t="array" ref="E16">vlookup(D16,'Weights, Changes and Percentage'!$B$2:$H$998,5,false)</f>
        <v>13.5</v>
      </c>
      <c r="F16" s="87">
        <f t="array" ref="F16">vlookup(D16,'Weights, Changes and Percentage'!$B$2:$H$998,6,false)</f>
        <v>7.894736842</v>
      </c>
      <c r="G16" s="88" t="str">
        <f t="shared" si="1"/>
        <v>YES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85" t="s">
        <v>59</v>
      </c>
      <c r="B17" s="86">
        <v>20.5</v>
      </c>
      <c r="C17" s="87">
        <v>10.024449877750612</v>
      </c>
      <c r="D17" s="85" t="s">
        <v>63</v>
      </c>
      <c r="E17" s="86">
        <f t="array" ref="E17">vlookup(D17,'Weights, Changes and Percentage'!$B$2:$H$998,5,false)</f>
        <v>13.5</v>
      </c>
      <c r="F17" s="87">
        <f t="array" ref="F17">vlookup(D17,'Weights, Changes and Percentage'!$B$2:$H$998,6,false)</f>
        <v>6.569343066</v>
      </c>
      <c r="G17" s="88" t="str">
        <f t="shared" si="1"/>
        <v>YES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85" t="s">
        <v>44</v>
      </c>
      <c r="B18" s="86">
        <v>21.5</v>
      </c>
      <c r="C18" s="87">
        <v>14.827586206896552</v>
      </c>
      <c r="D18" s="85" t="s">
        <v>58</v>
      </c>
      <c r="E18" s="86">
        <f t="array" ref="E18">vlookup(D18,'Weights, Changes and Percentage'!$B$2:$H$998,5,false)</f>
        <v>14.5</v>
      </c>
      <c r="F18" s="87">
        <f t="array" ref="F18">vlookup(D18,'Weights, Changes and Percentage'!$B$2:$H$998,6,false)</f>
        <v>9.931506849</v>
      </c>
      <c r="G18" s="88" t="str">
        <f t="shared" si="1"/>
        <v>YES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85" t="s">
        <v>65</v>
      </c>
      <c r="B19" s="86">
        <v>11.0</v>
      </c>
      <c r="C19" s="87">
        <v>7.534246575342466</v>
      </c>
      <c r="D19" s="85" t="s">
        <v>57</v>
      </c>
      <c r="E19" s="86">
        <f t="array" ref="E19">vlookup(D19,'Weights, Changes and Percentage'!$B$2:$H$998,5,false)</f>
        <v>12</v>
      </c>
      <c r="F19" s="87">
        <f t="array" ref="F19">vlookup(D19,'Weights, Changes and Percentage'!$B$2:$H$998,6,false)</f>
        <v>8.333333333</v>
      </c>
      <c r="G19" s="88" t="str">
        <f t="shared" si="1"/>
        <v>NO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85" t="s">
        <v>69</v>
      </c>
      <c r="B20" s="86">
        <v>14.0</v>
      </c>
      <c r="C20" s="87">
        <v>10.33210332103321</v>
      </c>
      <c r="D20" s="85" t="s">
        <v>62</v>
      </c>
      <c r="E20" s="86">
        <f t="array" ref="E20">vlookup(D20,'Weights, Changes and Percentage'!$B$2:$H$998,5,false)</f>
        <v>20</v>
      </c>
      <c r="F20" s="87">
        <f t="array" ref="F20">vlookup(D20,'Weights, Changes and Percentage'!$B$2:$H$998,6,false)</f>
        <v>14.86988848</v>
      </c>
      <c r="G20" s="88" t="str">
        <f t="shared" si="1"/>
        <v>NO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85" t="s">
        <v>70</v>
      </c>
      <c r="B21" s="86">
        <v>2.0</v>
      </c>
      <c r="C21" s="87">
        <v>1.2987012987012987</v>
      </c>
      <c r="D21" s="85" t="s">
        <v>51</v>
      </c>
      <c r="E21" s="86">
        <f t="array" ref="E21">vlookup(D21,'Weights, Changes and Percentage'!$B$2:$H$998,5,false)</f>
        <v>7.5</v>
      </c>
      <c r="F21" s="87">
        <f t="array" ref="F21">vlookup(D21,'Weights, Changes and Percentage'!$B$2:$H$998,6,false)</f>
        <v>4.807692308</v>
      </c>
      <c r="G21" s="88" t="str">
        <f t="shared" si="1"/>
        <v>NO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85" t="s">
        <v>68</v>
      </c>
      <c r="B22" s="86">
        <v>11.5</v>
      </c>
      <c r="C22" s="87">
        <v>8.487084870848708</v>
      </c>
      <c r="D22" s="85" t="s">
        <v>47</v>
      </c>
      <c r="E22" s="86">
        <f t="array" ref="E22">vlookup(D22,'Weights, Changes and Percentage'!$B$2:$H$998,5,false)</f>
        <v>9.5</v>
      </c>
      <c r="F22" s="87">
        <f t="array" ref="F22">vlookup(D22,'Weights, Changes and Percentage'!$B$2:$H$998,6,false)</f>
        <v>7.011070111</v>
      </c>
      <c r="G22" s="88" t="str">
        <f t="shared" si="1"/>
        <v>YES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85" t="s">
        <v>72</v>
      </c>
      <c r="B23" s="86">
        <v>18.0</v>
      </c>
      <c r="C23" s="87">
        <v>9.703504043126685</v>
      </c>
      <c r="D23" s="85" t="s">
        <v>50</v>
      </c>
      <c r="E23" s="86">
        <f t="array" ref="E23">vlookup(D23,'Weights, Changes and Percentage'!$B$2:$H$998,5,false)</f>
        <v>8.5</v>
      </c>
      <c r="F23" s="87">
        <f t="array" ref="F23">vlookup(D23,'Weights, Changes and Percentage'!$B$2:$H$998,6,false)</f>
        <v>4.569892473</v>
      </c>
      <c r="G23" s="88" t="str">
        <f t="shared" si="1"/>
        <v>YES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85" t="s">
        <v>61</v>
      </c>
      <c r="B24" s="86">
        <v>13.5</v>
      </c>
      <c r="C24" s="87">
        <v>7.941176470588235</v>
      </c>
      <c r="D24" s="85" t="s">
        <v>71</v>
      </c>
      <c r="E24" s="86">
        <f t="array" ref="E24">vlookup(D24,'Weights, Changes and Percentage'!$B$2:$H$998,5,false)</f>
        <v>13.5</v>
      </c>
      <c r="F24" s="87">
        <f t="array" ref="F24">vlookup(D24,'Weights, Changes and Percentage'!$B$2:$H$998,6,false)</f>
        <v>7.894736842</v>
      </c>
      <c r="G24" s="88" t="str">
        <f t="shared" si="1"/>
        <v>NO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85" t="s">
        <v>67</v>
      </c>
      <c r="B25" s="86">
        <v>18.0</v>
      </c>
      <c r="C25" s="87">
        <v>13.138686131386862</v>
      </c>
      <c r="D25" s="85" t="s">
        <v>53</v>
      </c>
      <c r="E25" s="86">
        <f t="array" ref="E25">vlookup(D25,'Weights, Changes and Percentage'!$B$2:$H$998,5,false)</f>
        <v>13</v>
      </c>
      <c r="F25" s="87">
        <f t="array" ref="F25">vlookup(D25,'Weights, Changes and Percentage'!$B$2:$H$998,6,false)</f>
        <v>9.62962963</v>
      </c>
      <c r="G25" s="88" t="str">
        <f t="shared" si="1"/>
        <v>YES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89" t="s">
        <v>82</v>
      </c>
      <c r="B26" s="90">
        <v>12.0</v>
      </c>
      <c r="C26" s="91">
        <v>8.823529411764707</v>
      </c>
      <c r="D26" s="89" t="s">
        <v>76</v>
      </c>
      <c r="E26" s="90">
        <f t="array" ref="E26">vlookup(D26,'Weights, Changes and Percentage'!$B$2:$H$998,5,false)</f>
        <v>24</v>
      </c>
      <c r="F26" s="91">
        <f t="array" ref="F26">vlookup(D26,'Weights, Changes and Percentage'!$B$2:$H$998,6,false)</f>
        <v>17.77777778</v>
      </c>
      <c r="G26" s="92" t="str">
        <f t="shared" si="1"/>
        <v>NO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89" t="s">
        <v>97</v>
      </c>
      <c r="B27" s="90">
        <v>18.099999999999994</v>
      </c>
      <c r="C27" s="91">
        <v>13.35793357933579</v>
      </c>
      <c r="D27" s="89" t="s">
        <v>94</v>
      </c>
      <c r="E27" s="90">
        <f t="array" ref="E27">vlookup(D27,'Weights, Changes and Percentage'!$B$2:$H$998,5,false)</f>
        <v>17.3</v>
      </c>
      <c r="F27" s="91">
        <f t="array" ref="F27">vlookup(D27,'Weights, Changes and Percentage'!$B$2:$H$998,6,false)</f>
        <v>12.86245353</v>
      </c>
      <c r="G27" s="92" t="str">
        <f t="shared" si="1"/>
        <v>YES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89" t="s">
        <v>85</v>
      </c>
      <c r="B28" s="90">
        <v>20.80000000000001</v>
      </c>
      <c r="C28" s="91">
        <v>14.24657534246576</v>
      </c>
      <c r="D28" s="89" t="s">
        <v>91</v>
      </c>
      <c r="E28" s="90">
        <f t="array" ref="E28">vlookup(D28,'Weights, Changes and Percentage'!$B$2:$H$998,5,false)</f>
        <v>21.8</v>
      </c>
      <c r="F28" s="91">
        <f t="array" ref="F28">vlookup(D28,'Weights, Changes and Percentage'!$B$2:$H$998,6,false)</f>
        <v>15.03448276</v>
      </c>
      <c r="G28" s="92" t="str">
        <f t="shared" si="1"/>
        <v>NO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89" t="s">
        <v>87</v>
      </c>
      <c r="B29" s="90">
        <v>20.900000000000006</v>
      </c>
      <c r="C29" s="91">
        <v>11.266846361185987</v>
      </c>
      <c r="D29" s="89" t="s">
        <v>99</v>
      </c>
      <c r="E29" s="90">
        <f t="array" ref="E29">vlookup(D29,'Weights, Changes and Percentage'!$B$2:$H$998,5,false)</f>
        <v>17.2</v>
      </c>
      <c r="F29" s="91">
        <f t="array" ref="F29">vlookup(D29,'Weights, Changes and Percentage'!$B$2:$H$998,6,false)</f>
        <v>9.297297297</v>
      </c>
      <c r="G29" s="92" t="str">
        <f t="shared" si="1"/>
        <v>YES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89" t="s">
        <v>89</v>
      </c>
      <c r="B30" s="90">
        <v>25.5</v>
      </c>
      <c r="C30" s="91">
        <v>13.746630727762804</v>
      </c>
      <c r="D30" s="89" t="s">
        <v>80</v>
      </c>
      <c r="E30" s="90">
        <f t="array" ref="E30">vlookup(D30,'Weights, Changes and Percentage'!$B$2:$H$998,5,false)</f>
        <v>14.5</v>
      </c>
      <c r="F30" s="91">
        <f t="array" ref="F30">vlookup(D30,'Weights, Changes and Percentage'!$B$2:$H$998,6,false)</f>
        <v>7.81671159</v>
      </c>
      <c r="G30" s="92" t="str">
        <f t="shared" si="1"/>
        <v>YES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89" t="s">
        <v>75</v>
      </c>
      <c r="B31" s="90">
        <v>15.099999999999994</v>
      </c>
      <c r="C31" s="91">
        <v>10.37800687285223</v>
      </c>
      <c r="D31" s="89" t="s">
        <v>96</v>
      </c>
      <c r="E31" s="90">
        <f t="array" ref="E31">vlookup(D31,'Weights, Changes and Percentage'!$B$2:$H$998,5,false)</f>
        <v>24.2</v>
      </c>
      <c r="F31" s="91">
        <f t="array" ref="F31">vlookup(D31,'Weights, Changes and Percentage'!$B$2:$H$998,6,false)</f>
        <v>16.57534247</v>
      </c>
      <c r="G31" s="92" t="str">
        <f t="shared" si="1"/>
        <v>NO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89" t="s">
        <v>86</v>
      </c>
      <c r="B32" s="90">
        <v>6.699999999999989</v>
      </c>
      <c r="C32" s="91">
        <v>4.944649446494457</v>
      </c>
      <c r="D32" s="89" t="s">
        <v>92</v>
      </c>
      <c r="E32" s="90">
        <f t="array" ref="E32">vlookup(D32,'Weights, Changes and Percentage'!$B$2:$H$998,5,false)</f>
        <v>17.7</v>
      </c>
      <c r="F32" s="91">
        <f t="array" ref="F32">vlookup(D32,'Weights, Changes and Percentage'!$B$2:$H$998,6,false)</f>
        <v>13.06273063</v>
      </c>
      <c r="G32" s="92" t="str">
        <f t="shared" si="1"/>
        <v>NO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89" t="s">
        <v>95</v>
      </c>
      <c r="B33" s="90">
        <v>12.5</v>
      </c>
      <c r="C33" s="91">
        <v>8.650519031141869</v>
      </c>
      <c r="D33" s="89" t="s">
        <v>81</v>
      </c>
      <c r="E33" s="90">
        <f t="array" ref="E33">vlookup(D33,'Weights, Changes and Percentage'!$B$2:$H$998,5,false)</f>
        <v>21.9</v>
      </c>
      <c r="F33" s="91">
        <f t="array" ref="F33">vlookup(D33,'Weights, Changes and Percentage'!$B$2:$H$998,6,false)</f>
        <v>15.05154639</v>
      </c>
      <c r="G33" s="92" t="str">
        <f t="shared" si="1"/>
        <v>NO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89" t="s">
        <v>84</v>
      </c>
      <c r="B34" s="90">
        <v>20.400000000000006</v>
      </c>
      <c r="C34" s="91">
        <v>15.111111111111114</v>
      </c>
      <c r="D34" s="89" t="s">
        <v>93</v>
      </c>
      <c r="E34" s="90">
        <f t="array" ref="E34">vlookup(D34,'Weights, Changes and Percentage'!$B$2:$H$998,5,false)</f>
        <v>14.6</v>
      </c>
      <c r="F34" s="91">
        <f t="array" ref="F34">vlookup(D34,'Weights, Changes and Percentage'!$B$2:$H$998,6,false)</f>
        <v>10.73529412</v>
      </c>
      <c r="G34" s="92" t="str">
        <f t="shared" si="1"/>
        <v>YES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89" t="s">
        <v>79</v>
      </c>
      <c r="B35" s="90">
        <v>8.200000000000003</v>
      </c>
      <c r="C35" s="91">
        <v>7.130434782608698</v>
      </c>
      <c r="D35" s="89" t="s">
        <v>88</v>
      </c>
      <c r="E35" s="90">
        <f t="array" ref="E35">vlookup(D35,'Weights, Changes and Percentage'!$B$2:$H$998,5,false)</f>
        <v>7.2</v>
      </c>
      <c r="F35" s="91">
        <f t="array" ref="F35">vlookup(D35,'Weights, Changes and Percentage'!$B$2:$H$998,6,false)</f>
        <v>6.206896552</v>
      </c>
      <c r="G35" s="92" t="str">
        <f t="shared" si="1"/>
        <v>YES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89" t="s">
        <v>78</v>
      </c>
      <c r="B36" s="90">
        <v>11.400000000000006</v>
      </c>
      <c r="C36" s="91">
        <v>8.382352941176475</v>
      </c>
      <c r="D36" s="89" t="s">
        <v>98</v>
      </c>
      <c r="E36" s="90">
        <f t="array" ref="E36">vlookup(D36,'Weights, Changes and Percentage'!$B$2:$H$998,5,false)</f>
        <v>13.3</v>
      </c>
      <c r="F36" s="91">
        <f t="array" ref="F36">vlookup(D36,'Weights, Changes and Percentage'!$B$2:$H$998,6,false)</f>
        <v>9.815498155</v>
      </c>
      <c r="G36" s="92" t="str">
        <f t="shared" si="1"/>
        <v>NO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93" t="s">
        <v>124</v>
      </c>
      <c r="B37" s="94">
        <v>2.5</v>
      </c>
      <c r="C37" s="95">
        <v>1.0845986984815619</v>
      </c>
      <c r="D37" s="93" t="s">
        <v>106</v>
      </c>
      <c r="E37" s="94">
        <f t="array" ref="E37">vlookup(D37,'Weights, Changes and Percentage'!$B$2:$H$998,5,false)</f>
        <v>10.5</v>
      </c>
      <c r="F37" s="95">
        <f t="array" ref="F37">vlookup(D37,'Weights, Changes and Percentage'!$B$2:$H$998,6,false)</f>
        <v>4.4397463</v>
      </c>
      <c r="G37" s="96" t="str">
        <f t="shared" si="1"/>
        <v>NO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93" t="s">
        <v>117</v>
      </c>
      <c r="B38" s="94">
        <v>10.0</v>
      </c>
      <c r="C38" s="95">
        <v>5.88235294117647</v>
      </c>
      <c r="D38" s="93" t="s">
        <v>101</v>
      </c>
      <c r="E38" s="94">
        <f t="array" ref="E38">vlookup(D38,'Weights, Changes and Percentage'!$B$2:$H$998,5,false)</f>
        <v>7.7</v>
      </c>
      <c r="F38" s="95">
        <f t="array" ref="F38">vlookup(D38,'Weights, Changes and Percentage'!$B$2:$H$998,6,false)</f>
        <v>4.542772861</v>
      </c>
      <c r="G38" s="96" t="str">
        <f t="shared" si="1"/>
        <v>YES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93" t="s">
        <v>118</v>
      </c>
      <c r="B39" s="94">
        <v>27.80000000000001</v>
      </c>
      <c r="C39" s="95">
        <v>14.946236559139791</v>
      </c>
      <c r="D39" s="93" t="s">
        <v>125</v>
      </c>
      <c r="E39" s="94">
        <f t="array" ref="E39">vlookup(D39,'Weights, Changes and Percentage'!$B$2:$H$998,5,false)</f>
        <v>22.7</v>
      </c>
      <c r="F39" s="95">
        <f t="array" ref="F39">vlookup(D39,'Weights, Changes and Percentage'!$B$2:$H$998,6,false)</f>
        <v>12.30352304</v>
      </c>
      <c r="G39" s="96" t="str">
        <f t="shared" si="1"/>
        <v>YES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93" t="s">
        <v>123</v>
      </c>
      <c r="B40" s="94">
        <v>24.19999999999999</v>
      </c>
      <c r="C40" s="95">
        <v>16.689655172413786</v>
      </c>
      <c r="D40" s="93" t="s">
        <v>110</v>
      </c>
      <c r="E40" s="94">
        <f t="array" ref="E40">vlookup(D40,'Weights, Changes and Percentage'!$B$2:$H$998,5,false)</f>
        <v>18.6</v>
      </c>
      <c r="F40" s="95">
        <f t="array" ref="F40">vlookup(D40,'Weights, Changes and Percentage'!$B$2:$H$998,6,false)</f>
        <v>12.73972603</v>
      </c>
      <c r="G40" s="96" t="str">
        <f t="shared" si="1"/>
        <v>YES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93" t="s">
        <v>107</v>
      </c>
      <c r="B41" s="94">
        <v>18.80000000000001</v>
      </c>
      <c r="C41" s="95">
        <v>10.107526881720435</v>
      </c>
      <c r="D41" s="93" t="s">
        <v>112</v>
      </c>
      <c r="E41" s="94">
        <f t="array" ref="E41">vlookup(D41,'Weights, Changes and Percentage'!$B$2:$H$998,5,false)</f>
        <v>18</v>
      </c>
      <c r="F41" s="95">
        <f t="array" ref="F41">vlookup(D41,'Weights, Changes and Percentage'!$B$2:$H$998,6,false)</f>
        <v>9.703504043</v>
      </c>
      <c r="G41" s="96" t="str">
        <f t="shared" si="1"/>
        <v>YES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93" t="s">
        <v>114</v>
      </c>
      <c r="B42" s="94">
        <v>12.099999999999994</v>
      </c>
      <c r="C42" s="95">
        <v>7.781350482315109</v>
      </c>
      <c r="D42" s="93" t="s">
        <v>108</v>
      </c>
      <c r="E42" s="94">
        <f t="array" ref="E42">vlookup(D42,'Weights, Changes and Percentage'!$B$2:$H$998,5,false)</f>
        <v>7.8</v>
      </c>
      <c r="F42" s="95">
        <f t="array" ref="F42">vlookup(D42,'Weights, Changes and Percentage'!$B$2:$H$998,6,false)</f>
        <v>5</v>
      </c>
      <c r="G42" s="96" t="str">
        <f t="shared" si="1"/>
        <v>YES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93" t="s">
        <v>105</v>
      </c>
      <c r="B43" s="94">
        <v>13.199999999999989</v>
      </c>
      <c r="C43" s="95">
        <v>9.705882352941169</v>
      </c>
      <c r="D43" s="93" t="s">
        <v>119</v>
      </c>
      <c r="E43" s="94">
        <f t="array" ref="E43">vlookup(D43,'Weights, Changes and Percentage'!$B$2:$H$998,5,false)</f>
        <v>17.2</v>
      </c>
      <c r="F43" s="95">
        <f t="array" ref="F43">vlookup(D43,'Weights, Changes and Percentage'!$B$2:$H$998,6,false)</f>
        <v>12.64705882</v>
      </c>
      <c r="G43" s="96" t="str">
        <f t="shared" si="1"/>
        <v>NO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93" t="s">
        <v>109</v>
      </c>
      <c r="B44" s="94">
        <v>19.69999999999999</v>
      </c>
      <c r="C44" s="95">
        <v>12.668810289389059</v>
      </c>
      <c r="D44" s="93" t="s">
        <v>104</v>
      </c>
      <c r="E44" s="94">
        <f t="array" ref="E44">vlookup(D44,'Weights, Changes and Percentage'!$B$2:$H$998,5,false)</f>
        <v>21.2</v>
      </c>
      <c r="F44" s="95">
        <f t="array" ref="F44">vlookup(D44,'Weights, Changes and Percentage'!$B$2:$H$998,6,false)</f>
        <v>13.67741935</v>
      </c>
      <c r="G44" s="96" t="str">
        <f t="shared" si="1"/>
        <v>NO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93" t="s">
        <v>103</v>
      </c>
      <c r="B45" s="94">
        <v>6.0</v>
      </c>
      <c r="C45" s="95">
        <v>4.316546762589928</v>
      </c>
      <c r="D45" s="93" t="s">
        <v>116</v>
      </c>
      <c r="E45" s="94">
        <f t="array" ref="E45">vlookup(D45,'Weights, Changes and Percentage'!$B$2:$H$998,5,false)</f>
        <v>24.8</v>
      </c>
      <c r="F45" s="95">
        <f t="array" ref="F45">vlookup(D45,'Weights, Changes and Percentage'!$B$2:$H$998,6,false)</f>
        <v>17.71428571</v>
      </c>
      <c r="G45" s="96" t="str">
        <f t="shared" si="1"/>
        <v>NO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93" t="s">
        <v>111</v>
      </c>
      <c r="B46" s="94">
        <v>11.099999999999994</v>
      </c>
      <c r="C46" s="95">
        <v>9.694323144104798</v>
      </c>
      <c r="D46" s="93" t="s">
        <v>113</v>
      </c>
      <c r="E46" s="94">
        <f t="array" ref="E46">vlookup(D46,'Weights, Changes and Percentage'!$B$2:$H$998,5,false)</f>
        <v>11.8</v>
      </c>
      <c r="F46" s="95">
        <f t="array" ref="F46">vlookup(D46,'Weights, Changes and Percentage'!$B$2:$H$998,6,false)</f>
        <v>10.17241379</v>
      </c>
      <c r="G46" s="96" t="str">
        <f t="shared" si="1"/>
        <v>NO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93" t="s">
        <v>115</v>
      </c>
      <c r="B47" s="94">
        <v>20.400000000000006</v>
      </c>
      <c r="C47" s="95">
        <v>15.000000000000005</v>
      </c>
      <c r="D47" s="93" t="s">
        <v>102</v>
      </c>
      <c r="E47" s="94">
        <f t="array" ref="E47">vlookup(D47,'Weights, Changes and Percentage'!$B$2:$H$998,5,false)</f>
        <v>20</v>
      </c>
      <c r="F47" s="95">
        <f t="array" ref="F47">vlookup(D47,'Weights, Changes and Percentage'!$B$2:$H$998,6,false)</f>
        <v>14.70588235</v>
      </c>
      <c r="G47" s="96" t="str">
        <f t="shared" si="1"/>
        <v>YES</v>
      </c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93" t="s">
        <v>120</v>
      </c>
      <c r="B48" s="94">
        <v>19.599999999999994</v>
      </c>
      <c r="C48" s="95">
        <v>15.55555555555555</v>
      </c>
      <c r="D48" s="93" t="s">
        <v>122</v>
      </c>
      <c r="E48" s="94">
        <f t="array" ref="E48">vlookup(D48,'Weights, Changes and Percentage'!$B$2:$H$998,5,false)</f>
        <v>11.5</v>
      </c>
      <c r="F48" s="95">
        <f t="array" ref="F48">vlookup(D48,'Weights, Changes and Percentage'!$B$2:$H$998,6,false)</f>
        <v>9.236947791</v>
      </c>
      <c r="G48" s="96" t="str">
        <f t="shared" si="1"/>
        <v>YES</v>
      </c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97" t="s">
        <v>132</v>
      </c>
      <c r="B49" s="98">
        <v>3.3999999999999773</v>
      </c>
      <c r="C49" s="99">
        <v>1.3229571984435708</v>
      </c>
      <c r="D49" s="97" t="s">
        <v>129</v>
      </c>
      <c r="E49" s="98">
        <f t="array" ref="E49">vlookup(D49,'Weights, Changes and Percentage'!$B$2:$H$998,5,false)</f>
        <v>-2</v>
      </c>
      <c r="F49" s="99">
        <f t="array" ref="F49">vlookup(D49,'Weights, Changes and Percentage'!$B$2:$H$998,6,false)</f>
        <v>-0.8097165992</v>
      </c>
      <c r="G49" s="100" t="str">
        <f t="shared" si="1"/>
        <v>YES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97" t="s">
        <v>131</v>
      </c>
      <c r="B50" s="98">
        <v>19.19999999999999</v>
      </c>
      <c r="C50" s="99">
        <v>15.483870967741925</v>
      </c>
      <c r="D50" s="97" t="s">
        <v>128</v>
      </c>
      <c r="E50" s="98">
        <f t="array" ref="E50">vlookup(D50,'Weights, Changes and Percentage'!$B$2:$H$998,5,false)</f>
        <v>12.2</v>
      </c>
      <c r="F50" s="99">
        <f t="array" ref="F50">vlookup(D50,'Weights, Changes and Percentage'!$B$2:$H$998,6,false)</f>
        <v>9.838709677</v>
      </c>
      <c r="G50" s="100" t="str">
        <f t="shared" si="1"/>
        <v>YES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97" t="s">
        <v>139</v>
      </c>
      <c r="B51" s="98">
        <v>14.0</v>
      </c>
      <c r="C51" s="99">
        <v>8.235294117647058</v>
      </c>
      <c r="D51" s="97" t="s">
        <v>127</v>
      </c>
      <c r="E51" s="98">
        <f t="array" ref="E51">vlookup(D51,'Weights, Changes and Percentage'!$B$2:$H$998,5,false)</f>
        <v>10.1</v>
      </c>
      <c r="F51" s="99">
        <f t="array" ref="F51">vlookup(D51,'Weights, Changes and Percentage'!$B$2:$H$998,6,false)</f>
        <v>5.958702065</v>
      </c>
      <c r="G51" s="100" t="str">
        <f t="shared" si="1"/>
        <v>YES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97" t="s">
        <v>142</v>
      </c>
      <c r="B52" s="98">
        <v>12.800000000000011</v>
      </c>
      <c r="C52" s="99">
        <v>9.41176470588236</v>
      </c>
      <c r="D52" s="97" t="s">
        <v>130</v>
      </c>
      <c r="E52" s="98">
        <f t="array" ref="E52">vlookup(D52,'Weights, Changes and Percentage'!$B$2:$H$998,5,false)</f>
        <v>23.5</v>
      </c>
      <c r="F52" s="99">
        <f t="array" ref="F52">vlookup(D52,'Weights, Changes and Percentage'!$B$2:$H$998,6,false)</f>
        <v>17.34317343</v>
      </c>
      <c r="G52" s="100" t="str">
        <f t="shared" si="1"/>
        <v>NO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97" t="s">
        <v>138</v>
      </c>
      <c r="B53" s="98">
        <v>20.400000000000006</v>
      </c>
      <c r="C53" s="99">
        <v>12.000000000000004</v>
      </c>
      <c r="D53" s="97" t="s">
        <v>146</v>
      </c>
      <c r="E53" s="98">
        <f t="array" ref="E53">vlookup(D53,'Weights, Changes and Percentage'!$B$2:$H$998,5,false)</f>
        <v>18.2</v>
      </c>
      <c r="F53" s="99">
        <f t="array" ref="F53">vlookup(D53,'Weights, Changes and Percentage'!$B$2:$H$998,6,false)</f>
        <v>10.70588235</v>
      </c>
      <c r="G53" s="100" t="str">
        <f t="shared" si="1"/>
        <v>YES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97" t="s">
        <v>148</v>
      </c>
      <c r="B54" s="98">
        <v>13.0</v>
      </c>
      <c r="C54" s="99">
        <v>9.59409594095941</v>
      </c>
      <c r="D54" s="97" t="s">
        <v>141</v>
      </c>
      <c r="E54" s="98">
        <f t="array" ref="E54">vlookup(D54,'Weights, Changes and Percentage'!$B$2:$H$998,5,false)</f>
        <v>15.6</v>
      </c>
      <c r="F54" s="99">
        <f t="array" ref="F54">vlookup(D54,'Weights, Changes and Percentage'!$B$2:$H$998,6,false)</f>
        <v>11.55555556</v>
      </c>
      <c r="G54" s="100" t="str">
        <f t="shared" si="1"/>
        <v>NO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97" t="s">
        <v>134</v>
      </c>
      <c r="B55" s="98">
        <v>18.5</v>
      </c>
      <c r="C55" s="99">
        <v>10.850439882697946</v>
      </c>
      <c r="D55" s="97" t="s">
        <v>140</v>
      </c>
      <c r="E55" s="98">
        <f t="array" ref="E55">vlookup(D55,'Weights, Changes and Percentage'!$B$2:$H$998,5,false)</f>
        <v>19.1</v>
      </c>
      <c r="F55" s="99">
        <f t="array" ref="F55">vlookup(D55,'Weights, Changes and Percentage'!$B$2:$H$998,6,false)</f>
        <v>11.20234604</v>
      </c>
      <c r="G55" s="100" t="str">
        <f t="shared" si="1"/>
        <v>NO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97" t="s">
        <v>145</v>
      </c>
      <c r="B56" s="98">
        <v>13.300000000000011</v>
      </c>
      <c r="C56" s="99">
        <v>9.815498154981558</v>
      </c>
      <c r="D56" s="97" t="s">
        <v>143</v>
      </c>
      <c r="E56" s="98">
        <f t="array" ref="E56">vlookup(D56,'Weights, Changes and Percentage'!$B$2:$H$998,5,false)</f>
        <v>21.8</v>
      </c>
      <c r="F56" s="99">
        <f t="array" ref="F56">vlookup(D56,'Weights, Changes and Percentage'!$B$2:$H$998,6,false)</f>
        <v>16.02941176</v>
      </c>
      <c r="G56" s="100" t="str">
        <f t="shared" si="1"/>
        <v>NO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97" t="s">
        <v>137</v>
      </c>
      <c r="B57" s="98">
        <v>20.5</v>
      </c>
      <c r="C57" s="99">
        <v>13.268608414239482</v>
      </c>
      <c r="D57" s="97" t="s">
        <v>133</v>
      </c>
      <c r="E57" s="98">
        <f t="array" ref="E57">vlookup(D57,'Weights, Changes and Percentage'!$B$2:$H$998,5,false)</f>
        <v>11.5</v>
      </c>
      <c r="F57" s="99">
        <f t="array" ref="F57">vlookup(D57,'Weights, Changes and Percentage'!$B$2:$H$998,6,false)</f>
        <v>7.395498392</v>
      </c>
      <c r="G57" s="100" t="str">
        <f t="shared" si="1"/>
        <v>YES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97" t="s">
        <v>147</v>
      </c>
      <c r="B58" s="98">
        <v>13.0</v>
      </c>
      <c r="C58" s="99">
        <v>11.255411255411255</v>
      </c>
      <c r="D58" s="97" t="s">
        <v>144</v>
      </c>
      <c r="E58" s="98">
        <f t="array" ref="E58">vlookup(D58,'Weights, Changes and Percentage'!$B$2:$H$998,5,false)</f>
        <v>16.7</v>
      </c>
      <c r="F58" s="99">
        <f t="array" ref="F58">vlookup(D58,'Weights, Changes and Percentage'!$B$2:$H$998,6,false)</f>
        <v>14.45887446</v>
      </c>
      <c r="G58" s="100" t="str">
        <f t="shared" si="1"/>
        <v>NO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97" t="s">
        <v>135</v>
      </c>
      <c r="B59" s="98">
        <v>11.800000000000011</v>
      </c>
      <c r="C59" s="99">
        <v>9.44000000000001</v>
      </c>
      <c r="D59" s="97" t="s">
        <v>136</v>
      </c>
      <c r="E59" s="98">
        <f t="array" ref="E59">vlookup(D59,'Weights, Changes and Percentage'!$B$2:$H$998,5,false)</f>
        <v>8.2</v>
      </c>
      <c r="F59" s="99">
        <f t="array" ref="F59">vlookup(D59,'Weights, Changes and Percentage'!$B$2:$H$998,6,false)</f>
        <v>6.56</v>
      </c>
      <c r="G59" s="100" t="str">
        <f t="shared" si="1"/>
        <v>YES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101" t="s">
        <v>167</v>
      </c>
      <c r="B60" s="102">
        <v>16.30000000000001</v>
      </c>
      <c r="C60" s="103">
        <v>12.02952029520296</v>
      </c>
      <c r="D60" s="101" t="s">
        <v>159</v>
      </c>
      <c r="E60" s="102">
        <f t="array" ref="E60">vlookup(D60,'Weights, Changes and Percentage'!$B$2:$H$998,5,false)</f>
        <v>19</v>
      </c>
      <c r="F60" s="103">
        <f t="array" ref="F60">vlookup(D60,'Weights, Changes and Percentage'!$B$2:$H$998,6,false)</f>
        <v>14.07407407</v>
      </c>
      <c r="G60" s="104" t="str">
        <f t="shared" si="1"/>
        <v>NO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101" t="s">
        <v>169</v>
      </c>
      <c r="B61" s="102">
        <v>15.900000000000006</v>
      </c>
      <c r="C61" s="103">
        <v>10.927835051546396</v>
      </c>
      <c r="D61" s="101" t="s">
        <v>157</v>
      </c>
      <c r="E61" s="102">
        <f t="array" ref="E61">vlookup(D61,'Weights, Changes and Percentage'!$B$2:$H$998,5,false)</f>
        <v>15.2</v>
      </c>
      <c r="F61" s="103">
        <f t="array" ref="F61">vlookup(D61,'Weights, Changes and Percentage'!$B$2:$H$998,6,false)</f>
        <v>10.48275862</v>
      </c>
      <c r="G61" s="104" t="str">
        <f t="shared" si="1"/>
        <v>YES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34" t="s">
        <v>174</v>
      </c>
      <c r="B62" s="102">
        <v>15.900000000000006</v>
      </c>
      <c r="C62" s="103">
        <v>13.886462882096076</v>
      </c>
      <c r="D62" s="101" t="s">
        <v>162</v>
      </c>
      <c r="E62" s="102">
        <f t="array" ref="E62">vlookup(D62,'Weights, Changes and Percentage'!$B$2:$H$998,5,false)</f>
        <v>15.4</v>
      </c>
      <c r="F62" s="103">
        <f t="array" ref="F62">vlookup(D62,'Weights, Changes and Percentage'!$B$2:$H$998,6,false)</f>
        <v>13.27586207</v>
      </c>
      <c r="G62" s="104" t="str">
        <f t="shared" si="1"/>
        <v>YES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101" t="s">
        <v>152</v>
      </c>
      <c r="B63" s="102">
        <v>15.400000000000006</v>
      </c>
      <c r="C63" s="103">
        <v>7.54901960784314</v>
      </c>
      <c r="D63" s="101" t="s">
        <v>158</v>
      </c>
      <c r="E63" s="102">
        <f t="array" ref="E63">vlookup(D63,'Weights, Changes and Percentage'!$B$2:$H$998,5,false)</f>
        <v>15.4</v>
      </c>
      <c r="F63" s="103">
        <f t="array" ref="F63">vlookup(D63,'Weights, Changes and Percentage'!$B$2:$H$998,6,false)</f>
        <v>7.512195122</v>
      </c>
      <c r="G63" s="104" t="str">
        <f t="shared" si="1"/>
        <v>NO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101" t="s">
        <v>172</v>
      </c>
      <c r="B64" s="102">
        <v>12.400000000000006</v>
      </c>
      <c r="C64" s="103">
        <v>9.185185185185189</v>
      </c>
      <c r="D64" s="101" t="s">
        <v>151</v>
      </c>
      <c r="E64" s="102">
        <f t="array" ref="E64">vlookup(D64,'Weights, Changes and Percentage'!$B$2:$H$998,5,false)</f>
        <v>6.7</v>
      </c>
      <c r="F64" s="103">
        <f t="array" ref="F64">vlookup(D64,'Weights, Changes and Percentage'!$B$2:$H$998,6,false)</f>
        <v>4.944649446</v>
      </c>
      <c r="G64" s="104" t="str">
        <f t="shared" si="1"/>
        <v>YES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101" t="s">
        <v>161</v>
      </c>
      <c r="B65" s="102">
        <v>18.400000000000006</v>
      </c>
      <c r="C65" s="103">
        <v>9.94594594594595</v>
      </c>
      <c r="D65" s="101" t="s">
        <v>153</v>
      </c>
      <c r="E65" s="102">
        <f t="array" ref="E65">vlookup(D65,'Weights, Changes and Percentage'!$B$2:$H$998,5,false)</f>
        <v>13.8</v>
      </c>
      <c r="F65" s="103">
        <f t="array" ref="F65">vlookup(D65,'Weights, Changes and Percentage'!$B$2:$H$998,6,false)</f>
        <v>7.419354839</v>
      </c>
      <c r="G65" s="104" t="str">
        <f t="shared" si="1"/>
        <v>YES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101" t="s">
        <v>150</v>
      </c>
      <c r="B66" s="102">
        <v>7.299999999999997</v>
      </c>
      <c r="C66" s="103">
        <v>6.108786610878659</v>
      </c>
      <c r="D66" s="101" t="s">
        <v>166</v>
      </c>
      <c r="E66" s="102">
        <f t="array" ref="E66">vlookup(D66,'Weights, Changes and Percentage'!$B$2:$H$998,5,false)</f>
        <v>11</v>
      </c>
      <c r="F66" s="103">
        <f t="array" ref="F66">vlookup(D66,'Weights, Changes and Percentage'!$B$2:$H$998,6,false)</f>
        <v>9.243697479</v>
      </c>
      <c r="G66" s="104" t="str">
        <f t="shared" si="1"/>
        <v>NO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101" t="s">
        <v>168</v>
      </c>
      <c r="B67" s="102">
        <v>24.399999999999977</v>
      </c>
      <c r="C67" s="103">
        <v>9.17293233082706</v>
      </c>
      <c r="D67" s="101" t="s">
        <v>165</v>
      </c>
      <c r="E67" s="102">
        <f t="array" ref="E67">vlookup(D67,'Weights, Changes and Percentage'!$B$2:$H$998,5,false)</f>
        <v>3.5</v>
      </c>
      <c r="F67" s="103">
        <f t="array" ref="F67">vlookup(D67,'Weights, Changes and Percentage'!$B$2:$H$998,6,false)</f>
        <v>1.479915433</v>
      </c>
      <c r="G67" s="104" t="str">
        <f t="shared" si="1"/>
        <v>YES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101" t="s">
        <v>170</v>
      </c>
      <c r="B68" s="102">
        <v>4.699999999999989</v>
      </c>
      <c r="C68" s="103">
        <v>3.745019920318716</v>
      </c>
      <c r="D68" s="101" t="s">
        <v>155</v>
      </c>
      <c r="E68" s="102">
        <f t="array" ref="E68">vlookup(D68,'Weights, Changes and Percentage'!$B$2:$H$998,5,false)</f>
        <v>10.9</v>
      </c>
      <c r="F68" s="103">
        <f t="array" ref="F68">vlookup(D68,'Weights, Changes and Percentage'!$B$2:$H$998,6,false)</f>
        <v>8.685258964</v>
      </c>
      <c r="G68" s="104" t="str">
        <f t="shared" si="1"/>
        <v>NO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101" t="s">
        <v>160</v>
      </c>
      <c r="B69" s="102">
        <v>15.199999999999989</v>
      </c>
      <c r="C69" s="103">
        <v>9.806451612903217</v>
      </c>
      <c r="D69" s="101" t="s">
        <v>154</v>
      </c>
      <c r="E69" s="102">
        <f t="array" ref="E69">vlookup(D69,'Weights, Changes and Percentage'!$B$2:$H$998,5,false)</f>
        <v>10.4</v>
      </c>
      <c r="F69" s="103">
        <f t="array" ref="F69">vlookup(D69,'Weights, Changes and Percentage'!$B$2:$H$998,6,false)</f>
        <v>6.709677419</v>
      </c>
      <c r="G69" s="104" t="str">
        <f t="shared" si="1"/>
        <v>YES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101" t="s">
        <v>173</v>
      </c>
      <c r="B70" s="102">
        <v>20.19999999999999</v>
      </c>
      <c r="C70" s="103">
        <v>16.03174603174602</v>
      </c>
      <c r="D70" s="101" t="s">
        <v>171</v>
      </c>
      <c r="E70" s="102">
        <f t="array" ref="E70">vlookup(D70,'Weights, Changes and Percentage'!$B$2:$H$998,5,false)</f>
        <v>13.6</v>
      </c>
      <c r="F70" s="103">
        <f t="array" ref="F70">vlookup(D70,'Weights, Changes and Percentage'!$B$2:$H$998,6,false)</f>
        <v>10.88</v>
      </c>
      <c r="G70" s="104" t="str">
        <f t="shared" si="1"/>
        <v>YES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101" t="s">
        <v>164</v>
      </c>
      <c r="B71" s="102">
        <v>10.0</v>
      </c>
      <c r="C71" s="103">
        <v>5.714285714285714</v>
      </c>
      <c r="D71" s="101" t="s">
        <v>163</v>
      </c>
      <c r="E71" s="102">
        <f t="array" ref="E71">vlookup(D71,'Weights, Changes and Percentage'!$B$2:$H$998,5,false)</f>
        <v>11.5</v>
      </c>
      <c r="F71" s="103">
        <f t="array" ref="F71">vlookup(D71,'Weights, Changes and Percentage'!$B$2:$H$998,6,false)</f>
        <v>6.406685237</v>
      </c>
      <c r="G71" s="104" t="str">
        <f t="shared" si="1"/>
        <v>NO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39" t="s">
        <v>187</v>
      </c>
      <c r="B72" s="105">
        <v>22.69999999999999</v>
      </c>
      <c r="C72" s="106">
        <v>15.709342560553624</v>
      </c>
      <c r="D72" s="39" t="s">
        <v>177</v>
      </c>
      <c r="E72" s="107">
        <f t="array" ref="E72">vlookup(D72,'Weights, Changes and Percentage'!$B$2:$H$998,5,false)</f>
        <v>21.7</v>
      </c>
      <c r="F72" s="108">
        <f t="array" ref="F72">vlookup(D72,'Weights, Changes and Percentage'!$B$2:$H$998,6,false)</f>
        <v>15.01730104</v>
      </c>
      <c r="G72" s="109" t="str">
        <f t="shared" si="1"/>
        <v>YES</v>
      </c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39" t="s">
        <v>197</v>
      </c>
      <c r="B73" s="105">
        <v>22.099999999999994</v>
      </c>
      <c r="C73" s="106">
        <v>11.91374663072776</v>
      </c>
      <c r="D73" s="39" t="s">
        <v>195</v>
      </c>
      <c r="E73" s="107">
        <f t="array" ref="E73">vlookup(D73,'Weights, Changes and Percentage'!$B$2:$H$998,5,false)</f>
        <v>29.7</v>
      </c>
      <c r="F73" s="108">
        <f t="array" ref="F73">vlookup(D73,'Weights, Changes and Percentage'!$B$2:$H$998,6,false)</f>
        <v>16.01078167</v>
      </c>
      <c r="G73" s="109" t="str">
        <f t="shared" si="1"/>
        <v>NO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39" t="s">
        <v>186</v>
      </c>
      <c r="B74" s="105">
        <v>10.099999999999994</v>
      </c>
      <c r="C74" s="106">
        <v>5.923753665689146</v>
      </c>
      <c r="D74" s="39" t="s">
        <v>184</v>
      </c>
      <c r="E74" s="107">
        <f t="array" ref="E74">vlookup(D74,'Weights, Changes and Percentage'!$B$2:$H$998,5,false)</f>
        <v>30.3</v>
      </c>
      <c r="F74" s="108">
        <f t="array" ref="F74">vlookup(D74,'Weights, Changes and Percentage'!$B$2:$H$998,6,false)</f>
        <v>17.771261</v>
      </c>
      <c r="G74" s="109" t="str">
        <f t="shared" si="1"/>
        <v>NO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39" t="s">
        <v>192</v>
      </c>
      <c r="B75" s="105">
        <v>21.80000000000001</v>
      </c>
      <c r="C75" s="106">
        <v>16.148148148148156</v>
      </c>
      <c r="D75" s="39" t="s">
        <v>185</v>
      </c>
      <c r="E75" s="107">
        <f t="array" ref="E75">vlookup(D75,'Weights, Changes and Percentage'!$B$2:$H$998,5,false)</f>
        <v>15.6</v>
      </c>
      <c r="F75" s="108">
        <f t="array" ref="F75">vlookup(D75,'Weights, Changes and Percentage'!$B$2:$H$998,6,false)</f>
        <v>11.55555556</v>
      </c>
      <c r="G75" s="109" t="str">
        <f t="shared" si="1"/>
        <v>YES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39" t="s">
        <v>180</v>
      </c>
      <c r="B76" s="105">
        <v>18.099999999999994</v>
      </c>
      <c r="C76" s="106">
        <v>9.757412398921831</v>
      </c>
      <c r="D76" s="39" t="s">
        <v>198</v>
      </c>
      <c r="E76" s="107">
        <f t="array" ref="E76">vlookup(D76,'Weights, Changes and Percentage'!$B$2:$H$998,5,false)</f>
        <v>9</v>
      </c>
      <c r="F76" s="108">
        <f t="array" ref="F76">vlookup(D76,'Weights, Changes and Percentage'!$B$2:$H$998,6,false)</f>
        <v>4.864864865</v>
      </c>
      <c r="G76" s="109" t="str">
        <f t="shared" si="1"/>
        <v>YES</v>
      </c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39" t="s">
        <v>178</v>
      </c>
      <c r="B77" s="105">
        <v>8.299999999999997</v>
      </c>
      <c r="C77" s="106">
        <v>7.186147186147183</v>
      </c>
      <c r="D77" s="39" t="s">
        <v>190</v>
      </c>
      <c r="E77" s="107">
        <f t="array" ref="E77">vlookup(D77,'Weights, Changes and Percentage'!$B$2:$H$998,5,false)</f>
        <v>11</v>
      </c>
      <c r="F77" s="108">
        <f t="array" ref="F77">vlookup(D77,'Weights, Changes and Percentage'!$B$2:$H$998,6,false)</f>
        <v>9.482758621</v>
      </c>
      <c r="G77" s="109" t="str">
        <f t="shared" si="1"/>
        <v>NO</v>
      </c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39" t="s">
        <v>191</v>
      </c>
      <c r="B78" s="105">
        <v>8.899999999999977</v>
      </c>
      <c r="C78" s="106">
        <v>3.3648393194706907</v>
      </c>
      <c r="D78" s="39" t="s">
        <v>189</v>
      </c>
      <c r="E78" s="107">
        <f t="array" ref="E78">vlookup(D78,'Weights, Changes and Percentage'!$B$2:$H$998,5,false)</f>
        <v>-2</v>
      </c>
      <c r="F78" s="108">
        <f t="array" ref="F78">vlookup(D78,'Weights, Changes and Percentage'!$B$2:$H$998,6,false)</f>
        <v>-0.8032128514</v>
      </c>
      <c r="G78" s="109" t="str">
        <f t="shared" si="1"/>
        <v>YES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39" t="s">
        <v>196</v>
      </c>
      <c r="B79" s="105">
        <v>11.699999999999989</v>
      </c>
      <c r="C79" s="106">
        <v>8.63468634686346</v>
      </c>
      <c r="D79" s="39" t="s">
        <v>182</v>
      </c>
      <c r="E79" s="107">
        <f t="array" ref="E79">vlookup(D79,'Weights, Changes and Percentage'!$B$2:$H$998,5,false)</f>
        <v>23.1</v>
      </c>
      <c r="F79" s="108">
        <f t="array" ref="F79">vlookup(D79,'Weights, Changes and Percentage'!$B$2:$H$998,6,false)</f>
        <v>17.04797048</v>
      </c>
      <c r="G79" s="109" t="str">
        <f t="shared" si="1"/>
        <v>NO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39" t="s">
        <v>200</v>
      </c>
      <c r="B80" s="105">
        <v>25.69999999999999</v>
      </c>
      <c r="C80" s="106">
        <v>12.567237163814177</v>
      </c>
      <c r="D80" s="39" t="s">
        <v>181</v>
      </c>
      <c r="E80" s="107">
        <f t="array" ref="E80">vlookup(D80,'Weights, Changes and Percentage'!$B$2:$H$998,5,false)</f>
        <v>14.1</v>
      </c>
      <c r="F80" s="108">
        <f t="array" ref="F80">vlookup(D80,'Weights, Changes and Percentage'!$B$2:$H$998,6,false)</f>
        <v>6.861313869</v>
      </c>
      <c r="G80" s="109" t="str">
        <f t="shared" si="1"/>
        <v>YES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39" t="s">
        <v>183</v>
      </c>
      <c r="B81" s="105">
        <v>26.80000000000001</v>
      </c>
      <c r="C81" s="106">
        <v>15.67251461988305</v>
      </c>
      <c r="D81" s="39" t="s">
        <v>188</v>
      </c>
      <c r="E81" s="107">
        <f t="array" ref="E81">vlookup(D81,'Weights, Changes and Percentage'!$B$2:$H$998,5,false)</f>
        <v>18.8</v>
      </c>
      <c r="F81" s="108">
        <f t="array" ref="F81">vlookup(D81,'Weights, Changes and Percentage'!$B$2:$H$998,6,false)</f>
        <v>11.12426036</v>
      </c>
      <c r="G81" s="109" t="str">
        <f t="shared" si="1"/>
        <v>YES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39" t="s">
        <v>194</v>
      </c>
      <c r="B82" s="105">
        <v>14.699999999999989</v>
      </c>
      <c r="C82" s="106">
        <v>8.62170087976539</v>
      </c>
      <c r="D82" s="39" t="s">
        <v>199</v>
      </c>
      <c r="E82" s="107">
        <f t="array" ref="E82">vlookup(D82,'Weights, Changes and Percentage'!$B$2:$H$998,5,false)</f>
        <v>14.5</v>
      </c>
      <c r="F82" s="108">
        <f t="array" ref="F82">vlookup(D82,'Weights, Changes and Percentage'!$B$2:$H$998,6,false)</f>
        <v>8.554572271</v>
      </c>
      <c r="G82" s="109" t="str">
        <f t="shared" si="1"/>
        <v>YES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39" t="s">
        <v>193</v>
      </c>
      <c r="B83" s="105">
        <v>9.800000000000011</v>
      </c>
      <c r="C83" s="106">
        <v>7.777777777777787</v>
      </c>
      <c r="D83" s="39" t="s">
        <v>179</v>
      </c>
      <c r="E83" s="107">
        <f t="array" ref="E83">vlookup(D83,'Weights, Changes and Percentage'!$B$2:$H$998,5,false)</f>
        <v>10.7</v>
      </c>
      <c r="F83" s="108">
        <f t="array" ref="F83">vlookup(D83,'Weights, Changes and Percentage'!$B$2:$H$998,6,false)</f>
        <v>8.525896414</v>
      </c>
      <c r="G83" s="109" t="str">
        <f t="shared" si="1"/>
        <v>NO</v>
      </c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46" t="s">
        <v>210</v>
      </c>
      <c r="B84" s="110">
        <v>23.5</v>
      </c>
      <c r="C84" s="111">
        <v>15.210355987055015</v>
      </c>
      <c r="D84" s="46" t="s">
        <v>221</v>
      </c>
      <c r="E84" s="112">
        <f t="array" ref="E84">vlookup(D84,'Weights, Changes and Percentage'!$B$2:$H$998,5,false)</f>
        <v>26.8</v>
      </c>
      <c r="F84" s="113">
        <f t="array" ref="F84">vlookup(D84,'Weights, Changes and Percentage'!$B$2:$H$998,6,false)</f>
        <v>17.29032258</v>
      </c>
      <c r="G84" s="114" t="str">
        <f t="shared" si="1"/>
        <v>NO</v>
      </c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46" t="s">
        <v>216</v>
      </c>
      <c r="B85" s="110">
        <v>22.80000000000001</v>
      </c>
      <c r="C85" s="111">
        <v>17.01492537313434</v>
      </c>
      <c r="D85" s="46" t="s">
        <v>226</v>
      </c>
      <c r="E85" s="112">
        <f t="array" ref="E85">vlookup(D85,'Weights, Changes and Percentage'!$B$2:$H$998,5,false)</f>
        <v>21.8</v>
      </c>
      <c r="F85" s="113">
        <f t="array" ref="F85">vlookup(D85,'Weights, Changes and Percentage'!$B$2:$H$998,6,false)</f>
        <v>16.14814815</v>
      </c>
      <c r="G85" s="114" t="str">
        <f t="shared" si="1"/>
        <v>YES</v>
      </c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46" t="s">
        <v>213</v>
      </c>
      <c r="B86" s="110">
        <v>3.6999999999999886</v>
      </c>
      <c r="C86" s="111">
        <v>1.8092909535452266</v>
      </c>
      <c r="D86" s="46" t="s">
        <v>212</v>
      </c>
      <c r="E86" s="112">
        <f t="array" ref="E86">vlookup(D86,'Weights, Changes and Percentage'!$B$2:$H$998,5,false)</f>
        <v>16.3</v>
      </c>
      <c r="F86" s="113">
        <f t="array" ref="F86">vlookup(D86,'Weights, Changes and Percentage'!$B$2:$H$998,6,false)</f>
        <v>7.931873479</v>
      </c>
      <c r="G86" s="114" t="str">
        <f t="shared" si="1"/>
        <v>NO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46" t="s">
        <v>211</v>
      </c>
      <c r="B87" s="110">
        <v>-2.8000000000000114</v>
      </c>
      <c r="C87" s="111">
        <v>-1.1914893617021325</v>
      </c>
      <c r="D87" s="46" t="s">
        <v>224</v>
      </c>
      <c r="E87" s="112">
        <f t="array" ref="E87">vlookup(D87,'Weights, Changes and Percentage'!$B$2:$H$998,5,false)</f>
        <v>1.2</v>
      </c>
      <c r="F87" s="113">
        <f t="array" ref="F87">vlookup(D87,'Weights, Changes and Percentage'!$B$2:$H$998,6,false)</f>
        <v>0.5150214592</v>
      </c>
      <c r="G87" s="114" t="str">
        <f t="shared" si="1"/>
        <v>NO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46" t="s">
        <v>220</v>
      </c>
      <c r="B88" s="110">
        <v>27.5</v>
      </c>
      <c r="C88" s="111">
        <v>14.905149051490515</v>
      </c>
      <c r="D88" s="46" t="s">
        <v>215</v>
      </c>
      <c r="E88" s="112">
        <f t="array" ref="E88">vlookup(D88,'Weights, Changes and Percentage'!$B$2:$H$998,5,false)</f>
        <v>6.9</v>
      </c>
      <c r="F88" s="113">
        <f t="array" ref="F88">vlookup(D88,'Weights, Changes and Percentage'!$B$2:$H$998,6,false)</f>
        <v>3.760217984</v>
      </c>
      <c r="G88" s="114" t="str">
        <f t="shared" si="1"/>
        <v>YES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46" t="s">
        <v>219</v>
      </c>
      <c r="B89" s="110">
        <v>22.69999999999999</v>
      </c>
      <c r="C89" s="111">
        <v>16.752767527675267</v>
      </c>
      <c r="D89" s="46" t="s">
        <v>218</v>
      </c>
      <c r="E89" s="112">
        <f t="array" ref="E89">vlookup(D89,'Weights, Changes and Percentage'!$B$2:$H$998,5,false)</f>
        <v>22.7</v>
      </c>
      <c r="F89" s="113">
        <f t="array" ref="F89">vlookup(D89,'Weights, Changes and Percentage'!$B$2:$H$998,6,false)</f>
        <v>16.75276753</v>
      </c>
      <c r="G89" s="114" t="str">
        <f t="shared" si="1"/>
        <v>NO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46" t="s">
        <v>203</v>
      </c>
      <c r="B90" s="110">
        <v>18.19999999999999</v>
      </c>
      <c r="C90" s="111">
        <v>9.837837837837832</v>
      </c>
      <c r="D90" s="46" t="s">
        <v>227</v>
      </c>
      <c r="E90" s="112">
        <f t="array" ref="E90">vlookup(D90,'Weights, Changes and Percentage'!$B$2:$H$998,5,false)</f>
        <v>15.5</v>
      </c>
      <c r="F90" s="113">
        <f t="array" ref="F90">vlookup(D90,'Weights, Changes and Percentage'!$B$2:$H$998,6,false)</f>
        <v>8.355795148</v>
      </c>
      <c r="G90" s="114" t="str">
        <f t="shared" si="1"/>
        <v>YES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46" t="s">
        <v>206</v>
      </c>
      <c r="B91" s="110">
        <v>8.900000000000006</v>
      </c>
      <c r="C91" s="111">
        <v>4.330900243309005</v>
      </c>
      <c r="D91" s="46" t="s">
        <v>205</v>
      </c>
      <c r="E91" s="112">
        <f t="array" ref="E91">vlookup(D91,'Weights, Changes and Percentage'!$B$2:$H$998,5,false)</f>
        <v>2.4</v>
      </c>
      <c r="F91" s="113">
        <f t="array" ref="F91">vlookup(D91,'Weights, Changes and Percentage'!$B$2:$H$998,6,false)</f>
        <v>1.2</v>
      </c>
      <c r="G91" s="114" t="str">
        <f t="shared" si="1"/>
        <v>YES</v>
      </c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46" t="s">
        <v>209</v>
      </c>
      <c r="B92" s="110">
        <v>23.400000000000006</v>
      </c>
      <c r="C92" s="111">
        <v>15.000000000000005</v>
      </c>
      <c r="D92" s="46" t="s">
        <v>207</v>
      </c>
      <c r="E92" s="112">
        <f t="array" ref="E92">vlookup(D92,'Weights, Changes and Percentage'!$B$2:$H$998,5,false)</f>
        <v>17.2</v>
      </c>
      <c r="F92" s="113">
        <f t="array" ref="F92">vlookup(D92,'Weights, Changes and Percentage'!$B$2:$H$998,6,false)</f>
        <v>11.02564103</v>
      </c>
      <c r="G92" s="114" t="str">
        <f t="shared" si="1"/>
        <v>YES</v>
      </c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46" t="s">
        <v>202</v>
      </c>
      <c r="B93" s="110">
        <v>17.19999999999999</v>
      </c>
      <c r="C93" s="111">
        <v>12.740740740740733</v>
      </c>
      <c r="D93" s="46" t="s">
        <v>214</v>
      </c>
      <c r="E93" s="112">
        <f t="array" ref="E93">vlookup(D93,'Weights, Changes and Percentage'!$B$2:$H$998,5,false)</f>
        <v>18.5</v>
      </c>
      <c r="F93" s="113">
        <f t="array" ref="F93">vlookup(D93,'Weights, Changes and Percentage'!$B$2:$H$998,6,false)</f>
        <v>13.65313653</v>
      </c>
      <c r="G93" s="114" t="str">
        <f t="shared" si="1"/>
        <v>NO</v>
      </c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46" t="s">
        <v>217</v>
      </c>
      <c r="B94" s="110">
        <v>15.800000000000011</v>
      </c>
      <c r="C94" s="111">
        <v>11.617647058823538</v>
      </c>
      <c r="D94" s="46" t="s">
        <v>223</v>
      </c>
      <c r="E94" s="112">
        <f t="array" ref="E94">vlookup(D94,'Weights, Changes and Percentage'!$B$2:$H$998,5,false)</f>
        <v>13.1</v>
      </c>
      <c r="F94" s="113">
        <f t="array" ref="F94">vlookup(D94,'Weights, Changes and Percentage'!$B$2:$H$998,6,false)</f>
        <v>9.667896679</v>
      </c>
      <c r="G94" s="114" t="str">
        <f t="shared" si="1"/>
        <v>YES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46" t="s">
        <v>204</v>
      </c>
      <c r="B95" s="110">
        <v>12.800000000000011</v>
      </c>
      <c r="C95" s="111">
        <v>9.48148148148149</v>
      </c>
      <c r="D95" s="46" t="s">
        <v>222</v>
      </c>
      <c r="E95" s="112">
        <f t="array" ref="E95">vlookup(D95,'Weights, Changes and Percentage'!$B$2:$H$998,5,false)</f>
        <v>20.6</v>
      </c>
      <c r="F95" s="113">
        <f t="array" ref="F95">vlookup(D95,'Weights, Changes and Percentage'!$B$2:$H$998,6,false)</f>
        <v>15.14705882</v>
      </c>
      <c r="G95" s="114" t="str">
        <f t="shared" si="1"/>
        <v>NO</v>
      </c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46" t="s">
        <v>225</v>
      </c>
      <c r="B96" s="110">
        <v>21.900000000000006</v>
      </c>
      <c r="C96" s="111">
        <v>17.450199203187257</v>
      </c>
      <c r="D96" s="46" t="s">
        <v>208</v>
      </c>
      <c r="E96" s="112">
        <f t="array" ref="E96">vlookup(D96,'Weights, Changes and Percentage'!$B$2:$H$998,5,false)</f>
        <v>15.7</v>
      </c>
      <c r="F96" s="113">
        <f t="array" ref="F96">vlookup(D96,'Weights, Changes and Percentage'!$B$2:$H$998,6,false)</f>
        <v>12.50996016</v>
      </c>
      <c r="G96" s="114" t="str">
        <f t="shared" si="1"/>
        <v>YES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115" t="s">
        <v>248</v>
      </c>
      <c r="B98" s="116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115" t="s">
        <v>249</v>
      </c>
      <c r="B99" s="116"/>
      <c r="C99" s="116"/>
      <c r="D99" s="51"/>
      <c r="E99" s="51"/>
      <c r="F99" s="117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118" t="s">
        <v>250</v>
      </c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78" t="s">
        <v>251</v>
      </c>
      <c r="B102" s="78" t="s">
        <v>252</v>
      </c>
      <c r="C102" s="78" t="s">
        <v>253</v>
      </c>
      <c r="D102" s="78" t="s">
        <v>254</v>
      </c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119" t="s">
        <v>255</v>
      </c>
      <c r="B103" s="120">
        <f t="shared" ref="B103:B118" si="2">COUNTIF($B$2:$B$96,A103)</f>
        <v>1</v>
      </c>
      <c r="C103" s="121">
        <f t="shared" ref="C103:C118" si="3">COUNTIF($E$2:$E$96,A103)</f>
        <v>2</v>
      </c>
      <c r="D103" s="122">
        <f t="shared" ref="D103:D118" si="4">B103/(B103+C103)</f>
        <v>0.3333333333</v>
      </c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119" t="s">
        <v>256</v>
      </c>
      <c r="B104" s="120">
        <f t="shared" si="2"/>
        <v>94</v>
      </c>
      <c r="C104" s="121">
        <f t="shared" si="3"/>
        <v>93</v>
      </c>
      <c r="D104" s="122">
        <f t="shared" si="4"/>
        <v>0.5026737968</v>
      </c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123" t="s">
        <v>257</v>
      </c>
      <c r="B105" s="120">
        <f t="shared" si="2"/>
        <v>93</v>
      </c>
      <c r="C105" s="121">
        <f t="shared" si="3"/>
        <v>92</v>
      </c>
      <c r="D105" s="122">
        <f t="shared" si="4"/>
        <v>0.5027027027</v>
      </c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119" t="s">
        <v>258</v>
      </c>
      <c r="B106" s="120">
        <f t="shared" si="2"/>
        <v>90</v>
      </c>
      <c r="C106" s="121">
        <f t="shared" si="3"/>
        <v>90</v>
      </c>
      <c r="D106" s="122">
        <f t="shared" si="4"/>
        <v>0.5</v>
      </c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123" t="s">
        <v>259</v>
      </c>
      <c r="B107" s="120">
        <f t="shared" si="2"/>
        <v>88</v>
      </c>
      <c r="C107" s="121">
        <f t="shared" si="3"/>
        <v>90</v>
      </c>
      <c r="D107" s="122">
        <f t="shared" si="4"/>
        <v>0.4943820225</v>
      </c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119" t="s">
        <v>260</v>
      </c>
      <c r="B108" s="120">
        <f t="shared" si="2"/>
        <v>86</v>
      </c>
      <c r="C108" s="121">
        <f t="shared" si="3"/>
        <v>83</v>
      </c>
      <c r="D108" s="122">
        <f t="shared" si="4"/>
        <v>0.5088757396</v>
      </c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123" t="s">
        <v>261</v>
      </c>
      <c r="B109" s="120">
        <f t="shared" si="2"/>
        <v>79</v>
      </c>
      <c r="C109" s="121">
        <f t="shared" si="3"/>
        <v>77</v>
      </c>
      <c r="D109" s="122">
        <f t="shared" si="4"/>
        <v>0.5064102564</v>
      </c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119" t="s">
        <v>262</v>
      </c>
      <c r="B110" s="120">
        <f t="shared" si="2"/>
        <v>69</v>
      </c>
      <c r="C110" s="121">
        <f t="shared" si="3"/>
        <v>65</v>
      </c>
      <c r="D110" s="122">
        <f t="shared" si="4"/>
        <v>0.5149253731</v>
      </c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123" t="s">
        <v>263</v>
      </c>
      <c r="B111" s="120">
        <f t="shared" si="2"/>
        <v>57</v>
      </c>
      <c r="C111" s="121">
        <f t="shared" si="3"/>
        <v>55</v>
      </c>
      <c r="D111" s="122">
        <f t="shared" si="4"/>
        <v>0.5089285714</v>
      </c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119" t="s">
        <v>264</v>
      </c>
      <c r="B112" s="120">
        <f t="shared" si="2"/>
        <v>46</v>
      </c>
      <c r="C112" s="121">
        <f t="shared" si="3"/>
        <v>39</v>
      </c>
      <c r="D112" s="122">
        <f t="shared" si="4"/>
        <v>0.5411764706</v>
      </c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123" t="s">
        <v>265</v>
      </c>
      <c r="B113" s="120">
        <f t="shared" si="2"/>
        <v>37</v>
      </c>
      <c r="C113" s="121">
        <f t="shared" si="3"/>
        <v>27</v>
      </c>
      <c r="D113" s="122">
        <f t="shared" si="4"/>
        <v>0.578125</v>
      </c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119" t="s">
        <v>266</v>
      </c>
      <c r="B114" s="120">
        <f t="shared" si="2"/>
        <v>26</v>
      </c>
      <c r="C114" s="121">
        <f t="shared" si="3"/>
        <v>18</v>
      </c>
      <c r="D114" s="122">
        <f t="shared" si="4"/>
        <v>0.5909090909</v>
      </c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123" t="s">
        <v>267</v>
      </c>
      <c r="B115" s="120">
        <f t="shared" si="2"/>
        <v>14</v>
      </c>
      <c r="C115" s="121">
        <f t="shared" si="3"/>
        <v>11</v>
      </c>
      <c r="D115" s="122">
        <f t="shared" si="4"/>
        <v>0.56</v>
      </c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119" t="s">
        <v>268</v>
      </c>
      <c r="B116" s="120">
        <f t="shared" si="2"/>
        <v>7</v>
      </c>
      <c r="C116" s="121">
        <f t="shared" si="3"/>
        <v>5</v>
      </c>
      <c r="D116" s="122">
        <f t="shared" si="4"/>
        <v>0.5833333333</v>
      </c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123" t="s">
        <v>269</v>
      </c>
      <c r="B117" s="120">
        <f t="shared" si="2"/>
        <v>3</v>
      </c>
      <c r="C117" s="121">
        <f t="shared" si="3"/>
        <v>3</v>
      </c>
      <c r="D117" s="122">
        <f t="shared" si="4"/>
        <v>0.5</v>
      </c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118" t="s">
        <v>270</v>
      </c>
      <c r="B118" s="120">
        <f t="shared" si="2"/>
        <v>0</v>
      </c>
      <c r="C118" s="121">
        <f t="shared" si="3"/>
        <v>2</v>
      </c>
      <c r="D118" s="122">
        <f t="shared" si="4"/>
        <v>0</v>
      </c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117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124" t="s">
        <v>251</v>
      </c>
      <c r="B120" s="125" t="s">
        <v>252</v>
      </c>
      <c r="C120" s="126" t="s">
        <v>253</v>
      </c>
      <c r="D120" s="124" t="s">
        <v>254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127" t="s">
        <v>271</v>
      </c>
      <c r="B121" s="128">
        <f>COUNTIF($B$2:$B$96,"&lt;0")</f>
        <v>1</v>
      </c>
      <c r="C121" s="128">
        <f>COUNTIF($E$2:$E$96,"&lt;0")</f>
        <v>2</v>
      </c>
      <c r="D121" s="129">
        <f t="shared" ref="D121:D136" si="5">B121/(B121+C121)</f>
        <v>0.3333333333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77" t="s">
        <v>272</v>
      </c>
      <c r="B122" s="128">
        <f>COUNTIFS($B$2:$B$96,"&gt;0",$B$2:$B$96,"&lt;=2")</f>
        <v>1</v>
      </c>
      <c r="C122" s="130">
        <f>COUNTIFS($E$2:$E$96,"&gt;0",$E$2:$E$96,"&lt;=2")</f>
        <v>1</v>
      </c>
      <c r="D122" s="129">
        <f t="shared" si="5"/>
        <v>0.5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131" t="s">
        <v>273</v>
      </c>
      <c r="B123" s="130">
        <f>COUNTIFS($B$2:$B$96,"&gt;2",$B$2:$B$96,"&lt;=4")</f>
        <v>3</v>
      </c>
      <c r="C123" s="130">
        <f>COUNTIFS($E$2:$E$96,"&gt;2",$E$2:$E$96,"&lt;=4")</f>
        <v>2</v>
      </c>
      <c r="D123" s="129">
        <f t="shared" si="5"/>
        <v>0.6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77" t="s">
        <v>274</v>
      </c>
      <c r="B124" s="130">
        <f>COUNTIFS($B$2:$B$96,"&gt;4",$B$2:$B$96,"&lt;=6")</f>
        <v>2</v>
      </c>
      <c r="C124" s="130">
        <f>COUNTIFS($E$2:$E$96,"&gt;4",$E$2:$E$96,"&lt;=6")</f>
        <v>0</v>
      </c>
      <c r="D124" s="129">
        <f t="shared" si="5"/>
        <v>1</v>
      </c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131" t="s">
        <v>275</v>
      </c>
      <c r="B125" s="130">
        <f>COUNTIFS($B$2:$B$96,"&gt;6",$B$2:$B$96,"&lt;=8")</f>
        <v>2</v>
      </c>
      <c r="C125" s="130">
        <f>COUNTIFS($E$2:$E$96,"&gt;6",$E$2:$E$96,"&lt;=8")</f>
        <v>7</v>
      </c>
      <c r="D125" s="129">
        <f t="shared" si="5"/>
        <v>0.2222222222</v>
      </c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77" t="s">
        <v>276</v>
      </c>
      <c r="B126" s="130">
        <f>COUNTIFS($B$2:$B$96,"&gt;8",$B$2:$B$96,"&lt;=10")</f>
        <v>7</v>
      </c>
      <c r="C126" s="130">
        <f>COUNTIFS($E$2:$E$96,"&gt;8",$E$2:$E$96,"&lt;=10")</f>
        <v>6</v>
      </c>
      <c r="D126" s="129">
        <f t="shared" si="5"/>
        <v>0.5384615385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131" t="s">
        <v>277</v>
      </c>
      <c r="B127" s="130">
        <f>COUNTIFS($B$2:$B$96,"&gt;10",$B$2:$B$96,"&lt;=12")</f>
        <v>10</v>
      </c>
      <c r="C127" s="130">
        <f>COUNTIFS($E$2:$E$96,"&gt;10",$E$2:$E$96,"&lt;=12")</f>
        <v>12</v>
      </c>
      <c r="D127" s="129">
        <f t="shared" si="5"/>
        <v>0.4545454545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77" t="s">
        <v>278</v>
      </c>
      <c r="B128" s="130">
        <f>COUNTIFS($B$2:$B$96,"&gt;12",$B$2:$B$96,"&lt;=14")</f>
        <v>12</v>
      </c>
      <c r="C128" s="130">
        <f>COUNTIFS($E$2:$E$96,"&gt;12",$E$2:$E$96,"&lt;=14")</f>
        <v>10</v>
      </c>
      <c r="D128" s="129">
        <f t="shared" si="5"/>
        <v>0.5454545455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131" t="s">
        <v>279</v>
      </c>
      <c r="B129" s="130">
        <f>COUNTIFS($B$2:$B$96,"&gt;14",$B$2:$B$96,"&lt;=16")</f>
        <v>11</v>
      </c>
      <c r="C129" s="130">
        <f>COUNTIFS($E$2:$E$96,"&gt;14",$E$2:$E$96,"&lt;=16")</f>
        <v>16</v>
      </c>
      <c r="D129" s="129">
        <f t="shared" si="5"/>
        <v>0.4074074074</v>
      </c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77" t="s">
        <v>280</v>
      </c>
      <c r="B130" s="130">
        <f>COUNTIFS($B$2:$B$96,"&gt;16",$B$2:$B$96,"&lt;=18")</f>
        <v>9</v>
      </c>
      <c r="C130" s="130">
        <f>COUNTIFS($E$2:$E$96,"&gt;16",$E$2:$E$96,"&lt;=18")</f>
        <v>12</v>
      </c>
      <c r="D130" s="129">
        <f t="shared" si="5"/>
        <v>0.4285714286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131" t="s">
        <v>281</v>
      </c>
      <c r="B131" s="130">
        <f>COUNTIFS($B$2:$B$96,"&gt;18",$B$2:$B$96,"&lt;=20")</f>
        <v>11</v>
      </c>
      <c r="C131" s="130">
        <f>COUNTIFS($E$2:$E$96,"&gt;18",$E$2:$E$96,"&lt;=20")</f>
        <v>9</v>
      </c>
      <c r="D131" s="129">
        <f t="shared" si="5"/>
        <v>0.55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77" t="s">
        <v>282</v>
      </c>
      <c r="B132" s="130">
        <f>COUNTIFS($B$2:$B$96,"&gt;20",$B$2:$B$96,"&lt;=22")</f>
        <v>12</v>
      </c>
      <c r="C132" s="130">
        <f>COUNTIFS($E$2:$E$96,"&gt;20",$E$2:$E$96,"&lt;=22")</f>
        <v>7</v>
      </c>
      <c r="D132" s="129">
        <f t="shared" si="5"/>
        <v>0.6315789474</v>
      </c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131" t="s">
        <v>283</v>
      </c>
      <c r="B133" s="130">
        <f>COUNTIFS($B$2:$B$96,"&gt;22",$B$2:$B$96,"&lt;=24")</f>
        <v>7</v>
      </c>
      <c r="C133" s="130">
        <f>COUNTIFS($E$2:$E$96,"&gt;22",$E$2:$E$96,"&lt;=24")</f>
        <v>6</v>
      </c>
      <c r="D133" s="129">
        <f t="shared" si="5"/>
        <v>0.5384615385</v>
      </c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77" t="s">
        <v>284</v>
      </c>
      <c r="B134" s="130">
        <f>COUNTIFS($B$2:$B$96,"&gt;24",$B$2:$B$96,"&lt;=26")</f>
        <v>4</v>
      </c>
      <c r="C134" s="130">
        <f>COUNTIFS($E$2:$E$96,"&gt;24",$E$2:$E$96,"&lt;=26")</f>
        <v>2</v>
      </c>
      <c r="D134" s="129">
        <f t="shared" si="5"/>
        <v>0.6666666667</v>
      </c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131" t="s">
        <v>285</v>
      </c>
      <c r="B135" s="130">
        <f>COUNTIFS($B$2:$B$96,"&gt;26",$B$2:$B$96,"&lt;=28")</f>
        <v>3</v>
      </c>
      <c r="C135" s="130">
        <f>COUNTIFS($E$2:$E$96,"&gt;26",$E$2:$E$96,"&lt;=28")</f>
        <v>1</v>
      </c>
      <c r="D135" s="129">
        <f t="shared" si="5"/>
        <v>0.75</v>
      </c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118" t="s">
        <v>286</v>
      </c>
      <c r="B136" s="51">
        <f>COUNTIF($B$2:$B$96,"&gt;28")</f>
        <v>0</v>
      </c>
      <c r="C136" s="51">
        <f>COUNTIF($E$2:$E$96,"&gt;28")</f>
        <v>2</v>
      </c>
      <c r="D136" s="129">
        <f t="shared" si="5"/>
        <v>0</v>
      </c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>
      <c r="A1005" s="5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>
      <c r="A1006" s="5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>
      <c r="A1007" s="5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>
      <c r="A1008" s="5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>
      <c r="A1009" s="5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>
      <c r="A1010" s="5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>
      <c r="A1012" s="5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>
      <c r="A1014" s="51"/>
      <c r="B1014" s="51"/>
      <c r="C1014" s="51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>
      <c r="A1015" s="5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>
      <c r="A1016" s="51"/>
      <c r="B1016" s="51"/>
      <c r="C1016" s="51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>
      <c r="A1017" s="51"/>
      <c r="B1017" s="51"/>
      <c r="C1017" s="51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>
      <c r="A1018" s="51"/>
      <c r="B1018" s="51"/>
      <c r="C1018" s="51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>
      <c r="A1019" s="51"/>
      <c r="B1019" s="51"/>
      <c r="C1019" s="51"/>
      <c r="D1019" s="51"/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>
      <c r="A1020" s="51"/>
      <c r="B1020" s="51"/>
      <c r="C1020" s="51"/>
      <c r="D1020" s="51"/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>
      <c r="A1021" s="51"/>
      <c r="B1021" s="51"/>
      <c r="C1021" s="51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>
      <c r="A1022" s="51"/>
      <c r="B1022" s="51"/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>
      <c r="A1023" s="51"/>
      <c r="B1023" s="51"/>
      <c r="C1023" s="51"/>
      <c r="D1023" s="51"/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>
      <c r="A1024" s="51"/>
      <c r="B1024" s="51"/>
      <c r="C1024" s="51"/>
      <c r="D1024" s="51"/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>
      <c r="A1025" s="51"/>
      <c r="B1025" s="51"/>
      <c r="C1025" s="51"/>
      <c r="D1025" s="51"/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>
      <c r="A1026" s="51"/>
      <c r="B1026" s="51"/>
      <c r="C1026" s="51"/>
      <c r="D1026" s="51"/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>
      <c r="A1027" s="51"/>
      <c r="B1027" s="51"/>
      <c r="C1027" s="51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>
      <c r="A1028" s="51"/>
      <c r="B1028" s="51"/>
      <c r="C1028" s="51"/>
      <c r="D1028" s="51"/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>
      <c r="A1029" s="51"/>
      <c r="B1029" s="51"/>
      <c r="C1029" s="51"/>
      <c r="D1029" s="51"/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>
      <c r="A1030" s="51"/>
      <c r="B1030" s="51"/>
      <c r="C1030" s="51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>
      <c r="A1031" s="51"/>
      <c r="B1031" s="51"/>
      <c r="C1031" s="51"/>
      <c r="D1031" s="51"/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>
      <c r="A1032" s="51"/>
      <c r="B1032" s="51"/>
      <c r="C1032" s="51"/>
      <c r="D1032" s="51"/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>
      <c r="A1033" s="51"/>
      <c r="B1033" s="51"/>
      <c r="C1033" s="51"/>
      <c r="D1033" s="51"/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>
      <c r="A1034" s="51"/>
      <c r="B1034" s="51"/>
      <c r="C1034" s="51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>
      <c r="A1035" s="51"/>
      <c r="B1035" s="51"/>
      <c r="C1035" s="51"/>
      <c r="D1035" s="51"/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>
      <c r="A1036" s="51"/>
      <c r="B1036" s="51"/>
      <c r="C1036" s="51"/>
      <c r="D1036" s="51"/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>
      <c r="A1037" s="51"/>
      <c r="B1037" s="51"/>
      <c r="C1037" s="51"/>
      <c r="D1037" s="51"/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>
      <c r="A1038" s="51"/>
      <c r="B1038" s="51"/>
      <c r="C1038" s="51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>
      <c r="A1039" s="51"/>
      <c r="B1039" s="51"/>
      <c r="C1039" s="51"/>
      <c r="D1039" s="51"/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>
      <c r="A1040" s="51"/>
      <c r="B1040" s="51"/>
      <c r="C1040" s="51"/>
      <c r="D1040" s="51"/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>
      <c r="A1041" s="51"/>
      <c r="B1041" s="51"/>
      <c r="C1041" s="51"/>
      <c r="D1041" s="51"/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>
      <c r="A1042" s="51"/>
      <c r="B1042" s="51"/>
      <c r="C1042" s="51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>
      <c r="A1043" s="51"/>
      <c r="B1043" s="51"/>
      <c r="C1043" s="51"/>
      <c r="D1043" s="51"/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>
      <c r="A1044" s="51"/>
      <c r="B1044" s="51"/>
      <c r="C1044" s="51"/>
      <c r="D1044" s="51"/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>
      <c r="A1045" s="51"/>
      <c r="B1045" s="51"/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>
      <c r="A1046" s="51"/>
      <c r="B1046" s="51"/>
      <c r="C1046" s="51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</sheetData>
  <drawing r:id="rId1"/>
</worksheet>
</file>