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0.xml" ContentType="application/vnd.openxmlformats-officedocument.drawing+xml"/>
  <Override PartName="/xl/drawings/drawing11.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F92B200A-C388-499C-8739-5AC18F8AA59B}" xr6:coauthVersionLast="47" xr6:coauthVersionMax="47" xr10:uidLastSave="{00000000-0000-0000-0000-000000000000}"/>
  <bookViews>
    <workbookView xWindow="-110" yWindow="-110" windowWidth="38620" windowHeight="21100" tabRatio="805" firstSheet="8" activeTab="11" xr2:uid="{00000000-000D-0000-FFFF-FFFF00000000}"/>
  </bookViews>
  <sheets>
    <sheet name="momen 1p" sheetId="12" r:id="rId1"/>
    <sheet name="thepsan 1p" sheetId="13" r:id="rId2"/>
    <sheet name="SĐD_1 Phương" sheetId="31" r:id="rId3"/>
    <sheet name="TH" sheetId="1" r:id="rId4"/>
    <sheet name="TinhMong" sheetId="37" r:id="rId5"/>
    <sheet name="TinhMongM2" sheetId="42" r:id="rId6"/>
    <sheet name="TinhMongM2 (2)" sheetId="43" r:id="rId7"/>
    <sheet name="Co Ly dat" sheetId="38" r:id="rId8"/>
    <sheet name="Suc khang than coc" sheetId="41" r:id="rId9"/>
    <sheet name="Bangtinhmong" sheetId="40" r:id="rId10"/>
    <sheet name="Bangtra" sheetId="39" r:id="rId11"/>
    <sheet name="Giatricotdienhinh" sheetId="35" r:id="rId12"/>
    <sheet name="Tầng theo" sheetId="36" r:id="rId13"/>
    <sheet name="Tinh cot" sheetId="34" r:id="rId14"/>
    <sheet name="Sheet2" sheetId="32" r:id="rId15"/>
    <sheet name="SĐĐH_2 Phương" sheetId="30" r:id="rId16"/>
    <sheet name="thepsan" sheetId="17" r:id="rId17"/>
    <sheet name="BANGTINHCOT" sheetId="33" r:id="rId18"/>
    <sheet name="momensan" sheetId="16" r:id="rId19"/>
    <sheet name="Thong so vat lieu" sheetId="27" r:id="rId20"/>
    <sheet name="Bảng tra_VL" sheetId="28" r:id="rId21"/>
    <sheet name="Bảng tra hệ số ĐH" sheetId="29" r:id="rId22"/>
    <sheet name="config" sheetId="6" r:id="rId23"/>
    <sheet name="Cotthep" sheetId="3" r:id="rId24"/>
    <sheet name="betong" sheetId="4" r:id="rId25"/>
    <sheet name="tinhtai_san" sheetId="5" r:id="rId26"/>
    <sheet name="hoattai_san" sheetId="7" r:id="rId27"/>
    <sheet name="tải sàn" sheetId="11" r:id="rId28"/>
    <sheet name="dam loai 1 T2" sheetId="19" r:id="rId29"/>
    <sheet name="dam loai 2 T2" sheetId="20" r:id="rId30"/>
    <sheet name="dam loai 3 T2" sheetId="25" r:id="rId31"/>
    <sheet name="TONG HOP T2" sheetId="21" r:id="rId32"/>
    <sheet name="dam loai 1 TD" sheetId="22" r:id="rId33"/>
    <sheet name="dam loai 2 TD" sheetId="23" r:id="rId34"/>
    <sheet name="dam loai 3 TD" sheetId="26" r:id="rId35"/>
    <sheet name="TONG HOP TD" sheetId="24" r:id="rId36"/>
    <sheet name="du lieu" sheetId="15" r:id="rId37"/>
    <sheet name="tra thep" sheetId="14" r:id="rId38"/>
    <sheet name="TINH TOAN" sheetId="8" r:id="rId39"/>
    <sheet name="Sheet1" sheetId="18" r:id="rId40"/>
  </sheets>
  <externalReferences>
    <externalReference r:id="rId41"/>
    <externalReference r:id="rId42"/>
    <externalReference r:id="rId43"/>
  </externalReferences>
  <definedNames>
    <definedName name="_Hlk46077046" localSheetId="17">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5">TinhMongM2!$A$77</definedName>
    <definedName name="_Toc44590707" localSheetId="6">'TinhMongM2 (2)'!$A$77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8"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35" l="1"/>
  <c r="K12" i="35"/>
  <c r="P12" i="35" s="1"/>
  <c r="L12" i="35"/>
  <c r="Q12" i="35" s="1"/>
  <c r="M12" i="35"/>
  <c r="N12" i="35"/>
  <c r="O12" i="35"/>
  <c r="Z12" i="35"/>
  <c r="AA12" i="35"/>
  <c r="AO12" i="35"/>
  <c r="AP12" i="35"/>
  <c r="J13" i="35"/>
  <c r="M13" i="35" s="1"/>
  <c r="K13" i="35"/>
  <c r="P13" i="35" s="1"/>
  <c r="R13" i="35" s="1"/>
  <c r="T13" i="35" s="1"/>
  <c r="L13" i="35"/>
  <c r="Q13" i="35" s="1"/>
  <c r="O13" i="35"/>
  <c r="Z13" i="35"/>
  <c r="AA13" i="35"/>
  <c r="AO13" i="35"/>
  <c r="AP13" i="35"/>
  <c r="J14" i="35"/>
  <c r="K14" i="35"/>
  <c r="P14" i="35" s="1"/>
  <c r="R14" i="35" s="1"/>
  <c r="T14" i="35" s="1"/>
  <c r="L14" i="35"/>
  <c r="Q14" i="35" s="1"/>
  <c r="S14" i="35" s="1"/>
  <c r="U14" i="35" s="1"/>
  <c r="M14" i="35"/>
  <c r="N14" i="35"/>
  <c r="O14" i="35"/>
  <c r="Z14" i="35"/>
  <c r="AA14" i="35"/>
  <c r="AO14" i="35"/>
  <c r="AP14" i="35"/>
  <c r="J15" i="35"/>
  <c r="M15" i="35" s="1"/>
  <c r="K15" i="35"/>
  <c r="P15" i="35" s="1"/>
  <c r="R15" i="35" s="1"/>
  <c r="T15" i="35" s="1"/>
  <c r="L15" i="35"/>
  <c r="Q15" i="35" s="1"/>
  <c r="S15" i="35" s="1"/>
  <c r="U15" i="35" s="1"/>
  <c r="N15" i="35"/>
  <c r="O15" i="35"/>
  <c r="Z15" i="35"/>
  <c r="AA15" i="35"/>
  <c r="AO15" i="35"/>
  <c r="AP15" i="35"/>
  <c r="J16" i="35"/>
  <c r="K16" i="35"/>
  <c r="P16" i="35" s="1"/>
  <c r="R16" i="35" s="1"/>
  <c r="T16" i="35" s="1"/>
  <c r="L16" i="35"/>
  <c r="Q16" i="35" s="1"/>
  <c r="S16" i="35" s="1"/>
  <c r="U16" i="35" s="1"/>
  <c r="M16" i="35"/>
  <c r="N16" i="35"/>
  <c r="O16" i="35"/>
  <c r="Z16" i="35"/>
  <c r="AA16" i="35"/>
  <c r="AO16" i="35"/>
  <c r="AP16" i="35"/>
  <c r="J17" i="35"/>
  <c r="M17" i="35" s="1"/>
  <c r="K17" i="35"/>
  <c r="P17" i="35" s="1"/>
  <c r="L17" i="35"/>
  <c r="Q17" i="35" s="1"/>
  <c r="S17" i="35" s="1"/>
  <c r="U17" i="35" s="1"/>
  <c r="N17" i="35"/>
  <c r="O17" i="35"/>
  <c r="Z17" i="35"/>
  <c r="AA17" i="35"/>
  <c r="AO17" i="35"/>
  <c r="AP17" i="35"/>
  <c r="J18" i="35"/>
  <c r="K18" i="35"/>
  <c r="P18" i="35" s="1"/>
  <c r="R18" i="35" s="1"/>
  <c r="T18" i="35" s="1"/>
  <c r="L18" i="35"/>
  <c r="Q18" i="35" s="1"/>
  <c r="S18" i="35" s="1"/>
  <c r="U18" i="35" s="1"/>
  <c r="M18" i="35"/>
  <c r="N18" i="35"/>
  <c r="O18" i="35"/>
  <c r="Z18" i="35"/>
  <c r="AA18" i="35"/>
  <c r="AO18" i="35"/>
  <c r="AP18" i="35"/>
  <c r="J19" i="35"/>
  <c r="M19" i="35" s="1"/>
  <c r="K19" i="35"/>
  <c r="P19" i="35" s="1"/>
  <c r="R19" i="35" s="1"/>
  <c r="T19" i="35" s="1"/>
  <c r="L19" i="35"/>
  <c r="Q19" i="35" s="1"/>
  <c r="S19" i="35" s="1"/>
  <c r="U19" i="35" s="1"/>
  <c r="N19" i="35"/>
  <c r="O19" i="35"/>
  <c r="Z19" i="35"/>
  <c r="AA19" i="35"/>
  <c r="AO19" i="35"/>
  <c r="AP19" i="35"/>
  <c r="J20" i="35"/>
  <c r="K20" i="35"/>
  <c r="P20" i="35" s="1"/>
  <c r="R20" i="35" s="1"/>
  <c r="T20" i="35" s="1"/>
  <c r="L20" i="35"/>
  <c r="Q20" i="35" s="1"/>
  <c r="S20" i="35" s="1"/>
  <c r="U20" i="35" s="1"/>
  <c r="M20" i="35"/>
  <c r="N20" i="35"/>
  <c r="O20" i="35"/>
  <c r="Z20" i="35"/>
  <c r="AA20" i="35"/>
  <c r="AO20" i="35"/>
  <c r="AP20" i="35"/>
  <c r="J21" i="35"/>
  <c r="M21" i="35" s="1"/>
  <c r="K21" i="35"/>
  <c r="P21" i="35" s="1"/>
  <c r="R21" i="35" s="1"/>
  <c r="T21" i="35" s="1"/>
  <c r="L21" i="35"/>
  <c r="Q21" i="35" s="1"/>
  <c r="S21" i="35" s="1"/>
  <c r="U21" i="35" s="1"/>
  <c r="N21" i="35"/>
  <c r="O21" i="35"/>
  <c r="Z21" i="35"/>
  <c r="AA21" i="35"/>
  <c r="AO21" i="35"/>
  <c r="AP21" i="35"/>
  <c r="J22" i="35"/>
  <c r="K22" i="35"/>
  <c r="P22" i="35" s="1"/>
  <c r="R22" i="35" s="1"/>
  <c r="T22" i="35" s="1"/>
  <c r="L22" i="35"/>
  <c r="Q22" i="35" s="1"/>
  <c r="S22" i="35" s="1"/>
  <c r="U22" i="35" s="1"/>
  <c r="M22" i="35"/>
  <c r="N22" i="35"/>
  <c r="O22" i="35"/>
  <c r="Z22" i="35"/>
  <c r="AA22" i="35"/>
  <c r="AO22" i="35"/>
  <c r="AP22" i="35"/>
  <c r="J23" i="35"/>
  <c r="M23" i="35" s="1"/>
  <c r="K23" i="35"/>
  <c r="P23" i="35" s="1"/>
  <c r="R23" i="35" s="1"/>
  <c r="T23" i="35" s="1"/>
  <c r="L23" i="35"/>
  <c r="Q23" i="35" s="1"/>
  <c r="S23" i="35" s="1"/>
  <c r="U23" i="35" s="1"/>
  <c r="N23" i="35"/>
  <c r="O23" i="35"/>
  <c r="Z23" i="35"/>
  <c r="AA23" i="35"/>
  <c r="AO23" i="35"/>
  <c r="AP23" i="35"/>
  <c r="J24" i="35"/>
  <c r="K24" i="35"/>
  <c r="P24" i="35" s="1"/>
  <c r="R24" i="35" s="1"/>
  <c r="T24" i="35" s="1"/>
  <c r="L24" i="35"/>
  <c r="Q24" i="35" s="1"/>
  <c r="S24" i="35" s="1"/>
  <c r="U24" i="35" s="1"/>
  <c r="M24" i="35"/>
  <c r="N24" i="35"/>
  <c r="O24" i="35"/>
  <c r="Z24" i="35"/>
  <c r="AA24" i="35"/>
  <c r="AO24" i="35"/>
  <c r="AP24" i="35"/>
  <c r="J25" i="35"/>
  <c r="M25" i="35" s="1"/>
  <c r="K25" i="35"/>
  <c r="P25" i="35" s="1"/>
  <c r="R25" i="35" s="1"/>
  <c r="T25" i="35" s="1"/>
  <c r="L25" i="35"/>
  <c r="Q25" i="35" s="1"/>
  <c r="S25" i="35" s="1"/>
  <c r="U25" i="35" s="1"/>
  <c r="N25" i="35"/>
  <c r="O25" i="35"/>
  <c r="Z25" i="35"/>
  <c r="AA25" i="35"/>
  <c r="AO25" i="35"/>
  <c r="AP25" i="35"/>
  <c r="J26" i="35"/>
  <c r="K26" i="35"/>
  <c r="P26" i="35" s="1"/>
  <c r="R26" i="35" s="1"/>
  <c r="T26" i="35" s="1"/>
  <c r="L26" i="35"/>
  <c r="Q26" i="35" s="1"/>
  <c r="S26" i="35" s="1"/>
  <c r="U26" i="35" s="1"/>
  <c r="M26" i="35"/>
  <c r="N26" i="35"/>
  <c r="O26" i="35"/>
  <c r="Z26" i="35"/>
  <c r="AA26" i="35"/>
  <c r="AO26" i="35"/>
  <c r="AP26" i="35"/>
  <c r="J11" i="35"/>
  <c r="J10" i="35"/>
  <c r="B195" i="1"/>
  <c r="B45" i="37"/>
  <c r="J133" i="37"/>
  <c r="E133" i="37" s="1"/>
  <c r="H133" i="37"/>
  <c r="E133" i="42"/>
  <c r="E132" i="37"/>
  <c r="I132" i="37" s="1"/>
  <c r="E131" i="37"/>
  <c r="G132" i="37"/>
  <c r="I131" i="37"/>
  <c r="G131" i="37"/>
  <c r="I132" i="42"/>
  <c r="I131" i="42"/>
  <c r="H135" i="42"/>
  <c r="H134" i="42"/>
  <c r="H133" i="42"/>
  <c r="G132" i="42"/>
  <c r="G131" i="42"/>
  <c r="E132" i="42"/>
  <c r="E131" i="42"/>
  <c r="B46" i="42"/>
  <c r="B47" i="42"/>
  <c r="B48" i="42"/>
  <c r="B49" i="42"/>
  <c r="B50" i="42"/>
  <c r="B51" i="42"/>
  <c r="B52" i="42"/>
  <c r="B53" i="42"/>
  <c r="B54" i="42"/>
  <c r="S174" i="37"/>
  <c r="J174" i="37"/>
  <c r="C173" i="37"/>
  <c r="AA172" i="37"/>
  <c r="J172" i="37"/>
  <c r="AA171" i="37"/>
  <c r="C171" i="37"/>
  <c r="AA170" i="37"/>
  <c r="M170" i="37"/>
  <c r="N170" i="37" s="1"/>
  <c r="J170" i="37"/>
  <c r="D170" i="37"/>
  <c r="AA169" i="37"/>
  <c r="AA168" i="37"/>
  <c r="AA167" i="37"/>
  <c r="AA166" i="37"/>
  <c r="AA165" i="37"/>
  <c r="B165" i="37"/>
  <c r="AA164" i="37"/>
  <c r="AA163" i="37"/>
  <c r="AA162" i="37"/>
  <c r="C155" i="37"/>
  <c r="F154" i="37"/>
  <c r="H154" i="37" s="1"/>
  <c r="H155" i="37" s="1"/>
  <c r="B154" i="37"/>
  <c r="C154" i="37" s="1"/>
  <c r="H153" i="37"/>
  <c r="B153" i="37"/>
  <c r="C153" i="37" s="1"/>
  <c r="H152" i="37"/>
  <c r="H151" i="37"/>
  <c r="L145" i="37"/>
  <c r="K145" i="37"/>
  <c r="H144" i="37"/>
  <c r="H143" i="37"/>
  <c r="H140" i="37"/>
  <c r="K139" i="37"/>
  <c r="J139" i="37"/>
  <c r="J140" i="37" s="1"/>
  <c r="J142" i="37" s="1"/>
  <c r="I139" i="37"/>
  <c r="H139" i="37"/>
  <c r="B138" i="37"/>
  <c r="J136" i="37"/>
  <c r="B136" i="37"/>
  <c r="J135" i="37"/>
  <c r="I135" i="37"/>
  <c r="B135" i="37"/>
  <c r="H134" i="37"/>
  <c r="H135" i="37" s="1"/>
  <c r="B134" i="37"/>
  <c r="B121" i="37"/>
  <c r="B120" i="37"/>
  <c r="K119" i="37"/>
  <c r="I119" i="37" s="1"/>
  <c r="K118" i="37"/>
  <c r="I118" i="37"/>
  <c r="F116" i="37"/>
  <c r="E115" i="37"/>
  <c r="B116" i="37" s="1"/>
  <c r="D115" i="37"/>
  <c r="B115" i="37"/>
  <c r="B117" i="37" s="1"/>
  <c r="B114" i="37"/>
  <c r="F113" i="37"/>
  <c r="C113" i="37"/>
  <c r="D113" i="37" s="1"/>
  <c r="B113" i="37"/>
  <c r="S174" i="42"/>
  <c r="AA163" i="42"/>
  <c r="AA164" i="42"/>
  <c r="AA165" i="42"/>
  <c r="AA166" i="42"/>
  <c r="AA167" i="42"/>
  <c r="AA168" i="42"/>
  <c r="AA169" i="42"/>
  <c r="AA170" i="42"/>
  <c r="AA171" i="42"/>
  <c r="AA172" i="42"/>
  <c r="AA162" i="42"/>
  <c r="S12" i="35" l="1"/>
  <c r="U12" i="35" s="1"/>
  <c r="R12" i="35"/>
  <c r="T12" i="35" s="1"/>
  <c r="V12" i="35" s="1"/>
  <c r="W20" i="35"/>
  <c r="Y20" i="35"/>
  <c r="X25" i="35"/>
  <c r="AD25" i="35" s="1"/>
  <c r="V25" i="35"/>
  <c r="W18" i="35"/>
  <c r="Y18" i="35"/>
  <c r="V23" i="35"/>
  <c r="X23" i="35"/>
  <c r="AD23" i="35" s="1"/>
  <c r="V18" i="35"/>
  <c r="X18" i="35"/>
  <c r="AD18" i="35" s="1"/>
  <c r="W26" i="35"/>
  <c r="Y26" i="35"/>
  <c r="X21" i="35"/>
  <c r="AD21" i="35" s="1"/>
  <c r="V21" i="35"/>
  <c r="Y19" i="35"/>
  <c r="AE19" i="35" s="1"/>
  <c r="AH19" i="35" s="1"/>
  <c r="W19" i="35"/>
  <c r="V16" i="35"/>
  <c r="X16" i="35"/>
  <c r="AD16" i="35" s="1"/>
  <c r="W14" i="35"/>
  <c r="Y14" i="35"/>
  <c r="AE14" i="35" s="1"/>
  <c r="AH14" i="35" s="1"/>
  <c r="W12" i="35"/>
  <c r="Y12" i="35"/>
  <c r="AE12" i="35" s="1"/>
  <c r="AH12" i="35" s="1"/>
  <c r="V13" i="35"/>
  <c r="X13" i="35"/>
  <c r="AD13" i="35" s="1"/>
  <c r="AE20" i="35"/>
  <c r="AH20" i="35" s="1"/>
  <c r="AE25" i="35"/>
  <c r="AH25" i="35" s="1"/>
  <c r="Y25" i="35"/>
  <c r="W25" i="35"/>
  <c r="V22" i="35"/>
  <c r="X22" i="35"/>
  <c r="AD22" i="35" s="1"/>
  <c r="V15" i="35"/>
  <c r="X15" i="35"/>
  <c r="AD15" i="35" s="1"/>
  <c r="Y23" i="35"/>
  <c r="AE23" i="35" s="1"/>
  <c r="AH23" i="35" s="1"/>
  <c r="W23" i="35"/>
  <c r="V20" i="35"/>
  <c r="X20" i="35"/>
  <c r="AD20" i="35" s="1"/>
  <c r="Y21" i="35"/>
  <c r="AE21" i="35" s="1"/>
  <c r="AH21" i="35" s="1"/>
  <c r="W21" i="35"/>
  <c r="AE18" i="35"/>
  <c r="AH18" i="35" s="1"/>
  <c r="W16" i="35"/>
  <c r="Y16" i="35"/>
  <c r="AE16" i="35" s="1"/>
  <c r="AH16" i="35" s="1"/>
  <c r="AE26" i="35"/>
  <c r="AH26" i="35" s="1"/>
  <c r="V26" i="35"/>
  <c r="X26" i="35"/>
  <c r="AD26" i="35" s="1"/>
  <c r="W24" i="35"/>
  <c r="Y24" i="35"/>
  <c r="X19" i="35"/>
  <c r="AD19" i="35" s="1"/>
  <c r="V19" i="35"/>
  <c r="Y17" i="35"/>
  <c r="AE17" i="35" s="1"/>
  <c r="AH17" i="35" s="1"/>
  <c r="W17" i="35"/>
  <c r="V14" i="35"/>
  <c r="X14" i="35"/>
  <c r="AD14" i="35" s="1"/>
  <c r="AE24" i="35"/>
  <c r="AH24" i="35" s="1"/>
  <c r="V24" i="35"/>
  <c r="X24" i="35"/>
  <c r="AD24" i="35" s="1"/>
  <c r="W22" i="35"/>
  <c r="Y22" i="35"/>
  <c r="AE22" i="35" s="1"/>
  <c r="AH22" i="35" s="1"/>
  <c r="R17" i="35"/>
  <c r="T17" i="35" s="1"/>
  <c r="Y15" i="35"/>
  <c r="AE15" i="35" s="1"/>
  <c r="AH15" i="35" s="1"/>
  <c r="W15" i="35"/>
  <c r="AC25" i="35"/>
  <c r="AC21" i="35"/>
  <c r="AC19" i="35"/>
  <c r="AC15" i="35"/>
  <c r="AC13" i="35"/>
  <c r="AC23" i="35"/>
  <c r="AC17" i="35"/>
  <c r="AB25" i="35"/>
  <c r="AB23" i="35"/>
  <c r="AB21" i="35"/>
  <c r="AB19" i="35"/>
  <c r="AB17" i="35"/>
  <c r="AB15" i="35"/>
  <c r="AB13" i="35"/>
  <c r="AC26" i="35"/>
  <c r="AC24" i="35"/>
  <c r="AC22" i="35"/>
  <c r="AC20" i="35"/>
  <c r="AC18" i="35"/>
  <c r="AC16" i="35"/>
  <c r="AC14" i="35"/>
  <c r="N13" i="35"/>
  <c r="S13" i="35" s="1"/>
  <c r="U13" i="35" s="1"/>
  <c r="AC12" i="35"/>
  <c r="AB26" i="35"/>
  <c r="AB24" i="35"/>
  <c r="AB22" i="35"/>
  <c r="AB20" i="35"/>
  <c r="AB18" i="35"/>
  <c r="AB16" i="35"/>
  <c r="AB14" i="35"/>
  <c r="AB12" i="35"/>
  <c r="Y161" i="37"/>
  <c r="L161" i="37"/>
  <c r="L162" i="37" s="1"/>
  <c r="L163" i="37" s="1"/>
  <c r="L164" i="37" s="1"/>
  <c r="D122" i="37"/>
  <c r="B119" i="37"/>
  <c r="B122" i="37"/>
  <c r="H163" i="37"/>
  <c r="I163" i="37" s="1"/>
  <c r="H164" i="37"/>
  <c r="I164" i="37" s="1"/>
  <c r="V161" i="37"/>
  <c r="H162" i="37"/>
  <c r="I162" i="37" s="1"/>
  <c r="H161" i="37"/>
  <c r="I161" i="37" s="1"/>
  <c r="U161" i="37"/>
  <c r="B129" i="37"/>
  <c r="B128" i="37"/>
  <c r="G113" i="37"/>
  <c r="H113" i="37" s="1"/>
  <c r="B142" i="37"/>
  <c r="B147" i="37" s="1"/>
  <c r="B161" i="37"/>
  <c r="T162" i="37" s="1"/>
  <c r="X12" i="35" l="1"/>
  <c r="AD12" i="35" s="1"/>
  <c r="Y13" i="35"/>
  <c r="AE13" i="35" s="1"/>
  <c r="AH13" i="35" s="1"/>
  <c r="W13" i="35"/>
  <c r="AJ24" i="35"/>
  <c r="AF24" i="35"/>
  <c r="AJ14" i="35"/>
  <c r="AF14" i="35"/>
  <c r="AJ18" i="35"/>
  <c r="AF18" i="35"/>
  <c r="AJ22" i="35"/>
  <c r="AF22" i="35"/>
  <c r="AJ20" i="35"/>
  <c r="AF20" i="35"/>
  <c r="AF13" i="35"/>
  <c r="AJ13" i="35"/>
  <c r="AJ16" i="35"/>
  <c r="AF16" i="35"/>
  <c r="AF21" i="35"/>
  <c r="AJ21" i="35"/>
  <c r="AF23" i="35"/>
  <c r="AJ23" i="35"/>
  <c r="AJ12" i="35"/>
  <c r="AF12" i="35"/>
  <c r="AF19" i="35"/>
  <c r="AJ19" i="35"/>
  <c r="AF15" i="35"/>
  <c r="AJ15" i="35"/>
  <c r="AF25" i="35"/>
  <c r="AJ25" i="35"/>
  <c r="V17" i="35"/>
  <c r="X17" i="35"/>
  <c r="AD17" i="35" s="1"/>
  <c r="AJ26" i="35"/>
  <c r="AF26" i="35"/>
  <c r="T163" i="37"/>
  <c r="U162" i="37"/>
  <c r="Y162" i="37"/>
  <c r="Y163" i="37" s="1"/>
  <c r="B123" i="37"/>
  <c r="AF17" i="35" l="1"/>
  <c r="AJ17" i="35"/>
  <c r="Y164" i="37"/>
  <c r="T164" i="37"/>
  <c r="U163" i="37"/>
  <c r="U164" i="37" l="1"/>
  <c r="T165" i="37"/>
  <c r="T166" i="37" l="1"/>
  <c r="U165" i="37"/>
  <c r="Y165" i="37"/>
  <c r="Y166" i="37" s="1"/>
  <c r="U166" i="37" l="1"/>
  <c r="T167" i="37"/>
  <c r="Y167" i="37"/>
  <c r="T168" i="37" l="1"/>
  <c r="U167" i="37"/>
  <c r="Y168" i="37"/>
  <c r="U168" i="37" l="1"/>
  <c r="T169" i="37"/>
  <c r="T170" i="37" l="1"/>
  <c r="U169" i="37"/>
  <c r="Y169" i="37"/>
  <c r="Y170" i="37" l="1"/>
  <c r="T171" i="37"/>
  <c r="U170" i="37"/>
  <c r="T172" i="37" l="1"/>
  <c r="U171" i="37"/>
  <c r="Y171" i="37"/>
  <c r="C187" i="42"/>
  <c r="C185" i="42"/>
  <c r="D184" i="42"/>
  <c r="E182" i="42"/>
  <c r="E183" i="42" s="1"/>
  <c r="C173" i="42"/>
  <c r="C171" i="42"/>
  <c r="M170" i="42"/>
  <c r="N170" i="42" s="1"/>
  <c r="D170" i="42"/>
  <c r="C155" i="42"/>
  <c r="F154" i="42"/>
  <c r="H154" i="42" s="1"/>
  <c r="B154" i="42"/>
  <c r="C154" i="42" s="1"/>
  <c r="H153" i="42"/>
  <c r="B153" i="42"/>
  <c r="C153" i="42" s="1"/>
  <c r="H152" i="42"/>
  <c r="H151" i="42"/>
  <c r="K145" i="42"/>
  <c r="L145" i="42" s="1"/>
  <c r="H144" i="42"/>
  <c r="H143" i="42"/>
  <c r="H140" i="42"/>
  <c r="J139" i="42"/>
  <c r="J140" i="42" s="1"/>
  <c r="J142" i="42" s="1"/>
  <c r="I139" i="42"/>
  <c r="K139" i="42" s="1"/>
  <c r="H139" i="42"/>
  <c r="B138" i="42"/>
  <c r="J136" i="42"/>
  <c r="B136" i="42"/>
  <c r="J135" i="42"/>
  <c r="I135" i="42"/>
  <c r="B135" i="42"/>
  <c r="B134" i="42"/>
  <c r="B121" i="42"/>
  <c r="K119" i="42"/>
  <c r="I119" i="42" s="1"/>
  <c r="K118" i="42"/>
  <c r="I118" i="42"/>
  <c r="F113" i="42"/>
  <c r="G113" i="42" s="1"/>
  <c r="H113" i="42" s="1"/>
  <c r="B113" i="42"/>
  <c r="F116" i="42" s="1"/>
  <c r="Q111" i="42"/>
  <c r="K111" i="42"/>
  <c r="J111" i="42"/>
  <c r="G111" i="42"/>
  <c r="S111" i="42" s="1"/>
  <c r="F111" i="42"/>
  <c r="R111" i="42" s="1"/>
  <c r="E111" i="42"/>
  <c r="K110" i="42"/>
  <c r="J110" i="42"/>
  <c r="G110" i="42"/>
  <c r="S110" i="42" s="1"/>
  <c r="E110" i="42"/>
  <c r="Q110" i="42" s="1"/>
  <c r="K109" i="42"/>
  <c r="J109" i="42"/>
  <c r="G109" i="42"/>
  <c r="S109" i="42" s="1"/>
  <c r="E109" i="42"/>
  <c r="Q109" i="42" s="1"/>
  <c r="Q107" i="42"/>
  <c r="K106" i="42"/>
  <c r="S103" i="42"/>
  <c r="R103" i="42"/>
  <c r="I103" i="42"/>
  <c r="I111" i="42" s="1"/>
  <c r="V111" i="42" s="1"/>
  <c r="H103" i="42"/>
  <c r="H111" i="42" s="1"/>
  <c r="T111" i="42" s="1"/>
  <c r="S102" i="42"/>
  <c r="Q102" i="42"/>
  <c r="I102" i="42"/>
  <c r="I110" i="42" s="1"/>
  <c r="V110" i="42" s="1"/>
  <c r="S101" i="42"/>
  <c r="Q101" i="42"/>
  <c r="I101" i="42"/>
  <c r="I109" i="42" s="1"/>
  <c r="V109" i="42" s="1"/>
  <c r="Q100" i="42"/>
  <c r="J94" i="42"/>
  <c r="L79" i="42"/>
  <c r="L78" i="42"/>
  <c r="K77" i="42"/>
  <c r="L77" i="42" s="1"/>
  <c r="B68" i="42"/>
  <c r="D68" i="42" s="1"/>
  <c r="O64" i="42"/>
  <c r="R64" i="42" s="1"/>
  <c r="R63" i="42"/>
  <c r="R62" i="42"/>
  <c r="B62" i="42"/>
  <c r="D62" i="42" s="1"/>
  <c r="R61" i="42"/>
  <c r="N61" i="42"/>
  <c r="N62" i="42" s="1"/>
  <c r="N63" i="42" s="1"/>
  <c r="G50" i="42"/>
  <c r="D46" i="42"/>
  <c r="P43" i="42"/>
  <c r="O43" i="42"/>
  <c r="N43" i="42"/>
  <c r="M43" i="42"/>
  <c r="J170" i="42" s="1"/>
  <c r="L43" i="42"/>
  <c r="K43" i="42"/>
  <c r="J43" i="42"/>
  <c r="I43" i="42"/>
  <c r="B79" i="42" s="1"/>
  <c r="H43" i="42"/>
  <c r="G43" i="42"/>
  <c r="F43" i="42"/>
  <c r="E43" i="42"/>
  <c r="D43" i="42"/>
  <c r="C43" i="42"/>
  <c r="D40" i="42"/>
  <c r="D39" i="42"/>
  <c r="B94"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L162" i="43"/>
  <c r="L161" i="43"/>
  <c r="B161" i="43"/>
  <c r="H152" i="43"/>
  <c r="B123" i="43"/>
  <c r="B122" i="43"/>
  <c r="N16" i="38"/>
  <c r="B48" i="37"/>
  <c r="B51" i="37" s="1"/>
  <c r="B52" i="37" s="1"/>
  <c r="B54" i="37" s="1"/>
  <c r="D115" i="43"/>
  <c r="I119" i="43"/>
  <c r="K119" i="43"/>
  <c r="K118" i="43"/>
  <c r="F116" i="43"/>
  <c r="B114" i="43"/>
  <c r="V15" i="38"/>
  <c r="W15" i="38" s="1"/>
  <c r="B113" i="43" s="1"/>
  <c r="B51" i="43"/>
  <c r="B48" i="43"/>
  <c r="H153" i="43"/>
  <c r="C187" i="43"/>
  <c r="C185" i="43"/>
  <c r="D184" i="43"/>
  <c r="E182" i="43"/>
  <c r="E183" i="43" s="1"/>
  <c r="C173" i="43"/>
  <c r="C171" i="43"/>
  <c r="N170" i="43"/>
  <c r="M170" i="43"/>
  <c r="D170" i="43"/>
  <c r="C155" i="43"/>
  <c r="F154" i="43"/>
  <c r="H154" i="43" s="1"/>
  <c r="H155" i="43" s="1"/>
  <c r="L163" i="43" s="1"/>
  <c r="L164" i="43" s="1"/>
  <c r="C154" i="43"/>
  <c r="B154" i="43"/>
  <c r="C153" i="43"/>
  <c r="B153" i="43"/>
  <c r="H151" i="43"/>
  <c r="L145" i="43"/>
  <c r="K145" i="43"/>
  <c r="H144" i="43"/>
  <c r="H143" i="43"/>
  <c r="H140" i="43"/>
  <c r="K139" i="43"/>
  <c r="J139" i="43"/>
  <c r="J140" i="43" s="1"/>
  <c r="J142" i="43" s="1"/>
  <c r="I139" i="43"/>
  <c r="H139" i="43"/>
  <c r="B138" i="43"/>
  <c r="J136" i="43"/>
  <c r="J135" i="43"/>
  <c r="I135" i="43"/>
  <c r="H135" i="43"/>
  <c r="H134" i="43"/>
  <c r="B134" i="43"/>
  <c r="R111" i="43"/>
  <c r="K111" i="43"/>
  <c r="J111" i="43"/>
  <c r="G111" i="43"/>
  <c r="S111" i="43" s="1"/>
  <c r="F111" i="43"/>
  <c r="E111" i="43"/>
  <c r="Q111" i="43" s="1"/>
  <c r="K110" i="43"/>
  <c r="J110" i="43"/>
  <c r="I110" i="43"/>
  <c r="U110" i="43" s="1"/>
  <c r="G110" i="43"/>
  <c r="S110" i="43" s="1"/>
  <c r="E110" i="43"/>
  <c r="Q110" i="43" s="1"/>
  <c r="K109" i="43"/>
  <c r="J109" i="43"/>
  <c r="I109" i="43"/>
  <c r="U109" i="43" s="1"/>
  <c r="G109" i="43"/>
  <c r="S109" i="43" s="1"/>
  <c r="E109" i="43"/>
  <c r="Q109" i="43" s="1"/>
  <c r="Q107" i="43"/>
  <c r="K106" i="43"/>
  <c r="T103" i="43"/>
  <c r="S103" i="43"/>
  <c r="R103" i="43"/>
  <c r="I103" i="43"/>
  <c r="I111" i="43" s="1"/>
  <c r="U111" i="43" s="1"/>
  <c r="H103" i="43"/>
  <c r="H111" i="43" s="1"/>
  <c r="T111" i="43" s="1"/>
  <c r="S102" i="43"/>
  <c r="Q102" i="43"/>
  <c r="I102" i="43"/>
  <c r="I104" i="43" s="1"/>
  <c r="S101" i="43"/>
  <c r="Q101" i="43"/>
  <c r="I101" i="43"/>
  <c r="U101" i="43" s="1"/>
  <c r="Q100" i="43"/>
  <c r="J94" i="43"/>
  <c r="L79" i="43"/>
  <c r="L78" i="43"/>
  <c r="L77" i="43"/>
  <c r="K77" i="43"/>
  <c r="D68" i="43"/>
  <c r="B68" i="43"/>
  <c r="O64" i="43"/>
  <c r="O65" i="43" s="1"/>
  <c r="R63" i="43"/>
  <c r="N63" i="43"/>
  <c r="R62" i="43"/>
  <c r="N62" i="43"/>
  <c r="B62" i="43"/>
  <c r="D62" i="43" s="1"/>
  <c r="R61" i="43"/>
  <c r="N61" i="43"/>
  <c r="D46" i="43"/>
  <c r="P43" i="43"/>
  <c r="M43" i="43"/>
  <c r="J170" i="43" s="1"/>
  <c r="L43" i="43"/>
  <c r="K43" i="43"/>
  <c r="B136" i="43" s="1"/>
  <c r="J43" i="43"/>
  <c r="I43" i="43"/>
  <c r="B79" i="43" s="1"/>
  <c r="H43" i="43"/>
  <c r="G43" i="43"/>
  <c r="F43" i="43"/>
  <c r="E43" i="43"/>
  <c r="B47" i="43" s="1"/>
  <c r="D43" i="43"/>
  <c r="C43" i="43"/>
  <c r="D40" i="43"/>
  <c r="D39" i="43"/>
  <c r="B165"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Q101" i="37"/>
  <c r="Q107" i="37"/>
  <c r="U110" i="37"/>
  <c r="T110" i="37"/>
  <c r="S110" i="37"/>
  <c r="R110" i="37"/>
  <c r="Q110" i="37"/>
  <c r="U109" i="37"/>
  <c r="T109" i="37"/>
  <c r="S109" i="37"/>
  <c r="R109" i="37"/>
  <c r="Q109" i="37"/>
  <c r="U102" i="37"/>
  <c r="U103" i="37"/>
  <c r="T103" i="37"/>
  <c r="S103" i="37"/>
  <c r="R103" i="37"/>
  <c r="Q103" i="37"/>
  <c r="T102" i="37"/>
  <c r="S102" i="37"/>
  <c r="R102" i="37"/>
  <c r="Q102" i="37"/>
  <c r="U61" i="37"/>
  <c r="V61" i="37"/>
  <c r="W61" i="37"/>
  <c r="X61" i="37"/>
  <c r="Y61" i="37"/>
  <c r="Z61" i="37"/>
  <c r="AA61" i="37"/>
  <c r="AB61" i="37"/>
  <c r="U62" i="37"/>
  <c r="V62" i="37"/>
  <c r="W62" i="37"/>
  <c r="X62" i="37"/>
  <c r="Y62" i="37"/>
  <c r="Z62" i="37"/>
  <c r="AA62" i="37"/>
  <c r="AB62" i="37"/>
  <c r="U63" i="37"/>
  <c r="V63" i="37"/>
  <c r="W63" i="37"/>
  <c r="X63" i="37"/>
  <c r="Y63" i="37"/>
  <c r="Z63" i="37"/>
  <c r="AA63" i="37"/>
  <c r="AB63" i="37"/>
  <c r="U64" i="37"/>
  <c r="V64" i="37"/>
  <c r="W64" i="37"/>
  <c r="Z64" i="37"/>
  <c r="AA64" i="37"/>
  <c r="V60" i="37"/>
  <c r="W60" i="37"/>
  <c r="X60" i="37"/>
  <c r="Y60" i="37"/>
  <c r="Z60" i="37"/>
  <c r="AA60" i="37"/>
  <c r="AB60" i="37"/>
  <c r="U60" i="37"/>
  <c r="N64" i="42" l="1"/>
  <c r="O65" i="42"/>
  <c r="Y172" i="37"/>
  <c r="U172" i="37"/>
  <c r="S175" i="37"/>
  <c r="H155" i="42"/>
  <c r="R67" i="42"/>
  <c r="E74" i="42" s="1"/>
  <c r="C113" i="42"/>
  <c r="D113" i="42" s="1"/>
  <c r="M70" i="42"/>
  <c r="N70" i="42" s="1"/>
  <c r="B69" i="42" s="1"/>
  <c r="V102" i="42"/>
  <c r="I104" i="42"/>
  <c r="B61" i="42"/>
  <c r="F69" i="42" s="1"/>
  <c r="T103" i="42"/>
  <c r="B179" i="42"/>
  <c r="B93" i="42"/>
  <c r="B95" i="42"/>
  <c r="D115" i="42" s="1"/>
  <c r="V101" i="42"/>
  <c r="V103" i="42"/>
  <c r="J172" i="42"/>
  <c r="J174" i="42"/>
  <c r="B165" i="42"/>
  <c r="B72" i="42"/>
  <c r="B115" i="43"/>
  <c r="I118" i="43"/>
  <c r="N64" i="43"/>
  <c r="R64" i="43"/>
  <c r="R67" i="43" s="1"/>
  <c r="E74" i="43" s="1"/>
  <c r="B52" i="43"/>
  <c r="G50" i="43"/>
  <c r="B72" i="43"/>
  <c r="B94" i="43"/>
  <c r="B97" i="43" s="1"/>
  <c r="U102" i="43"/>
  <c r="B179" i="43"/>
  <c r="B61" i="43"/>
  <c r="F69" i="43" s="1"/>
  <c r="J172" i="43"/>
  <c r="J174" i="43"/>
  <c r="B93" i="43"/>
  <c r="B95" i="43"/>
  <c r="U103" i="43"/>
  <c r="L161" i="42" l="1"/>
  <c r="L162" i="42" s="1"/>
  <c r="L163" i="42" s="1"/>
  <c r="L164" i="42" s="1"/>
  <c r="Y161" i="42"/>
  <c r="B114" i="42"/>
  <c r="B115" i="42" s="1"/>
  <c r="F102" i="42"/>
  <c r="F101" i="42"/>
  <c r="B97" i="42"/>
  <c r="D69" i="42"/>
  <c r="B73" i="42"/>
  <c r="B75" i="42" s="1"/>
  <c r="B87" i="42"/>
  <c r="B120" i="42"/>
  <c r="B98" i="43"/>
  <c r="E115" i="43"/>
  <c r="B87" i="43"/>
  <c r="B120" i="43"/>
  <c r="B54" i="43"/>
  <c r="B60" i="43"/>
  <c r="B58" i="43" s="1"/>
  <c r="B57" i="43" s="1"/>
  <c r="B63" i="43" s="1"/>
  <c r="M70" i="43"/>
  <c r="N70" i="43" s="1"/>
  <c r="B69" i="43" s="1"/>
  <c r="F102" i="43"/>
  <c r="F101" i="43"/>
  <c r="B161" i="42" l="1"/>
  <c r="T162" i="42" s="1"/>
  <c r="T163" i="42" s="1"/>
  <c r="U161" i="42"/>
  <c r="R101" i="42"/>
  <c r="F109" i="42"/>
  <c r="R109" i="42" s="1"/>
  <c r="H101" i="42"/>
  <c r="H102" i="42"/>
  <c r="F110" i="42"/>
  <c r="R110" i="42" s="1"/>
  <c r="R102" i="42"/>
  <c r="B142" i="42"/>
  <c r="B147" i="42" s="1"/>
  <c r="B60" i="42"/>
  <c r="B58" i="42" s="1"/>
  <c r="B57" i="42" s="1"/>
  <c r="B63" i="42" s="1"/>
  <c r="B86" i="42" s="1"/>
  <c r="B88" i="42" s="1"/>
  <c r="E115" i="42"/>
  <c r="B116" i="42" s="1"/>
  <c r="B117" i="42" s="1"/>
  <c r="B98" i="42"/>
  <c r="F109" i="43"/>
  <c r="R109" i="43" s="1"/>
  <c r="H101" i="43"/>
  <c r="R101" i="43"/>
  <c r="F110" i="43"/>
  <c r="R110" i="43" s="1"/>
  <c r="R102" i="43"/>
  <c r="H102" i="43"/>
  <c r="D69" i="43"/>
  <c r="B73" i="43"/>
  <c r="B75" i="43" s="1"/>
  <c r="B86" i="43" s="1"/>
  <c r="B88" i="43" s="1"/>
  <c r="U163" i="42" l="1"/>
  <c r="U162" i="42"/>
  <c r="Y162" i="42"/>
  <c r="Y163" i="42" s="1"/>
  <c r="Y164" i="42" s="1"/>
  <c r="T164" i="42"/>
  <c r="V161" i="42"/>
  <c r="B106" i="42"/>
  <c r="T102" i="42"/>
  <c r="H110" i="42"/>
  <c r="T110" i="42" s="1"/>
  <c r="D122" i="42"/>
  <c r="B119" i="42"/>
  <c r="B122" i="42"/>
  <c r="H164" i="42"/>
  <c r="I164" i="42" s="1"/>
  <c r="H163" i="42"/>
  <c r="I163" i="42" s="1"/>
  <c r="H162" i="42"/>
  <c r="I162" i="42" s="1"/>
  <c r="H161" i="42"/>
  <c r="I161" i="42" s="1"/>
  <c r="B128" i="42"/>
  <c r="H104" i="42"/>
  <c r="H109" i="42"/>
  <c r="T109" i="42" s="1"/>
  <c r="T101" i="42"/>
  <c r="B129" i="42"/>
  <c r="B106" i="43"/>
  <c r="H110" i="43"/>
  <c r="T110" i="43" s="1"/>
  <c r="T102" i="43"/>
  <c r="H109" i="43"/>
  <c r="T109" i="43" s="1"/>
  <c r="T101" i="43"/>
  <c r="H104" i="43"/>
  <c r="U164" i="42" l="1"/>
  <c r="T165" i="42"/>
  <c r="Y165" i="42" s="1"/>
  <c r="B123" i="42"/>
  <c r="W161" i="37" l="1"/>
  <c r="W161" i="42"/>
  <c r="U165" i="42"/>
  <c r="W163" i="37"/>
  <c r="W163" i="42"/>
  <c r="W162" i="37"/>
  <c r="W162" i="42"/>
  <c r="T166" i="42"/>
  <c r="Y166" i="42" s="1"/>
  <c r="C204" i="37"/>
  <c r="D203" i="37"/>
  <c r="B197" i="37"/>
  <c r="C198" i="37" s="1"/>
  <c r="C197" i="37"/>
  <c r="E183" i="37"/>
  <c r="E182" i="37"/>
  <c r="C181" i="37"/>
  <c r="U166" i="42" l="1"/>
  <c r="W164" i="37"/>
  <c r="W164" i="42"/>
  <c r="T167" i="42"/>
  <c r="D46" i="37"/>
  <c r="I110" i="37"/>
  <c r="I109" i="37"/>
  <c r="I111" i="37" s="1"/>
  <c r="I107" i="37"/>
  <c r="I103" i="37"/>
  <c r="I104" i="37" s="1"/>
  <c r="I102" i="37"/>
  <c r="K106" i="37"/>
  <c r="U167" i="42" l="1"/>
  <c r="Y167" i="42"/>
  <c r="W165" i="37"/>
  <c r="W165" i="42"/>
  <c r="T168" i="42"/>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O64" i="37"/>
  <c r="R62" i="37"/>
  <c r="R63" i="37"/>
  <c r="R61" i="37"/>
  <c r="N61" i="37"/>
  <c r="N62" i="37" s="1"/>
  <c r="N63" i="37" s="1"/>
  <c r="L79" i="37"/>
  <c r="L78" i="37"/>
  <c r="K77" i="37"/>
  <c r="L77" i="37" s="1"/>
  <c r="U168" i="42" l="1"/>
  <c r="Y168" i="42"/>
  <c r="W166" i="37"/>
  <c r="W166" i="42"/>
  <c r="T169" i="42"/>
  <c r="O65" i="37"/>
  <c r="Y64" i="37"/>
  <c r="G15" i="41"/>
  <c r="R64" i="37"/>
  <c r="N64" i="37"/>
  <c r="X64" i="37" s="1"/>
  <c r="H22" i="37"/>
  <c r="U169" i="42" l="1"/>
  <c r="Y169" i="42"/>
  <c r="W167" i="37"/>
  <c r="W167" i="42"/>
  <c r="T170" i="42"/>
  <c r="R67" i="37"/>
  <c r="AB64" i="37"/>
  <c r="R9" i="39"/>
  <c r="Q9" i="39"/>
  <c r="S9" i="39" s="1"/>
  <c r="O9" i="39"/>
  <c r="N9" i="39"/>
  <c r="AC32" i="38"/>
  <c r="B68" i="37"/>
  <c r="Q25" i="38"/>
  <c r="V26" i="38"/>
  <c r="N20" i="38"/>
  <c r="N21" i="38" s="1"/>
  <c r="N22" i="38" s="1"/>
  <c r="N23" i="38" s="1"/>
  <c r="N24" i="38" s="1"/>
  <c r="I21" i="38"/>
  <c r="I22" i="38"/>
  <c r="I20" i="38"/>
  <c r="Y170" i="42" l="1"/>
  <c r="U170" i="42"/>
  <c r="W168" i="37"/>
  <c r="W168" i="42"/>
  <c r="T171" i="42"/>
  <c r="E74" i="37"/>
  <c r="AB65" i="37"/>
  <c r="AF17" i="38"/>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D68" i="37"/>
  <c r="B62" i="37"/>
  <c r="D62" i="37" s="1"/>
  <c r="Z7" i="38"/>
  <c r="AA7" i="38" s="1"/>
  <c r="D40" i="37"/>
  <c r="D39" i="37"/>
  <c r="Z4" i="38"/>
  <c r="L43" i="37"/>
  <c r="C43" i="37"/>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I43" i="37" s="1"/>
  <c r="B79" i="37" s="1"/>
  <c r="P11" i="38"/>
  <c r="H43" i="37" s="1"/>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A2" i="37"/>
  <c r="B2" i="37"/>
  <c r="C2" i="37"/>
  <c r="D2" i="37"/>
  <c r="E2" i="37"/>
  <c r="F2" i="37"/>
  <c r="G2" i="37"/>
  <c r="H2" i="37"/>
  <c r="I2" i="37"/>
  <c r="A3" i="37"/>
  <c r="B3" i="37"/>
  <c r="C3" i="37"/>
  <c r="D3" i="37"/>
  <c r="E3" i="37"/>
  <c r="F3" i="37"/>
  <c r="G3" i="37"/>
  <c r="H3" i="37"/>
  <c r="I3" i="37"/>
  <c r="A4" i="37"/>
  <c r="B4" i="37"/>
  <c r="C4" i="37"/>
  <c r="D4" i="37"/>
  <c r="E4" i="37"/>
  <c r="F4" i="37"/>
  <c r="G4" i="37"/>
  <c r="H4" i="37"/>
  <c r="I4" i="37"/>
  <c r="A5" i="37"/>
  <c r="B5" i="37"/>
  <c r="C5" i="37"/>
  <c r="D5" i="37"/>
  <c r="E5" i="37"/>
  <c r="F5" i="37"/>
  <c r="G5" i="37"/>
  <c r="H5" i="37"/>
  <c r="I5" i="37"/>
  <c r="A6" i="37"/>
  <c r="B6" i="37"/>
  <c r="C6" i="37"/>
  <c r="D6" i="37"/>
  <c r="E6" i="37"/>
  <c r="F6" i="37"/>
  <c r="G6" i="37"/>
  <c r="H6" i="37"/>
  <c r="I6" i="37"/>
  <c r="A7" i="37"/>
  <c r="B7" i="37"/>
  <c r="C7" i="37"/>
  <c r="D7" i="37"/>
  <c r="E7" i="37"/>
  <c r="F7" i="37"/>
  <c r="G7" i="37"/>
  <c r="H7" i="37"/>
  <c r="I7" i="37"/>
  <c r="A8" i="37"/>
  <c r="B8" i="37"/>
  <c r="C8" i="37"/>
  <c r="D8" i="37"/>
  <c r="E8" i="37"/>
  <c r="F8" i="37"/>
  <c r="G8" i="37"/>
  <c r="H8" i="37"/>
  <c r="I8" i="37"/>
  <c r="A9" i="37"/>
  <c r="B9" i="37"/>
  <c r="C9" i="37"/>
  <c r="D9" i="37"/>
  <c r="E9" i="37"/>
  <c r="F9" i="37"/>
  <c r="G9" i="37"/>
  <c r="H9" i="37"/>
  <c r="I9" i="37"/>
  <c r="A10" i="37"/>
  <c r="B10" i="37"/>
  <c r="C10" i="37"/>
  <c r="D10" i="37"/>
  <c r="E10" i="37"/>
  <c r="F10" i="37"/>
  <c r="G10" i="37"/>
  <c r="H10" i="37"/>
  <c r="I10" i="37"/>
  <c r="A11" i="37"/>
  <c r="B11" i="37"/>
  <c r="C11" i="37"/>
  <c r="D11" i="37"/>
  <c r="E11" i="37"/>
  <c r="F11" i="37"/>
  <c r="G11" i="37"/>
  <c r="H11" i="37"/>
  <c r="I11" i="37"/>
  <c r="A12" i="37"/>
  <c r="B12" i="37"/>
  <c r="C12" i="37"/>
  <c r="D12" i="37"/>
  <c r="E12" i="37"/>
  <c r="F12" i="37"/>
  <c r="G12" i="37"/>
  <c r="H12" i="37"/>
  <c r="I12" i="37"/>
  <c r="A13" i="37"/>
  <c r="B13" i="37"/>
  <c r="C13" i="37"/>
  <c r="D13" i="37"/>
  <c r="E13" i="37"/>
  <c r="F13" i="37"/>
  <c r="G13" i="37"/>
  <c r="H13" i="37"/>
  <c r="I13" i="37"/>
  <c r="A14" i="37"/>
  <c r="B14" i="37"/>
  <c r="C14" i="37"/>
  <c r="D14" i="37"/>
  <c r="E14" i="37"/>
  <c r="F14" i="37"/>
  <c r="G14" i="37"/>
  <c r="H14" i="37"/>
  <c r="I14" i="37"/>
  <c r="A15" i="37"/>
  <c r="B15" i="37"/>
  <c r="C15" i="37"/>
  <c r="D15" i="37"/>
  <c r="E15" i="37"/>
  <c r="F15" i="37"/>
  <c r="G15" i="37"/>
  <c r="H15" i="37"/>
  <c r="I15" i="37"/>
  <c r="A16" i="37"/>
  <c r="C16" i="37"/>
  <c r="D16" i="37"/>
  <c r="E16" i="37"/>
  <c r="F16" i="37"/>
  <c r="G16" i="37"/>
  <c r="H16" i="37"/>
  <c r="I16" i="37"/>
  <c r="A17" i="37"/>
  <c r="B17" i="37"/>
  <c r="C17" i="37"/>
  <c r="D17" i="37"/>
  <c r="E17" i="37"/>
  <c r="F17" i="37"/>
  <c r="G17" i="37"/>
  <c r="H17" i="37"/>
  <c r="I17" i="37"/>
  <c r="A18" i="37"/>
  <c r="B18" i="37"/>
  <c r="C18" i="37"/>
  <c r="D18" i="37"/>
  <c r="E18" i="37"/>
  <c r="F18" i="37"/>
  <c r="G18" i="37"/>
  <c r="H18" i="37"/>
  <c r="I18" i="37"/>
  <c r="A19" i="37"/>
  <c r="B19" i="37"/>
  <c r="C19" i="37"/>
  <c r="D19" i="37"/>
  <c r="E19" i="37"/>
  <c r="F19" i="37"/>
  <c r="G19" i="37"/>
  <c r="H19" i="37"/>
  <c r="I19" i="37"/>
  <c r="A20" i="37"/>
  <c r="B20" i="37"/>
  <c r="C20" i="37"/>
  <c r="D20" i="37"/>
  <c r="E20" i="37"/>
  <c r="F20" i="37"/>
  <c r="G20" i="37"/>
  <c r="H20" i="37"/>
  <c r="I20" i="37"/>
  <c r="A21" i="37"/>
  <c r="D21" i="37"/>
  <c r="E21" i="37"/>
  <c r="F21" i="37"/>
  <c r="G21" i="37"/>
  <c r="H21" i="37"/>
  <c r="I21" i="37"/>
  <c r="A22" i="37"/>
  <c r="C22" i="37"/>
  <c r="E22" i="37"/>
  <c r="F22" i="37"/>
  <c r="G22" i="37"/>
  <c r="I22" i="37"/>
  <c r="A23" i="37"/>
  <c r="B23" i="37"/>
  <c r="H23" i="37" s="1"/>
  <c r="C23" i="37"/>
  <c r="E23" i="37"/>
  <c r="F23" i="37"/>
  <c r="G23" i="37"/>
  <c r="I23" i="37"/>
  <c r="A24" i="37"/>
  <c r="B24" i="37"/>
  <c r="H24" i="37" s="1"/>
  <c r="C24" i="37"/>
  <c r="E24" i="37"/>
  <c r="F24" i="37"/>
  <c r="G24" i="37"/>
  <c r="I24" i="37"/>
  <c r="A25" i="37"/>
  <c r="B25" i="37"/>
  <c r="C25" i="37"/>
  <c r="D25" i="37"/>
  <c r="E25" i="37"/>
  <c r="F25" i="37"/>
  <c r="G25" i="37"/>
  <c r="H25" i="37"/>
  <c r="I25" i="37"/>
  <c r="A26" i="37"/>
  <c r="B26" i="37"/>
  <c r="C26" i="37"/>
  <c r="D26" i="37"/>
  <c r="E26" i="37"/>
  <c r="F26" i="37"/>
  <c r="G26" i="37"/>
  <c r="H26" i="37"/>
  <c r="I26" i="37"/>
  <c r="A27" i="37"/>
  <c r="B27" i="37"/>
  <c r="C27" i="37"/>
  <c r="E27" i="37"/>
  <c r="F27" i="37"/>
  <c r="G27" i="37"/>
  <c r="I27" i="37"/>
  <c r="A28" i="37"/>
  <c r="B28" i="37"/>
  <c r="C28" i="37"/>
  <c r="E28" i="37"/>
  <c r="F28" i="37"/>
  <c r="G28" i="37"/>
  <c r="I28" i="37"/>
  <c r="A29" i="37"/>
  <c r="B29" i="37"/>
  <c r="C29" i="37"/>
  <c r="D29" i="37"/>
  <c r="E29" i="37"/>
  <c r="F29" i="37"/>
  <c r="G29" i="37"/>
  <c r="I29" i="37"/>
  <c r="A30" i="37"/>
  <c r="B30" i="37"/>
  <c r="C30" i="37"/>
  <c r="D30" i="37"/>
  <c r="E30" i="37"/>
  <c r="F30" i="37"/>
  <c r="G30" i="37"/>
  <c r="H30" i="37"/>
  <c r="I30" i="37"/>
  <c r="A31" i="37"/>
  <c r="B31" i="37"/>
  <c r="C31" i="37"/>
  <c r="E31" i="37"/>
  <c r="F31" i="37"/>
  <c r="G31" i="37"/>
  <c r="I31" i="37"/>
  <c r="A32" i="37"/>
  <c r="B32" i="37"/>
  <c r="C32" i="37"/>
  <c r="D32" i="37"/>
  <c r="E32" i="37"/>
  <c r="F32" i="37"/>
  <c r="G32" i="37"/>
  <c r="I32" i="37"/>
  <c r="A33" i="37"/>
  <c r="B33" i="37"/>
  <c r="C33" i="37"/>
  <c r="D33" i="37"/>
  <c r="E33" i="37"/>
  <c r="F33" i="37"/>
  <c r="G33" i="37"/>
  <c r="I33" i="37"/>
  <c r="A34" i="37"/>
  <c r="B34" i="37"/>
  <c r="C34" i="37"/>
  <c r="D34" i="37"/>
  <c r="E34" i="37"/>
  <c r="F34" i="37"/>
  <c r="G34" i="37"/>
  <c r="H34" i="37"/>
  <c r="I34" i="37"/>
  <c r="A35" i="37"/>
  <c r="B35" i="37"/>
  <c r="C35" i="37"/>
  <c r="D35" i="37"/>
  <c r="E35" i="37"/>
  <c r="F35" i="37"/>
  <c r="G35" i="37"/>
  <c r="I35" i="37"/>
  <c r="A36" i="37"/>
  <c r="B36" i="37"/>
  <c r="C36" i="37"/>
  <c r="D36" i="37"/>
  <c r="E36" i="37"/>
  <c r="F36" i="37"/>
  <c r="G36" i="37"/>
  <c r="I36" i="37"/>
  <c r="A37" i="37"/>
  <c r="B37" i="37"/>
  <c r="C37" i="37"/>
  <c r="D37" i="37"/>
  <c r="E37" i="37"/>
  <c r="F37" i="37"/>
  <c r="G37" i="37"/>
  <c r="I37" i="37"/>
  <c r="B1" i="37"/>
  <c r="C1" i="37"/>
  <c r="D1" i="37"/>
  <c r="E1" i="37"/>
  <c r="F1" i="37"/>
  <c r="G1" i="37"/>
  <c r="H1" i="37"/>
  <c r="I1" i="37"/>
  <c r="A1" i="37"/>
  <c r="W169" i="37" l="1"/>
  <c r="W169" i="42"/>
  <c r="U171" i="42"/>
  <c r="Y171" i="42"/>
  <c r="T172" i="42"/>
  <c r="B192" i="37"/>
  <c r="B193" i="37" s="1"/>
  <c r="B185" i="37"/>
  <c r="J43" i="37"/>
  <c r="B72" i="37"/>
  <c r="B94" i="37"/>
  <c r="B95" i="37"/>
  <c r="B96" i="37" s="1"/>
  <c r="B93" i="37"/>
  <c r="B22" i="39"/>
  <c r="C22" i="39" s="1"/>
  <c r="D22" i="39" s="1"/>
  <c r="E22" i="39" s="1"/>
  <c r="F22" i="39" s="1"/>
  <c r="G22" i="39" s="1"/>
  <c r="A25" i="39"/>
  <c r="B25" i="39" s="1"/>
  <c r="C25" i="39" s="1"/>
  <c r="D25" i="39" s="1"/>
  <c r="E25" i="39" s="1"/>
  <c r="F25" i="39" s="1"/>
  <c r="AF10" i="38"/>
  <c r="E43" i="37"/>
  <c r="B47" i="37" s="1"/>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B61" i="37"/>
  <c r="F69" i="37" s="1"/>
  <c r="Z8" i="38"/>
  <c r="AA8" i="38" s="1"/>
  <c r="N8" i="38"/>
  <c r="N9" i="38"/>
  <c r="N10" i="38"/>
  <c r="N11" i="38"/>
  <c r="N12" i="38"/>
  <c r="N13" i="38"/>
  <c r="N14" i="38"/>
  <c r="O8" i="38"/>
  <c r="W8" i="38"/>
  <c r="O9" i="38"/>
  <c r="W9" i="38"/>
  <c r="O10" i="38"/>
  <c r="W10" i="38"/>
  <c r="O11" i="38"/>
  <c r="W11" i="38"/>
  <c r="K43" i="37" s="1"/>
  <c r="O12" i="38"/>
  <c r="W14" i="38"/>
  <c r="O13" i="38"/>
  <c r="W13" i="38"/>
  <c r="O14" i="38"/>
  <c r="Y8" i="38"/>
  <c r="Y9" i="38"/>
  <c r="Y10" i="38"/>
  <c r="Y11" i="38"/>
  <c r="M43" i="37" s="1"/>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D24" i="37" s="1"/>
  <c r="B209" i="1"/>
  <c r="B208" i="1"/>
  <c r="B205" i="1"/>
  <c r="D22" i="34"/>
  <c r="E21" i="34"/>
  <c r="H38" i="34"/>
  <c r="H32" i="34"/>
  <c r="H37" i="34" s="1"/>
  <c r="E12" i="34"/>
  <c r="E11" i="34"/>
  <c r="E10" i="34"/>
  <c r="E8" i="34"/>
  <c r="E7" i="34"/>
  <c r="E6" i="34"/>
  <c r="E15" i="34" s="1"/>
  <c r="H48" i="34"/>
  <c r="H43" i="34"/>
  <c r="H42" i="34"/>
  <c r="H44" i="34" s="1"/>
  <c r="H33" i="34"/>
  <c r="I20" i="34"/>
  <c r="E72" i="34" s="1"/>
  <c r="D23" i="1"/>
  <c r="D23" i="37" s="1"/>
  <c r="D22" i="1"/>
  <c r="D22" i="37" s="1"/>
  <c r="Y172" i="42" l="1"/>
  <c r="S175" i="42"/>
  <c r="U172" i="42"/>
  <c r="W170" i="37"/>
  <c r="W170" i="42"/>
  <c r="F113" i="43"/>
  <c r="G113" i="43" s="1"/>
  <c r="G43" i="37"/>
  <c r="M16" i="38"/>
  <c r="B135" i="43" s="1"/>
  <c r="B121" i="43"/>
  <c r="F103" i="37"/>
  <c r="H103" i="37" s="1"/>
  <c r="F110" i="37"/>
  <c r="H110" i="37" s="1"/>
  <c r="F102" i="37"/>
  <c r="H102" i="37" s="1"/>
  <c r="F109" i="37"/>
  <c r="H109" i="37" s="1"/>
  <c r="AZ11" i="35"/>
  <c r="BD10" i="35"/>
  <c r="BD11" i="35"/>
  <c r="BF11" i="35" s="1"/>
  <c r="AA11" i="35"/>
  <c r="P11" i="35"/>
  <c r="AV10" i="35"/>
  <c r="Z10" i="35"/>
  <c r="Z11" i="35"/>
  <c r="F43" i="37"/>
  <c r="L12" i="38"/>
  <c r="L13" i="38" s="1"/>
  <c r="L14" i="38" s="1"/>
  <c r="D43" i="37"/>
  <c r="Z9" i="38"/>
  <c r="AA9" i="38" s="1"/>
  <c r="BK11" i="35"/>
  <c r="R11" i="35"/>
  <c r="T11" i="35" s="1"/>
  <c r="V11" i="35" s="1"/>
  <c r="Q11" i="35"/>
  <c r="AX11" i="35"/>
  <c r="AY11" i="35" s="1"/>
  <c r="AC11" i="35"/>
  <c r="AB11" i="35"/>
  <c r="AY10" i="35"/>
  <c r="BE10" i="35"/>
  <c r="BF10" i="35" s="1"/>
  <c r="AC10" i="35"/>
  <c r="AB10" i="35"/>
  <c r="H4" i="35"/>
  <c r="P10" i="35"/>
  <c r="B250" i="1"/>
  <c r="D227" i="1"/>
  <c r="H47" i="34"/>
  <c r="H45" i="34" s="1"/>
  <c r="E71" i="34"/>
  <c r="D40" i="34"/>
  <c r="E40" i="34" s="1"/>
  <c r="H35" i="34"/>
  <c r="E73" i="34"/>
  <c r="J71" i="34" s="1"/>
  <c r="H34" i="34"/>
  <c r="D30" i="34"/>
  <c r="E30" i="34" s="1"/>
  <c r="D177" i="1"/>
  <c r="W171" i="37" l="1"/>
  <c r="W171" i="42"/>
  <c r="D122" i="43"/>
  <c r="C113" i="43"/>
  <c r="D113" i="43" s="1"/>
  <c r="B116" i="43"/>
  <c r="H113" i="43"/>
  <c r="H111" i="37"/>
  <c r="H40" i="34"/>
  <c r="H52" i="34" s="1"/>
  <c r="G54" i="34" s="1"/>
  <c r="S11" i="35"/>
  <c r="U11" i="35" s="1"/>
  <c r="Y11" i="35" s="1"/>
  <c r="AE11" i="35" s="1"/>
  <c r="AH11" i="35" s="1"/>
  <c r="H104" i="37"/>
  <c r="B98" i="37"/>
  <c r="Z10" i="38"/>
  <c r="Z11" i="38" s="1"/>
  <c r="X11" i="35"/>
  <c r="AD11" i="35" s="1"/>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7" i="37" s="1"/>
  <c r="H36" i="1"/>
  <c r="H36" i="37" s="1"/>
  <c r="H35" i="1"/>
  <c r="H35" i="37" s="1"/>
  <c r="H33" i="1"/>
  <c r="H33" i="37" s="1"/>
  <c r="H32" i="1"/>
  <c r="H32" i="37" s="1"/>
  <c r="H31" i="1"/>
  <c r="H31" i="37" s="1"/>
  <c r="H29" i="1"/>
  <c r="H29" i="37" s="1"/>
  <c r="H28" i="1"/>
  <c r="H28" i="37" s="1"/>
  <c r="H27" i="1"/>
  <c r="H27" i="37" s="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W11" i="35" l="1"/>
  <c r="W172" i="37"/>
  <c r="W172" i="42"/>
  <c r="Z12" i="38"/>
  <c r="N43" i="43"/>
  <c r="H163" i="43"/>
  <c r="I163" i="43" s="1"/>
  <c r="H161" i="43"/>
  <c r="I161" i="43" s="1"/>
  <c r="H162" i="43"/>
  <c r="I162" i="43" s="1"/>
  <c r="H164" i="43"/>
  <c r="I164" i="43" s="1"/>
  <c r="B142" i="43"/>
  <c r="B147" i="43" s="1"/>
  <c r="B129" i="43"/>
  <c r="B128" i="43"/>
  <c r="B117" i="43"/>
  <c r="B119" i="43" s="1"/>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N43" i="37"/>
  <c r="G50" i="37" s="1"/>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43" l="1"/>
  <c r="M70" i="37"/>
  <c r="N70" i="37" s="1"/>
  <c r="B69" i="37" s="1"/>
  <c r="B73" i="37" s="1"/>
  <c r="B75" i="37" s="1"/>
  <c r="Z13" i="38"/>
  <c r="AA12" i="38"/>
  <c r="O43" i="37" s="1"/>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D69" i="37"/>
  <c r="P43" i="37"/>
  <c r="Z14" i="38"/>
  <c r="AA13" i="38"/>
  <c r="E58" i="34"/>
  <c r="D64" i="34"/>
  <c r="L77" i="34"/>
  <c r="H77" i="34" s="1"/>
  <c r="H81" i="34"/>
  <c r="E65" i="34"/>
  <c r="G63" i="34"/>
  <c r="H103" i="30"/>
  <c r="H85" i="30"/>
  <c r="H67" i="30"/>
  <c r="H49" i="30"/>
  <c r="B76" i="1"/>
  <c r="E23" i="27"/>
  <c r="E16" i="27"/>
  <c r="E9" i="27"/>
  <c r="B60" i="37" l="1"/>
  <c r="B58" i="37" s="1"/>
  <c r="B57" i="37" s="1"/>
  <c r="B63" i="37" s="1"/>
  <c r="B86" i="37" s="1"/>
  <c r="B87" i="37"/>
  <c r="AC9" i="38"/>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B88" i="37" l="1"/>
  <c r="B186" i="37"/>
  <c r="B201" i="37"/>
  <c r="B202" i="37" s="1"/>
  <c r="C202" i="37" s="1"/>
  <c r="B189" i="37"/>
  <c r="B184" i="37"/>
  <c r="E61" i="3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B106" i="37" l="1"/>
  <c r="B191" i="37"/>
  <c r="B194" i="37" s="1"/>
  <c r="B195" i="37" s="1"/>
  <c r="B196" i="37" s="1"/>
  <c r="C196" i="37" s="1"/>
  <c r="O30" i="5"/>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D27" i="37" s="1"/>
  <c r="C175" i="1"/>
  <c r="D28" i="1"/>
  <c r="D28" i="37" s="1"/>
  <c r="J173" i="1"/>
  <c r="S10" i="14"/>
  <c r="S11" i="14"/>
  <c r="S12" i="14"/>
  <c r="S13" i="14"/>
  <c r="M177" i="1" s="1"/>
  <c r="S14" i="14"/>
  <c r="I173" i="1" s="1"/>
  <c r="S15" i="14"/>
  <c r="M176" i="1" s="1"/>
  <c r="S16" i="14"/>
  <c r="S17" i="14"/>
  <c r="S9" i="14"/>
  <c r="D175" i="1" s="1"/>
  <c r="J171" i="1"/>
  <c r="J162" i="1"/>
  <c r="D253" i="1" l="1"/>
  <c r="D31" i="37"/>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16" i="37" s="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D196" i="1" s="1"/>
  <c r="F196" i="1" s="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D24" i="13" l="1"/>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B197" i="1"/>
  <c r="B198" i="1" s="1"/>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J18" i="17" l="1"/>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S33" i="17"/>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3" i="17"/>
  <c r="AC4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39" i="17" l="1"/>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12" i="1" s="1"/>
  <c r="B105" i="1"/>
  <c r="D105" i="1" s="1"/>
  <c r="B106" i="1" s="1"/>
  <c r="M10" i="35"/>
  <c r="R10" i="35" s="1"/>
  <c r="T10" i="35" s="1"/>
  <c r="V10" i="35" s="1"/>
  <c r="X10" i="35" l="1"/>
  <c r="AD10" i="35" l="1"/>
  <c r="AF10" i="35" s="1"/>
  <c r="N10" i="35"/>
  <c r="S10" i="35" l="1"/>
  <c r="U10" i="35" s="1"/>
  <c r="W10" i="35" l="1"/>
  <c r="Y10" i="35"/>
  <c r="AE10" i="35" s="1"/>
  <c r="AH10" i="35" s="1"/>
  <c r="AJ10" i="35"/>
  <c r="BG10" i="35" s="1"/>
  <c r="J133" i="42"/>
  <c r="H132" i="43"/>
  <c r="G131" i="43"/>
  <c r="G132" i="43"/>
  <c r="D132" i="43"/>
  <c r="D133" i="43"/>
  <c r="J133" i="43"/>
  <c r="H131" i="43"/>
  <c r="I131" i="43"/>
  <c r="I132" i="43"/>
  <c r="E131" i="43"/>
  <c r="D131" i="43"/>
  <c r="H133" i="43"/>
  <c r="E132" i="43"/>
  <c r="B156" i="42"/>
  <c r="B157" i="42" s="1"/>
  <c r="B159" i="42" s="1"/>
  <c r="B160" i="42" s="1"/>
  <c r="B158" i="42"/>
  <c r="B158" i="37"/>
  <c r="B156" i="37"/>
  <c r="B157" i="37"/>
  <c r="B159" i="37" s="1"/>
  <c r="B160" i="37" s="1"/>
  <c r="I133" i="43"/>
  <c r="G133" i="43"/>
  <c r="H50" i="43"/>
  <c r="B45" i="42"/>
  <c r="B104" i="37"/>
  <c r="E133" i="43"/>
  <c r="B156" i="43" s="1"/>
  <c r="B45" i="43"/>
  <c r="B104" i="43"/>
  <c r="B157" i="43" l="1"/>
  <c r="B159" i="43" s="1"/>
  <c r="B160" i="43" s="1"/>
  <c r="B158" i="43"/>
  <c r="B104" i="42"/>
  <c r="H50" i="42"/>
  <c r="H50" i="37"/>
  <c r="J93" i="43" l="1"/>
  <c r="J93" i="42"/>
  <c r="H91" i="43"/>
  <c r="H91" i="42"/>
  <c r="E94" i="43"/>
  <c r="E92" i="42"/>
  <c r="E90" i="42"/>
  <c r="E94" i="42"/>
  <c r="E91" i="42"/>
  <c r="B76" i="42"/>
  <c r="E93" i="43"/>
  <c r="E93" i="42"/>
  <c r="E92" i="43"/>
  <c r="E90" i="43"/>
  <c r="B76" i="43"/>
  <c r="E91" i="43"/>
  <c r="K94" i="43"/>
  <c r="K94" i="42"/>
  <c r="G90" i="42"/>
  <c r="G90" i="43"/>
  <c r="I92" i="43"/>
  <c r="I92" i="42"/>
  <c r="I90" i="43" l="1"/>
  <c r="I90" i="42"/>
  <c r="K92" i="43"/>
  <c r="K92" i="42"/>
  <c r="K90" i="42"/>
  <c r="K90" i="43"/>
  <c r="K93" i="43"/>
  <c r="K93" i="42"/>
  <c r="I91" i="43"/>
  <c r="I91" i="42"/>
  <c r="G92" i="43"/>
  <c r="G92" i="42"/>
  <c r="B105" i="42"/>
  <c r="B91" i="42"/>
  <c r="B125" i="42"/>
  <c r="C91" i="42"/>
  <c r="I94" i="42"/>
  <c r="L94" i="42" s="1"/>
  <c r="I94" i="43"/>
  <c r="L94" i="43" s="1"/>
  <c r="H92" i="42"/>
  <c r="H92" i="43"/>
  <c r="J90" i="43"/>
  <c r="J90" i="42"/>
  <c r="K91" i="43"/>
  <c r="M91" i="43" s="1"/>
  <c r="K91" i="42"/>
  <c r="M91" i="42" s="1"/>
  <c r="I93" i="42"/>
  <c r="L93" i="42" s="1"/>
  <c r="I93" i="43"/>
  <c r="L93" i="43" s="1"/>
  <c r="H94" i="42"/>
  <c r="M94" i="42" s="1"/>
  <c r="H94" i="43"/>
  <c r="M94" i="43" s="1"/>
  <c r="B125" i="43"/>
  <c r="C91" i="43"/>
  <c r="B91" i="43"/>
  <c r="B105" i="43"/>
  <c r="J91" i="43"/>
  <c r="J91" i="42"/>
  <c r="G93" i="42"/>
  <c r="G93" i="43"/>
  <c r="J92" i="42"/>
  <c r="L92" i="42" s="1"/>
  <c r="J92" i="43"/>
  <c r="L92" i="43" s="1"/>
  <c r="H90" i="43"/>
  <c r="H90" i="42"/>
  <c r="G94" i="43"/>
  <c r="G94" i="42"/>
  <c r="G91" i="42"/>
  <c r="G91" i="43"/>
  <c r="H93" i="42"/>
  <c r="H93" i="43"/>
  <c r="M93" i="42" l="1"/>
  <c r="N110" i="42" s="1"/>
  <c r="Y110" i="42" s="1"/>
  <c r="M90" i="42"/>
  <c r="B127" i="42" s="1"/>
  <c r="M92" i="43"/>
  <c r="M109" i="43" s="1"/>
  <c r="W109" i="43" s="1"/>
  <c r="B144" i="43"/>
  <c r="B150" i="43" s="1"/>
  <c r="M93" i="43"/>
  <c r="N109" i="43" s="1"/>
  <c r="X109" i="43" s="1"/>
  <c r="L91" i="42"/>
  <c r="L109" i="42" s="1"/>
  <c r="W109" i="42" s="1"/>
  <c r="M90" i="43"/>
  <c r="B127" i="43" s="1"/>
  <c r="B144" i="42"/>
  <c r="B150" i="42" s="1"/>
  <c r="L91" i="43"/>
  <c r="L110" i="43" s="1"/>
  <c r="V110" i="43" s="1"/>
  <c r="O111" i="43"/>
  <c r="Y111" i="43" s="1"/>
  <c r="O110" i="43"/>
  <c r="Y110" i="43" s="1"/>
  <c r="O109" i="43"/>
  <c r="Y109" i="43" s="1"/>
  <c r="M92" i="42"/>
  <c r="M110" i="42" s="1"/>
  <c r="X110" i="42" s="1"/>
  <c r="L90" i="42"/>
  <c r="B126" i="42" s="1"/>
  <c r="O111" i="42"/>
  <c r="Z111" i="42" s="1"/>
  <c r="O109" i="42"/>
  <c r="Z109" i="42" s="1"/>
  <c r="O110" i="42"/>
  <c r="Z110" i="42" s="1"/>
  <c r="L90" i="43"/>
  <c r="B126" i="43" s="1"/>
  <c r="N109" i="42" l="1"/>
  <c r="Y109" i="42" s="1"/>
  <c r="N111" i="42"/>
  <c r="Y111" i="42" s="1"/>
  <c r="M111" i="43"/>
  <c r="W111" i="43" s="1"/>
  <c r="B146" i="42"/>
  <c r="M110" i="43"/>
  <c r="W110" i="43" s="1"/>
  <c r="L111" i="43"/>
  <c r="V111" i="43" s="1"/>
  <c r="L110" i="42"/>
  <c r="W110" i="42" s="1"/>
  <c r="L111" i="42"/>
  <c r="W111" i="42" s="1"/>
  <c r="N110" i="43"/>
  <c r="X110" i="43" s="1"/>
  <c r="N111" i="43"/>
  <c r="X111" i="43" s="1"/>
  <c r="L109" i="43"/>
  <c r="V109" i="43" s="1"/>
  <c r="B146" i="43"/>
  <c r="L101" i="43"/>
  <c r="L103" i="43"/>
  <c r="V103" i="43" s="1"/>
  <c r="L101" i="42"/>
  <c r="L102" i="43"/>
  <c r="V102" i="43" s="1"/>
  <c r="B145" i="42"/>
  <c r="B145" i="43"/>
  <c r="L102" i="42"/>
  <c r="W102" i="42" s="1"/>
  <c r="X168" i="42"/>
  <c r="X167" i="42"/>
  <c r="X165" i="42"/>
  <c r="X163" i="42"/>
  <c r="X172" i="42"/>
  <c r="Z172" i="42" s="1"/>
  <c r="X171" i="42"/>
  <c r="X170" i="42"/>
  <c r="X166" i="42"/>
  <c r="K163" i="42"/>
  <c r="K161" i="42"/>
  <c r="X162" i="42"/>
  <c r="K164" i="42"/>
  <c r="X164" i="42"/>
  <c r="X161" i="42"/>
  <c r="K162" i="42"/>
  <c r="X169" i="42"/>
  <c r="M111" i="42"/>
  <c r="X111" i="42" s="1"/>
  <c r="M109" i="42"/>
  <c r="X109" i="42" s="1"/>
  <c r="L103" i="42"/>
  <c r="W103" i="42" s="1"/>
  <c r="K163" i="43"/>
  <c r="K164" i="43"/>
  <c r="K161" i="43"/>
  <c r="K162" i="43"/>
  <c r="L105" i="43" l="1"/>
  <c r="V101" i="43"/>
  <c r="L104" i="43"/>
  <c r="B164" i="43" s="1"/>
  <c r="M162" i="42"/>
  <c r="N162" i="42" s="1"/>
  <c r="G171" i="42"/>
  <c r="G172" i="42" s="1"/>
  <c r="M163" i="42"/>
  <c r="N163" i="42" s="1"/>
  <c r="G173" i="42"/>
  <c r="G174" i="42" s="1"/>
  <c r="Z165" i="42"/>
  <c r="AB166" i="42"/>
  <c r="AB170" i="42"/>
  <c r="Z169" i="42"/>
  <c r="M161" i="42"/>
  <c r="N161" i="42" s="1"/>
  <c r="G170" i="42"/>
  <c r="AB164" i="42"/>
  <c r="Z163" i="42"/>
  <c r="G171" i="43"/>
  <c r="G172" i="43" s="1"/>
  <c r="M162" i="43"/>
  <c r="N162" i="43" s="1"/>
  <c r="AB162" i="42"/>
  <c r="Z161" i="42"/>
  <c r="AB167" i="42"/>
  <c r="Z166" i="42"/>
  <c r="Z167" i="42"/>
  <c r="AB168" i="42"/>
  <c r="G170" i="43"/>
  <c r="M161" i="43"/>
  <c r="N161" i="43" s="1"/>
  <c r="Z164" i="42"/>
  <c r="AB165" i="42"/>
  <c r="AB171" i="42"/>
  <c r="Z170" i="42"/>
  <c r="Z168" i="42"/>
  <c r="AB169" i="42"/>
  <c r="M164" i="43"/>
  <c r="G175" i="43"/>
  <c r="M164" i="42"/>
  <c r="G175" i="42"/>
  <c r="AB172" i="42"/>
  <c r="Z171" i="42"/>
  <c r="L105" i="42"/>
  <c r="L104" i="42"/>
  <c r="W101" i="42"/>
  <c r="G173" i="43"/>
  <c r="G174" i="43" s="1"/>
  <c r="M163" i="43"/>
  <c r="N163" i="43" s="1"/>
  <c r="Z162" i="42"/>
  <c r="AB163" i="42"/>
  <c r="B178" i="43" l="1"/>
  <c r="B186" i="43" s="1"/>
  <c r="H174" i="43"/>
  <c r="K174" i="43" s="1"/>
  <c r="H170" i="43"/>
  <c r="K170" i="43" s="1"/>
  <c r="H170" i="42"/>
  <c r="K170" i="42" s="1"/>
  <c r="H174" i="42"/>
  <c r="K174" i="42" s="1"/>
  <c r="H172" i="42"/>
  <c r="K172" i="42" s="1"/>
  <c r="H172" i="43"/>
  <c r="K172" i="43" s="1"/>
  <c r="B164" i="42"/>
  <c r="B178" i="42"/>
  <c r="B172" i="43"/>
  <c r="B166" i="43"/>
  <c r="B168" i="43" s="1"/>
  <c r="B169" i="43" s="1"/>
  <c r="C169" i="43" s="1"/>
  <c r="B180" i="43"/>
  <c r="B182" i="43" s="1"/>
  <c r="B183" i="43" s="1"/>
  <c r="C183" i="43" s="1"/>
  <c r="AB173" i="42"/>
  <c r="S176" i="42" s="1"/>
  <c r="K176" i="43" l="1"/>
  <c r="K176" i="42"/>
  <c r="B180" i="42"/>
  <c r="B182" i="42" s="1"/>
  <c r="B183" i="42" s="1"/>
  <c r="C183" i="42" s="1"/>
  <c r="B186" i="42"/>
  <c r="B172" i="42"/>
  <c r="B166" i="42"/>
  <c r="B168" i="42" s="1"/>
  <c r="B169" i="42" s="1"/>
  <c r="C169" i="42" s="1"/>
  <c r="I92" i="37" l="1"/>
  <c r="G92" i="37"/>
  <c r="H92" i="37"/>
  <c r="J92" i="37"/>
  <c r="K92" i="37"/>
  <c r="H91" i="37"/>
  <c r="K91" i="37"/>
  <c r="I91" i="37"/>
  <c r="J91" i="37"/>
  <c r="G91" i="37"/>
  <c r="I93" i="37"/>
  <c r="G93" i="37"/>
  <c r="H93" i="37"/>
  <c r="K93" i="37"/>
  <c r="J93" i="37"/>
  <c r="H94" i="37"/>
  <c r="J94" i="37"/>
  <c r="G94" i="37"/>
  <c r="I94" i="37"/>
  <c r="K94" i="37"/>
  <c r="I90" i="37"/>
  <c r="K90" i="37"/>
  <c r="G90" i="37"/>
  <c r="H90" i="37"/>
  <c r="J90" i="37"/>
  <c r="L94" i="37" l="1"/>
  <c r="M91" i="37"/>
  <c r="M90" i="37"/>
  <c r="B127" i="37" s="1"/>
  <c r="L93" i="37"/>
  <c r="M93" i="37"/>
  <c r="B91" i="37"/>
  <c r="B125" i="37"/>
  <c r="B105" i="37"/>
  <c r="C91" i="37"/>
  <c r="M92" i="37"/>
  <c r="M94" i="37"/>
  <c r="L91" i="37"/>
  <c r="L90" i="37"/>
  <c r="B126" i="37" s="1"/>
  <c r="L92" i="37"/>
  <c r="L102" i="37" l="1"/>
  <c r="O109" i="37"/>
  <c r="Y109" i="37" s="1"/>
  <c r="N109" i="37"/>
  <c r="X109" i="37" s="1"/>
  <c r="M109" i="37"/>
  <c r="W109" i="37" s="1"/>
  <c r="N110" i="37"/>
  <c r="X110" i="37" s="1"/>
  <c r="L110" i="37"/>
  <c r="V110" i="37" s="1"/>
  <c r="L109" i="37"/>
  <c r="V109" i="37" s="1"/>
  <c r="M110" i="37"/>
  <c r="W110" i="37" s="1"/>
  <c r="O110" i="37"/>
  <c r="Y110" i="37" s="1"/>
  <c r="L103" i="37"/>
  <c r="V103" i="37" s="1"/>
  <c r="B145" i="37"/>
  <c r="B146" i="37"/>
  <c r="B144" i="37"/>
  <c r="B150" i="37" s="1"/>
  <c r="X171" i="37" l="1"/>
  <c r="X169" i="37"/>
  <c r="X165" i="37"/>
  <c r="X172" i="37"/>
  <c r="Z172" i="37" s="1"/>
  <c r="X162" i="37"/>
  <c r="X163" i="37"/>
  <c r="K162" i="37"/>
  <c r="K163" i="37"/>
  <c r="X170" i="37"/>
  <c r="X168" i="37"/>
  <c r="K161" i="37"/>
  <c r="X164" i="37"/>
  <c r="X166" i="37"/>
  <c r="K164" i="37"/>
  <c r="X167" i="37"/>
  <c r="X161" i="37"/>
  <c r="L105" i="37"/>
  <c r="L104" i="37"/>
  <c r="B164" i="37" s="1"/>
  <c r="V102" i="37"/>
  <c r="B166" i="37" l="1"/>
  <c r="B168" i="37" s="1"/>
  <c r="B169" i="37" s="1"/>
  <c r="C169" i="37" s="1"/>
  <c r="B172" i="37"/>
  <c r="AB165" i="37"/>
  <c r="Z164" i="37"/>
  <c r="AB164" i="37"/>
  <c r="Z163" i="37"/>
  <c r="M161" i="37"/>
  <c r="N161" i="37" s="1"/>
  <c r="G170" i="37"/>
  <c r="Z162" i="37"/>
  <c r="AB163" i="37"/>
  <c r="AB162" i="37"/>
  <c r="AB173" i="37" s="1"/>
  <c r="S176" i="37" s="1"/>
  <c r="Z161" i="37"/>
  <c r="AB169" i="37"/>
  <c r="Z168" i="37"/>
  <c r="AB168" i="37"/>
  <c r="Z167" i="37"/>
  <c r="AB171" i="37"/>
  <c r="Z170" i="37"/>
  <c r="AB166" i="37"/>
  <c r="Z165" i="37"/>
  <c r="M164" i="37"/>
  <c r="G175" i="37"/>
  <c r="G173" i="37"/>
  <c r="G174" i="37" s="1"/>
  <c r="M163" i="37"/>
  <c r="N163" i="37" s="1"/>
  <c r="Z169" i="37"/>
  <c r="AB170" i="37"/>
  <c r="Z166" i="37"/>
  <c r="AB167" i="37"/>
  <c r="G171" i="37"/>
  <c r="G172" i="37" s="1"/>
  <c r="M162" i="37"/>
  <c r="N162" i="37" s="1"/>
  <c r="Z171" i="37"/>
  <c r="AB172" i="37"/>
  <c r="H172" i="37" l="1"/>
  <c r="K172" i="37" s="1"/>
  <c r="H174" i="37"/>
  <c r="K174" i="37" s="1"/>
  <c r="H170" i="37"/>
  <c r="K170" i="37" s="1"/>
  <c r="K176" i="37" s="1"/>
  <c r="E90" i="37" l="1"/>
  <c r="E93" i="37"/>
  <c r="B76" i="37"/>
  <c r="E91" i="37"/>
  <c r="E92" i="37"/>
  <c r="E94" i="37"/>
  <c r="J131" i="42"/>
  <c r="J131" i="37"/>
  <c r="J131" i="43"/>
  <c r="J132" i="42"/>
  <c r="J132" i="37"/>
  <c r="J132" i="43"/>
  <c r="F133" i="42"/>
  <c r="F133" i="37"/>
  <c r="F133" i="43"/>
  <c r="F132" i="42"/>
  <c r="F132" i="37"/>
  <c r="F132" i="43"/>
  <c r="F131" i="43"/>
  <c r="F131" i="37"/>
  <c r="F131" i="4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<sst xmlns="http://schemas.openxmlformats.org/spreadsheetml/2006/main" count="4292" uniqueCount="1478">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</sst>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2">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6">
    <xf numFmtId="0" fontId="0" fillId="0" borderId="0"/>
    <xf numFmtId="43" fontId="4" fillId="0" borderId="0" applyFont="0" applyFill="0" applyBorder="0" applyAlignment="0" applyProtection="0"/>
    <xf numFmtId="0" fontId="17" fillId="0" borderId="0"/>
    <xf numFmtId="0" fontId="18" fillId="0" borderId="0"/>
    <xf numFmtId="0" fontId="64" fillId="0" borderId="0"/>
    <xf numFmtId="0" fontId="3" fillId="0" borderId="0"/>
    <xf numFmtId="0" fontId="18" fillId="0" borderId="0"/>
    <xf numFmtId="0" fontId="27"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71" fillId="0" borderId="0"/>
    <xf numFmtId="0" fontId="4" fillId="0" borderId="0"/>
    <xf numFmtId="0" fontId="4" fillId="0" borderId="0"/>
    <xf numFmtId="0" fontId="18" fillId="0" borderId="0">
      <alignment vertical="center"/>
    </xf>
    <xf numFmtId="0" fontId="186" fillId="0" borderId="0"/>
    <xf numFmtId="49" fontId="185" fillId="0" borderId="0">
      <alignment horizontal="left" vertical="center"/>
    </xf>
    <xf numFmtId="0" fontId="4" fillId="0" borderId="0"/>
    <xf numFmtId="43" fontId="4" fillId="0" borderId="0" applyFont="0" applyFill="0" applyBorder="0" applyAlignment="0" applyProtection="0"/>
    <xf numFmtId="0" fontId="64" fillId="0" borderId="0"/>
    <xf numFmtId="0" fontId="2"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38" fillId="0" borderId="0"/>
    <xf numFmtId="0" fontId="1" fillId="0" borderId="0"/>
  </cellStyleXfs>
  <cellXfs count="1259">
    <xf numFmtId="0" fontId="0" fillId="0" borderId="0" xfId="0"/>
    <xf numFmtId="166" fontId="0" fillId="0" borderId="0" xfId="1" applyNumberFormat="1" applyFont="1"/>
    <xf numFmtId="43" fontId="0" fillId="0" borderId="0" xfId="1" applyFont="1" applyAlignment="1">
      <alignment horizontal="center"/>
    </xf>
    <xf numFmtId="0" fontId="5" fillId="0" borderId="0" xfId="0" applyFont="1" applyAlignment="1">
      <alignment horizontal="justify" vertical="center"/>
    </xf>
    <xf numFmtId="0" fontId="13" fillId="0" borderId="0" xfId="0" applyFont="1" applyAlignment="1">
      <alignment horizontal="justify" vertical="center"/>
    </xf>
    <xf numFmtId="0" fontId="12" fillId="0" borderId="0" xfId="0" applyFont="1" applyAlignment="1">
      <alignment horizontal="justify" vertical="center"/>
    </xf>
    <xf numFmtId="43" fontId="0" fillId="0" borderId="0" xfId="1" applyFont="1"/>
    <xf numFmtId="0" fontId="5" fillId="0" borderId="0" xfId="0" applyFont="1"/>
    <xf numFmtId="0" fontId="11" fillId="0" borderId="0" xfId="0" applyFont="1" applyAlignment="1">
      <alignment vertical="center"/>
    </xf>
    <xf numFmtId="43" fontId="0" fillId="0" borderId="0" xfId="0" applyNumberFormat="1"/>
    <xf numFmtId="0" fontId="16" fillId="3" borderId="0" xfId="0" applyFont="1" applyFill="1"/>
    <xf numFmtId="0" fontId="0" fillId="0" borderId="0" xfId="0" applyNumberFormat="1"/>
    <xf numFmtId="0" fontId="17" fillId="0" borderId="0" xfId="2"/>
    <xf numFmtId="0" fontId="19" fillId="4" borderId="8" xfId="2" applyFont="1" applyFill="1" applyBorder="1" applyAlignment="1">
      <alignment horizontal="center" vertical="center" wrapText="1"/>
    </xf>
    <xf numFmtId="167" fontId="19" fillId="0" borderId="0" xfId="2" applyNumberFormat="1" applyFont="1"/>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70" fontId="19" fillId="0" borderId="8" xfId="1" applyNumberFormat="1" applyFont="1" applyFill="1" applyBorder="1" applyAlignment="1">
      <alignment horizontal="center" wrapText="1"/>
    </xf>
    <xf numFmtId="170"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0" fillId="5" borderId="11" xfId="2" applyFont="1" applyFill="1" applyBorder="1" applyAlignment="1">
      <alignment horizontal="center" vertical="center" wrapText="1"/>
    </xf>
    <xf numFmtId="0" fontId="10" fillId="5" borderId="12" xfId="2" applyFont="1" applyFill="1" applyBorder="1" applyAlignment="1">
      <alignment horizontal="center" vertical="center" wrapText="1"/>
    </xf>
    <xf numFmtId="0" fontId="17" fillId="5" borderId="13" xfId="2" applyFill="1" applyBorder="1" applyAlignment="1">
      <alignment vertical="center" wrapText="1"/>
    </xf>
    <xf numFmtId="0" fontId="10" fillId="5" borderId="13" xfId="2" applyFont="1" applyFill="1" applyBorder="1" applyAlignment="1">
      <alignment horizontal="center" vertical="center" wrapText="1"/>
    </xf>
    <xf numFmtId="0" fontId="10" fillId="5" borderId="14" xfId="2" applyFont="1" applyFill="1" applyBorder="1" applyAlignment="1">
      <alignment horizontal="center" vertical="center" wrapText="1"/>
    </xf>
    <xf numFmtId="0" fontId="10"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7" fillId="0" borderId="12" xfId="2" applyFont="1" applyBorder="1" applyAlignment="1">
      <alignment horizontal="center" vertical="center" wrapText="1"/>
    </xf>
    <xf numFmtId="0" fontId="7" fillId="0" borderId="16" xfId="2" applyFont="1" applyBorder="1" applyAlignment="1">
      <alignment horizontal="center" vertical="center" wrapText="1"/>
    </xf>
    <xf numFmtId="164"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7"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171"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1"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3"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3"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174"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center"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0"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1"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70"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8" fontId="19" fillId="13" borderId="19" xfId="3" applyNumberFormat="1" applyFont="1" applyFill="1" applyBorder="1" applyAlignment="1" applyProtection="1">
      <alignment horizontal="center"/>
      <protection hidden="1"/>
    </xf>
    <xf numFmtId="168"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7"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7"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7"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3"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7"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7" fontId="17" fillId="13" borderId="22" xfId="3" applyNumberFormat="1" applyFont="1" applyFill="1" applyBorder="1" applyAlignment="1" applyProtection="1">
      <alignment vertical="top" wrapText="1"/>
      <protection locked="0"/>
    </xf>
    <xf numFmtId="167"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3"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5" fillId="0" borderId="5" xfId="0" applyFont="1" applyBorder="1" applyAlignment="1">
      <alignment horizontal="justify" vertical="center"/>
    </xf>
    <xf numFmtId="0" fontId="10" fillId="14" borderId="4" xfId="0" applyFont="1" applyFill="1" applyBorder="1" applyAlignment="1">
      <alignment horizontal="center" vertical="center" wrapText="1"/>
    </xf>
    <xf numFmtId="0" fontId="10"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10" fillId="14" borderId="5" xfId="0" applyFont="1" applyFill="1" applyBorder="1" applyAlignment="1">
      <alignment horizontal="center" vertical="center" wrapText="1"/>
    </xf>
    <xf numFmtId="0" fontId="5"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7"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5" fillId="0" borderId="19" xfId="0" applyFont="1" applyBorder="1" applyAlignment="1">
      <alignment horizontal="center" vertical="center"/>
    </xf>
    <xf numFmtId="0" fontId="5" fillId="0" borderId="19" xfId="0" applyFont="1" applyBorder="1" applyAlignment="1">
      <alignment horizontal="justify" vertical="center"/>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1" fontId="5" fillId="0" borderId="0" xfId="0" applyNumberFormat="1" applyFont="1"/>
    <xf numFmtId="168" fontId="5"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8" xfId="7" applyFont="1" applyFill="1" applyBorder="1" applyAlignment="1">
      <alignment horizontal="center"/>
    </xf>
    <xf numFmtId="0" fontId="66" fillId="13" borderId="0" xfId="0" quotePrefix="1" applyFont="1" applyFill="1" applyAlignment="1">
      <alignment horizontal="left"/>
    </xf>
    <xf numFmtId="0" fontId="66" fillId="13" borderId="52" xfId="7" applyFont="1" applyFill="1" applyBorder="1" applyAlignment="1">
      <alignment horizontal="center"/>
    </xf>
    <xf numFmtId="0" fontId="66" fillId="13" borderId="53"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7" fontId="25" fillId="17" borderId="0" xfId="0" applyNumberFormat="1" applyFont="1" applyFill="1" applyAlignment="1">
      <alignment horizontal="right"/>
    </xf>
    <xf numFmtId="4" fontId="12"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8"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7" fillId="13" borderId="19" xfId="1"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43" fontId="5" fillId="13" borderId="19" xfId="1" applyFont="1" applyFill="1" applyBorder="1" applyAlignment="1">
      <alignment horizontal="center" vertical="center" wrapText="1"/>
    </xf>
    <xf numFmtId="164" fontId="5" fillId="13" borderId="19" xfId="0" applyNumberFormat="1"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7" fillId="13" borderId="19" xfId="0" applyFont="1" applyFill="1" applyBorder="1" applyAlignment="1">
      <alignment horizontal="center" vertical="center"/>
    </xf>
    <xf numFmtId="0" fontId="5" fillId="13" borderId="19" xfId="0" applyFont="1" applyFill="1" applyBorder="1" applyAlignment="1">
      <alignment horizontal="center" vertical="center"/>
    </xf>
    <xf numFmtId="166" fontId="5"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78"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2" xfId="0" applyNumberFormat="1" applyFont="1" applyBorder="1" applyAlignment="1">
      <alignment horizontal="center" vertical="center"/>
    </xf>
    <xf numFmtId="173" fontId="75" fillId="0" borderId="72" xfId="0" applyNumberFormat="1" applyFont="1" applyBorder="1" applyAlignment="1">
      <alignment horizontal="center" vertical="center"/>
    </xf>
    <xf numFmtId="0" fontId="75" fillId="0" borderId="0" xfId="0" applyFont="1" applyAlignment="1">
      <alignment horizontal="center" vertical="center"/>
    </xf>
    <xf numFmtId="2" fontId="74" fillId="0" borderId="73" xfId="0" applyNumberFormat="1" applyFont="1" applyBorder="1" applyAlignment="1">
      <alignment horizontal="center" vertical="center"/>
    </xf>
    <xf numFmtId="173" fontId="74" fillId="0" borderId="73" xfId="0" applyNumberFormat="1" applyFont="1" applyBorder="1" applyAlignment="1">
      <alignment horizontal="center" vertical="center"/>
    </xf>
    <xf numFmtId="173" fontId="74" fillId="0" borderId="0" xfId="0" applyNumberFormat="1" applyFont="1" applyAlignment="1">
      <alignment horizontal="center" vertical="center"/>
    </xf>
    <xf numFmtId="2" fontId="74" fillId="0" borderId="74" xfId="0" applyNumberFormat="1" applyFont="1" applyBorder="1" applyAlignment="1">
      <alignment horizontal="center" vertical="center"/>
    </xf>
    <xf numFmtId="173" fontId="74" fillId="0" borderId="74"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7" xfId="0" applyFont="1" applyBorder="1" applyAlignment="1">
      <alignment horizontal="center" vertical="center"/>
    </xf>
    <xf numFmtId="0" fontId="86" fillId="0" borderId="52"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8" fontId="26" fillId="13" borderId="19" xfId="3" applyNumberFormat="1" applyFont="1" applyFill="1" applyBorder="1" applyAlignment="1" applyProtection="1">
      <alignment horizontal="center"/>
      <protection hidden="1"/>
    </xf>
    <xf numFmtId="169" fontId="19" fillId="0" borderId="8" xfId="1" applyNumberFormat="1" applyFont="1" applyFill="1" applyBorder="1" applyAlignment="1">
      <alignment horizontal="center" wrapText="1"/>
    </xf>
    <xf numFmtId="168" fontId="24" fillId="0" borderId="8" xfId="2" applyNumberFormat="1" applyFont="1" applyFill="1" applyBorder="1" applyAlignment="1">
      <alignment horizontal="right" wrapText="1"/>
    </xf>
    <xf numFmtId="168"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5" xfId="0" applyFont="1" applyBorder="1" applyAlignment="1">
      <alignment horizontal="center" vertical="center"/>
    </xf>
    <xf numFmtId="0" fontId="94" fillId="0" borderId="66" xfId="0" applyFont="1" applyBorder="1" applyAlignment="1">
      <alignment horizontal="center" vertic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48" xfId="0" applyFont="1" applyBorder="1" applyAlignment="1">
      <alignment horizontal="center" vertical="center"/>
    </xf>
    <xf numFmtId="0" fontId="94" fillId="0" borderId="53"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70"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3" fontId="19" fillId="13" borderId="19" xfId="3" applyNumberFormat="1" applyFont="1" applyFill="1" applyBorder="1" applyAlignment="1" applyProtection="1">
      <alignment horizontal="center" vertical="top" wrapText="1"/>
      <protection hidden="1"/>
    </xf>
    <xf numFmtId="168" fontId="10" fillId="0" borderId="16" xfId="2" applyNumberFormat="1" applyFont="1" applyBorder="1" applyAlignment="1">
      <alignment horizontal="center" vertical="center" wrapText="1"/>
    </xf>
    <xf numFmtId="0" fontId="80" fillId="0" borderId="0" xfId="0" applyFont="1" applyAlignment="1">
      <alignment horizontal="center"/>
    </xf>
    <xf numFmtId="0" fontId="80" fillId="0" borderId="48" xfId="0" applyFont="1" applyBorder="1" applyAlignment="1">
      <alignment horizontal="center" vertical="center"/>
    </xf>
    <xf numFmtId="0" fontId="80" fillId="0" borderId="39" xfId="0" applyFont="1" applyBorder="1" applyAlignment="1">
      <alignment horizontal="center" vertical="center"/>
    </xf>
    <xf numFmtId="0" fontId="80" fillId="0" borderId="48"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0" fillId="0" borderId="52" xfId="0" applyFont="1" applyBorder="1" applyAlignment="1">
      <alignment horizontal="center" vertical="center"/>
    </xf>
    <xf numFmtId="0" fontId="80" fillId="0" borderId="52"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4" xfId="0" quotePrefix="1" applyFont="1" applyBorder="1" applyAlignment="1">
      <alignment horizontal="center" vertical="center"/>
    </xf>
    <xf numFmtId="0" fontId="80" fillId="0" borderId="66" xfId="0" applyFont="1" applyBorder="1" applyAlignment="1">
      <alignment horizontal="center" vertical="center"/>
    </xf>
    <xf numFmtId="0" fontId="80" fillId="0" borderId="48" xfId="0" applyFont="1" applyBorder="1" applyAlignment="1">
      <alignment horizontal="center"/>
    </xf>
    <xf numFmtId="0" fontId="80" fillId="0" borderId="56"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0" fillId="0" borderId="24" xfId="0" applyFont="1" applyBorder="1"/>
    <xf numFmtId="0" fontId="80" fillId="0" borderId="31" xfId="0" applyFont="1" applyBorder="1"/>
    <xf numFmtId="0" fontId="82" fillId="0" borderId="0" xfId="0" applyFont="1"/>
    <xf numFmtId="0" fontId="80" fillId="0" borderId="58"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0" xfId="0" applyFont="1" applyBorder="1"/>
    <xf numFmtId="0" fontId="80" fillId="0" borderId="71"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2"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23" xfId="0" applyFont="1" applyBorder="1" applyAlignment="1">
      <alignment vertical="center" wrapText="1"/>
    </xf>
    <xf numFmtId="0" fontId="80" fillId="0" borderId="19" xfId="0" applyFont="1" applyBorder="1" applyAlignment="1">
      <alignment horizontal="left"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23" xfId="0" applyFont="1" applyBorder="1"/>
    <xf numFmtId="0" fontId="80" fillId="0" borderId="18" xfId="0" applyFont="1" applyBorder="1"/>
    <xf numFmtId="168" fontId="19" fillId="13" borderId="19" xfId="3" applyNumberFormat="1" applyFont="1" applyFill="1" applyBorder="1" applyAlignment="1" applyProtection="1">
      <alignment horizontal="center"/>
      <protection locked="0"/>
    </xf>
    <xf numFmtId="168" fontId="27" fillId="13" borderId="23" xfId="3" applyNumberFormat="1" applyFont="1" applyFill="1" applyBorder="1" applyAlignment="1" applyProtection="1">
      <alignment horizontal="center" vertical="top" wrapText="1"/>
    </xf>
    <xf numFmtId="168" fontId="27" fillId="13" borderId="17" xfId="3" applyNumberFormat="1" applyFont="1" applyFill="1" applyBorder="1" applyAlignment="1" applyProtection="1">
      <alignment horizontal="center" vertical="top" wrapText="1"/>
    </xf>
    <xf numFmtId="168" fontId="27" fillId="13" borderId="18" xfId="3" applyNumberFormat="1" applyFont="1" applyFill="1" applyBorder="1" applyAlignment="1" applyProtection="1">
      <alignment horizontal="center" vertical="top" wrapText="1"/>
    </xf>
    <xf numFmtId="169" fontId="19" fillId="13" borderId="19" xfId="1" applyNumberFormat="1" applyFont="1" applyFill="1" applyBorder="1" applyAlignment="1" applyProtection="1">
      <alignment horizontal="center"/>
      <protection locked="0"/>
    </xf>
    <xf numFmtId="0" fontId="99" fillId="0" borderId="0" xfId="0" applyFont="1"/>
    <xf numFmtId="0" fontId="5" fillId="0" borderId="0" xfId="0" quotePrefix="1" applyFont="1"/>
    <xf numFmtId="0" fontId="67" fillId="0" borderId="0" xfId="0" applyFont="1" applyAlignment="1">
      <alignment horizontal="center" vertical="center"/>
    </xf>
    <xf numFmtId="0" fontId="5"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5" fillId="0" borderId="0" xfId="0" applyFont="1" applyAlignment="1">
      <alignment horizontal="center"/>
    </xf>
    <xf numFmtId="1" fontId="12" fillId="0" borderId="0" xfId="0" applyNumberFormat="1" applyFont="1"/>
    <xf numFmtId="0" fontId="100" fillId="0" borderId="24" xfId="0" applyFont="1" applyBorder="1" applyAlignment="1">
      <alignment horizontal="center"/>
    </xf>
    <xf numFmtId="179" fontId="5"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5" fillId="0" borderId="19" xfId="0" quotePrefix="1" applyFont="1" applyBorder="1" applyAlignment="1">
      <alignment horizontal="center" vertical="center"/>
    </xf>
    <xf numFmtId="180"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1" fontId="98" fillId="0" borderId="0" xfId="1" applyNumberFormat="1" applyFont="1"/>
    <xf numFmtId="0" fontId="101" fillId="0" borderId="0" xfId="0" applyFont="1"/>
    <xf numFmtId="168" fontId="98" fillId="0" borderId="0" xfId="0" applyNumberFormat="1" applyFont="1"/>
    <xf numFmtId="168"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5" fillId="0" borderId="0" xfId="0" applyFont="1" applyAlignment="1">
      <alignment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5"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xf numFmtId="0" fontId="7" fillId="13" borderId="19" xfId="0" applyFont="1" applyFill="1" applyBorder="1" applyAlignment="1">
      <alignment horizontal="center" vertical="center" wrapText="1"/>
    </xf>
    <xf numFmtId="0" fontId="102" fillId="0" borderId="0" xfId="0" applyFont="1"/>
    <xf numFmtId="43" fontId="102" fillId="0" borderId="0" xfId="1" applyFont="1"/>
    <xf numFmtId="0" fontId="103" fillId="0" borderId="0" xfId="0" applyFont="1"/>
    <xf numFmtId="0" fontId="102" fillId="10" borderId="0" xfId="0" applyFont="1" applyFill="1"/>
    <xf numFmtId="0" fontId="103" fillId="10" borderId="0" xfId="0" applyFont="1" applyFill="1"/>
    <xf numFmtId="0" fontId="103" fillId="0" borderId="0" xfId="0" applyFont="1" applyAlignment="1">
      <alignment horizontal="justify" vertical="center"/>
    </xf>
    <xf numFmtId="167" fontId="102" fillId="0" borderId="0" xfId="0" applyNumberFormat="1" applyFont="1"/>
    <xf numFmtId="168" fontId="102" fillId="0" borderId="0" xfId="0" applyNumberFormat="1" applyFont="1"/>
    <xf numFmtId="173" fontId="102" fillId="0" borderId="0" xfId="0" applyNumberFormat="1" applyFont="1"/>
    <xf numFmtId="2" fontId="102" fillId="0" borderId="0" xfId="0" applyNumberFormat="1" applyFont="1"/>
    <xf numFmtId="1" fontId="102" fillId="0" borderId="0" xfId="0" applyNumberFormat="1" applyFont="1"/>
    <xf numFmtId="43" fontId="102" fillId="0" borderId="0" xfId="0" applyNumberFormat="1" applyFont="1"/>
    <xf numFmtId="170" fontId="102" fillId="0" borderId="0" xfId="1" applyNumberFormat="1" applyFont="1"/>
    <xf numFmtId="170" fontId="102" fillId="0" borderId="0" xfId="0" applyNumberFormat="1" applyFont="1"/>
    <xf numFmtId="169" fontId="102" fillId="0" borderId="0" xfId="1" applyNumberFormat="1" applyFont="1"/>
    <xf numFmtId="164" fontId="102" fillId="0" borderId="0" xfId="0" applyNumberFormat="1" applyFont="1" applyAlignment="1">
      <alignment horizontal="right"/>
    </xf>
    <xf numFmtId="172" fontId="102" fillId="0" borderId="0" xfId="0" applyNumberFormat="1" applyFont="1"/>
    <xf numFmtId="164" fontId="102" fillId="0" borderId="0" xfId="0" applyNumberFormat="1" applyFont="1"/>
    <xf numFmtId="175" fontId="102" fillId="0" borderId="0" xfId="0" applyNumberFormat="1" applyFont="1"/>
    <xf numFmtId="43" fontId="102" fillId="13" borderId="19" xfId="1" applyFont="1" applyFill="1" applyBorder="1" applyAlignment="1" applyProtection="1">
      <alignment horizontal="center"/>
      <protection locked="0"/>
    </xf>
    <xf numFmtId="1" fontId="102" fillId="13" borderId="19" xfId="3" applyNumberFormat="1" applyFont="1" applyFill="1" applyBorder="1" applyAlignment="1" applyProtection="1">
      <alignment horizontal="center"/>
      <protection locked="0"/>
    </xf>
    <xf numFmtId="2" fontId="102" fillId="13" borderId="19" xfId="3" applyNumberFormat="1" applyFont="1" applyFill="1" applyBorder="1" applyAlignment="1" applyProtection="1">
      <alignment horizontal="center"/>
      <protection hidden="1"/>
    </xf>
    <xf numFmtId="176" fontId="102" fillId="0" borderId="0" xfId="1" applyNumberFormat="1" applyFont="1"/>
    <xf numFmtId="43" fontId="103" fillId="0" borderId="0" xfId="1" applyFont="1"/>
    <xf numFmtId="172" fontId="103" fillId="0" borderId="0" xfId="0" applyNumberFormat="1" applyFont="1"/>
    <xf numFmtId="177" fontId="102" fillId="0" borderId="0" xfId="0" applyNumberFormat="1" applyFont="1"/>
    <xf numFmtId="168" fontId="102" fillId="13" borderId="19" xfId="3" applyNumberFormat="1" applyFont="1" applyFill="1" applyBorder="1" applyAlignment="1" applyProtection="1">
      <alignment horizontal="center"/>
      <protection hidden="1"/>
    </xf>
    <xf numFmtId="167" fontId="98" fillId="0" borderId="0" xfId="0" applyNumberFormat="1" applyFont="1"/>
    <xf numFmtId="173" fontId="98" fillId="0" borderId="0" xfId="0" applyNumberFormat="1" applyFont="1"/>
    <xf numFmtId="0" fontId="5" fillId="13" borderId="19" xfId="0" applyFont="1" applyFill="1" applyBorder="1" applyAlignment="1">
      <alignment horizontal="left" vertical="center" wrapText="1"/>
    </xf>
    <xf numFmtId="0" fontId="5" fillId="13" borderId="19" xfId="0" applyFont="1" applyFill="1" applyBorder="1" applyAlignment="1">
      <alignment horizontal="left" vertical="center"/>
    </xf>
    <xf numFmtId="167" fontId="5" fillId="13" borderId="19" xfId="0" applyNumberFormat="1" applyFont="1" applyFill="1" applyBorder="1" applyAlignment="1">
      <alignment horizontal="center" vertical="center"/>
    </xf>
    <xf numFmtId="0" fontId="10" fillId="13" borderId="19" xfId="0" applyFont="1" applyFill="1" applyBorder="1" applyAlignment="1">
      <alignment horizontal="justify" vertical="center"/>
    </xf>
    <xf numFmtId="0" fontId="62" fillId="13" borderId="19" xfId="0" applyFont="1" applyFill="1" applyBorder="1" applyAlignment="1">
      <alignment vertical="center"/>
    </xf>
    <xf numFmtId="0" fontId="5"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xf numFmtId="0" fontId="7" fillId="13" borderId="19" xfId="0" applyFont="1" applyFill="1" applyBorder="1" applyAlignment="1">
      <alignment horizontal="center" vertical="center" wrapText="1"/>
    </xf>
    <xf numFmtId="49" fontId="10" fillId="13" borderId="19" xfId="0" applyNumberFormat="1" applyFont="1" applyFill="1" applyBorder="1" applyAlignment="1">
      <alignment horizontal="justify" vertical="center" wrapText="1"/>
    </xf>
    <xf numFmtId="49" fontId="5" fillId="13" borderId="19" xfId="0" applyNumberFormat="1" applyFont="1" applyFill="1" applyBorder="1" applyAlignment="1">
      <alignment horizontal="center" vertical="center" wrapText="1"/>
    </xf>
    <xf numFmtId="49" fontId="12" fillId="13" borderId="19" xfId="0" applyNumberFormat="1" applyFont="1" applyFill="1" applyBorder="1" applyAlignment="1">
      <alignment horizontal="center" vertical="center" wrapText="1"/>
    </xf>
    <xf numFmtId="49" fontId="6" fillId="13" borderId="19" xfId="0" applyNumberFormat="1" applyFont="1" applyFill="1" applyBorder="1" applyAlignment="1">
      <alignment horizontal="justify" vertical="center" wrapText="1"/>
    </xf>
    <xf numFmtId="182" fontId="5" fillId="13" borderId="19" xfId="8" applyNumberFormat="1" applyFont="1" applyFill="1" applyBorder="1" applyAlignment="1">
      <alignment horizontal="center" vertical="center" wrapText="1" shrinkToFit="1"/>
    </xf>
    <xf numFmtId="182" fontId="7" fillId="13" borderId="19" xfId="8" applyNumberFormat="1" applyFont="1" applyFill="1" applyBorder="1" applyAlignment="1">
      <alignment horizontal="center" vertical="center" wrapText="1" shrinkToFit="1"/>
    </xf>
    <xf numFmtId="0" fontId="119" fillId="13" borderId="19" xfId="3" applyFont="1" applyFill="1" applyBorder="1" applyAlignment="1" applyProtection="1">
      <alignment horizontal="center" vertical="center" wrapText="1"/>
      <protection locked="0"/>
    </xf>
    <xf numFmtId="0" fontId="118"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vertical="center" wrapText="1"/>
      <protection locked="0"/>
    </xf>
    <xf numFmtId="183" fontId="102" fillId="0" borderId="0" xfId="8" applyNumberFormat="1" applyFont="1"/>
    <xf numFmtId="0" fontId="19" fillId="9" borderId="39" xfId="3" applyFont="1" applyFill="1" applyBorder="1" applyAlignment="1" applyProtection="1">
      <alignment vertical="center"/>
      <protection locked="0"/>
    </xf>
    <xf numFmtId="0" fontId="19" fillId="9" borderId="28" xfId="3" applyFont="1" applyFill="1" applyBorder="1" applyAlignment="1" applyProtection="1">
      <alignment vertical="center"/>
      <protection locked="0"/>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184" fontId="5" fillId="13" borderId="19" xfId="8" applyNumberFormat="1" applyFont="1" applyFill="1" applyBorder="1" applyAlignment="1">
      <alignment horizontal="center" vertical="center" wrapText="1" shrinkToFit="1"/>
    </xf>
    <xf numFmtId="184" fontId="7" fillId="13" borderId="19" xfId="0" applyNumberFormat="1" applyFont="1" applyFill="1" applyBorder="1" applyAlignment="1">
      <alignment horizontal="center" vertical="center" wrapText="1"/>
    </xf>
    <xf numFmtId="184" fontId="7" fillId="13" borderId="19" xfId="8" applyNumberFormat="1" applyFont="1" applyFill="1" applyBorder="1" applyAlignment="1">
      <alignment horizontal="center" vertical="center" wrapText="1"/>
    </xf>
    <xf numFmtId="168" fontId="7" fillId="13" borderId="19" xfId="0" applyNumberFormat="1" applyFont="1" applyFill="1" applyBorder="1" applyAlignment="1">
      <alignment horizontal="center" vertical="center" wrapText="1"/>
    </xf>
    <xf numFmtId="168" fontId="5" fillId="13" borderId="19" xfId="0" applyNumberFormat="1" applyFont="1" applyFill="1" applyBorder="1" applyAlignment="1">
      <alignment horizontal="center" vertical="center"/>
    </xf>
    <xf numFmtId="0" fontId="31" fillId="3" borderId="0" xfId="3" applyFont="1" applyFill="1" applyProtection="1">
      <protection locked="0"/>
    </xf>
    <xf numFmtId="1" fontId="48" fillId="3" borderId="18" xfId="3" applyNumberFormat="1" applyFont="1" applyFill="1" applyBorder="1" applyAlignment="1" applyProtection="1">
      <alignment horizontal="center"/>
      <protection hidden="1"/>
    </xf>
    <xf numFmtId="0" fontId="19" fillId="3" borderId="28" xfId="3" applyFont="1" applyFill="1" applyBorder="1" applyAlignment="1" applyProtection="1">
      <alignment horizontal="center"/>
      <protection hidden="1"/>
    </xf>
    <xf numFmtId="169"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locked="0"/>
    </xf>
    <xf numFmtId="1" fontId="19" fillId="3" borderId="19" xfId="3"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hidden="1"/>
    </xf>
    <xf numFmtId="168" fontId="19" fillId="3" borderId="19" xfId="3" applyNumberFormat="1" applyFont="1" applyFill="1" applyBorder="1" applyProtection="1">
      <protection hidden="1"/>
    </xf>
    <xf numFmtId="2" fontId="26" fillId="3" borderId="19" xfId="3" applyNumberFormat="1" applyFont="1" applyFill="1" applyBorder="1" applyAlignment="1" applyProtection="1">
      <alignment horizontal="center"/>
      <protection hidden="1"/>
    </xf>
    <xf numFmtId="1" fontId="19" fillId="3" borderId="19" xfId="3" applyNumberFormat="1" applyFont="1" applyFill="1" applyBorder="1" applyAlignment="1" applyProtection="1">
      <alignment horizontal="center"/>
      <protection locked="0"/>
    </xf>
    <xf numFmtId="2" fontId="19" fillId="3" borderId="19" xfId="3" applyNumberFormat="1" applyFont="1" applyFill="1" applyBorder="1" applyAlignment="1" applyProtection="1">
      <alignment horizontal="center"/>
      <protection hidden="1"/>
    </xf>
    <xf numFmtId="1" fontId="35" fillId="3" borderId="19" xfId="3" applyNumberFormat="1" applyFont="1" applyFill="1" applyBorder="1" applyAlignment="1" applyProtection="1">
      <alignment horizontal="center"/>
      <protection locked="0"/>
    </xf>
    <xf numFmtId="171" fontId="27" fillId="3" borderId="19" xfId="3" applyNumberFormat="1" applyFont="1" applyFill="1" applyBorder="1" applyAlignment="1" applyProtection="1">
      <alignment horizontal="center"/>
      <protection locked="0"/>
    </xf>
    <xf numFmtId="2" fontId="27"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2" fillId="0" borderId="0" xfId="8" applyNumberFormat="1" applyFont="1"/>
    <xf numFmtId="185" fontId="102" fillId="0" borderId="0" xfId="1" applyNumberFormat="1" applyFont="1"/>
    <xf numFmtId="186" fontId="102" fillId="0" borderId="0" xfId="0" applyNumberFormat="1" applyFont="1"/>
    <xf numFmtId="169" fontId="12" fillId="0" borderId="0" xfId="1" applyNumberFormat="1" applyFont="1"/>
    <xf numFmtId="168" fontId="12" fillId="0" borderId="0" xfId="0" applyNumberFormat="1" applyFont="1"/>
    <xf numFmtId="0" fontId="120" fillId="17" borderId="0" xfId="0" applyFont="1" applyFill="1" applyAlignment="1">
      <alignment horizontal="right" vertical="center"/>
    </xf>
    <xf numFmtId="168" fontId="122" fillId="20" borderId="0" xfId="0" applyNumberFormat="1" applyFont="1" applyFill="1" applyAlignment="1">
      <alignment vertical="center"/>
    </xf>
    <xf numFmtId="168" fontId="66" fillId="0" borderId="0" xfId="0" applyNumberFormat="1" applyFont="1"/>
    <xf numFmtId="0" fontId="12" fillId="0" borderId="0" xfId="0" applyFont="1"/>
    <xf numFmtId="41" fontId="102" fillId="0" borderId="0" xfId="8" applyFont="1"/>
    <xf numFmtId="168" fontId="123" fillId="0" borderId="0" xfId="0" applyNumberFormat="1" applyFont="1"/>
    <xf numFmtId="41" fontId="123" fillId="0" borderId="0" xfId="0" applyNumberFormat="1" applyFont="1"/>
    <xf numFmtId="184" fontId="123" fillId="0" borderId="0" xfId="8" applyNumberFormat="1" applyFont="1"/>
    <xf numFmtId="182" fontId="123" fillId="0" borderId="0" xfId="8" applyNumberFormat="1" applyFont="1"/>
    <xf numFmtId="165" fontId="102" fillId="0" borderId="0" xfId="0" applyNumberFormat="1" applyFont="1"/>
    <xf numFmtId="43" fontId="102" fillId="0" borderId="0" xfId="1" applyNumberFormat="1" applyFont="1"/>
    <xf numFmtId="0" fontId="125" fillId="17" borderId="0" xfId="0" applyFont="1" applyFill="1"/>
    <xf numFmtId="0" fontId="124" fillId="17" borderId="0" xfId="0" applyFont="1" applyFill="1"/>
    <xf numFmtId="0" fontId="124" fillId="3" borderId="0" xfId="0" applyFont="1" applyFill="1" applyAlignment="1">
      <alignment horizontal="left"/>
    </xf>
    <xf numFmtId="0" fontId="126" fillId="17" borderId="0" xfId="0" applyFont="1" applyFill="1" applyAlignment="1">
      <alignment horizontal="left"/>
    </xf>
    <xf numFmtId="0" fontId="126" fillId="17" borderId="0" xfId="0" applyFont="1" applyFill="1" applyAlignment="1">
      <alignment horizontal="center"/>
    </xf>
    <xf numFmtId="0" fontId="127" fillId="17" borderId="0" xfId="0" quotePrefix="1" applyFont="1" applyFill="1" applyAlignment="1">
      <alignment horizontal="left"/>
    </xf>
    <xf numFmtId="0" fontId="128" fillId="3" borderId="0" xfId="0" applyFont="1" applyFill="1" applyAlignment="1">
      <alignment horizontal="right"/>
    </xf>
    <xf numFmtId="0" fontId="127" fillId="17" borderId="0" xfId="0" applyFont="1" applyFill="1"/>
    <xf numFmtId="0" fontId="127" fillId="17" borderId="0" xfId="0" applyFont="1" applyFill="1" applyAlignment="1">
      <alignment horizontal="right"/>
    </xf>
    <xf numFmtId="4" fontId="125" fillId="17" borderId="0" xfId="0" applyNumberFormat="1" applyFont="1" applyFill="1" applyAlignment="1">
      <alignment horizontal="center"/>
    </xf>
    <xf numFmtId="0" fontId="127" fillId="17" borderId="0" xfId="0" applyFont="1" applyFill="1" applyAlignment="1">
      <alignment horizontal="center"/>
    </xf>
    <xf numFmtId="187" fontId="125" fillId="17" borderId="0" xfId="0" applyNumberFormat="1" applyFont="1" applyFill="1" applyAlignment="1">
      <alignment horizontal="center"/>
    </xf>
    <xf numFmtId="0" fontId="128" fillId="3" borderId="0" xfId="0" applyFont="1" applyFill="1" applyAlignment="1">
      <alignment horizontal="center"/>
    </xf>
    <xf numFmtId="3" fontId="125" fillId="17" borderId="0" xfId="0" applyNumberFormat="1" applyFont="1" applyFill="1" applyAlignment="1">
      <alignment horizontal="center"/>
    </xf>
    <xf numFmtId="0" fontId="129" fillId="17" borderId="0" xfId="0" applyFont="1" applyFill="1"/>
    <xf numFmtId="167" fontId="125" fillId="17" borderId="0" xfId="0" applyNumberFormat="1" applyFont="1" applyFill="1" applyAlignment="1">
      <alignment horizontal="right"/>
    </xf>
    <xf numFmtId="4" fontId="130" fillId="17" borderId="0" xfId="0" applyNumberFormat="1" applyFont="1" applyFill="1" applyAlignment="1">
      <alignment horizontal="center"/>
    </xf>
    <xf numFmtId="0" fontId="125" fillId="17" borderId="0" xfId="0" applyFont="1" applyFill="1" applyAlignment="1">
      <alignment vertical="top"/>
    </xf>
    <xf numFmtId="0" fontId="125" fillId="17" borderId="0" xfId="0" applyFont="1" applyFill="1" applyAlignment="1">
      <alignment vertical="top" wrapText="1"/>
    </xf>
    <xf numFmtId="0" fontId="125" fillId="17" borderId="0" xfId="0" applyFont="1" applyFill="1" applyAlignment="1">
      <alignment horizontal="right" vertical="center"/>
    </xf>
    <xf numFmtId="168" fontId="125" fillId="17" borderId="0" xfId="0" applyNumberFormat="1" applyFont="1" applyFill="1" applyAlignment="1">
      <alignment horizontal="center" vertical="center"/>
    </xf>
    <xf numFmtId="0" fontId="126" fillId="17" borderId="0" xfId="0" applyFont="1" applyFill="1" applyAlignment="1">
      <alignment horizontal="right"/>
    </xf>
    <xf numFmtId="3" fontId="131" fillId="17" borderId="0" xfId="0" applyNumberFormat="1" applyFont="1" applyFill="1" applyAlignment="1">
      <alignment horizontal="center"/>
    </xf>
    <xf numFmtId="3" fontId="131" fillId="17" borderId="0" xfId="0" applyNumberFormat="1" applyFont="1" applyFill="1" applyAlignment="1">
      <alignment horizontal="left"/>
    </xf>
    <xf numFmtId="0" fontId="125" fillId="17" borderId="0" xfId="0" applyFont="1" applyFill="1" applyAlignment="1">
      <alignment horizontal="right"/>
    </xf>
    <xf numFmtId="0" fontId="128" fillId="17" borderId="0" xfId="0" applyFont="1" applyFill="1" applyAlignment="1">
      <alignment horizontal="center"/>
    </xf>
    <xf numFmtId="0" fontId="125" fillId="17" borderId="0" xfId="0" applyFont="1" applyFill="1" applyAlignment="1">
      <alignment vertical="center"/>
    </xf>
    <xf numFmtId="0" fontId="125" fillId="17" borderId="0" xfId="0" applyFont="1" applyFill="1" applyAlignment="1">
      <alignment horizontal="center"/>
    </xf>
    <xf numFmtId="0" fontId="125" fillId="0" borderId="0" xfId="0" applyFont="1"/>
    <xf numFmtId="167" fontId="131" fillId="17" borderId="19" xfId="0" applyNumberFormat="1" applyFont="1" applyFill="1" applyBorder="1" applyAlignment="1">
      <alignment horizontal="center"/>
    </xf>
    <xf numFmtId="168" fontId="131" fillId="17" borderId="19" xfId="0" applyNumberFormat="1" applyFont="1" applyFill="1" applyBorder="1" applyAlignment="1">
      <alignment horizontal="center"/>
    </xf>
    <xf numFmtId="167" fontId="125" fillId="17" borderId="0" xfId="0" applyNumberFormat="1" applyFont="1" applyFill="1" applyAlignment="1">
      <alignment horizontal="center"/>
    </xf>
    <xf numFmtId="0" fontId="125" fillId="17" borderId="0" xfId="0" quotePrefix="1" applyFont="1" applyFill="1"/>
    <xf numFmtId="2" fontId="125" fillId="17" borderId="0" xfId="0" applyNumberFormat="1" applyFont="1" applyFill="1" applyAlignment="1">
      <alignment horizontal="center"/>
    </xf>
    <xf numFmtId="1" fontId="125" fillId="17" borderId="0" xfId="0" applyNumberFormat="1" applyFont="1" applyFill="1" applyAlignment="1">
      <alignment horizontal="center"/>
    </xf>
    <xf numFmtId="1" fontId="124" fillId="17" borderId="0" xfId="0" applyNumberFormat="1" applyFont="1" applyFill="1" applyAlignment="1">
      <alignment horizontal="center"/>
    </xf>
    <xf numFmtId="43" fontId="125" fillId="17" borderId="0" xfId="1" applyFont="1" applyFill="1" applyAlignment="1">
      <alignment horizontal="center"/>
    </xf>
    <xf numFmtId="188" fontId="125" fillId="17" borderId="0" xfId="1" applyNumberFormat="1" applyFont="1" applyFill="1" applyAlignment="1">
      <alignment horizontal="center"/>
    </xf>
    <xf numFmtId="189" fontId="125" fillId="17" borderId="0" xfId="1" applyNumberFormat="1" applyFont="1" applyFill="1" applyAlignment="1">
      <alignment horizontal="center"/>
    </xf>
    <xf numFmtId="0" fontId="124" fillId="17" borderId="0" xfId="0" applyFont="1" applyFill="1" applyAlignment="1">
      <alignment horizontal="center"/>
    </xf>
    <xf numFmtId="0" fontId="124" fillId="17" borderId="0" xfId="0" applyFont="1" applyFill="1" applyAlignment="1">
      <alignment horizontal="right"/>
    </xf>
    <xf numFmtId="1" fontId="124" fillId="17" borderId="0" xfId="1" applyNumberFormat="1" applyFont="1" applyFill="1" applyAlignment="1">
      <alignment horizontal="center"/>
    </xf>
    <xf numFmtId="0" fontId="125" fillId="17" borderId="0" xfId="0" applyFont="1" applyFill="1" applyProtection="1">
      <protection locked="0"/>
    </xf>
    <xf numFmtId="0" fontId="125" fillId="17" borderId="0" xfId="0" applyFont="1" applyFill="1" applyAlignment="1" applyProtection="1">
      <alignment horizontal="right"/>
      <protection locked="0"/>
    </xf>
    <xf numFmtId="190" fontId="125" fillId="17" borderId="0" xfId="0" applyNumberFormat="1" applyFont="1" applyFill="1" applyAlignment="1" applyProtection="1">
      <alignment horizontal="center"/>
      <protection locked="0"/>
    </xf>
    <xf numFmtId="1" fontId="125" fillId="17" borderId="0" xfId="0" applyNumberFormat="1" applyFont="1" applyFill="1" applyAlignment="1" applyProtection="1">
      <alignment horizontal="center"/>
      <protection locked="0"/>
    </xf>
    <xf numFmtId="2" fontId="125" fillId="17" borderId="0" xfId="0" applyNumberFormat="1" applyFont="1" applyFill="1" applyAlignment="1" applyProtection="1">
      <alignment horizontal="center"/>
      <protection locked="0"/>
    </xf>
    <xf numFmtId="0" fontId="124" fillId="17" borderId="0" xfId="0" applyFont="1" applyFill="1" applyAlignment="1" applyProtection="1">
      <alignment horizontal="center"/>
      <protection locked="0"/>
    </xf>
    <xf numFmtId="0" fontId="127" fillId="17" borderId="0" xfId="0" applyFont="1" applyFill="1" applyAlignment="1" applyProtection="1">
      <alignment horizontal="center"/>
      <protection locked="0"/>
    </xf>
    <xf numFmtId="0" fontId="125" fillId="17" borderId="0" xfId="0" quotePrefix="1" applyFont="1" applyFill="1" applyProtection="1">
      <protection locked="0"/>
    </xf>
    <xf numFmtId="1" fontId="125" fillId="17" borderId="0" xfId="0" applyNumberFormat="1" applyFont="1" applyFill="1"/>
    <xf numFmtId="0" fontId="134" fillId="0" borderId="0" xfId="0" applyFont="1" applyAlignment="1">
      <alignment horizontal="right"/>
    </xf>
    <xf numFmtId="1" fontId="135" fillId="17" borderId="0" xfId="0" applyNumberFormat="1" applyFont="1" applyFill="1" applyAlignment="1">
      <alignment horizontal="left"/>
    </xf>
    <xf numFmtId="2" fontId="124" fillId="17" borderId="0" xfId="0" applyNumberFormat="1" applyFont="1" applyFill="1" applyAlignment="1">
      <alignment horizontal="center"/>
    </xf>
    <xf numFmtId="2" fontId="136" fillId="17" borderId="0" xfId="0" applyNumberFormat="1" applyFont="1" applyFill="1"/>
    <xf numFmtId="0" fontId="125" fillId="17" borderId="0" xfId="0" applyFont="1" applyFill="1" applyAlignment="1">
      <alignment horizontal="left"/>
    </xf>
    <xf numFmtId="2" fontId="136" fillId="17" borderId="0" xfId="0" applyNumberFormat="1" applyFont="1" applyFill="1" applyAlignment="1">
      <alignment horizontal="center"/>
    </xf>
    <xf numFmtId="191" fontId="136" fillId="17" borderId="0" xfId="9" applyNumberFormat="1" applyFont="1" applyFill="1"/>
    <xf numFmtId="0" fontId="125" fillId="17" borderId="0" xfId="0" applyFont="1" applyFill="1" applyAlignment="1">
      <alignment horizontal="center" vertical="center"/>
    </xf>
    <xf numFmtId="191" fontId="129" fillId="17" borderId="0" xfId="9" applyNumberFormat="1" applyFont="1" applyFill="1"/>
    <xf numFmtId="0" fontId="5" fillId="13" borderId="19" xfId="0" applyNumberFormat="1" applyFont="1" applyFill="1" applyBorder="1" applyAlignment="1">
      <alignment horizontal="center" vertical="center"/>
    </xf>
    <xf numFmtId="0" fontId="149" fillId="22" borderId="14"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3" fillId="22" borderId="16" xfId="10" applyFont="1" applyFill="1" applyBorder="1" applyAlignment="1">
      <alignment horizontal="center" vertical="center" wrapText="1"/>
    </xf>
    <xf numFmtId="0" fontId="163" fillId="22" borderId="16" xfId="10" applyFont="1" applyFill="1" applyBorder="1" applyAlignment="1">
      <alignment horizontal="center" vertical="center" shrinkToFit="1"/>
    </xf>
    <xf numFmtId="0" fontId="163" fillId="22" borderId="13" xfId="10" applyFont="1" applyFill="1" applyBorder="1" applyAlignment="1">
      <alignment horizontal="center" vertical="center" shrinkToFit="1"/>
    </xf>
    <xf numFmtId="0" fontId="153" fillId="22" borderId="92"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49" fontId="139" fillId="24" borderId="96" xfId="10" applyNumberFormat="1" applyFont="1" applyFill="1" applyBorder="1" applyAlignment="1">
      <alignment horizontal="center" vertical="center"/>
    </xf>
    <xf numFmtId="2" fontId="139" fillId="24" borderId="97" xfId="10" applyNumberFormat="1" applyFont="1" applyFill="1" applyBorder="1" applyAlignment="1">
      <alignment horizontal="right" vertical="center"/>
    </xf>
    <xf numFmtId="2" fontId="139" fillId="24" borderId="88" xfId="10" applyNumberFormat="1" applyFont="1" applyFill="1" applyBorder="1" applyAlignment="1">
      <alignment vertical="center"/>
    </xf>
    <xf numFmtId="2" fontId="139" fillId="24" borderId="98" xfId="10" applyNumberFormat="1" applyFont="1" applyFill="1" applyBorder="1" applyAlignment="1">
      <alignment horizontal="right" vertical="center"/>
    </xf>
    <xf numFmtId="0" fontId="139" fillId="24" borderId="93" xfId="10" applyFont="1" applyFill="1" applyBorder="1" applyAlignment="1">
      <alignment horizontal="center" vertical="center"/>
    </xf>
    <xf numFmtId="0" fontId="139" fillId="24" borderId="88" xfId="10" applyFont="1" applyFill="1" applyBorder="1" applyAlignment="1">
      <alignment horizontal="center" vertical="center"/>
    </xf>
    <xf numFmtId="0" fontId="140" fillId="0" borderId="0" xfId="10" applyFont="1" applyAlignment="1">
      <alignment horizontal="center" vertical="center" wrapText="1"/>
    </xf>
    <xf numFmtId="0" fontId="140" fillId="0" borderId="0" xfId="10" applyFont="1" applyAlignment="1">
      <alignment vertical="center" wrapText="1"/>
    </xf>
    <xf numFmtId="0" fontId="141" fillId="0" borderId="0" xfId="10" applyFont="1" applyAlignment="1">
      <alignment horizontal="center"/>
    </xf>
    <xf numFmtId="0" fontId="142" fillId="0" borderId="0" xfId="10" applyFont="1" applyAlignment="1">
      <alignment horizontal="center"/>
    </xf>
    <xf numFmtId="0" fontId="143" fillId="0" borderId="0" xfId="10" applyFont="1"/>
    <xf numFmtId="0" fontId="144" fillId="0" borderId="0" xfId="10" applyFont="1" applyAlignment="1">
      <alignment horizontal="center"/>
    </xf>
    <xf numFmtId="0" fontId="145" fillId="0" borderId="0" xfId="10" applyFont="1" applyAlignment="1">
      <alignment horizontal="center"/>
    </xf>
    <xf numFmtId="2" fontId="141" fillId="0" borderId="0" xfId="10" applyNumberFormat="1" applyFont="1" applyAlignment="1">
      <alignment horizontal="center"/>
    </xf>
    <xf numFmtId="2" fontId="146" fillId="0" borderId="0" xfId="10" applyNumberFormat="1" applyFont="1" applyAlignment="1">
      <alignment horizontal="center"/>
    </xf>
    <xf numFmtId="0" fontId="146" fillId="0" borderId="0" xfId="10" applyFont="1" applyAlignment="1">
      <alignment vertical="center"/>
    </xf>
    <xf numFmtId="0" fontId="146" fillId="0" borderId="0" xfId="10" applyFont="1" applyAlignment="1">
      <alignment horizontal="right" vertical="center"/>
    </xf>
    <xf numFmtId="167" fontId="146" fillId="23" borderId="0" xfId="10" applyNumberFormat="1" applyFont="1" applyFill="1" applyBorder="1" applyAlignment="1">
      <alignment horizontal="center" vertical="center"/>
    </xf>
    <xf numFmtId="0" fontId="146" fillId="0" borderId="0" xfId="10" applyFont="1" applyAlignment="1">
      <alignment horizontal="left" vertical="center"/>
    </xf>
    <xf numFmtId="0" fontId="148" fillId="0" borderId="0" xfId="10" applyFont="1" applyAlignment="1">
      <alignment horizontal="right" vertical="center"/>
    </xf>
    <xf numFmtId="0" fontId="146" fillId="0" borderId="0" xfId="10" applyFont="1" applyAlignment="1">
      <alignment horizontal="center"/>
    </xf>
    <xf numFmtId="0" fontId="150" fillId="0" borderId="0" xfId="10" applyFont="1" applyAlignment="1">
      <alignment horizontal="center"/>
    </xf>
    <xf numFmtId="0" fontId="151" fillId="0" borderId="0" xfId="10" applyFont="1" applyAlignment="1">
      <alignment horizontal="center"/>
    </xf>
    <xf numFmtId="0" fontId="146" fillId="0" borderId="0" xfId="10" quotePrefix="1" applyFont="1" applyAlignment="1">
      <alignment vertical="center"/>
    </xf>
    <xf numFmtId="0" fontId="141" fillId="0" borderId="0" xfId="10" applyFont="1" applyAlignment="1">
      <alignment horizontal="center" vertical="center"/>
    </xf>
    <xf numFmtId="0" fontId="152" fillId="23" borderId="0" xfId="10" applyFont="1" applyFill="1" applyBorder="1" applyAlignment="1">
      <alignment horizontal="center" vertical="center"/>
    </xf>
    <xf numFmtId="0" fontId="149" fillId="0" borderId="0" xfId="10" applyFont="1" applyAlignment="1">
      <alignment horizontal="right" vertical="center"/>
    </xf>
    <xf numFmtId="0" fontId="146" fillId="23" borderId="0" xfId="10" applyFont="1" applyFill="1" applyBorder="1" applyAlignment="1">
      <alignment horizontal="center" vertical="center"/>
    </xf>
    <xf numFmtId="168" fontId="149" fillId="0" borderId="0" xfId="10" applyNumberFormat="1" applyFont="1" applyAlignment="1">
      <alignment horizontal="center" vertical="center"/>
    </xf>
    <xf numFmtId="0" fontId="150" fillId="0" borderId="0" xfId="10" applyFont="1" applyAlignment="1">
      <alignment horizontal="center" vertical="center"/>
    </xf>
    <xf numFmtId="0" fontId="151" fillId="0" borderId="0" xfId="10" applyFont="1" applyAlignment="1">
      <alignment horizontal="center" vertical="center"/>
    </xf>
    <xf numFmtId="0" fontId="150" fillId="0" borderId="0" xfId="10" applyFont="1" applyAlignment="1">
      <alignment horizontal="left" vertical="center"/>
    </xf>
    <xf numFmtId="168" fontId="141" fillId="0" borderId="0" xfId="10" applyNumberFormat="1" applyFont="1" applyAlignment="1">
      <alignment horizontal="center" vertical="center"/>
    </xf>
    <xf numFmtId="2" fontId="139" fillId="23" borderId="88" xfId="10" applyNumberFormat="1" applyFont="1" applyFill="1" applyBorder="1" applyAlignment="1">
      <alignment horizontal="center" vertical="center"/>
    </xf>
    <xf numFmtId="2" fontId="154" fillId="0" borderId="0" xfId="10" applyNumberFormat="1" applyFont="1" applyAlignment="1">
      <alignment horizontal="center" vertical="center"/>
    </xf>
    <xf numFmtId="0" fontId="154" fillId="0" borderId="0" xfId="10" applyFont="1" applyAlignment="1">
      <alignment horizontal="center" vertical="center"/>
    </xf>
    <xf numFmtId="0" fontId="143" fillId="0" borderId="0" xfId="10" applyFont="1" applyAlignment="1">
      <alignment horizontal="center" vertical="center"/>
    </xf>
    <xf numFmtId="168" fontId="146" fillId="0" borderId="0" xfId="10" applyNumberFormat="1" applyFont="1" applyAlignment="1">
      <alignment horizontal="right" vertical="center"/>
    </xf>
    <xf numFmtId="168" fontId="146" fillId="0" borderId="0" xfId="10" applyNumberFormat="1" applyFont="1" applyAlignment="1">
      <alignment horizontal="left" vertical="center"/>
    </xf>
    <xf numFmtId="2" fontId="149" fillId="23" borderId="0" xfId="10" applyNumberFormat="1" applyFont="1" applyFill="1" applyBorder="1" applyAlignment="1">
      <alignment horizontal="center" vertical="center"/>
    </xf>
    <xf numFmtId="1" fontId="141" fillId="0" borderId="0" xfId="10" applyNumberFormat="1" applyFont="1" applyAlignment="1">
      <alignment horizontal="center" vertical="center"/>
    </xf>
    <xf numFmtId="0" fontId="146" fillId="0" borderId="0" xfId="10" applyFont="1" applyAlignment="1">
      <alignment horizontal="center" vertical="center"/>
    </xf>
    <xf numFmtId="168" fontId="146" fillId="0" borderId="0" xfId="10" applyNumberFormat="1" applyFont="1" applyAlignment="1">
      <alignment horizontal="center" vertical="center"/>
    </xf>
    <xf numFmtId="168" fontId="139" fillId="24" borderId="88" xfId="10" applyNumberFormat="1" applyFont="1" applyFill="1" applyBorder="1" applyAlignment="1">
      <alignment horizontal="right" vertical="center"/>
    </xf>
    <xf numFmtId="2" fontId="139" fillId="0" borderId="0" xfId="10" applyNumberFormat="1" applyFont="1" applyAlignment="1">
      <alignment horizontal="center" vertical="center"/>
    </xf>
    <xf numFmtId="0" fontId="157" fillId="0" borderId="0" xfId="10" applyFont="1" applyAlignment="1">
      <alignment vertical="center"/>
    </xf>
    <xf numFmtId="0" fontId="147" fillId="0" borderId="0" xfId="10" applyFont="1" applyAlignment="1">
      <alignment vertical="center"/>
    </xf>
    <xf numFmtId="0" fontId="158" fillId="0" borderId="0" xfId="10" applyFont="1" applyAlignment="1">
      <alignment horizontal="center"/>
    </xf>
    <xf numFmtId="0" fontId="159" fillId="0" borderId="0" xfId="10" applyFont="1" applyAlignment="1">
      <alignment horizontal="center"/>
    </xf>
    <xf numFmtId="2" fontId="159" fillId="0" borderId="0" xfId="10" applyNumberFormat="1" applyFont="1" applyAlignment="1">
      <alignment horizontal="center"/>
    </xf>
    <xf numFmtId="0" fontId="160" fillId="0" borderId="0" xfId="10" applyFont="1"/>
    <xf numFmtId="2" fontId="161" fillId="0" borderId="0" xfId="10" applyNumberFormat="1" applyFont="1" applyAlignment="1">
      <alignment horizontal="center"/>
    </xf>
    <xf numFmtId="1" fontId="147" fillId="23" borderId="0" xfId="10" applyNumberFormat="1" applyFont="1" applyFill="1" applyBorder="1" applyAlignment="1">
      <alignment horizontal="center" vertical="center"/>
    </xf>
    <xf numFmtId="0" fontId="170" fillId="22" borderId="15" xfId="10" applyFont="1" applyFill="1" applyBorder="1" applyAlignment="1">
      <alignment horizontal="center" vertical="center" wrapText="1"/>
    </xf>
    <xf numFmtId="169" fontId="0" fillId="0" borderId="0" xfId="1" applyNumberFormat="1" applyFont="1"/>
    <xf numFmtId="168" fontId="172" fillId="24" borderId="88" xfId="11" applyNumberFormat="1" applyFont="1" applyFill="1" applyBorder="1" applyAlignment="1">
      <alignment horizontal="right" vertical="center"/>
    </xf>
    <xf numFmtId="167"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right" vertical="center"/>
    </xf>
    <xf numFmtId="168" fontId="172" fillId="24" borderId="88" xfId="11" applyNumberFormat="1" applyFont="1" applyFill="1" applyBorder="1" applyAlignment="1">
      <alignment horizontal="center" vertical="center"/>
    </xf>
    <xf numFmtId="2" fontId="172" fillId="24" borderId="88" xfId="11" applyNumberFormat="1" applyFont="1" applyFill="1" applyBorder="1" applyAlignment="1">
      <alignment horizontal="center" vertical="center"/>
    </xf>
    <xf numFmtId="2" fontId="172" fillId="24" borderId="94" xfId="11" applyNumberFormat="1" applyFont="1" applyFill="1" applyBorder="1" applyAlignment="1">
      <alignment horizontal="center" vertical="center"/>
    </xf>
    <xf numFmtId="2" fontId="172" fillId="24" borderId="93" xfId="11" applyNumberFormat="1" applyFont="1" applyFill="1" applyBorder="1" applyAlignment="1">
      <alignment horizontal="center" vertical="center"/>
    </xf>
    <xf numFmtId="2" fontId="172" fillId="24" borderId="95" xfId="11" applyNumberFormat="1" applyFont="1" applyFill="1" applyBorder="1" applyAlignment="1">
      <alignment horizontal="center" vertical="center"/>
    </xf>
    <xf numFmtId="2" fontId="172" fillId="24" borderId="87" xfId="11" applyNumberFormat="1" applyFont="1" applyFill="1" applyBorder="1" applyAlignment="1">
      <alignment horizontal="center" vertical="center"/>
    </xf>
    <xf numFmtId="0" fontId="171" fillId="0" borderId="0" xfId="11" applyFont="1" applyAlignment="1"/>
    <xf numFmtId="1" fontId="172" fillId="0" borderId="86" xfId="11" applyNumberFormat="1" applyFont="1" applyBorder="1" applyAlignment="1">
      <alignment horizontal="center" vertical="center"/>
    </xf>
    <xf numFmtId="2" fontId="172" fillId="24" borderId="98" xfId="11" applyNumberFormat="1" applyFont="1" applyFill="1" applyBorder="1" applyAlignment="1">
      <alignment horizontal="center" vertical="center"/>
    </xf>
    <xf numFmtId="170" fontId="146" fillId="23" borderId="0" xfId="1" applyNumberFormat="1" applyFont="1" applyFill="1" applyBorder="1" applyAlignment="1">
      <alignment horizontal="center" vertical="center"/>
    </xf>
    <xf numFmtId="170" fontId="172" fillId="24" borderId="88" xfId="1" applyNumberFormat="1" applyFont="1" applyFill="1" applyBorder="1" applyAlignment="1">
      <alignment horizontal="right" vertical="center"/>
    </xf>
    <xf numFmtId="169" fontId="0" fillId="0" borderId="0" xfId="0" applyNumberFormat="1"/>
    <xf numFmtId="168" fontId="169" fillId="0" borderId="0" xfId="0" applyNumberFormat="1" applyFont="1"/>
    <xf numFmtId="49" fontId="139" fillId="0" borderId="73" xfId="10" applyNumberFormat="1" applyFont="1" applyFill="1" applyBorder="1" applyAlignment="1">
      <alignment horizontal="center" vertical="center"/>
    </xf>
    <xf numFmtId="2" fontId="139" fillId="0" borderId="73" xfId="10" applyNumberFormat="1" applyFont="1" applyFill="1" applyBorder="1" applyAlignment="1">
      <alignment horizontal="right" vertical="center"/>
    </xf>
    <xf numFmtId="2" fontId="139" fillId="0" borderId="73" xfId="10" applyNumberFormat="1" applyFont="1" applyFill="1" applyBorder="1" applyAlignment="1">
      <alignment vertical="center"/>
    </xf>
    <xf numFmtId="0" fontId="139" fillId="0" borderId="73" xfId="10" applyFont="1" applyFill="1" applyBorder="1" applyAlignment="1">
      <alignment horizontal="center" vertical="center"/>
    </xf>
    <xf numFmtId="0" fontId="158" fillId="0" borderId="1" xfId="0" applyFont="1" applyBorder="1" applyAlignment="1">
      <alignment horizontal="center" vertical="center" wrapText="1"/>
    </xf>
    <xf numFmtId="0" fontId="173" fillId="0" borderId="0" xfId="0" applyFont="1" applyAlignment="1">
      <alignment horizontal="center" vertical="center"/>
    </xf>
    <xf numFmtId="0" fontId="173" fillId="0" borderId="0" xfId="0" applyFont="1"/>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5" xfId="0" applyFont="1" applyBorder="1" applyAlignment="1">
      <alignment horizontal="center" vertical="center" wrapText="1"/>
    </xf>
    <xf numFmtId="0" fontId="158" fillId="0" borderId="5" xfId="0" applyFont="1" applyBorder="1" applyAlignment="1">
      <alignment horizontal="center" vertical="center"/>
    </xf>
    <xf numFmtId="0" fontId="158" fillId="25" borderId="5" xfId="0" applyFont="1" applyFill="1" applyBorder="1" applyAlignment="1">
      <alignment horizontal="center" vertical="center" wrapText="1"/>
    </xf>
    <xf numFmtId="0" fontId="62" fillId="0" borderId="2" xfId="0" applyFont="1" applyBorder="1" applyAlignment="1">
      <alignment horizontal="center" vertical="center" wrapText="1"/>
    </xf>
    <xf numFmtId="0" fontId="62" fillId="0" borderId="31" xfId="0" applyFont="1" applyBorder="1" applyAlignment="1">
      <alignment horizontal="left" vertical="center" wrapText="1"/>
    </xf>
    <xf numFmtId="0" fontId="62" fillId="0" borderId="5" xfId="0" applyFont="1" applyBorder="1" applyAlignment="1">
      <alignment horizontal="center" vertical="center" wrapText="1"/>
    </xf>
    <xf numFmtId="0" fontId="62" fillId="25" borderId="5" xfId="0" applyFont="1" applyFill="1" applyBorder="1" applyAlignment="1">
      <alignment horizontal="center" vertical="center" wrapText="1"/>
    </xf>
    <xf numFmtId="0" fontId="62" fillId="0" borderId="42" xfId="0" applyFont="1" applyBorder="1" applyAlignment="1">
      <alignment horizontal="center" vertical="center" wrapText="1"/>
    </xf>
    <xf numFmtId="0" fontId="62" fillId="0" borderId="1" xfId="0" applyFont="1" applyBorder="1" applyAlignment="1">
      <alignment horizontal="left" vertical="center" wrapText="1"/>
    </xf>
    <xf numFmtId="0" fontId="62" fillId="0" borderId="101" xfId="0" applyFont="1" applyBorder="1" applyAlignment="1">
      <alignment horizontal="left" vertical="center" wrapText="1"/>
    </xf>
    <xf numFmtId="0" fontId="62" fillId="0" borderId="2" xfId="0" applyFont="1" applyBorder="1" applyAlignment="1">
      <alignment horizontal="left" vertical="center" wrapText="1"/>
    </xf>
    <xf numFmtId="0" fontId="62" fillId="0" borderId="5" xfId="0" applyFont="1" applyBorder="1" applyAlignment="1">
      <alignment horizontal="left"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5" xfId="0" applyFont="1" applyBorder="1" applyAlignment="1">
      <alignment horizontal="center" vertical="center"/>
    </xf>
    <xf numFmtId="0" fontId="149" fillId="0" borderId="0" xfId="0" applyFont="1"/>
    <xf numFmtId="0" fontId="175"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176"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4" fillId="27" borderId="21" xfId="0" applyFont="1" applyFill="1" applyBorder="1" applyAlignment="1" applyProtection="1">
      <alignment horizontal="center" vertical="center"/>
      <protection hidden="1"/>
    </xf>
    <xf numFmtId="0" fontId="74"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4" fillId="0" borderId="21" xfId="0" applyFont="1" applyBorder="1" applyAlignment="1" applyProtection="1">
      <alignment horizontal="center" vertical="center"/>
      <protection hidden="1"/>
    </xf>
    <xf numFmtId="0" fontId="74" fillId="0" borderId="21" xfId="0" applyNumberFormat="1" applyFont="1" applyBorder="1" applyAlignment="1" applyProtection="1">
      <alignment horizontal="center" vertical="center"/>
      <protection hidden="1"/>
    </xf>
    <xf numFmtId="0" fontId="74"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4"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4" fillId="27" borderId="18" xfId="0" applyFont="1" applyFill="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74" fillId="0" borderId="23" xfId="0" applyFont="1" applyBorder="1" applyAlignment="1" applyProtection="1">
      <alignment vertical="center"/>
      <protection hidden="1"/>
    </xf>
    <xf numFmtId="0" fontId="74" fillId="0" borderId="17" xfId="0" applyFont="1" applyBorder="1" applyAlignment="1" applyProtection="1">
      <alignment horizontal="center" vertical="center"/>
      <protection hidden="1"/>
    </xf>
    <xf numFmtId="0" fontId="74" fillId="0" borderId="29" xfId="0" applyFont="1" applyBorder="1" applyAlignment="1" applyProtection="1">
      <alignment horizontal="center" vertical="center"/>
      <protection hidden="1"/>
    </xf>
    <xf numFmtId="0" fontId="74" fillId="0" borderId="18" xfId="0" applyFont="1" applyBorder="1" applyAlignment="1" applyProtection="1">
      <alignment horizontal="center" vertical="center"/>
      <protection hidden="1"/>
    </xf>
    <xf numFmtId="167" fontId="74" fillId="27" borderId="105" xfId="0" applyNumberFormat="1" applyFont="1" applyFill="1" applyBorder="1" applyAlignment="1" applyProtection="1">
      <alignment horizontal="center" vertical="center"/>
      <protection hidden="1"/>
    </xf>
    <xf numFmtId="167" fontId="74" fillId="0" borderId="106" xfId="0" applyNumberFormat="1" applyFont="1" applyBorder="1" applyAlignment="1" applyProtection="1">
      <alignment horizontal="center" vertical="center"/>
      <protection hidden="1"/>
    </xf>
    <xf numFmtId="167" fontId="74" fillId="27" borderId="106" xfId="0" applyNumberFormat="1" applyFont="1" applyFill="1" applyBorder="1" applyAlignment="1" applyProtection="1">
      <alignment horizontal="center" vertical="center"/>
      <protection hidden="1"/>
    </xf>
    <xf numFmtId="167" fontId="74" fillId="27" borderId="107" xfId="0" applyNumberFormat="1" applyFont="1" applyFill="1" applyBorder="1" applyAlignment="1" applyProtection="1">
      <alignment horizontal="center" vertical="center"/>
      <protection hidden="1"/>
    </xf>
    <xf numFmtId="0" fontId="5" fillId="29" borderId="3" xfId="0" applyFont="1" applyFill="1" applyBorder="1" applyAlignment="1">
      <alignment horizontal="justify" vertical="center"/>
    </xf>
    <xf numFmtId="0" fontId="5" fillId="29" borderId="3" xfId="0" applyFont="1" applyFill="1" applyBorder="1" applyAlignment="1">
      <alignment horizontal="justify" vertical="center" wrapText="1"/>
    </xf>
    <xf numFmtId="0" fontId="5" fillId="29" borderId="5" xfId="0" applyFont="1" applyFill="1" applyBorder="1" applyAlignment="1">
      <alignment horizontal="justify" vertical="center"/>
    </xf>
    <xf numFmtId="0" fontId="5" fillId="29" borderId="5" xfId="0" applyFont="1" applyFill="1" applyBorder="1" applyAlignment="1">
      <alignment horizontal="justify" vertical="center" wrapText="1"/>
    </xf>
    <xf numFmtId="0" fontId="5" fillId="0" borderId="2" xfId="0" applyFont="1" applyBorder="1" applyAlignment="1">
      <alignment horizontal="justify" vertical="center"/>
    </xf>
    <xf numFmtId="0" fontId="5" fillId="5" borderId="5" xfId="0" applyFont="1" applyFill="1" applyBorder="1" applyAlignment="1">
      <alignment horizontal="justify" vertical="center"/>
    </xf>
    <xf numFmtId="0" fontId="5" fillId="29" borderId="2" xfId="0" applyFont="1" applyFill="1" applyBorder="1" applyAlignment="1">
      <alignment horizontal="justify" vertical="center"/>
    </xf>
    <xf numFmtId="0" fontId="62" fillId="30" borderId="30" xfId="0" applyFont="1" applyFill="1" applyBorder="1" applyAlignment="1">
      <alignment horizontal="center" vertical="center" wrapText="1"/>
    </xf>
    <xf numFmtId="0" fontId="62" fillId="30" borderId="5" xfId="0" applyFont="1" applyFill="1" applyBorder="1" applyAlignment="1">
      <alignment horizontal="left" vertical="center" wrapText="1"/>
    </xf>
    <xf numFmtId="0" fontId="62" fillId="30" borderId="31" xfId="0" applyFont="1" applyFill="1" applyBorder="1" applyAlignment="1">
      <alignment horizontal="center" vertical="center" wrapText="1"/>
    </xf>
    <xf numFmtId="0" fontId="62" fillId="30" borderId="5" xfId="0" applyFont="1" applyFill="1" applyBorder="1" applyAlignment="1">
      <alignment horizontal="center" vertical="center" wrapText="1"/>
    </xf>
    <xf numFmtId="0" fontId="173" fillId="30" borderId="0" xfId="0" applyFont="1" applyFill="1" applyAlignment="1">
      <alignment horizontal="center" vertical="center"/>
    </xf>
    <xf numFmtId="0" fontId="173" fillId="30" borderId="0" xfId="0" applyFont="1" applyFill="1"/>
    <xf numFmtId="0" fontId="179" fillId="0" borderId="109" xfId="0" applyFont="1" applyBorder="1" applyAlignment="1">
      <alignment vertical="center"/>
    </xf>
    <xf numFmtId="0" fontId="181" fillId="0" borderId="109" xfId="0" applyFont="1" applyBorder="1" applyAlignment="1">
      <alignment horizontal="center" vertical="center"/>
    </xf>
    <xf numFmtId="168" fontId="180" fillId="0" borderId="110" xfId="0" applyNumberFormat="1" applyFont="1" applyBorder="1" applyAlignment="1">
      <alignment vertical="center"/>
    </xf>
    <xf numFmtId="168" fontId="180" fillId="0" borderId="110" xfId="0" applyNumberFormat="1" applyFont="1" applyBorder="1" applyAlignment="1">
      <alignment horizontal="right" vertical="center"/>
    </xf>
    <xf numFmtId="168" fontId="179" fillId="0" borderId="109" xfId="0" applyNumberFormat="1" applyFont="1" applyBorder="1" applyAlignment="1">
      <alignment horizontal="right" vertical="center"/>
    </xf>
    <xf numFmtId="168" fontId="179" fillId="0" borderId="110" xfId="0" applyNumberFormat="1" applyFont="1" applyBorder="1" applyAlignment="1">
      <alignment vertical="center"/>
    </xf>
    <xf numFmtId="168" fontId="179" fillId="0" borderId="109" xfId="0" applyNumberFormat="1" applyFont="1" applyBorder="1" applyAlignment="1">
      <alignment vertical="center"/>
    </xf>
    <xf numFmtId="43" fontId="173" fillId="0" borderId="0" xfId="1" applyFont="1"/>
    <xf numFmtId="0" fontId="182"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3" fillId="0" borderId="0" xfId="0" applyFont="1"/>
    <xf numFmtId="0" fontId="5" fillId="0" borderId="2" xfId="0" applyFont="1" applyBorder="1" applyAlignment="1">
      <alignment horizontal="center" vertical="center"/>
    </xf>
    <xf numFmtId="43" fontId="5" fillId="0" borderId="5" xfId="1" applyFont="1" applyBorder="1" applyAlignment="1">
      <alignment horizontal="justify" vertical="center"/>
    </xf>
    <xf numFmtId="43" fontId="149" fillId="0" borderId="0" xfId="1" applyFont="1"/>
    <xf numFmtId="0" fontId="6" fillId="0" borderId="0" xfId="0" applyFont="1" applyAlignment="1">
      <alignment horizontal="justify" vertical="center"/>
    </xf>
    <xf numFmtId="0" fontId="5" fillId="0" borderId="5" xfId="17" applyFont="1" applyFill="1" applyBorder="1" applyAlignment="1">
      <alignment horizontal="center" vertical="center"/>
    </xf>
    <xf numFmtId="0" fontId="5" fillId="0" borderId="2" xfId="17" applyFont="1" applyFill="1" applyBorder="1" applyAlignment="1">
      <alignment horizontal="justify" vertical="center"/>
    </xf>
    <xf numFmtId="0" fontId="5" fillId="0" borderId="5" xfId="17" applyFont="1" applyFill="1" applyBorder="1" applyAlignment="1">
      <alignment horizontal="justify" vertical="center"/>
    </xf>
    <xf numFmtId="43" fontId="5" fillId="0" borderId="5" xfId="18" applyFont="1" applyFill="1" applyBorder="1" applyAlignment="1">
      <alignment horizontal="center" vertical="center"/>
    </xf>
    <xf numFmtId="0" fontId="5" fillId="0" borderId="2" xfId="17" applyFont="1" applyFill="1" applyBorder="1" applyAlignment="1">
      <alignment horizontal="center" vertical="center"/>
    </xf>
    <xf numFmtId="0" fontId="5" fillId="0" borderId="5" xfId="17" applyFont="1" applyFill="1" applyBorder="1" applyAlignment="1">
      <alignment horizontal="left" vertical="center"/>
    </xf>
    <xf numFmtId="0" fontId="5" fillId="0" borderId="0" xfId="17" applyFont="1" applyFill="1" applyAlignment="1">
      <alignment vertical="center"/>
    </xf>
    <xf numFmtId="0" fontId="6" fillId="0" borderId="3" xfId="17" applyFont="1" applyFill="1" applyBorder="1" applyAlignment="1">
      <alignment horizontal="center" vertical="center"/>
    </xf>
    <xf numFmtId="0" fontId="6" fillId="0" borderId="3" xfId="17" applyFont="1" applyFill="1" applyBorder="1" applyAlignment="1">
      <alignment horizontal="center" vertical="center" wrapText="1"/>
    </xf>
    <xf numFmtId="0" fontId="6" fillId="0" borderId="5" xfId="17" applyFont="1" applyFill="1" applyBorder="1" applyAlignment="1">
      <alignment horizontal="center" vertical="center"/>
    </xf>
    <xf numFmtId="0" fontId="6" fillId="0" borderId="5" xfId="17" applyFont="1" applyFill="1" applyBorder="1" applyAlignment="1">
      <alignment horizontal="center" vertical="center" wrapText="1"/>
    </xf>
    <xf numFmtId="0" fontId="6" fillId="0" borderId="2" xfId="17" applyFont="1" applyFill="1" applyBorder="1" applyAlignment="1">
      <alignment horizontal="justify" vertical="center"/>
    </xf>
    <xf numFmtId="43" fontId="6" fillId="0" borderId="5" xfId="18" applyFont="1" applyFill="1" applyBorder="1" applyAlignment="1">
      <alignment horizontal="center" vertical="center"/>
    </xf>
    <xf numFmtId="43" fontId="149" fillId="0" borderId="0" xfId="0" applyNumberFormat="1" applyFont="1"/>
    <xf numFmtId="43" fontId="149" fillId="0" borderId="0" xfId="1" applyNumberFormat="1" applyFont="1"/>
    <xf numFmtId="164" fontId="149" fillId="0" borderId="0" xfId="0" applyNumberFormat="1" applyFont="1"/>
    <xf numFmtId="0" fontId="62" fillId="0" borderId="101" xfId="0" applyFont="1" applyBorder="1" applyAlignment="1">
      <alignment horizontal="justify" vertical="center"/>
    </xf>
    <xf numFmtId="0" fontId="62" fillId="0" borderId="3" xfId="0" applyFont="1" applyBorder="1" applyAlignment="1">
      <alignment horizontal="justify" vertical="center"/>
    </xf>
    <xf numFmtId="0" fontId="62" fillId="0" borderId="5" xfId="0" applyFont="1" applyBorder="1" applyAlignment="1">
      <alignment horizontal="justify" vertical="center"/>
    </xf>
    <xf numFmtId="166" fontId="149" fillId="0" borderId="0" xfId="1" applyNumberFormat="1" applyFont="1"/>
    <xf numFmtId="0" fontId="149" fillId="0" borderId="19" xfId="0" applyFont="1" applyBorder="1"/>
    <xf numFmtId="43" fontId="149" fillId="0" borderId="19" xfId="1" applyFont="1" applyBorder="1"/>
    <xf numFmtId="43" fontId="149" fillId="0" borderId="19" xfId="0" applyNumberFormat="1" applyFont="1" applyBorder="1"/>
    <xf numFmtId="164" fontId="149" fillId="0" borderId="19" xfId="0" applyNumberFormat="1" applyFont="1" applyBorder="1"/>
    <xf numFmtId="170" fontId="149" fillId="0" borderId="0" xfId="1" applyNumberFormat="1" applyFont="1"/>
    <xf numFmtId="43" fontId="6" fillId="0" borderId="5" xfId="1" applyFont="1" applyBorder="1" applyAlignment="1">
      <alignment horizontal="justify" vertical="center"/>
    </xf>
    <xf numFmtId="164" fontId="5" fillId="0" borderId="5" xfId="0" applyNumberFormat="1" applyFont="1" applyBorder="1" applyAlignment="1">
      <alignment horizontal="justify" vertical="center"/>
    </xf>
    <xf numFmtId="164" fontId="10" fillId="0" borderId="5" xfId="0" applyNumberFormat="1" applyFont="1" applyBorder="1" applyAlignment="1">
      <alignment horizontal="justify" vertical="center"/>
    </xf>
    <xf numFmtId="43" fontId="10" fillId="0" borderId="5" xfId="1" applyFont="1" applyBorder="1" applyAlignment="1">
      <alignment horizontal="justify" vertical="center"/>
    </xf>
    <xf numFmtId="0" fontId="5" fillId="0" borderId="5" xfId="0" applyFont="1" applyFill="1" applyBorder="1" applyAlignment="1">
      <alignment horizontal="center" vertical="center"/>
    </xf>
    <xf numFmtId="164" fontId="5" fillId="0" borderId="5" xfId="0" applyNumberFormat="1" applyFont="1" applyFill="1" applyBorder="1" applyAlignment="1">
      <alignment horizontal="center" vertical="center"/>
    </xf>
    <xf numFmtId="164" fontId="10" fillId="0" borderId="5" xfId="0" applyNumberFormat="1" applyFont="1" applyFill="1" applyBorder="1" applyAlignment="1">
      <alignment horizontal="center" vertical="center"/>
    </xf>
    <xf numFmtId="185" fontId="149" fillId="0" borderId="0" xfId="1" applyNumberFormat="1" applyFont="1"/>
    <xf numFmtId="192" fontId="149" fillId="0" borderId="0" xfId="0" applyNumberFormat="1" applyFont="1"/>
    <xf numFmtId="193" fontId="149" fillId="0" borderId="0" xfId="0" applyNumberFormat="1" applyFont="1"/>
    <xf numFmtId="0" fontId="175" fillId="0" borderId="19" xfId="0" applyFont="1" applyBorder="1" applyAlignment="1">
      <alignment horizontal="center"/>
    </xf>
    <xf numFmtId="0" fontId="149" fillId="0" borderId="19" xfId="1" applyNumberFormat="1" applyFont="1" applyBorder="1" applyAlignment="1">
      <alignment horizontal="center"/>
    </xf>
    <xf numFmtId="0" fontId="175" fillId="0" borderId="19" xfId="0" applyFont="1" applyBorder="1" applyAlignment="1">
      <alignment vertical="center"/>
    </xf>
    <xf numFmtId="0" fontId="175" fillId="3" borderId="0" xfId="0" applyFont="1" applyFill="1"/>
    <xf numFmtId="0" fontId="5" fillId="29" borderId="2" xfId="0" applyFont="1" applyFill="1" applyBorder="1" applyAlignment="1">
      <alignment horizontal="justify" vertical="center"/>
    </xf>
    <xf numFmtId="164" fontId="182" fillId="3" borderId="0" xfId="0" applyNumberFormat="1" applyFont="1" applyFill="1"/>
    <xf numFmtId="0" fontId="62" fillId="0" borderId="2" xfId="0" applyFont="1" applyBorder="1" applyAlignment="1">
      <alignment horizontal="center" vertical="center"/>
    </xf>
    <xf numFmtId="0" fontId="149" fillId="0" borderId="0" xfId="0" applyFont="1" applyAlignment="1">
      <alignment horizontal="center"/>
    </xf>
    <xf numFmtId="2" fontId="62" fillId="0" borderId="5" xfId="1" applyNumberFormat="1" applyFont="1" applyBorder="1" applyAlignment="1">
      <alignment horizontal="center" vertical="center"/>
    </xf>
    <xf numFmtId="0" fontId="5" fillId="0" borderId="2" xfId="0" applyFont="1" applyFill="1" applyBorder="1" applyAlignment="1">
      <alignment horizontal="center" vertical="center"/>
    </xf>
    <xf numFmtId="0" fontId="5" fillId="29" borderId="2" xfId="0" applyFont="1" applyFill="1" applyBorder="1" applyAlignment="1">
      <alignment horizontal="justify" vertical="center"/>
    </xf>
    <xf numFmtId="0" fontId="6" fillId="0" borderId="3" xfId="0" applyFont="1" applyFill="1" applyBorder="1" applyAlignment="1">
      <alignment horizontal="center" vertical="center"/>
    </xf>
    <xf numFmtId="0" fontId="6" fillId="0" borderId="3"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5" xfId="0" applyFont="1" applyFill="1" applyBorder="1" applyAlignment="1">
      <alignment horizontal="center" vertical="center" wrapText="1"/>
    </xf>
    <xf numFmtId="2" fontId="149" fillId="0" borderId="19" xfId="1" applyNumberFormat="1" applyFont="1" applyBorder="1" applyAlignment="1">
      <alignment horizontal="center"/>
    </xf>
    <xf numFmtId="2" fontId="149" fillId="0" borderId="19" xfId="1" applyNumberFormat="1" applyFont="1" applyBorder="1" applyAlignment="1">
      <alignment horizontal="center" vertic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5" fillId="29" borderId="2" xfId="0" applyFont="1" applyFill="1" applyBorder="1" applyAlignment="1">
      <alignment horizontal="justify" vertical="center"/>
    </xf>
    <xf numFmtId="0" fontId="5" fillId="0" borderId="2" xfId="0" applyFont="1" applyFill="1" applyBorder="1" applyAlignment="1">
      <alignment horizontal="center" vertical="center"/>
    </xf>
    <xf numFmtId="0" fontId="190" fillId="0" borderId="3" xfId="0" applyFont="1" applyFill="1" applyBorder="1" applyAlignment="1">
      <alignment horizontal="center" vertical="center"/>
    </xf>
    <xf numFmtId="0" fontId="191" fillId="0" borderId="3" xfId="0" applyFont="1" applyFill="1" applyBorder="1" applyAlignment="1">
      <alignment horizontal="center" vertical="center"/>
    </xf>
    <xf numFmtId="0" fontId="190" fillId="0" borderId="3" xfId="0" applyFont="1" applyFill="1" applyBorder="1" applyAlignment="1">
      <alignment horizontal="center" vertical="center" wrapText="1"/>
    </xf>
    <xf numFmtId="0" fontId="190" fillId="0" borderId="5" xfId="0" applyFont="1" applyFill="1" applyBorder="1" applyAlignment="1">
      <alignment horizontal="center" vertical="center"/>
    </xf>
    <xf numFmtId="0" fontId="149" fillId="0" borderId="0" xfId="0" applyNumberFormat="1" applyFont="1"/>
    <xf numFmtId="2" fontId="149" fillId="0" borderId="0" xfId="0" applyNumberFormat="1" applyFont="1"/>
    <xf numFmtId="2" fontId="149" fillId="0" borderId="0" xfId="1" applyNumberFormat="1" applyFont="1"/>
    <xf numFmtId="164" fontId="149" fillId="30" borderId="0" xfId="0" applyNumberFormat="1" applyFont="1" applyFill="1"/>
    <xf numFmtId="43" fontId="149" fillId="30" borderId="0" xfId="1" applyFont="1" applyFill="1"/>
    <xf numFmtId="0" fontId="149" fillId="30" borderId="0" xfId="0" applyFont="1" applyFill="1"/>
    <xf numFmtId="0" fontId="5" fillId="0" borderId="2" xfId="0" applyFont="1" applyFill="1" applyBorder="1" applyAlignment="1">
      <alignment horizontal="center" vertical="center"/>
    </xf>
    <xf numFmtId="194" fontId="149" fillId="0" borderId="0" xfId="0" applyNumberFormat="1" applyFont="1"/>
    <xf numFmtId="0" fontId="6" fillId="0" borderId="19" xfId="0" applyFont="1" applyBorder="1"/>
    <xf numFmtId="0" fontId="6" fillId="0" borderId="19" xfId="0" applyFont="1" applyFill="1" applyBorder="1" applyAlignment="1">
      <alignment horizontal="center" vertical="center"/>
    </xf>
    <xf numFmtId="0" fontId="6" fillId="0" borderId="19" xfId="0" applyFont="1" applyFill="1" applyBorder="1" applyAlignment="1">
      <alignment horizontal="center" vertical="center" wrapText="1"/>
    </xf>
    <xf numFmtId="2" fontId="5" fillId="0" borderId="19" xfId="0" applyNumberFormat="1" applyFont="1" applyBorder="1" applyAlignment="1">
      <alignment horizontal="center" vertical="center"/>
    </xf>
    <xf numFmtId="2" fontId="10" fillId="0" borderId="19" xfId="0" applyNumberFormat="1" applyFont="1" applyBorder="1" applyAlignment="1">
      <alignment horizontal="center" vertical="center"/>
    </xf>
    <xf numFmtId="2" fontId="10" fillId="0" borderId="19" xfId="1" applyNumberFormat="1" applyFont="1" applyBorder="1" applyAlignment="1">
      <alignment horizontal="center" vertical="center"/>
    </xf>
    <xf numFmtId="2" fontId="5" fillId="0" borderId="19" xfId="0" applyNumberFormat="1" applyFont="1" applyBorder="1" applyAlignment="1">
      <alignment horizontal="center"/>
    </xf>
    <xf numFmtId="0" fontId="6" fillId="0" borderId="19" xfId="0" applyFont="1" applyBorder="1" applyAlignment="1">
      <alignment horizontal="center"/>
    </xf>
    <xf numFmtId="2" fontId="5" fillId="0" borderId="18" xfId="0" applyNumberFormat="1" applyFont="1" applyBorder="1" applyAlignment="1">
      <alignment horizontal="center" vertical="center"/>
    </xf>
    <xf numFmtId="2" fontId="10" fillId="0" borderId="18" xfId="0" applyNumberFormat="1" applyFont="1" applyBorder="1" applyAlignment="1">
      <alignment horizontal="center" vertical="center"/>
    </xf>
    <xf numFmtId="2" fontId="10" fillId="0" borderId="18" xfId="1" applyNumberFormat="1" applyFont="1" applyBorder="1" applyAlignment="1">
      <alignment horizontal="center" vertical="center"/>
    </xf>
    <xf numFmtId="2" fontId="5" fillId="0" borderId="18" xfId="0" applyNumberFormat="1" applyFont="1" applyBorder="1" applyAlignment="1">
      <alignment horizontal="center"/>
    </xf>
    <xf numFmtId="0" fontId="5" fillId="0" borderId="18" xfId="0" applyNumberFormat="1" applyFont="1" applyBorder="1" applyAlignment="1">
      <alignment horizontal="center" vertical="center"/>
    </xf>
    <xf numFmtId="0" fontId="5" fillId="0" borderId="19" xfId="0" applyNumberFormat="1" applyFont="1" applyBorder="1" applyAlignment="1">
      <alignment horizontal="center" vertical="center"/>
    </xf>
    <xf numFmtId="0" fontId="10" fillId="0" borderId="14" xfId="2" applyFont="1" applyBorder="1" applyAlignment="1">
      <alignment horizontal="center" vertical="center" wrapText="1"/>
    </xf>
    <xf numFmtId="0" fontId="10"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19" fillId="9" borderId="23" xfId="3" applyFont="1" applyFill="1" applyBorder="1" applyAlignment="1" applyProtection="1">
      <alignment horizontal="center" vertical="center" textRotation="90"/>
      <protection locked="0"/>
    </xf>
    <xf numFmtId="0" fontId="19" fillId="9" borderId="18" xfId="3" applyFont="1" applyFill="1" applyBorder="1" applyAlignment="1" applyProtection="1">
      <alignment horizontal="center" vertical="center" textRotation="90"/>
      <protection locked="0"/>
    </xf>
    <xf numFmtId="0" fontId="19" fillId="9" borderId="23" xfId="3" applyFont="1" applyFill="1" applyBorder="1" applyAlignment="1" applyProtection="1">
      <alignment horizontal="center" vertical="center" wrapText="1"/>
      <protection locked="0"/>
    </xf>
    <xf numFmtId="0" fontId="19" fillId="9" borderId="18" xfId="3" applyFont="1" applyFill="1" applyBorder="1" applyAlignment="1" applyProtection="1">
      <alignment horizontal="center" vertical="center"/>
      <protection locked="0"/>
    </xf>
    <xf numFmtId="0" fontId="94" fillId="0" borderId="0" xfId="0" applyFont="1" applyAlignment="1">
      <alignment horizontal="center" vertic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1" xfId="0" applyFont="1" applyFill="1" applyBorder="1" applyAlignment="1">
      <alignment horizontal="center" vertical="center" wrapText="1"/>
    </xf>
    <xf numFmtId="0" fontId="6" fillId="0" borderId="108" xfId="0" applyFont="1" applyFill="1" applyBorder="1" applyAlignment="1">
      <alignment horizontal="center" vertical="center" wrapText="1"/>
    </xf>
    <xf numFmtId="0" fontId="10" fillId="0" borderId="0" xfId="0" applyFont="1" applyAlignment="1">
      <alignment horizontal="center" vertical="center"/>
    </xf>
    <xf numFmtId="0" fontId="158" fillId="0" borderId="1" xfId="0" applyFont="1" applyBorder="1" applyAlignment="1">
      <alignment horizontal="center" vertical="center" wrapText="1"/>
    </xf>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4" xfId="0" applyFont="1" applyBorder="1" applyAlignment="1">
      <alignment horizontal="center" vertical="center" wrapText="1"/>
    </xf>
    <xf numFmtId="0" fontId="158" fillId="0" borderId="31" xfId="0" applyFont="1" applyBorder="1" applyAlignment="1">
      <alignment horizontal="center" vertical="center" wrapText="1"/>
    </xf>
    <xf numFmtId="0" fontId="158" fillId="0" borderId="5" xfId="0" applyFont="1" applyBorder="1" applyAlignment="1">
      <alignment horizontal="center" vertical="center" wrapText="1"/>
    </xf>
    <xf numFmtId="0" fontId="190" fillId="0" borderId="1" xfId="0" applyFont="1" applyFill="1" applyBorder="1" applyAlignment="1">
      <alignment horizontal="center" vertical="center"/>
    </xf>
    <xf numFmtId="0" fontId="190" fillId="0" borderId="2" xfId="0" applyFont="1" applyFill="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5" fillId="29" borderId="1" xfId="0" applyFont="1" applyFill="1" applyBorder="1" applyAlignment="1">
      <alignment horizontal="justify" vertical="center"/>
    </xf>
    <xf numFmtId="0" fontId="5" fillId="29" borderId="30" xfId="0" applyFont="1" applyFill="1" applyBorder="1" applyAlignment="1">
      <alignment horizontal="justify" vertical="center"/>
    </xf>
    <xf numFmtId="0" fontId="5" fillId="29" borderId="2" xfId="0" applyFont="1" applyFill="1" applyBorder="1" applyAlignment="1">
      <alignment horizontal="justify" vertical="center"/>
    </xf>
    <xf numFmtId="0" fontId="5" fillId="0" borderId="1"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2" xfId="0" applyFont="1" applyFill="1" applyBorder="1" applyAlignment="1">
      <alignment horizontal="center" vertical="center"/>
    </xf>
    <xf numFmtId="0" fontId="5" fillId="29" borderId="1" xfId="0" applyFont="1" applyFill="1" applyBorder="1" applyAlignment="1">
      <alignment horizontal="justify" vertical="center" wrapText="1"/>
    </xf>
    <xf numFmtId="0" fontId="5" fillId="29" borderId="30" xfId="0" applyFont="1" applyFill="1" applyBorder="1" applyAlignment="1">
      <alignment horizontal="justify" vertical="center" wrapText="1"/>
    </xf>
    <xf numFmtId="0" fontId="5" fillId="29" borderId="108" xfId="0" applyFont="1" applyFill="1" applyBorder="1" applyAlignment="1">
      <alignment horizontal="justify" vertical="center" wrapText="1"/>
    </xf>
    <xf numFmtId="0" fontId="5" fillId="29" borderId="2" xfId="0" applyFont="1" applyFill="1" applyBorder="1" applyAlignment="1">
      <alignment horizontal="justify" vertical="center" wrapText="1"/>
    </xf>
    <xf numFmtId="0" fontId="5" fillId="0" borderId="42" xfId="0" applyFont="1" applyFill="1" applyBorder="1" applyAlignment="1">
      <alignment horizontal="center" vertical="center"/>
    </xf>
    <xf numFmtId="0" fontId="5" fillId="0" borderId="41" xfId="0" applyFont="1" applyFill="1" applyBorder="1" applyAlignment="1">
      <alignment horizontal="center" vertical="center"/>
    </xf>
    <xf numFmtId="0" fontId="5" fillId="0" borderId="113" xfId="0" applyFont="1" applyFill="1" applyBorder="1" applyAlignment="1">
      <alignment horizontal="center" vertical="center"/>
    </xf>
    <xf numFmtId="164" fontId="5" fillId="0" borderId="1" xfId="0" applyNumberFormat="1" applyFont="1" applyFill="1" applyBorder="1" applyAlignment="1">
      <alignment horizontal="center" vertical="center"/>
    </xf>
    <xf numFmtId="2" fontId="5" fillId="0" borderId="18" xfId="1" applyNumberFormat="1" applyFont="1" applyBorder="1" applyAlignment="1">
      <alignment horizontal="center" vertical="center"/>
    </xf>
    <xf numFmtId="2" fontId="5" fillId="0" borderId="19" xfId="1" applyNumberFormat="1" applyFont="1" applyBorder="1" applyAlignment="1">
      <alignment horizontal="center" vertical="center"/>
    </xf>
    <xf numFmtId="0" fontId="158" fillId="25" borderId="1" xfId="0" applyFont="1" applyFill="1" applyBorder="1" applyAlignment="1">
      <alignment horizontal="center" vertical="center" wrapText="1"/>
    </xf>
    <xf numFmtId="0" fontId="158" fillId="25" borderId="30" xfId="0" applyFont="1" applyFill="1" applyBorder="1" applyAlignment="1">
      <alignment horizontal="center" vertical="center" wrapText="1"/>
    </xf>
    <xf numFmtId="0" fontId="158" fillId="25" borderId="2" xfId="0" applyFont="1" applyFill="1" applyBorder="1" applyAlignment="1">
      <alignment horizontal="center" vertical="center" wrapText="1"/>
    </xf>
    <xf numFmtId="0" fontId="179" fillId="0" borderId="111" xfId="0" applyFont="1" applyBorder="1" applyAlignment="1">
      <alignment horizontal="center" vertical="center"/>
    </xf>
    <xf numFmtId="0" fontId="74" fillId="0" borderId="112" xfId="0" applyFont="1" applyBorder="1" applyAlignment="1">
      <alignment vertical="center"/>
    </xf>
    <xf numFmtId="0" fontId="158" fillId="0" borderId="6" xfId="0" applyFont="1" applyBorder="1" applyAlignment="1">
      <alignment horizontal="center" vertical="center"/>
    </xf>
    <xf numFmtId="0" fontId="158" fillId="0" borderId="7" xfId="0" applyFont="1" applyBorder="1" applyAlignment="1">
      <alignment horizontal="center" vertical="center"/>
    </xf>
    <xf numFmtId="0" fontId="158" fillId="0" borderId="3" xfId="0" applyFont="1" applyBorder="1" applyAlignment="1">
      <alignment horizontal="center" vertical="center"/>
    </xf>
    <xf numFmtId="0" fontId="158" fillId="0" borderId="6" xfId="0" applyFont="1" applyBorder="1" applyAlignment="1">
      <alignment horizontal="center" vertical="center" wrapText="1"/>
    </xf>
    <xf numFmtId="0" fontId="158" fillId="0" borderId="7" xfId="0" applyFont="1" applyBorder="1" applyAlignment="1">
      <alignment horizontal="center" vertical="center" wrapText="1"/>
    </xf>
    <xf numFmtId="0" fontId="158" fillId="0" borderId="3" xfId="0" applyFont="1" applyBorder="1" applyAlignment="1">
      <alignment horizontal="center" vertical="center" wrapText="1"/>
    </xf>
    <xf numFmtId="0" fontId="158" fillId="0" borderId="99" xfId="0" applyFont="1" applyBorder="1" applyAlignment="1">
      <alignment horizontal="center" vertical="center" wrapText="1"/>
    </xf>
    <xf numFmtId="0" fontId="158" fillId="0" borderId="100" xfId="0" applyFont="1" applyBorder="1" applyAlignment="1">
      <alignment horizontal="center" vertical="center" wrapText="1"/>
    </xf>
    <xf numFmtId="0" fontId="158" fillId="0" borderId="71" xfId="0" applyFont="1" applyBorder="1" applyAlignment="1">
      <alignment horizontal="center" vertical="center" wrapText="1"/>
    </xf>
    <xf numFmtId="0" fontId="158" fillId="0" borderId="0" xfId="0" applyFont="1" applyBorder="1" applyAlignment="1">
      <alignment horizontal="center" vertical="center" wrapText="1"/>
    </xf>
    <xf numFmtId="0" fontId="158" fillId="0" borderId="42" xfId="0" applyFont="1" applyBorder="1" applyAlignment="1">
      <alignment horizontal="center" vertical="center" wrapText="1"/>
    </xf>
    <xf numFmtId="0" fontId="158" fillId="0" borderId="41" xfId="0" applyFont="1" applyBorder="1" applyAlignment="1">
      <alignment horizontal="center" vertical="center" wrapText="1"/>
    </xf>
    <xf numFmtId="0" fontId="6" fillId="0" borderId="1" xfId="17" applyFont="1" applyFill="1" applyBorder="1" applyAlignment="1">
      <alignment horizontal="center" vertical="center" wrapText="1"/>
    </xf>
    <xf numFmtId="0" fontId="6" fillId="0" borderId="108" xfId="17" applyFont="1" applyFill="1" applyBorder="1" applyAlignment="1">
      <alignment horizontal="center" vertical="center" wrapText="1"/>
    </xf>
    <xf numFmtId="0" fontId="5" fillId="0" borderId="1" xfId="17" applyFont="1" applyFill="1" applyBorder="1" applyAlignment="1">
      <alignment horizontal="left" vertical="center"/>
    </xf>
    <xf numFmtId="0" fontId="5" fillId="0" borderId="30" xfId="17" applyFont="1" applyFill="1" applyBorder="1" applyAlignment="1">
      <alignment horizontal="left" vertical="center"/>
    </xf>
    <xf numFmtId="0" fontId="5" fillId="0" borderId="2" xfId="17" applyFont="1" applyFill="1" applyBorder="1" applyAlignment="1">
      <alignment horizontal="left" vertical="center"/>
    </xf>
    <xf numFmtId="0" fontId="5" fillId="0" borderId="1" xfId="17" applyFont="1" applyFill="1" applyBorder="1" applyAlignment="1">
      <alignment horizontal="center" vertical="center"/>
    </xf>
    <xf numFmtId="0" fontId="5" fillId="0" borderId="30" xfId="17" applyFont="1" applyFill="1" applyBorder="1" applyAlignment="1">
      <alignment horizontal="center" vertical="center"/>
    </xf>
    <xf numFmtId="0" fontId="5" fillId="0" borderId="2" xfId="17" applyFont="1" applyFill="1" applyBorder="1" applyAlignment="1">
      <alignment horizontal="center" vertical="center"/>
    </xf>
    <xf numFmtId="0" fontId="10"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0" fontId="149" fillId="22" borderId="90" xfId="10" applyFont="1" applyFill="1" applyBorder="1" applyAlignment="1">
      <alignment horizontal="center" vertical="center" wrapText="1"/>
    </xf>
    <xf numFmtId="0" fontId="149" fillId="22" borderId="14" xfId="10" applyFont="1" applyFill="1" applyBorder="1" applyAlignment="1">
      <alignment horizontal="center" vertical="center" wrapText="1"/>
    </xf>
    <xf numFmtId="0" fontId="149" fillId="22" borderId="15"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6" fillId="22" borderId="14" xfId="10" applyFont="1" applyFill="1" applyBorder="1" applyAlignment="1">
      <alignment horizontal="center" vertical="center" wrapText="1"/>
    </xf>
    <xf numFmtId="0" fontId="146" fillId="22" borderId="15" xfId="10" applyFont="1" applyFill="1" applyBorder="1" applyAlignment="1">
      <alignment horizontal="center" vertical="center" wrapText="1"/>
    </xf>
    <xf numFmtId="0" fontId="146" fillId="22" borderId="14" xfId="10" applyFont="1" applyFill="1" applyBorder="1" applyAlignment="1">
      <alignment horizontal="center" vertical="center" shrinkToFit="1"/>
    </xf>
    <xf numFmtId="0" fontId="146" fillId="22" borderId="15" xfId="10" applyFont="1" applyFill="1" applyBorder="1" applyAlignment="1">
      <alignment horizontal="center" vertical="center" shrinkToFit="1"/>
    </xf>
    <xf numFmtId="1" fontId="146" fillId="22" borderId="14" xfId="10" applyNumberFormat="1" applyFont="1" applyFill="1" applyBorder="1" applyAlignment="1">
      <alignment horizontal="center" vertical="center" wrapText="1"/>
    </xf>
    <xf numFmtId="1" fontId="146" fillId="22" borderId="15" xfId="10" applyNumberFormat="1" applyFont="1" applyFill="1" applyBorder="1" applyAlignment="1">
      <alignment horizontal="center" vertical="center" wrapText="1"/>
    </xf>
    <xf numFmtId="0" fontId="156" fillId="0" borderId="0" xfId="10" applyFont="1" applyAlignment="1">
      <alignment horizontal="center" vertical="center"/>
    </xf>
    <xf numFmtId="0" fontId="138" fillId="0" borderId="0" xfId="10" applyFont="1" applyAlignment="1"/>
    <xf numFmtId="0" fontId="140" fillId="0" borderId="0" xfId="10" applyFont="1" applyAlignment="1">
      <alignment horizontal="center" vertical="center" wrapText="1"/>
    </xf>
    <xf numFmtId="0" fontId="153" fillId="0" borderId="0" xfId="10" applyFont="1" applyAlignment="1">
      <alignment horizontal="center" vertical="center" wrapText="1"/>
    </xf>
    <xf numFmtId="0" fontId="155" fillId="0" borderId="0" xfId="10" applyFont="1" applyAlignment="1">
      <alignment horizontal="center" vertical="center"/>
    </xf>
    <xf numFmtId="0" fontId="153" fillId="22" borderId="14" xfId="10" applyFont="1" applyFill="1" applyBorder="1" applyAlignment="1">
      <alignment horizontal="center" vertical="center" wrapText="1"/>
    </xf>
    <xf numFmtId="0" fontId="153" fillId="22" borderId="15" xfId="10" applyFont="1" applyFill="1" applyBorder="1" applyAlignment="1">
      <alignment horizontal="center" vertical="center" wrapText="1"/>
    </xf>
    <xf numFmtId="0" fontId="153" fillId="22" borderId="16" xfId="10" applyFont="1" applyFill="1" applyBorder="1" applyAlignment="1">
      <alignment horizontal="center" vertical="center" wrapText="1"/>
    </xf>
    <xf numFmtId="0" fontId="149" fillId="22" borderId="11" xfId="10" applyFont="1" applyFill="1" applyBorder="1" applyAlignment="1">
      <alignment horizontal="center" vertical="center" wrapText="1"/>
    </xf>
    <xf numFmtId="0" fontId="149" fillId="22" borderId="12" xfId="10" applyFont="1" applyFill="1" applyBorder="1" applyAlignment="1">
      <alignment horizontal="center" vertical="center" wrapText="1"/>
    </xf>
    <xf numFmtId="0" fontId="149" fillId="22" borderId="13" xfId="10" applyFont="1" applyFill="1" applyBorder="1" applyAlignment="1">
      <alignment horizontal="center" vertical="center" wrapText="1"/>
    </xf>
    <xf numFmtId="167" fontId="131" fillId="17" borderId="19" xfId="0" applyNumberFormat="1" applyFont="1" applyFill="1" applyBorder="1" applyAlignment="1">
      <alignment horizontal="center"/>
    </xf>
    <xf numFmtId="0" fontId="124" fillId="21" borderId="0" xfId="0" applyFont="1" applyFill="1" applyAlignment="1">
      <alignment horizontal="center" vertical="center"/>
    </xf>
    <xf numFmtId="0" fontId="126" fillId="21" borderId="19" xfId="0" applyFont="1" applyFill="1" applyBorder="1" applyAlignment="1">
      <alignment horizontal="center" vertical="center" wrapText="1"/>
    </xf>
    <xf numFmtId="0" fontId="5" fillId="0" borderId="0" xfId="0" applyFont="1" applyAlignment="1">
      <alignment horizontal="right" vertical="center"/>
    </xf>
    <xf numFmtId="0" fontId="5" fillId="0" borderId="0" xfId="0" applyFont="1" applyAlignment="1">
      <alignment horizontal="center" vertical="center"/>
    </xf>
    <xf numFmtId="2" fontId="98" fillId="0" borderId="0" xfId="0" applyNumberFormat="1" applyFont="1" applyAlignment="1">
      <alignment horizontal="center" vertical="center"/>
    </xf>
    <xf numFmtId="0" fontId="5"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21"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36" fillId="13" borderId="19" xfId="3" applyFont="1" applyFill="1" applyBorder="1" applyAlignment="1" applyProtection="1">
      <alignment horizontal="center" vertical="center" wrapText="1"/>
      <protection locked="0"/>
    </xf>
    <xf numFmtId="0" fontId="117" fillId="13" borderId="23" xfId="3" applyFont="1" applyFill="1" applyBorder="1" applyAlignment="1" applyProtection="1">
      <alignment horizontal="center" vertical="center" wrapText="1"/>
      <protection locked="0"/>
    </xf>
    <xf numFmtId="0" fontId="117" fillId="13" borderId="18" xfId="3" applyFont="1" applyFill="1" applyBorder="1" applyAlignment="1" applyProtection="1">
      <alignment horizontal="center" vertical="center" wrapText="1"/>
      <protection locked="0"/>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36" fillId="12" borderId="0" xfId="3" applyFont="1" applyFill="1" applyAlignment="1" applyProtection="1">
      <alignment horizontal="center" wrapText="1"/>
    </xf>
    <xf numFmtId="0" fontId="36" fillId="9" borderId="23" xfId="3" applyFont="1" applyFill="1" applyBorder="1" applyAlignment="1" applyProtection="1">
      <alignment horizontal="center" vertical="center" textRotation="90"/>
    </xf>
    <xf numFmtId="0" fontId="36" fillId="9" borderId="17" xfId="3" applyFont="1" applyFill="1" applyBorder="1" applyAlignment="1" applyProtection="1">
      <alignment horizontal="center" vertical="center" textRotation="90"/>
    </xf>
    <xf numFmtId="0" fontId="36" fillId="9" borderId="18" xfId="3" applyFont="1" applyFill="1" applyBorder="1" applyAlignment="1" applyProtection="1">
      <alignment horizontal="center" vertical="center" textRotation="90"/>
    </xf>
    <xf numFmtId="0" fontId="66" fillId="13" borderId="46" xfId="7" applyFont="1" applyFill="1" applyBorder="1" applyAlignment="1">
      <alignment horizontal="center"/>
    </xf>
    <xf numFmtId="0" fontId="66" fillId="13" borderId="47" xfId="7" applyFont="1" applyFill="1" applyBorder="1" applyAlignment="1">
      <alignment horizontal="center"/>
    </xf>
    <xf numFmtId="0" fontId="66" fillId="13" borderId="28" xfId="7" applyFont="1" applyFill="1" applyBorder="1" applyAlignment="1">
      <alignment horizontal="center"/>
    </xf>
    <xf numFmtId="0" fontId="68" fillId="18" borderId="0" xfId="0" applyFont="1" applyFill="1" applyAlignment="1">
      <alignment horizontal="center" vertical="center"/>
    </xf>
    <xf numFmtId="1" fontId="69" fillId="19" borderId="43" xfId="6" applyNumberFormat="1" applyFont="1" applyFill="1" applyBorder="1" applyAlignment="1">
      <alignment horizontal="center" vertical="center" wrapText="1"/>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0" fontId="66" fillId="13" borderId="49"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0" fontId="80" fillId="0" borderId="23" xfId="0" applyFont="1" applyBorder="1" applyAlignment="1">
      <alignment horizontal="center" vertical="center"/>
    </xf>
    <xf numFmtId="0" fontId="80" fillId="0" borderId="18" xfId="0" applyFont="1" applyBorder="1" applyAlignment="1">
      <alignment horizontal="center" vertical="center"/>
    </xf>
    <xf numFmtId="0" fontId="80" fillId="0" borderId="17" xfId="0" applyFont="1" applyBorder="1" applyAlignment="1">
      <alignment horizontal="center" vertical="center"/>
    </xf>
    <xf numFmtId="0" fontId="80" fillId="0" borderId="19" xfId="0" applyFont="1" applyBorder="1" applyAlignment="1">
      <alignment horizontal="center" vertical="center"/>
    </xf>
    <xf numFmtId="0" fontId="80" fillId="0" borderId="39" xfId="0" applyFont="1" applyBorder="1" applyAlignment="1">
      <alignment horizontal="center" vertical="center"/>
    </xf>
    <xf numFmtId="0" fontId="83" fillId="0" borderId="0" xfId="0" applyFont="1" applyAlignment="1">
      <alignment horizontal="center" vertical="center"/>
    </xf>
    <xf numFmtId="0" fontId="83" fillId="0" borderId="20" xfId="0" applyFont="1" applyBorder="1" applyAlignment="1">
      <alignment horizontal="center" vertical="center"/>
    </xf>
    <xf numFmtId="0" fontId="80" fillId="0" borderId="47" xfId="0" applyFont="1" applyBorder="1" applyAlignment="1">
      <alignment horizontal="center" vertical="center"/>
    </xf>
    <xf numFmtId="0" fontId="80" fillId="0" borderId="28" xfId="0" applyFont="1" applyBorder="1" applyAlignment="1">
      <alignment horizontal="center" vertical="center"/>
    </xf>
    <xf numFmtId="0" fontId="80" fillId="0" borderId="39" xfId="0" applyFont="1" applyBorder="1" applyAlignment="1">
      <alignment horizontal="left" vertical="center"/>
    </xf>
    <xf numFmtId="0" fontId="80" fillId="0" borderId="47" xfId="0" applyFont="1" applyBorder="1" applyAlignment="1">
      <alignment horizontal="left" vertical="center"/>
    </xf>
    <xf numFmtId="0" fontId="80" fillId="0" borderId="28" xfId="0" applyFont="1" applyBorder="1" applyAlignment="1">
      <alignment horizontal="left" vertic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19" xfId="0" applyFont="1" applyBorder="1" applyAlignment="1">
      <alignment horizontal="center" vertical="center" wrapText="1"/>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68" xfId="0" applyFont="1" applyBorder="1" applyAlignment="1">
      <alignment horizontal="center" vertical="center"/>
    </xf>
    <xf numFmtId="0" fontId="81" fillId="0" borderId="68" xfId="0" applyFont="1" applyBorder="1" applyAlignment="1">
      <alignment horizontal="center" vertical="center"/>
    </xf>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0" xfId="0" applyFont="1" applyAlignment="1">
      <alignment horizontal="left" wrapText="1"/>
    </xf>
    <xf numFmtId="0" fontId="80" fillId="0" borderId="0" xfId="0" applyFont="1" applyAlignment="1">
      <alignment horizontal="left" vertical="center" wrapText="1"/>
    </xf>
    <xf numFmtId="0" fontId="80" fillId="0" borderId="0" xfId="0" applyFont="1" applyAlignment="1">
      <alignment horizontal="left"/>
    </xf>
    <xf numFmtId="0" fontId="80" fillId="0" borderId="39" xfId="0" applyFont="1" applyBorder="1" applyAlignment="1">
      <alignment horizontal="center" vertical="center" wrapText="1"/>
    </xf>
    <xf numFmtId="0" fontId="81" fillId="0" borderId="1" xfId="0" applyFont="1" applyBorder="1" applyAlignment="1">
      <alignment horizontal="center" vertical="center" wrapText="1"/>
    </xf>
    <xf numFmtId="0" fontId="81" fillId="0" borderId="30" xfId="0" applyFont="1" applyBorder="1" applyAlignment="1">
      <alignment horizontal="center" vertical="center" wrapText="1"/>
    </xf>
    <xf numFmtId="0" fontId="80" fillId="0" borderId="43" xfId="0" applyFont="1" applyBorder="1" applyAlignment="1">
      <alignment horizontal="center"/>
    </xf>
    <xf numFmtId="0" fontId="80" fillId="0" borderId="65" xfId="0" applyFont="1" applyBorder="1" applyAlignment="1">
      <alignment horizontal="center"/>
    </xf>
    <xf numFmtId="0" fontId="80" fillId="0" borderId="67" xfId="0" applyFont="1" applyBorder="1" applyAlignment="1">
      <alignment horizontal="center" vertical="center" wrapText="1"/>
    </xf>
    <xf numFmtId="0" fontId="80" fillId="0" borderId="43" xfId="0" applyFont="1" applyBorder="1" applyAlignment="1">
      <alignment horizontal="center" vertical="center"/>
    </xf>
    <xf numFmtId="0" fontId="80" fillId="0" borderId="46" xfId="0" applyFont="1" applyBorder="1" applyAlignment="1">
      <alignment horizontal="center" vertical="center"/>
    </xf>
    <xf numFmtId="0" fontId="80" fillId="0" borderId="54" xfId="0" applyFont="1" applyBorder="1" applyAlignment="1">
      <alignment horizontal="center" vertical="center"/>
    </xf>
    <xf numFmtId="0" fontId="80" fillId="0" borderId="55"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56" xfId="0" applyFont="1" applyBorder="1" applyAlignment="1">
      <alignment horizontal="center"/>
    </xf>
    <xf numFmtId="0" fontId="80" fillId="0" borderId="44" xfId="0" applyFont="1" applyBorder="1" applyAlignment="1">
      <alignment horizontal="center"/>
    </xf>
    <xf numFmtId="0" fontId="80" fillId="0" borderId="45" xfId="0" applyFont="1" applyBorder="1" applyAlignment="1">
      <alignment horizontal="center"/>
    </xf>
    <xf numFmtId="0" fontId="81" fillId="0" borderId="57" xfId="0" applyFont="1" applyBorder="1" applyAlignment="1">
      <alignment horizontal="center" vertical="center" wrapText="1"/>
    </xf>
    <xf numFmtId="0" fontId="81" fillId="0" borderId="60" xfId="0" applyFont="1" applyBorder="1" applyAlignment="1">
      <alignment horizontal="center" vertical="center" wrapText="1"/>
    </xf>
    <xf numFmtId="0" fontId="81" fillId="0" borderId="63" xfId="0" applyFont="1" applyBorder="1" applyAlignment="1">
      <alignment horizontal="center" vertical="center" wrapText="1"/>
    </xf>
    <xf numFmtId="0" fontId="80" fillId="0" borderId="58"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59" xfId="0" applyFont="1" applyBorder="1" applyAlignment="1">
      <alignment horizontal="center" vertical="center"/>
    </xf>
    <xf numFmtId="0" fontId="80" fillId="0" borderId="62" xfId="0" applyFont="1" applyBorder="1" applyAlignment="1">
      <alignment horizontal="center" vertical="center"/>
    </xf>
    <xf numFmtId="0" fontId="80" fillId="0" borderId="46" xfId="0" applyFont="1" applyBorder="1" applyAlignment="1">
      <alignment horizontal="center"/>
    </xf>
    <xf numFmtId="0" fontId="80" fillId="0" borderId="28" xfId="0" applyFont="1" applyBorder="1" applyAlignment="1">
      <alignment horizontal="center"/>
    </xf>
    <xf numFmtId="0" fontId="80" fillId="0" borderId="49" xfId="0" applyFont="1" applyBorder="1" applyAlignment="1">
      <alignment horizontal="center"/>
    </xf>
    <xf numFmtId="0" fontId="80" fillId="0" borderId="51" xfId="0" applyFont="1" applyBorder="1" applyAlignment="1">
      <alignment horizontal="center"/>
    </xf>
    <xf numFmtId="2" fontId="79" fillId="0" borderId="20" xfId="0" applyNumberFormat="1" applyFont="1" applyBorder="1" applyAlignment="1">
      <alignment horizontal="center" vertical="center"/>
    </xf>
    <xf numFmtId="0" fontId="76" fillId="0" borderId="19" xfId="0" applyFont="1" applyBorder="1" applyAlignment="1">
      <alignment horizontal="center"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5" fillId="14" borderId="1" xfId="0" applyFont="1" applyFill="1" applyBorder="1" applyAlignment="1">
      <alignment horizontal="center" vertical="center"/>
    </xf>
    <xf numFmtId="0" fontId="5" fillId="14" borderId="30" xfId="0" applyFont="1" applyFill="1" applyBorder="1" applyAlignment="1">
      <alignment horizontal="center" vertical="center"/>
    </xf>
    <xf numFmtId="0" fontId="5" fillId="14" borderId="2" xfId="0" applyFont="1" applyFill="1" applyBorder="1" applyAlignment="1">
      <alignment horizontal="center" vertical="center"/>
    </xf>
    <xf numFmtId="0" fontId="10" fillId="14" borderId="1" xfId="0" applyFont="1" applyFill="1" applyBorder="1" applyAlignment="1">
      <alignment horizontal="center" vertical="center"/>
    </xf>
    <xf numFmtId="0" fontId="10" fillId="14" borderId="30" xfId="0" applyFont="1" applyFill="1" applyBorder="1" applyAlignment="1">
      <alignment horizontal="center" vertical="center"/>
    </xf>
    <xf numFmtId="0" fontId="10" fillId="14" borderId="2" xfId="0" applyFont="1" applyFill="1" applyBorder="1" applyAlignment="1">
      <alignment horizontal="center" vertical="center"/>
    </xf>
    <xf numFmtId="0" fontId="10" fillId="2" borderId="1" xfId="0" applyFont="1" applyFill="1" applyBorder="1" applyAlignment="1">
      <alignment horizontal="justify" vertical="center"/>
    </xf>
    <xf numFmtId="0" fontId="10" fillId="2" borderId="30" xfId="0" applyFont="1" applyFill="1" applyBorder="1" applyAlignment="1">
      <alignment horizontal="justify" vertical="center"/>
    </xf>
    <xf numFmtId="0" fontId="10" fillId="2" borderId="2" xfId="0" applyFont="1" applyFill="1" applyBorder="1" applyAlignment="1">
      <alignment horizontal="justify" vertical="center"/>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32" xfId="0" applyFont="1" applyBorder="1" applyAlignment="1">
      <alignment horizontal="justify" vertical="center"/>
    </xf>
    <xf numFmtId="0" fontId="7" fillId="13" borderId="19" xfId="0" applyFont="1" applyFill="1" applyBorder="1" applyAlignment="1">
      <alignment horizontal="center" vertical="center" wrapText="1"/>
    </xf>
    <xf numFmtId="0" fontId="11" fillId="0" borderId="0" xfId="0" applyFont="1" applyAlignment="1">
      <alignment horizontal="center" vertical="center"/>
    </xf>
    <xf numFmtId="0" fontId="7" fillId="13" borderId="19" xfId="0" applyFont="1" applyFill="1" applyBorder="1" applyAlignment="1">
      <alignment horizontal="justify" vertical="center" wrapText="1"/>
    </xf>
    <xf numFmtId="49" fontId="10" fillId="13" borderId="19" xfId="0" applyNumberFormat="1" applyFont="1" applyFill="1" applyBorder="1" applyAlignment="1">
      <alignment horizontal="justify" vertical="center" wrapText="1"/>
    </xf>
    <xf numFmtId="0" fontId="10" fillId="13" borderId="19" xfId="0" applyFont="1" applyFill="1" applyBorder="1" applyAlignment="1">
      <alignment horizontal="justify" vertical="center" wrapText="1"/>
    </xf>
    <xf numFmtId="0" fontId="6"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10" fillId="16" borderId="23"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70"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17"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21" fillId="7" borderId="23"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7" fontId="19" fillId="0" borderId="23" xfId="2" applyNumberFormat="1" applyFont="1" applyFill="1" applyBorder="1" applyAlignment="1">
      <alignment horizontal="center" vertical="center" wrapText="1"/>
    </xf>
    <xf numFmtId="167" fontId="19" fillId="0" borderId="18" xfId="2" applyNumberFormat="1"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xf numFmtId="43" fontId="1" fillId="0" borderId="0" xfId="1" applyFont="1"/>
  </cellXfs>
  <cellStyles count="26">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 9" xfId="25" xr:uid="{0B4A2574-BB0F-4844-803F-495C04538315}"/>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8.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0.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2.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B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B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B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B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B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B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B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B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B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B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B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B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B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F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0F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0F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0F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0F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0F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0F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0F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0F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0F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0F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0F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0F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0F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0F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0F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0F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0F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0F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0F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5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5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5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5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5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5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5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5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5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5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7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7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7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7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7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7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7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7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7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7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7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7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8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8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8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9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9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9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9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9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9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VTN/SAP/Noi%20luc%20dam%20khung%20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row r="6">
          <cell r="A6" t="str">
            <v>1</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9.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8.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1.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204</v>
      </c>
      <c r="B1" s="28" t="s">
        <v>205</v>
      </c>
      <c r="C1" s="28" t="s">
        <v>205</v>
      </c>
      <c r="D1" s="978" t="s">
        <v>206</v>
      </c>
      <c r="E1" s="28" t="s">
        <v>207</v>
      </c>
      <c r="F1" s="28" t="s">
        <v>208</v>
      </c>
      <c r="G1" s="28" t="s">
        <v>209</v>
      </c>
      <c r="H1" s="32" t="s">
        <v>210</v>
      </c>
    </row>
    <row r="2" spans="1:8" ht="19.5">
      <c r="A2" s="29" t="s">
        <v>211</v>
      </c>
      <c r="B2" s="29" t="s">
        <v>212</v>
      </c>
      <c r="C2" s="29" t="s">
        <v>213</v>
      </c>
      <c r="D2" s="979"/>
      <c r="E2" s="29" t="s">
        <v>214</v>
      </c>
      <c r="F2" s="29" t="s">
        <v>214</v>
      </c>
      <c r="G2" s="29" t="s">
        <v>215</v>
      </c>
      <c r="H2" s="33" t="s">
        <v>216</v>
      </c>
    </row>
    <row r="3" spans="1:8" ht="19.5">
      <c r="A3" s="29" t="s">
        <v>217</v>
      </c>
      <c r="B3" s="29" t="s">
        <v>218</v>
      </c>
      <c r="C3" s="29" t="s">
        <v>219</v>
      </c>
      <c r="D3" s="979"/>
      <c r="E3" s="29" t="s">
        <v>220</v>
      </c>
      <c r="F3" s="29" t="s">
        <v>221</v>
      </c>
      <c r="G3" s="29" t="s">
        <v>222</v>
      </c>
      <c r="H3" s="33" t="s">
        <v>223</v>
      </c>
    </row>
    <row r="4" spans="1:8" ht="35.5">
      <c r="A4" s="29" t="s">
        <v>224</v>
      </c>
      <c r="B4" s="29" t="s">
        <v>58</v>
      </c>
      <c r="C4" s="29" t="s">
        <v>58</v>
      </c>
      <c r="D4" s="979"/>
      <c r="E4" s="29" t="s">
        <v>225</v>
      </c>
      <c r="F4" s="29" t="s">
        <v>225</v>
      </c>
      <c r="G4" s="29" t="s">
        <v>226</v>
      </c>
      <c r="H4" s="34"/>
    </row>
    <row r="5" spans="1:8" ht="36" thickBot="1">
      <c r="A5" s="30"/>
      <c r="B5" s="30"/>
      <c r="C5" s="30"/>
      <c r="D5" s="980"/>
      <c r="E5" s="30"/>
      <c r="F5" s="30"/>
      <c r="G5" s="31" t="s">
        <v>225</v>
      </c>
      <c r="H5" s="35"/>
    </row>
    <row r="6" spans="1:8" ht="17" thickBot="1">
      <c r="A6" s="36">
        <v>1</v>
      </c>
      <c r="B6" s="36">
        <v>3</v>
      </c>
      <c r="C6" s="36">
        <v>2</v>
      </c>
      <c r="D6" s="36">
        <v>4</v>
      </c>
      <c r="E6" s="36">
        <v>5</v>
      </c>
      <c r="F6" s="36">
        <v>6</v>
      </c>
      <c r="G6" s="36">
        <v>7</v>
      </c>
      <c r="H6" s="37">
        <v>8</v>
      </c>
    </row>
    <row r="7" spans="1:8" ht="17" thickBot="1">
      <c r="A7" s="976" t="s">
        <v>200</v>
      </c>
      <c r="B7" s="976">
        <f>VLOOKUP('momen 1p'!A7:A8,'tải sàn'!$B$5:$F$20,4,0)</f>
        <v>2.2000000000000002</v>
      </c>
      <c r="C7" s="976">
        <f>VLOOKUP('momen 1p'!A7:A8,'tải sàn'!$B$5:$F$20,5,0)</f>
        <v>4</v>
      </c>
      <c r="D7" s="976">
        <f>ROUND(C7/B7,1)</f>
        <v>1.8</v>
      </c>
      <c r="E7" s="976">
        <f>VLOOKUP('momen 1p'!A7:A8,'tải sàn'!$B$5:$F$20,2,0)</f>
        <v>0.19500000000000001</v>
      </c>
      <c r="F7" s="976">
        <f>VLOOKUP('momen 1p'!A7:A8,'tải sàn'!$B$5:$F$20,3,0)</f>
        <v>0.62</v>
      </c>
      <c r="G7" s="976">
        <f>E7+F7</f>
        <v>0.81499999999999995</v>
      </c>
      <c r="H7" s="450">
        <f>G7*B7^2/24</f>
        <v>0.16435833333333336</v>
      </c>
    </row>
    <row r="8" spans="1:8" ht="17" thickBot="1">
      <c r="A8" s="977"/>
      <c r="B8" s="977"/>
      <c r="C8" s="977"/>
      <c r="D8" s="977"/>
      <c r="E8" s="977"/>
      <c r="F8" s="977"/>
      <c r="G8" s="977"/>
      <c r="H8" s="450">
        <f>G7*B7^2/12</f>
        <v>0.32871666666666671</v>
      </c>
    </row>
    <row r="9" spans="1:8" ht="17" thickBot="1">
      <c r="A9" s="976" t="s">
        <v>1001</v>
      </c>
      <c r="B9" s="976">
        <f>VLOOKUP('momen 1p'!A9:A10,'tải sàn'!$B$5:$F$20,4,0)</f>
        <v>1.5999999999999999</v>
      </c>
      <c r="C9" s="976">
        <f>VLOOKUP('momen 1p'!A9:A10,'tải sàn'!$B$5:$F$20,5,0)</f>
        <v>4</v>
      </c>
      <c r="D9" s="976">
        <f>ROUND(C9/B9,1)</f>
        <v>2.5</v>
      </c>
      <c r="E9" s="976">
        <f>VLOOKUP('momen 1p'!A9:A10,'tải sàn'!$B$5:$F$20,2,0)</f>
        <v>0.19500000000000001</v>
      </c>
      <c r="F9" s="976">
        <f>VLOOKUP('momen 1p'!A9:A10,'tải sàn'!$B$5:$F$20,3,0)</f>
        <v>0.48</v>
      </c>
      <c r="G9" s="976">
        <f>E9+F9</f>
        <v>0.67500000000000004</v>
      </c>
      <c r="H9" s="450">
        <f>G9*B9^2/24</f>
        <v>7.1999999999999995E-2</v>
      </c>
    </row>
    <row r="10" spans="1:8" ht="17" thickBot="1">
      <c r="A10" s="977"/>
      <c r="B10" s="977"/>
      <c r="C10" s="977"/>
      <c r="D10" s="977"/>
      <c r="E10" s="977"/>
      <c r="F10" s="977"/>
      <c r="G10" s="977"/>
      <c r="H10" s="450">
        <f>G9*B9^2/12</f>
        <v>0.14399999999999999</v>
      </c>
    </row>
    <row r="11" spans="1:8" ht="17" thickBot="1">
      <c r="A11" s="976" t="s">
        <v>107</v>
      </c>
      <c r="B11" s="976">
        <f>VLOOKUP('momen 1p'!A11:A12,'tải sàn'!$B$5:$F$20,4,0)</f>
        <v>2</v>
      </c>
      <c r="C11" s="976">
        <f>VLOOKUP('momen 1p'!A11:A12,'tải sàn'!$B$5:$F$20,5,0)</f>
        <v>6</v>
      </c>
      <c r="D11" s="976">
        <f>ROUND(C11/B11,1)</f>
        <v>3</v>
      </c>
      <c r="E11" s="976">
        <f>VLOOKUP('momen 1p'!A11:A12,'tải sàn'!$B$5:$F$20,2,0)</f>
        <v>0.48</v>
      </c>
      <c r="F11" s="976">
        <f>VLOOKUP('momen 1p'!A11:A12,'tải sàn'!$B$5:$F$20,3,0)</f>
        <v>0.48</v>
      </c>
      <c r="G11" s="976">
        <f>E11+F11</f>
        <v>0.96</v>
      </c>
      <c r="H11" s="450">
        <f>G11*B11^2/24</f>
        <v>0.16</v>
      </c>
    </row>
    <row r="12" spans="1:8" ht="17" thickBot="1">
      <c r="A12" s="977"/>
      <c r="B12" s="977"/>
      <c r="C12" s="977"/>
      <c r="D12" s="977"/>
      <c r="E12" s="977"/>
      <c r="F12" s="977"/>
      <c r="G12" s="977"/>
      <c r="H12" s="450">
        <f>G11*B11^2/12</f>
        <v>0.32</v>
      </c>
    </row>
    <row r="13" spans="1:8" ht="17" thickBot="1">
      <c r="A13" s="976" t="s">
        <v>105</v>
      </c>
      <c r="B13" s="976">
        <f>VLOOKUP('momen 1p'!A13:A14,'tải sàn'!$B$5:$F$20,4,0)</f>
        <v>2</v>
      </c>
      <c r="C13" s="976">
        <f>VLOOKUP('momen 1p'!A13:A14,'tải sàn'!$B$5:$F$20,5,0)</f>
        <v>5.5</v>
      </c>
      <c r="D13" s="976">
        <f>ROUND(C13/B13,1)</f>
        <v>2.8</v>
      </c>
      <c r="E13" s="976">
        <f>VLOOKUP('momen 1p'!A13:A14,'tải sàn'!$B$5:$F$20,2,0)</f>
        <v>0.48</v>
      </c>
      <c r="F13" s="976">
        <f>VLOOKUP('momen 1p'!A13:A14,'tải sàn'!$B$5:$F$20,3,0)</f>
        <v>0.48</v>
      </c>
      <c r="G13" s="976">
        <f>E13+F13</f>
        <v>0.96</v>
      </c>
      <c r="H13" s="450">
        <f>G13*B13^2/24</f>
        <v>0.16</v>
      </c>
    </row>
    <row r="14" spans="1:8" ht="17" thickBot="1">
      <c r="A14" s="977"/>
      <c r="B14" s="977"/>
      <c r="C14" s="977"/>
      <c r="D14" s="977"/>
      <c r="E14" s="977"/>
      <c r="F14" s="977"/>
      <c r="G14" s="977"/>
      <c r="H14" s="450">
        <f>G13*B13^2/12</f>
        <v>0.32</v>
      </c>
    </row>
    <row r="15" spans="1:8" ht="17" thickBot="1">
      <c r="A15" s="976" t="s">
        <v>108</v>
      </c>
      <c r="B15" s="976">
        <f>VLOOKUP('momen 1p'!A15:A16,'tải sàn'!$B$5:$F$20,4,0)</f>
        <v>2</v>
      </c>
      <c r="C15" s="976">
        <f>VLOOKUP('momen 1p'!A15:A16,'tải sàn'!$B$5:$F$20,5,0)</f>
        <v>4</v>
      </c>
      <c r="D15" s="976">
        <f>ROUND(C15/B15,1)</f>
        <v>2</v>
      </c>
      <c r="E15" s="976">
        <f>VLOOKUP('momen 1p'!A15:A16,'tải sàn'!$B$5:$F$20,2,0)</f>
        <v>0.48</v>
      </c>
      <c r="F15" s="976">
        <f>VLOOKUP('momen 1p'!A15:A16,'tải sàn'!$B$5:$F$20,3,0)</f>
        <v>0.48</v>
      </c>
      <c r="G15" s="976">
        <f>E15+F15</f>
        <v>0.96</v>
      </c>
      <c r="H15" s="450">
        <f>G15*B15^2/24</f>
        <v>0.16</v>
      </c>
    </row>
    <row r="16" spans="1:8" ht="17" thickBot="1">
      <c r="A16" s="977"/>
      <c r="B16" s="977"/>
      <c r="C16" s="977"/>
      <c r="D16" s="977"/>
      <c r="E16" s="977"/>
      <c r="F16" s="977"/>
      <c r="G16" s="977"/>
      <c r="H16" s="450">
        <f>G15*B15^2/12</f>
        <v>0.32</v>
      </c>
    </row>
    <row r="17" spans="1:8" ht="17" thickBot="1">
      <c r="A17" s="976" t="s">
        <v>454</v>
      </c>
      <c r="B17" s="976">
        <f>VLOOKUP('momen 1p'!A17:A18,'tải sàn'!$B$5:$F$20,4,0)</f>
        <v>0.79999999999999993</v>
      </c>
      <c r="C17" s="976">
        <f>VLOOKUP('momen 1p'!A17:A18,'tải sàn'!$B$5:$F$20,5,0)</f>
        <v>4.3</v>
      </c>
      <c r="D17" s="976">
        <f>ROUND(C17/B17,1)</f>
        <v>5.4</v>
      </c>
      <c r="E17" s="976">
        <f>VLOOKUP('momen 1p'!A17:A18,'tải sàn'!$B$5:$F$20,2,0)</f>
        <v>0.48</v>
      </c>
      <c r="F17" s="976">
        <f>VLOOKUP('momen 1p'!A17:A18,'tải sàn'!$B$5:$F$20,3,0)</f>
        <v>0.48</v>
      </c>
      <c r="G17" s="976">
        <f>E17+F17</f>
        <v>0.96</v>
      </c>
      <c r="H17" s="450">
        <f>G17*B17^2/24</f>
        <v>2.5599999999999994E-2</v>
      </c>
    </row>
    <row r="18" spans="1:8" ht="17" thickBot="1">
      <c r="A18" s="977"/>
      <c r="B18" s="977"/>
      <c r="C18" s="977"/>
      <c r="D18" s="977"/>
      <c r="E18" s="977"/>
      <c r="F18" s="977"/>
      <c r="G18" s="977"/>
      <c r="H18" s="450">
        <f>G17*B17^2/12</f>
        <v>5.1199999999999989E-2</v>
      </c>
    </row>
    <row r="19" spans="1:8" ht="17" thickBot="1">
      <c r="A19" s="976" t="s">
        <v>455</v>
      </c>
      <c r="B19" s="976">
        <f>VLOOKUP('momen 1p'!A19:A20,'tải sàn'!$B$5:$F$20,4,0)</f>
        <v>0.79999999999999993</v>
      </c>
      <c r="C19" s="976">
        <f>VLOOKUP('momen 1p'!A19:A20,'tải sàn'!$B$5:$F$20,5,0)</f>
        <v>3.7</v>
      </c>
      <c r="D19" s="976">
        <f>ROUND(C19/B19,1)</f>
        <v>4.5999999999999996</v>
      </c>
      <c r="E19" s="976">
        <f>VLOOKUP('momen 1p'!A19:A20,'tải sàn'!$B$5:$F$20,2,0)</f>
        <v>0.48</v>
      </c>
      <c r="F19" s="976">
        <f>VLOOKUP('momen 1p'!A19:A20,'tải sàn'!$B$5:$F$20,3,0)</f>
        <v>0.48</v>
      </c>
      <c r="G19" s="976">
        <f>E19+F19</f>
        <v>0.96</v>
      </c>
      <c r="H19" s="450">
        <f>G19*B19^2/24</f>
        <v>2.5599999999999994E-2</v>
      </c>
    </row>
    <row r="20" spans="1:8" ht="17" thickBot="1">
      <c r="A20" s="977"/>
      <c r="B20" s="977"/>
      <c r="C20" s="977"/>
      <c r="D20" s="977"/>
      <c r="E20" s="977"/>
      <c r="F20" s="977"/>
      <c r="G20" s="977"/>
      <c r="H20" s="450">
        <f>G19*B19^2/12</f>
        <v>5.1199999999999989E-2</v>
      </c>
    </row>
  </sheetData>
  <mergeCells count="50">
    <mergeCell ref="E11:E12"/>
    <mergeCell ref="D1:D5"/>
    <mergeCell ref="A11:A12"/>
    <mergeCell ref="C11:C12"/>
    <mergeCell ref="B11:B12"/>
    <mergeCell ref="D11:D12"/>
    <mergeCell ref="A7:A8"/>
    <mergeCell ref="B7:B8"/>
    <mergeCell ref="C7:C8"/>
    <mergeCell ref="D7:D8"/>
    <mergeCell ref="E7:E8"/>
    <mergeCell ref="A13:A14"/>
    <mergeCell ref="B13:B14"/>
    <mergeCell ref="C13:C14"/>
    <mergeCell ref="D13:D14"/>
    <mergeCell ref="E13:E14"/>
    <mergeCell ref="F15:F16"/>
    <mergeCell ref="F11:F12"/>
    <mergeCell ref="G11:G12"/>
    <mergeCell ref="G13:G14"/>
    <mergeCell ref="G15:G16"/>
    <mergeCell ref="F13:F14"/>
    <mergeCell ref="A15:A16"/>
    <mergeCell ref="B15:B16"/>
    <mergeCell ref="C15:C16"/>
    <mergeCell ref="D15:D16"/>
    <mergeCell ref="E15:E16"/>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F7:F8"/>
    <mergeCell ref="G7:G8"/>
    <mergeCell ref="A9:A10"/>
    <mergeCell ref="B9:B10"/>
    <mergeCell ref="C9:C10"/>
    <mergeCell ref="D9:D10"/>
    <mergeCell ref="E9:E10"/>
    <mergeCell ref="F9:F10"/>
    <mergeCell ref="G9: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927</v>
      </c>
      <c r="E3" s="213"/>
      <c r="F3" s="213"/>
      <c r="G3" s="213"/>
      <c r="H3" s="213"/>
      <c r="I3" s="215"/>
      <c r="J3" s="213"/>
      <c r="K3" s="213"/>
      <c r="L3" s="213"/>
      <c r="M3" s="216"/>
      <c r="N3" s="213"/>
      <c r="O3" s="216"/>
      <c r="P3" s="40"/>
      <c r="Q3" s="39"/>
      <c r="R3" s="40"/>
    </row>
    <row r="4" spans="1:18" ht="17.5">
      <c r="A4" s="59"/>
      <c r="B4" s="217" t="s">
        <v>232</v>
      </c>
      <c r="C4" s="218" t="s">
        <v>233</v>
      </c>
      <c r="D4" s="219"/>
      <c r="E4" s="220"/>
      <c r="F4" s="221"/>
      <c r="G4" s="221"/>
      <c r="H4" s="221"/>
      <c r="I4" s="222"/>
      <c r="J4" s="221"/>
      <c r="K4" s="223"/>
      <c r="L4" s="221"/>
      <c r="M4" s="223"/>
      <c r="N4" s="221"/>
      <c r="O4" s="216"/>
      <c r="P4" s="41"/>
      <c r="Q4" s="52"/>
      <c r="R4" s="41"/>
    </row>
    <row r="5" spans="1:18" ht="17.5">
      <c r="A5" s="59"/>
      <c r="B5" s="221"/>
      <c r="C5" s="218" t="s">
        <v>234</v>
      </c>
      <c r="D5" s="218"/>
      <c r="E5" s="220"/>
      <c r="F5" s="221"/>
      <c r="G5" s="221"/>
      <c r="H5" s="221"/>
      <c r="I5" s="222"/>
      <c r="J5" s="221"/>
      <c r="K5" s="221"/>
      <c r="L5" s="221"/>
      <c r="M5" s="223"/>
      <c r="N5" s="221"/>
      <c r="O5" s="216"/>
      <c r="P5" s="41"/>
      <c r="Q5" s="52"/>
      <c r="R5" s="41"/>
    </row>
    <row r="6" spans="1:18" ht="17.5">
      <c r="A6" s="59"/>
      <c r="B6" s="223"/>
      <c r="C6" s="224" t="s">
        <v>235</v>
      </c>
      <c r="D6" s="218"/>
      <c r="E6" s="220"/>
      <c r="F6" s="225">
        <f>TH!C21</f>
        <v>15</v>
      </c>
      <c r="G6" s="226" t="s">
        <v>236</v>
      </c>
      <c r="H6" s="227">
        <f>IF(F6=12.5,7.5,IF(F6=15,8.5,IF(F6=20,11.5,IF(F6=25,14.5,"!!!"))))</f>
        <v>8.5</v>
      </c>
      <c r="I6" s="228" t="s">
        <v>237</v>
      </c>
      <c r="J6" s="223"/>
      <c r="K6" s="223"/>
      <c r="L6" s="223"/>
      <c r="M6" s="223"/>
      <c r="N6" s="221"/>
      <c r="O6" s="216"/>
      <c r="P6" s="42"/>
      <c r="Q6" s="52"/>
      <c r="R6" s="41"/>
    </row>
    <row r="7" spans="1:18" ht="15.5">
      <c r="A7" s="59"/>
      <c r="B7" s="223"/>
      <c r="C7" s="218" t="s">
        <v>238</v>
      </c>
      <c r="D7" s="218"/>
      <c r="E7" s="223"/>
      <c r="F7" s="229"/>
      <c r="G7" s="226"/>
      <c r="H7" s="228"/>
      <c r="I7" s="228"/>
      <c r="J7" s="223"/>
      <c r="K7" s="223"/>
      <c r="L7" s="223"/>
      <c r="M7" s="223"/>
      <c r="N7" s="223"/>
      <c r="O7" s="216"/>
      <c r="P7" s="42"/>
      <c r="Q7" s="52"/>
      <c r="R7" s="42"/>
    </row>
    <row r="8" spans="1:18" ht="17.5">
      <c r="A8" s="59"/>
      <c r="B8" s="985" t="s">
        <v>998</v>
      </c>
      <c r="C8" s="983" t="s">
        <v>239</v>
      </c>
      <c r="D8" s="64" t="s">
        <v>240</v>
      </c>
      <c r="E8" s="63" t="s">
        <v>241</v>
      </c>
      <c r="F8" s="64" t="s">
        <v>242</v>
      </c>
      <c r="G8" s="63" t="s">
        <v>243</v>
      </c>
      <c r="H8" s="63" t="s">
        <v>244</v>
      </c>
      <c r="I8" s="65" t="s">
        <v>245</v>
      </c>
      <c r="J8" s="65" t="s">
        <v>246</v>
      </c>
      <c r="K8" s="64" t="s">
        <v>247</v>
      </c>
      <c r="L8" s="609" t="s">
        <v>995</v>
      </c>
      <c r="M8" s="610"/>
      <c r="N8" s="66" t="s">
        <v>247</v>
      </c>
      <c r="O8" s="65" t="s">
        <v>248</v>
      </c>
      <c r="P8" s="47" t="s">
        <v>249</v>
      </c>
      <c r="Q8" s="53" t="s">
        <v>250</v>
      </c>
      <c r="R8" s="54" t="s">
        <v>248</v>
      </c>
    </row>
    <row r="9" spans="1:18" ht="18.5">
      <c r="A9" s="59"/>
      <c r="B9" s="986"/>
      <c r="C9" s="984"/>
      <c r="D9" s="68" t="s">
        <v>674</v>
      </c>
      <c r="E9" s="69" t="s">
        <v>6</v>
      </c>
      <c r="F9" s="68" t="s">
        <v>6</v>
      </c>
      <c r="G9" s="69" t="s">
        <v>733</v>
      </c>
      <c r="H9" s="194" t="s">
        <v>733</v>
      </c>
      <c r="I9" s="67"/>
      <c r="J9" s="67"/>
      <c r="K9" s="68" t="s">
        <v>999</v>
      </c>
      <c r="L9" s="70" t="s">
        <v>251</v>
      </c>
      <c r="M9" s="71" t="s">
        <v>1000</v>
      </c>
      <c r="N9" s="72" t="s">
        <v>253</v>
      </c>
      <c r="O9" s="67"/>
      <c r="P9" s="46" t="s">
        <v>254</v>
      </c>
      <c r="Q9" s="55" t="s">
        <v>253</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81" t="str">
        <f>'momen 1p'!A7</f>
        <v>S1A</v>
      </c>
      <c r="C11" s="203" t="s">
        <v>255</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82"/>
      <c r="C12" s="203" t="s">
        <v>257</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81" t="str">
        <f>'momen 1p'!A9</f>
        <v>S1C</v>
      </c>
      <c r="C13" s="203" t="s">
        <v>255</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82"/>
      <c r="C14" s="203" t="s">
        <v>257</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81" t="str">
        <f>'momen 1p'!A11</f>
        <v>S4</v>
      </c>
      <c r="C15" s="203" t="s">
        <v>255</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82"/>
      <c r="C16" s="203" t="s">
        <v>257</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81" t="str">
        <f>'momen 1p'!A13</f>
        <v>S6</v>
      </c>
      <c r="C17" s="203" t="s">
        <v>255</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82"/>
      <c r="C18" s="203" t="s">
        <v>257</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81" t="str">
        <f>'momen 1p'!A15</f>
        <v>S7</v>
      </c>
      <c r="C19" s="203" t="s">
        <v>255</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82"/>
      <c r="C20" s="203" t="s">
        <v>257</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81" t="s">
        <v>454</v>
      </c>
      <c r="C21" s="203" t="s">
        <v>255</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82"/>
      <c r="C22" s="203" t="s">
        <v>257</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81" t="s">
        <v>455</v>
      </c>
      <c r="C23" s="203" t="s">
        <v>255</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82"/>
      <c r="C24" s="203" t="s">
        <v>257</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90" t="s">
        <v>904</v>
      </c>
      <c r="B1" s="990"/>
      <c r="C1" s="990"/>
      <c r="D1" s="990" t="s">
        <v>905</v>
      </c>
      <c r="E1" s="990"/>
      <c r="F1" s="990"/>
      <c r="G1" s="990"/>
    </row>
    <row r="3" spans="1:8" ht="18" customHeight="1">
      <c r="C3" s="991" t="s">
        <v>827</v>
      </c>
      <c r="D3" s="991"/>
      <c r="E3" s="991"/>
      <c r="F3" s="991"/>
      <c r="G3" s="991"/>
      <c r="H3" s="991"/>
    </row>
    <row r="4" spans="1:8" ht="18" customHeight="1">
      <c r="C4" s="991"/>
      <c r="D4" s="991"/>
      <c r="E4" s="991"/>
      <c r="F4" s="991"/>
      <c r="G4" s="991"/>
      <c r="H4" s="991"/>
    </row>
    <row r="5" spans="1:8" ht="18">
      <c r="D5" s="992" t="s">
        <v>888</v>
      </c>
      <c r="E5" s="992"/>
      <c r="F5" s="992"/>
      <c r="G5" s="992"/>
    </row>
    <row r="6" spans="1:8" ht="20.5">
      <c r="A6" s="410" t="s">
        <v>829</v>
      </c>
      <c r="B6" s="411"/>
    </row>
    <row r="7" spans="1:8" ht="15">
      <c r="A7" s="435" t="s">
        <v>830</v>
      </c>
      <c r="C7" s="412" t="s">
        <v>831</v>
      </c>
    </row>
    <row r="8" spans="1:8" ht="17.5">
      <c r="A8" s="435" t="s">
        <v>832</v>
      </c>
      <c r="C8" s="413" t="s">
        <v>382</v>
      </c>
      <c r="D8" s="436"/>
    </row>
    <row r="9" spans="1:8">
      <c r="B9" s="437" t="s">
        <v>833</v>
      </c>
      <c r="C9" s="437" t="s">
        <v>834</v>
      </c>
      <c r="D9" s="437" t="s">
        <v>835</v>
      </c>
      <c r="E9" s="437" t="s">
        <v>836</v>
      </c>
      <c r="F9" s="437" t="s">
        <v>837</v>
      </c>
    </row>
    <row r="10" spans="1:8" ht="17.5">
      <c r="B10" s="414">
        <v>1450</v>
      </c>
      <c r="C10" s="414">
        <v>28000</v>
      </c>
      <c r="D10" s="415">
        <v>100</v>
      </c>
      <c r="E10" s="415">
        <v>20</v>
      </c>
      <c r="F10" s="415">
        <f>D10-E10</f>
        <v>80</v>
      </c>
    </row>
    <row r="11" spans="1:8" ht="17.5">
      <c r="A11" s="435" t="s">
        <v>838</v>
      </c>
      <c r="C11" s="438" t="s">
        <v>839</v>
      </c>
      <c r="D11" s="413">
        <f>TH!D67</f>
        <v>4</v>
      </c>
      <c r="E11" s="438" t="s">
        <v>840</v>
      </c>
    </row>
    <row r="12" spans="1:8" ht="17.5">
      <c r="A12" s="435"/>
      <c r="C12" s="436" t="s">
        <v>841</v>
      </c>
      <c r="D12" s="413">
        <f>TH!D66</f>
        <v>1.5999999999999999</v>
      </c>
      <c r="E12" s="438" t="s">
        <v>840</v>
      </c>
    </row>
    <row r="13" spans="1:8" ht="20.5">
      <c r="A13" s="410" t="s">
        <v>842</v>
      </c>
    </row>
    <row r="14" spans="1:8" ht="17.5">
      <c r="A14" s="435" t="s">
        <v>889</v>
      </c>
      <c r="B14" s="436" t="s">
        <v>844</v>
      </c>
      <c r="C14" s="413">
        <f>TH!B69</f>
        <v>0.48</v>
      </c>
      <c r="D14" s="434" t="s">
        <v>845</v>
      </c>
    </row>
    <row r="15" spans="1:8" ht="17.5">
      <c r="A15" s="435" t="s">
        <v>890</v>
      </c>
      <c r="B15" s="436" t="s">
        <v>844</v>
      </c>
      <c r="C15" s="413">
        <f>TH!B70</f>
        <v>0.19500000000000001</v>
      </c>
      <c r="D15" s="434" t="s">
        <v>845</v>
      </c>
    </row>
    <row r="16" spans="1:8" ht="18">
      <c r="A16" s="435" t="s">
        <v>847</v>
      </c>
      <c r="B16" s="436" t="s">
        <v>844</v>
      </c>
      <c r="C16" s="416">
        <f>SUM(C14:C15)</f>
        <v>0.67500000000000004</v>
      </c>
      <c r="D16" s="434" t="s">
        <v>733</v>
      </c>
    </row>
    <row r="18" spans="1:6" ht="20.5">
      <c r="A18" s="410" t="s">
        <v>848</v>
      </c>
    </row>
    <row r="19" spans="1:6" ht="17.5">
      <c r="A19" s="435" t="s">
        <v>849</v>
      </c>
      <c r="B19" s="436" t="s">
        <v>844</v>
      </c>
      <c r="C19" s="417">
        <f>D11/D12</f>
        <v>2.5</v>
      </c>
      <c r="D19" s="418" t="s">
        <v>891</v>
      </c>
    </row>
    <row r="20" spans="1:6" ht="17.5">
      <c r="A20" s="435" t="s">
        <v>851</v>
      </c>
      <c r="B20" s="436"/>
      <c r="C20" s="419" t="s">
        <v>892</v>
      </c>
      <c r="D20" s="418"/>
    </row>
    <row r="21" spans="1:6" ht="20.5">
      <c r="A21" s="410" t="s">
        <v>893</v>
      </c>
    </row>
    <row r="22" spans="1:6" ht="18" thickBot="1">
      <c r="B22" s="436"/>
      <c r="C22" s="436"/>
      <c r="D22" s="417"/>
      <c r="E22" s="436"/>
    </row>
    <row r="23" spans="1:6">
      <c r="A23" s="439" t="s">
        <v>894</v>
      </c>
      <c r="B23" s="440" t="s">
        <v>895</v>
      </c>
      <c r="C23" s="441" t="s">
        <v>896</v>
      </c>
      <c r="D23" s="436"/>
      <c r="E23" s="436"/>
      <c r="F23" s="436"/>
    </row>
    <row r="24" spans="1:6" ht="17.5">
      <c r="A24" s="442" t="s">
        <v>897</v>
      </c>
      <c r="B24" s="414">
        <f>C16*(D12^2)/12</f>
        <v>0.14399999999999999</v>
      </c>
      <c r="C24" s="443" t="s">
        <v>863</v>
      </c>
      <c r="D24" s="436"/>
      <c r="E24" s="436"/>
      <c r="F24" s="436"/>
    </row>
    <row r="25" spans="1:6" ht="18" thickBot="1">
      <c r="A25" s="420" t="s">
        <v>898</v>
      </c>
      <c r="B25" s="421">
        <f>C16*(D12^2)/24</f>
        <v>7.1999999999999995E-2</v>
      </c>
      <c r="C25" s="444" t="s">
        <v>863</v>
      </c>
      <c r="D25" s="422"/>
      <c r="E25" s="422"/>
      <c r="F25" s="422"/>
    </row>
    <row r="26" spans="1:6" ht="17.5">
      <c r="B26" s="436"/>
      <c r="C26" s="436"/>
      <c r="D26" s="417"/>
      <c r="E26" s="436"/>
    </row>
    <row r="27" spans="1:6" ht="20.5">
      <c r="A27" s="410" t="s">
        <v>870</v>
      </c>
    </row>
    <row r="28" spans="1:6" ht="17.5">
      <c r="A28" s="423" t="s">
        <v>899</v>
      </c>
      <c r="C28" s="417">
        <f>B24</f>
        <v>0.14399999999999999</v>
      </c>
      <c r="D28" s="436" t="s">
        <v>863</v>
      </c>
    </row>
    <row r="29" spans="1:6" ht="17.5">
      <c r="A29" s="423"/>
      <c r="C29" s="417"/>
      <c r="D29" s="436"/>
    </row>
    <row r="31" spans="1:6" ht="17.5">
      <c r="C31" s="424">
        <f>C28/(B10*1*((F10*0.001)^2))</f>
        <v>1.5517241379310341E-2</v>
      </c>
      <c r="D31" s="425" t="s">
        <v>872</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88" t="s">
        <v>844</v>
      </c>
      <c r="D37" s="989">
        <f>10000*C28/(C10*C34*F10*0.001)</f>
        <v>0.64792375728258822</v>
      </c>
      <c r="E37" s="987" t="s">
        <v>873</v>
      </c>
      <c r="H37" s="989">
        <f>D37/(F10*0.1)</f>
        <v>8.0990469660323527E-2</v>
      </c>
      <c r="I37" s="987" t="s">
        <v>874</v>
      </c>
    </row>
    <row r="38" spans="1:9">
      <c r="C38" s="988"/>
      <c r="D38" s="989"/>
      <c r="E38" s="987"/>
      <c r="H38" s="989"/>
      <c r="I38" s="987"/>
    </row>
    <row r="40" spans="1:9" ht="17.5">
      <c r="A40" s="427" t="s">
        <v>875</v>
      </c>
      <c r="D40" s="413">
        <v>10</v>
      </c>
      <c r="E40" s="434">
        <v>150</v>
      </c>
      <c r="F40" s="436" t="s">
        <v>159</v>
      </c>
    </row>
    <row r="41" spans="1:9" ht="17.5">
      <c r="C41" s="434" t="s">
        <v>876</v>
      </c>
      <c r="D41" s="428">
        <f>ROUND(1000*(0.25*PI()*D40^2)/100/E40,2)</f>
        <v>5.24</v>
      </c>
      <c r="E41" s="438" t="s">
        <v>877</v>
      </c>
    </row>
    <row r="43" spans="1:9" ht="17.5">
      <c r="D43" s="434" t="s">
        <v>878</v>
      </c>
      <c r="E43" s="417">
        <f>D41/(F10*0.1)</f>
        <v>0.65500000000000003</v>
      </c>
      <c r="F43" s="438" t="s">
        <v>874</v>
      </c>
      <c r="G43" s="446" t="s">
        <v>872</v>
      </c>
      <c r="H43" s="429" t="str">
        <f>IF(AND(E43&gt;0.4,E43&lt;0.8),"Hîp Lý","Kh«ng Hîp Lý")</f>
        <v>Hîp Lý</v>
      </c>
    </row>
    <row r="45" spans="1:9">
      <c r="A45" s="435" t="s">
        <v>879</v>
      </c>
      <c r="B45" s="434" t="s">
        <v>880</v>
      </c>
    </row>
    <row r="46" spans="1:9" ht="17.5">
      <c r="A46" s="423" t="s">
        <v>900</v>
      </c>
      <c r="C46" s="417">
        <f>B25</f>
        <v>7.1999999999999995E-2</v>
      </c>
      <c r="D46" s="436" t="s">
        <v>863</v>
      </c>
    </row>
    <row r="47" spans="1:9" ht="17.5">
      <c r="A47" s="423"/>
      <c r="C47" s="417"/>
      <c r="D47" s="436"/>
    </row>
    <row r="49" spans="1:9" ht="17.5">
      <c r="C49" s="424">
        <f>C46/(B10*1*((F10*0.001)^2))</f>
        <v>7.7586206896551706E-3</v>
      </c>
      <c r="D49" s="425" t="s">
        <v>872</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88" t="s">
        <v>844</v>
      </c>
      <c r="D55" s="989">
        <f>10000*C46/(C10*C52*F10*0.001)</f>
        <v>0.32268526185534829</v>
      </c>
      <c r="E55" s="987" t="s">
        <v>882</v>
      </c>
      <c r="H55" s="989">
        <f>D55/(F10*0.1)</f>
        <v>4.0335657731918537E-2</v>
      </c>
      <c r="I55" s="987" t="s">
        <v>874</v>
      </c>
    </row>
    <row r="56" spans="1:9">
      <c r="C56" s="988"/>
      <c r="D56" s="989"/>
      <c r="E56" s="987"/>
      <c r="H56" s="989"/>
      <c r="I56" s="987"/>
    </row>
    <row r="58" spans="1:9" ht="17.5">
      <c r="A58" s="427" t="s">
        <v>875</v>
      </c>
      <c r="D58" s="413">
        <v>10</v>
      </c>
      <c r="E58" s="434">
        <v>150</v>
      </c>
      <c r="F58" s="436" t="s">
        <v>159</v>
      </c>
    </row>
    <row r="59" spans="1:9" ht="17.5">
      <c r="C59" s="434" t="s">
        <v>876</v>
      </c>
      <c r="D59" s="428">
        <f>ROUND(1000*(0.25*PI()*D58^2)/100/E58,2)</f>
        <v>5.24</v>
      </c>
      <c r="E59" s="438" t="s">
        <v>877</v>
      </c>
    </row>
    <row r="61" spans="1:9" ht="17.5">
      <c r="D61" s="434" t="s">
        <v>878</v>
      </c>
      <c r="E61" s="417">
        <f>D59/(F10*0.1)</f>
        <v>0.65500000000000003</v>
      </c>
      <c r="F61" s="438" t="s">
        <v>874</v>
      </c>
      <c r="G61" s="446" t="s">
        <v>872</v>
      </c>
      <c r="H61" s="429" t="str">
        <f>IF(AND(E61&gt;0.4,E61&lt;0.8),"Hîp Lý","Kh«ng Hîp Lý")</f>
        <v>Hîp Lý</v>
      </c>
    </row>
    <row r="63" spans="1:9">
      <c r="A63" s="435" t="s">
        <v>879</v>
      </c>
      <c r="B63" s="434" t="s">
        <v>880</v>
      </c>
    </row>
    <row r="64" spans="1:9" ht="20.5">
      <c r="A64" s="410" t="s">
        <v>886</v>
      </c>
    </row>
    <row r="65" spans="1:1" ht="17.5">
      <c r="A65" s="427" t="s">
        <v>887</v>
      </c>
    </row>
  </sheetData>
  <mergeCells count="14">
    <mergeCell ref="A1:C1"/>
    <mergeCell ref="D1:G1"/>
    <mergeCell ref="C3:H4"/>
    <mergeCell ref="D5:G5"/>
    <mergeCell ref="C37:C38"/>
    <mergeCell ref="D37:D38"/>
    <mergeCell ref="E37:E38"/>
    <mergeCell ref="H37:H38"/>
    <mergeCell ref="I37:I38"/>
    <mergeCell ref="C55:C56"/>
    <mergeCell ref="D55:D56"/>
    <mergeCell ref="E55:E56"/>
    <mergeCell ref="H55:H56"/>
    <mergeCell ref="I55:I56"/>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opLeftCell="A172" workbookViewId="0">
      <selection activeCell="B195" sqref="B195"/>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317</v>
      </c>
    </row>
    <row r="3" spans="1:3">
      <c r="A3" s="539" t="s">
        <v>71</v>
      </c>
      <c r="B3" s="539" t="s">
        <v>72</v>
      </c>
    </row>
    <row r="4" spans="1:3">
      <c r="A4" s="539" t="s">
        <v>73</v>
      </c>
      <c r="B4" s="539" t="s">
        <v>74</v>
      </c>
    </row>
    <row r="5" spans="1:3">
      <c r="A5" s="539" t="s">
        <v>75</v>
      </c>
      <c r="B5" s="539">
        <v>5000</v>
      </c>
    </row>
    <row r="6" spans="1:3">
      <c r="A6" s="539" t="s">
        <v>1</v>
      </c>
      <c r="B6" s="539">
        <v>4</v>
      </c>
      <c r="C6" s="539" t="s">
        <v>4</v>
      </c>
    </row>
    <row r="7" spans="1:3">
      <c r="A7" s="539" t="s">
        <v>2</v>
      </c>
      <c r="B7" s="539">
        <v>435.7</v>
      </c>
      <c r="C7" s="539" t="s">
        <v>3</v>
      </c>
    </row>
    <row r="8" spans="1:3">
      <c r="A8" s="539" t="s">
        <v>76</v>
      </c>
      <c r="B8" s="539">
        <v>814.3</v>
      </c>
      <c r="C8" s="539" t="s">
        <v>3</v>
      </c>
    </row>
    <row r="9" spans="1:3">
      <c r="A9" s="539" t="s">
        <v>77</v>
      </c>
      <c r="B9" s="539" t="s">
        <v>984</v>
      </c>
    </row>
    <row r="10" spans="1:3">
      <c r="A10" s="539" t="s">
        <v>78</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79</v>
      </c>
      <c r="B17" s="539">
        <v>3.6</v>
      </c>
      <c r="C17" s="539" t="s">
        <v>6</v>
      </c>
    </row>
    <row r="18" spans="1:11">
      <c r="A18" s="539" t="s">
        <v>80</v>
      </c>
      <c r="B18" s="539">
        <v>3.6</v>
      </c>
      <c r="C18" s="539" t="s">
        <v>6</v>
      </c>
    </row>
    <row r="19" spans="1:11">
      <c r="A19" s="539" t="s">
        <v>81</v>
      </c>
      <c r="B19" s="539">
        <v>3.3</v>
      </c>
      <c r="C19" s="539" t="s">
        <v>6</v>
      </c>
    </row>
    <row r="20" spans="1:11">
      <c r="A20" s="541" t="s">
        <v>82</v>
      </c>
    </row>
    <row r="21" spans="1:11">
      <c r="A21" s="539" t="s">
        <v>83</v>
      </c>
      <c r="B21" s="539" t="s">
        <v>708</v>
      </c>
      <c r="C21" s="539">
        <v>15</v>
      </c>
    </row>
    <row r="22" spans="1:11">
      <c r="A22" s="539" t="s">
        <v>85</v>
      </c>
      <c r="B22" s="539">
        <v>8.5</v>
      </c>
      <c r="C22" s="539" t="s">
        <v>93</v>
      </c>
      <c r="D22" s="539">
        <f>B22*100</f>
        <v>850</v>
      </c>
      <c r="H22" s="539">
        <f>B22*100</f>
        <v>850</v>
      </c>
      <c r="I22" s="539" t="s">
        <v>733</v>
      </c>
      <c r="J22" s="644" t="s">
        <v>1008</v>
      </c>
      <c r="K22" s="645">
        <f>(0.85-0.008*B22)/(1+B31*(1-(0.85-0.008*B22)/1.1)/400)</f>
        <v>0.65038560411311053</v>
      </c>
    </row>
    <row r="23" spans="1:11">
      <c r="A23" s="539" t="s">
        <v>86</v>
      </c>
      <c r="B23" s="539">
        <v>0.75</v>
      </c>
      <c r="C23" s="539" t="s">
        <v>93</v>
      </c>
      <c r="D23" s="539">
        <f>B23*100</f>
        <v>75</v>
      </c>
      <c r="H23" s="539">
        <f t="shared" ref="H23:H24" si="0">B23*100</f>
        <v>75</v>
      </c>
      <c r="I23" s="539" t="s">
        <v>733</v>
      </c>
      <c r="J23" s="644" t="s">
        <v>1009</v>
      </c>
      <c r="K23" s="645">
        <f>K22*(1-0.5*K22)</f>
        <v>0.43888488709432261</v>
      </c>
    </row>
    <row r="24" spans="1:11">
      <c r="A24" s="539" t="s">
        <v>87</v>
      </c>
      <c r="B24" s="551">
        <v>23000</v>
      </c>
      <c r="C24" s="539" t="s">
        <v>93</v>
      </c>
      <c r="D24" s="551">
        <f>B24*100</f>
        <v>2300000</v>
      </c>
      <c r="H24" s="551">
        <f t="shared" si="0"/>
        <v>2300000</v>
      </c>
      <c r="I24" s="539" t="s">
        <v>733</v>
      </c>
      <c r="J24" s="539" t="s">
        <v>1010</v>
      </c>
      <c r="K24" s="645">
        <f>K22*H22/H31*100</f>
        <v>1.9743848696290853</v>
      </c>
    </row>
    <row r="25" spans="1:11">
      <c r="A25" s="541" t="s">
        <v>88</v>
      </c>
    </row>
    <row r="26" spans="1:11">
      <c r="A26" s="539" t="s">
        <v>89</v>
      </c>
      <c r="B26" s="539" t="s">
        <v>185</v>
      </c>
      <c r="F26" s="539" t="s">
        <v>90</v>
      </c>
    </row>
    <row r="27" spans="1:11">
      <c r="A27" s="539" t="s">
        <v>91</v>
      </c>
      <c r="B27" s="539">
        <v>225</v>
      </c>
      <c r="C27" s="539" t="s">
        <v>93</v>
      </c>
      <c r="D27" s="551">
        <f>B27*10</f>
        <v>2250</v>
      </c>
      <c r="F27" s="539">
        <v>260</v>
      </c>
      <c r="G27" s="540" t="s">
        <v>93</v>
      </c>
      <c r="H27" s="551">
        <f t="shared" ref="H27:H29" si="1">B27*100</f>
        <v>22500</v>
      </c>
      <c r="I27" s="539" t="s">
        <v>733</v>
      </c>
    </row>
    <row r="28" spans="1:11">
      <c r="A28" s="539" t="s">
        <v>92</v>
      </c>
      <c r="B28" s="539">
        <v>175</v>
      </c>
      <c r="C28" s="539" t="s">
        <v>93</v>
      </c>
      <c r="D28" s="551">
        <f>B28*10</f>
        <v>1750</v>
      </c>
      <c r="F28" s="539">
        <v>210</v>
      </c>
      <c r="G28" s="540" t="s">
        <v>93</v>
      </c>
      <c r="H28" s="551">
        <f t="shared" si="1"/>
        <v>17500</v>
      </c>
      <c r="I28" s="539" t="s">
        <v>733</v>
      </c>
    </row>
    <row r="29" spans="1:11">
      <c r="A29" s="539" t="s">
        <v>87</v>
      </c>
      <c r="B29" s="551">
        <v>210000</v>
      </c>
      <c r="C29" s="539" t="s">
        <v>93</v>
      </c>
      <c r="F29" s="539">
        <v>200000</v>
      </c>
      <c r="G29" s="540" t="s">
        <v>93</v>
      </c>
      <c r="H29" s="551">
        <f t="shared" si="1"/>
        <v>21000000</v>
      </c>
      <c r="I29" s="539" t="s">
        <v>733</v>
      </c>
    </row>
    <row r="30" spans="1:11">
      <c r="A30" s="539" t="s">
        <v>89</v>
      </c>
      <c r="B30" s="539" t="s">
        <v>186</v>
      </c>
      <c r="F30" s="539" t="s">
        <v>94</v>
      </c>
      <c r="H30" s="551"/>
    </row>
    <row r="31" spans="1:11">
      <c r="A31" s="539" t="s">
        <v>91</v>
      </c>
      <c r="B31" s="539">
        <v>280</v>
      </c>
      <c r="C31" s="539" t="s">
        <v>93</v>
      </c>
      <c r="D31" s="539">
        <f>B31*10</f>
        <v>2800</v>
      </c>
      <c r="F31" s="539">
        <v>260</v>
      </c>
      <c r="G31" s="540" t="s">
        <v>93</v>
      </c>
      <c r="H31" s="551">
        <f t="shared" ref="H31:H33" si="2">B31*100</f>
        <v>28000</v>
      </c>
      <c r="I31" s="539" t="s">
        <v>733</v>
      </c>
    </row>
    <row r="32" spans="1:11">
      <c r="A32" s="539" t="s">
        <v>92</v>
      </c>
      <c r="B32" s="539">
        <v>225</v>
      </c>
      <c r="C32" s="539" t="s">
        <v>93</v>
      </c>
      <c r="F32" s="539">
        <v>210</v>
      </c>
      <c r="G32" s="540" t="s">
        <v>93</v>
      </c>
      <c r="H32" s="551">
        <f t="shared" si="2"/>
        <v>22500</v>
      </c>
      <c r="I32" s="539" t="s">
        <v>733</v>
      </c>
    </row>
    <row r="33" spans="1:9">
      <c r="A33" s="539" t="s">
        <v>87</v>
      </c>
      <c r="B33" s="551">
        <v>210000</v>
      </c>
      <c r="C33" s="539" t="s">
        <v>93</v>
      </c>
      <c r="F33" s="539">
        <v>200000</v>
      </c>
      <c r="G33" s="540" t="s">
        <v>93</v>
      </c>
      <c r="H33" s="551">
        <f t="shared" si="2"/>
        <v>21000000</v>
      </c>
      <c r="I33" s="539" t="s">
        <v>733</v>
      </c>
    </row>
    <row r="34" spans="1:9">
      <c r="A34" s="539" t="s">
        <v>89</v>
      </c>
      <c r="B34" s="539" t="s">
        <v>187</v>
      </c>
      <c r="F34" s="539" t="s">
        <v>95</v>
      </c>
      <c r="H34" s="551"/>
    </row>
    <row r="35" spans="1:9">
      <c r="A35" s="539" t="s">
        <v>91</v>
      </c>
      <c r="B35" s="539">
        <v>365</v>
      </c>
      <c r="C35" s="539" t="s">
        <v>93</v>
      </c>
      <c r="F35" s="539">
        <v>350</v>
      </c>
      <c r="G35" s="540" t="s">
        <v>93</v>
      </c>
      <c r="H35" s="551">
        <f t="shared" ref="H35:H37" si="3">B35*100</f>
        <v>36500</v>
      </c>
      <c r="I35" s="539" t="s">
        <v>733</v>
      </c>
    </row>
    <row r="36" spans="1:9">
      <c r="A36" s="539" t="s">
        <v>92</v>
      </c>
      <c r="B36" s="539">
        <v>290</v>
      </c>
      <c r="C36" s="539" t="s">
        <v>93</v>
      </c>
      <c r="F36" s="539">
        <v>280</v>
      </c>
      <c r="G36" s="540" t="s">
        <v>93</v>
      </c>
      <c r="H36" s="551">
        <f t="shared" si="3"/>
        <v>29000</v>
      </c>
      <c r="I36" s="539" t="s">
        <v>733</v>
      </c>
    </row>
    <row r="37" spans="1:9">
      <c r="A37" s="539" t="s">
        <v>87</v>
      </c>
      <c r="B37" s="551">
        <v>210000</v>
      </c>
      <c r="C37" s="539" t="s">
        <v>93</v>
      </c>
      <c r="F37" s="539">
        <v>200000</v>
      </c>
      <c r="G37" s="540" t="s">
        <v>93</v>
      </c>
      <c r="H37" s="551">
        <f t="shared" si="3"/>
        <v>21000000</v>
      </c>
      <c r="I37" s="539" t="s">
        <v>733</v>
      </c>
    </row>
    <row r="38" spans="1:9">
      <c r="A38" s="541" t="s">
        <v>114</v>
      </c>
    </row>
    <row r="39" spans="1:9">
      <c r="A39" s="541" t="s">
        <v>115</v>
      </c>
    </row>
    <row r="40" spans="1:9">
      <c r="A40" s="539" t="s">
        <v>117</v>
      </c>
      <c r="B40" s="539">
        <v>4000</v>
      </c>
      <c r="C40" s="539">
        <f>B40/1000</f>
        <v>4</v>
      </c>
    </row>
    <row r="41" spans="1:9">
      <c r="A41" s="539" t="s">
        <v>118</v>
      </c>
      <c r="B41" s="539">
        <v>6000</v>
      </c>
      <c r="C41" s="539">
        <f>B41/1000</f>
        <v>6</v>
      </c>
    </row>
    <row r="42" spans="1:9">
      <c r="A42" s="539" t="s">
        <v>116</v>
      </c>
      <c r="B42" s="542" t="str">
        <f>B40/1000 &amp; "m x " &amp;B41/1000&amp;"m"</f>
        <v>4m x 6m</v>
      </c>
    </row>
    <row r="43" spans="1:9">
      <c r="A43" s="539" t="s">
        <v>157</v>
      </c>
      <c r="B43" s="539">
        <v>1.2</v>
      </c>
    </row>
    <row r="44" spans="1:9">
      <c r="A44" s="539" t="s">
        <v>6</v>
      </c>
      <c r="B44" s="539">
        <v>45</v>
      </c>
    </row>
    <row r="45" spans="1:9">
      <c r="A45" s="539" t="s">
        <v>158</v>
      </c>
      <c r="B45" s="539">
        <f>ROUNDUP(B43/B44*B40,0)</f>
        <v>107</v>
      </c>
      <c r="C45" s="539" t="s">
        <v>159</v>
      </c>
      <c r="D45" s="541" t="s">
        <v>171</v>
      </c>
      <c r="E45" s="543">
        <v>100</v>
      </c>
      <c r="F45" s="541" t="s">
        <v>172</v>
      </c>
      <c r="G45" s="543">
        <v>20</v>
      </c>
      <c r="H45" s="541" t="s">
        <v>173</v>
      </c>
      <c r="I45" s="541">
        <f>E45-G45</f>
        <v>80</v>
      </c>
    </row>
    <row r="46" spans="1:9">
      <c r="A46" s="541" t="s">
        <v>160</v>
      </c>
      <c r="E46" s="539">
        <f>E45/10</f>
        <v>10</v>
      </c>
      <c r="G46" s="540">
        <f>G45/10</f>
        <v>2</v>
      </c>
      <c r="I46" s="539">
        <f>I45/10</f>
        <v>8</v>
      </c>
    </row>
    <row r="47" spans="1:9">
      <c r="A47" s="544" t="s">
        <v>161</v>
      </c>
      <c r="E47" s="539">
        <f>E45/1000</f>
        <v>0.1</v>
      </c>
    </row>
    <row r="48" spans="1:9">
      <c r="A48" s="539" t="s">
        <v>162</v>
      </c>
      <c r="B48" s="539">
        <f>ROUNDUP($B$41/D48,0)</f>
        <v>600</v>
      </c>
      <c r="C48" s="539" t="s">
        <v>159</v>
      </c>
      <c r="D48" s="539">
        <v>10</v>
      </c>
    </row>
    <row r="49" spans="1:4">
      <c r="A49" s="539" t="s">
        <v>163</v>
      </c>
      <c r="B49" s="539">
        <f>ROUNDUP($B$41/D49,0)</f>
        <v>400</v>
      </c>
      <c r="C49" s="539" t="s">
        <v>159</v>
      </c>
      <c r="D49" s="539">
        <v>15</v>
      </c>
    </row>
    <row r="50" spans="1:4">
      <c r="A50" s="539" t="s">
        <v>164</v>
      </c>
      <c r="B50" s="541">
        <v>400</v>
      </c>
      <c r="C50" s="539" t="s">
        <v>159</v>
      </c>
      <c r="D50" s="539" t="s">
        <v>620</v>
      </c>
    </row>
    <row r="51" spans="1:4">
      <c r="A51" s="539" t="s">
        <v>165</v>
      </c>
      <c r="B51" s="539">
        <f>ROUNDUP($B$50/D51,0)</f>
        <v>200</v>
      </c>
      <c r="C51" s="539" t="s">
        <v>159</v>
      </c>
      <c r="D51" s="539">
        <v>2</v>
      </c>
    </row>
    <row r="52" spans="1:4">
      <c r="A52" s="539" t="s">
        <v>166</v>
      </c>
      <c r="B52" s="539">
        <f>ROUNDUP($B$50/D52,0)</f>
        <v>134</v>
      </c>
      <c r="C52" s="539" t="s">
        <v>159</v>
      </c>
      <c r="D52" s="539">
        <v>3</v>
      </c>
    </row>
    <row r="53" spans="1:4">
      <c r="A53" s="539" t="s">
        <v>167</v>
      </c>
      <c r="B53" s="541">
        <v>200</v>
      </c>
      <c r="C53" s="539" t="s">
        <v>159</v>
      </c>
    </row>
    <row r="54" spans="1:4">
      <c r="A54" s="539" t="s">
        <v>168</v>
      </c>
      <c r="B54" s="542" t="str">
        <f>B53/1000 &amp; "m x " &amp;B50/1000&amp;"m"</f>
        <v>0,2m x 0,4m</v>
      </c>
    </row>
    <row r="55" spans="1:4">
      <c r="A55" s="544" t="s">
        <v>169</v>
      </c>
    </row>
    <row r="56" spans="1:4">
      <c r="A56" s="539" t="s">
        <v>162</v>
      </c>
      <c r="B56" s="539">
        <f>ROUNDUP($B$41/D56,0)</f>
        <v>400</v>
      </c>
      <c r="C56" s="539" t="s">
        <v>159</v>
      </c>
      <c r="D56" s="539">
        <v>15</v>
      </c>
    </row>
    <row r="57" spans="1:4">
      <c r="A57" s="539" t="s">
        <v>163</v>
      </c>
      <c r="B57" s="539">
        <f>ROUNDUP($B$41/D57,0)</f>
        <v>300</v>
      </c>
      <c r="C57" s="539" t="s">
        <v>159</v>
      </c>
      <c r="D57" s="539">
        <v>20</v>
      </c>
    </row>
    <row r="58" spans="1:4">
      <c r="A58" s="539" t="s">
        <v>164</v>
      </c>
      <c r="B58" s="541">
        <v>350</v>
      </c>
      <c r="C58" s="539" t="s">
        <v>159</v>
      </c>
      <c r="D58" s="539">
        <v>0</v>
      </c>
    </row>
    <row r="59" spans="1:4">
      <c r="A59" s="539" t="s">
        <v>165</v>
      </c>
      <c r="B59" s="539">
        <f>ROUNDUP($B$50/D59,0)</f>
        <v>200</v>
      </c>
      <c r="C59" s="539" t="s">
        <v>159</v>
      </c>
      <c r="D59" s="539">
        <v>2</v>
      </c>
    </row>
    <row r="60" spans="1:4">
      <c r="A60" s="539" t="s">
        <v>166</v>
      </c>
      <c r="B60" s="539">
        <f>ROUNDUP($B$50/D60,0)</f>
        <v>134</v>
      </c>
      <c r="C60" s="539" t="s">
        <v>159</v>
      </c>
      <c r="D60" s="539">
        <v>3</v>
      </c>
    </row>
    <row r="61" spans="1:4">
      <c r="A61" s="539" t="s">
        <v>167</v>
      </c>
      <c r="B61" s="541">
        <v>200</v>
      </c>
      <c r="C61" s="539" t="s">
        <v>159</v>
      </c>
    </row>
    <row r="62" spans="1:4">
      <c r="A62" s="539" t="s">
        <v>170</v>
      </c>
      <c r="B62" s="542" t="str">
        <f>B61/1000 &amp; "m x " &amp;B58/1000&amp;"m"</f>
        <v>0,2m x 0,35m</v>
      </c>
    </row>
    <row r="63" spans="1:4">
      <c r="A63" s="544" t="s">
        <v>174</v>
      </c>
    </row>
    <row r="64" spans="1:4">
      <c r="A64" s="541" t="s">
        <v>175</v>
      </c>
    </row>
    <row r="65" spans="1:7">
      <c r="A65" s="539" t="s">
        <v>179</v>
      </c>
      <c r="B65" s="539" t="str">
        <f>'TINH TOAN'!T2</f>
        <v>S1C</v>
      </c>
    </row>
    <row r="66" spans="1:7">
      <c r="A66" s="539" t="s">
        <v>177</v>
      </c>
      <c r="B66" s="539">
        <f>VLOOKUP(B65,KH_SAN2,4,0)*1000</f>
        <v>1599.9999999999998</v>
      </c>
      <c r="C66" s="539" t="s">
        <v>159</v>
      </c>
      <c r="D66" s="539">
        <f>B66/1000</f>
        <v>1.5999999999999999</v>
      </c>
    </row>
    <row r="67" spans="1:7">
      <c r="A67" s="539" t="s">
        <v>176</v>
      </c>
      <c r="B67" s="539">
        <f>VLOOKUP(B65,KH_SAN2,5,0)*1000</f>
        <v>4000</v>
      </c>
      <c r="C67" s="539" t="s">
        <v>159</v>
      </c>
      <c r="D67" s="539">
        <f>B67/1000</f>
        <v>4</v>
      </c>
    </row>
    <row r="68" spans="1:7">
      <c r="A68" s="539" t="s">
        <v>178</v>
      </c>
      <c r="B68" s="545">
        <f>'TINH TOAN'!Q2</f>
        <v>2.7142857142857144</v>
      </c>
    </row>
    <row r="69" spans="1:7">
      <c r="A69" s="539" t="s">
        <v>304</v>
      </c>
      <c r="B69" s="546">
        <f>VLOOKUP(TH!B65,'tải sàn'!$B$5:$D$19,3,0)</f>
        <v>0.48</v>
      </c>
      <c r="C69" s="539" t="s">
        <v>845</v>
      </c>
    </row>
    <row r="70" spans="1:7">
      <c r="A70" s="539" t="s">
        <v>305</v>
      </c>
      <c r="B70" s="546">
        <f>VLOOKUP(TH!B65,'tải sàn'!$B$5:$D$19,2,0)</f>
        <v>0.19500000000000001</v>
      </c>
      <c r="C70" s="539" t="s">
        <v>845</v>
      </c>
    </row>
    <row r="71" spans="1:7">
      <c r="A71" s="539" t="s">
        <v>306</v>
      </c>
      <c r="B71" s="546">
        <f>(B69+B70)*D66^2/24</f>
        <v>7.1999999999999995E-2</v>
      </c>
      <c r="C71" s="539" t="s">
        <v>674</v>
      </c>
    </row>
    <row r="72" spans="1:7">
      <c r="A72" s="539" t="s">
        <v>308</v>
      </c>
      <c r="B72" s="546">
        <f>(B69+B70)*D66^2/12</f>
        <v>0.14399999999999999</v>
      </c>
      <c r="C72" s="539" t="s">
        <v>674</v>
      </c>
      <c r="E72" s="541" t="s">
        <v>314</v>
      </c>
    </row>
    <row r="73" spans="1:7">
      <c r="A73" s="539" t="s">
        <v>309</v>
      </c>
      <c r="B73" s="547">
        <f>B72/(B22*100*1*(I45/1000)^2)</f>
        <v>2.6470588235294114E-2</v>
      </c>
      <c r="C73" s="539" t="s">
        <v>1004</v>
      </c>
    </row>
    <row r="74" spans="1:7">
      <c r="A74" s="539" t="s">
        <v>310</v>
      </c>
      <c r="B74" s="546">
        <f>(1-SQRT(1-2*B73))</f>
        <v>2.6830526820013856E-2</v>
      </c>
      <c r="C74" s="539" t="s">
        <v>311</v>
      </c>
      <c r="D74" s="546">
        <f>B73/B74</f>
        <v>0.98658473658999302</v>
      </c>
      <c r="G74" s="540">
        <f>Rs_2</f>
        <v>28000</v>
      </c>
    </row>
    <row r="75" spans="1:7">
      <c r="A75" s="539" t="s">
        <v>259</v>
      </c>
      <c r="B75" s="546">
        <f>10000*B72/(Rs_2*TH!D74*h0_san*0.001)</f>
        <v>0.65159850848605094</v>
      </c>
      <c r="C75" s="539" t="s">
        <v>452</v>
      </c>
      <c r="D75" s="548">
        <f>'thepsan 1p'!N15</f>
        <v>3.9249999999999998</v>
      </c>
      <c r="E75" s="549" t="str">
        <f>'thepsan 1p'!P15</f>
        <v>Ø10a200</v>
      </c>
      <c r="G75" s="540">
        <f>'Thong so vat lieu'!G15</f>
        <v>28000</v>
      </c>
    </row>
    <row r="76" spans="1:7">
      <c r="A76" s="539" t="s">
        <v>313</v>
      </c>
      <c r="B76" s="549">
        <f>'thepsan 1p'!M16</f>
        <v>200</v>
      </c>
      <c r="C76" s="539" t="s">
        <v>453</v>
      </c>
      <c r="D76" s="548">
        <f>D75/(100*E100)*100</f>
        <v>0.49062499999999998</v>
      </c>
    </row>
    <row r="77" spans="1:7">
      <c r="A77" s="539" t="s">
        <v>312</v>
      </c>
      <c r="B77" s="549">
        <f>B67/B76+1</f>
        <v>21</v>
      </c>
    </row>
    <row r="78" spans="1:7">
      <c r="A78" s="541" t="s">
        <v>315</v>
      </c>
    </row>
    <row r="79" spans="1:7">
      <c r="A79" s="539" t="s">
        <v>306</v>
      </c>
      <c r="B79" s="546">
        <f>(B69+B70)*D66^2/24</f>
        <v>7.1999999999999995E-2</v>
      </c>
      <c r="C79" s="539" t="s">
        <v>307</v>
      </c>
    </row>
    <row r="80" spans="1:7">
      <c r="A80" s="539" t="s">
        <v>308</v>
      </c>
      <c r="B80" s="546">
        <f>(B69+B70)*D66^2/12</f>
        <v>0.14399999999999999</v>
      </c>
      <c r="C80" s="539" t="s">
        <v>307</v>
      </c>
    </row>
    <row r="81" spans="1:9">
      <c r="A81" s="539" t="s">
        <v>309</v>
      </c>
      <c r="B81" s="547">
        <f>B71/(B22*100*1*(I45/1000)^2)</f>
        <v>1.3235294117647057E-2</v>
      </c>
    </row>
    <row r="82" spans="1:9">
      <c r="A82" s="539" t="s">
        <v>310</v>
      </c>
      <c r="B82" s="546">
        <f>(1-SQRT(1-2*B81))</f>
        <v>1.3324059397055166E-2</v>
      </c>
      <c r="C82" s="539" t="s">
        <v>311</v>
      </c>
      <c r="D82" s="546">
        <f>B81/B82</f>
        <v>0.99333797030147375</v>
      </c>
    </row>
    <row r="83" spans="1:9">
      <c r="A83" s="539" t="s">
        <v>259</v>
      </c>
      <c r="B83" s="546">
        <f>10000*B79/(Rs_2*TH!D82*TH!I45*0.001)</f>
        <v>0.32358429964276836</v>
      </c>
      <c r="C83" s="539" t="s">
        <v>452</v>
      </c>
      <c r="D83" s="548">
        <f>'thepsan 1p'!N16</f>
        <v>3.9249999999999998</v>
      </c>
      <c r="E83" s="548" t="str">
        <f>'thepsan 1p'!P16</f>
        <v>Ø10a200</v>
      </c>
      <c r="F83" s="548"/>
      <c r="H83" s="548"/>
      <c r="I83" s="548"/>
    </row>
    <row r="84" spans="1:9">
      <c r="A84" s="539" t="s">
        <v>313</v>
      </c>
      <c r="B84" s="549">
        <f>'thepsan 1p'!M15</f>
        <v>200</v>
      </c>
      <c r="C84" s="539" t="s">
        <v>453</v>
      </c>
      <c r="D84" s="548">
        <f>D83/(100*$E$100)*100</f>
        <v>0.49062499999999998</v>
      </c>
    </row>
    <row r="85" spans="1:9">
      <c r="A85" s="539" t="s">
        <v>316</v>
      </c>
      <c r="B85" s="549">
        <f>B67/B84+1</f>
        <v>21</v>
      </c>
    </row>
    <row r="86" spans="1:9">
      <c r="A86" s="541" t="s">
        <v>445</v>
      </c>
    </row>
    <row r="87" spans="1:9">
      <c r="A87" s="539" t="s">
        <v>179</v>
      </c>
      <c r="B87" s="539" t="s">
        <v>104</v>
      </c>
    </row>
    <row r="88" spans="1:9">
      <c r="A88" s="539" t="s">
        <v>177</v>
      </c>
      <c r="B88" s="539">
        <f>VLOOKUP(B87,'tải sàn'!$B$5:$H$17,4,0)*1000</f>
        <v>4000</v>
      </c>
      <c r="C88" s="539" t="s">
        <v>159</v>
      </c>
      <c r="D88" s="539">
        <f>B88/1000</f>
        <v>4</v>
      </c>
    </row>
    <row r="89" spans="1:9">
      <c r="A89" s="539" t="s">
        <v>176</v>
      </c>
      <c r="B89" s="539">
        <f>VLOOKUP(B87,'tải sàn'!$B$5:$H$17,5,0)*1000</f>
        <v>6000</v>
      </c>
      <c r="C89" s="539" t="s">
        <v>159</v>
      </c>
      <c r="D89" s="539">
        <f>B89/1000</f>
        <v>6</v>
      </c>
    </row>
    <row r="90" spans="1:9">
      <c r="A90" s="539" t="s">
        <v>178</v>
      </c>
      <c r="B90" s="550">
        <f>ROUND(B89/B88,2)</f>
        <v>1.5</v>
      </c>
    </row>
    <row r="91" spans="1:9">
      <c r="A91" s="539" t="s">
        <v>304</v>
      </c>
      <c r="B91" s="539">
        <f>VLOOKUP(B87,'tải sàn'!$B$5:$H$17,3,0)</f>
        <v>0.48</v>
      </c>
      <c r="C91" s="539">
        <f>B91</f>
        <v>0.48</v>
      </c>
      <c r="D91" s="539" t="s">
        <v>733</v>
      </c>
    </row>
    <row r="92" spans="1:9">
      <c r="A92" s="539" t="s">
        <v>305</v>
      </c>
      <c r="B92" s="539">
        <f>VLOOKUP(B87,'tải sàn'!$B$5:$H$17,2,0)</f>
        <v>0.48</v>
      </c>
      <c r="C92" s="539">
        <f t="shared" ref="C92:C93" si="4">B92</f>
        <v>0.48</v>
      </c>
      <c r="D92" s="539" t="s">
        <v>733</v>
      </c>
    </row>
    <row r="93" spans="1:9">
      <c r="A93" s="539" t="s">
        <v>226</v>
      </c>
      <c r="B93" s="539">
        <f>B91+B92</f>
        <v>0.96</v>
      </c>
      <c r="C93" s="539">
        <f t="shared" si="4"/>
        <v>0.96</v>
      </c>
      <c r="D93" s="539" t="s">
        <v>733</v>
      </c>
    </row>
    <row r="94" spans="1:9">
      <c r="A94" s="539" t="s">
        <v>450</v>
      </c>
      <c r="B94" s="545">
        <f>B93*D88*D89</f>
        <v>23.04</v>
      </c>
    </row>
    <row r="95" spans="1:9">
      <c r="A95" s="539" t="s">
        <v>434</v>
      </c>
      <c r="B95" s="551">
        <f>momensan!C2</f>
        <v>9</v>
      </c>
    </row>
    <row r="96" spans="1:9">
      <c r="A96" s="539" t="s">
        <v>362</v>
      </c>
      <c r="B96" s="539">
        <f>VLOOKUP($B$90,'du lieu'!$D$18:$BF$118,HLOOKUP($B$95,'du lieu'!$D$130:$BF$131,2))</f>
        <v>2.0799999999999999E-2</v>
      </c>
    </row>
    <row r="97" spans="1:10">
      <c r="A97" s="539" t="s">
        <v>363</v>
      </c>
      <c r="B97" s="539">
        <f>VLOOKUP($B$90,'du lieu'!$D$18:$BF$118,HLOOKUP($B$95,'du lieu'!$D$133:$BF$134,2))</f>
        <v>9.2999999999999992E-3</v>
      </c>
    </row>
    <row r="98" spans="1:10">
      <c r="A98" s="539" t="s">
        <v>364</v>
      </c>
      <c r="B98" s="539">
        <f>VLOOKUP($B$90,'du lieu'!$D$18:$BF$118,HLOOKUP($B$95,'du lieu'!$D$136:$BF$137,2))</f>
        <v>4.6399999999999997E-2</v>
      </c>
    </row>
    <row r="99" spans="1:10">
      <c r="A99" s="539" t="s">
        <v>365</v>
      </c>
      <c r="B99" s="539">
        <f>VLOOKUP($B$90,'du lieu'!$D$18:$BF$118,HLOOKUP($B$95,'du lieu'!$D$139:$BF$140,2))</f>
        <v>2.06E-2</v>
      </c>
    </row>
    <row r="100" spans="1:10">
      <c r="A100" s="539" t="s">
        <v>446</v>
      </c>
      <c r="B100" s="546">
        <f>B96*$B$94</f>
        <v>0.47923199999999994</v>
      </c>
      <c r="C100" s="552">
        <f>B100*100</f>
        <v>47.923199999999994</v>
      </c>
      <c r="D100" s="539">
        <f>B22*10</f>
        <v>85</v>
      </c>
      <c r="E100" s="539">
        <f>I45/10</f>
        <v>8</v>
      </c>
    </row>
    <row r="101" spans="1:10">
      <c r="A101" s="539" t="s">
        <v>447</v>
      </c>
      <c r="B101" s="546">
        <f t="shared" ref="B101:B103" si="5">B97*$B$94</f>
        <v>0.21427199999999996</v>
      </c>
    </row>
    <row r="102" spans="1:10">
      <c r="A102" s="539" t="s">
        <v>448</v>
      </c>
      <c r="B102" s="546">
        <f t="shared" si="5"/>
        <v>1.0690559999999998</v>
      </c>
      <c r="C102" s="552">
        <f>B102*100</f>
        <v>106.90559999999998</v>
      </c>
    </row>
    <row r="103" spans="1:10">
      <c r="A103" s="539" t="s">
        <v>449</v>
      </c>
      <c r="B103" s="546">
        <f t="shared" si="5"/>
        <v>0.47462399999999999</v>
      </c>
      <c r="C103" s="539" t="s">
        <v>674</v>
      </c>
      <c r="E103" s="541" t="s">
        <v>314</v>
      </c>
    </row>
    <row r="104" spans="1:10">
      <c r="A104" s="539" t="s">
        <v>309</v>
      </c>
      <c r="B104" s="546">
        <f>B100/(D100*10*(E100/100)^2)</f>
        <v>8.8094117647058809E-2</v>
      </c>
      <c r="G104" s="608"/>
    </row>
    <row r="105" spans="1:10">
      <c r="A105" s="539" t="s">
        <v>310</v>
      </c>
      <c r="B105" s="546">
        <f>(1-SQRT(1-2*B104))</f>
        <v>9.2359231465508507E-2</v>
      </c>
      <c r="C105" s="539" t="s">
        <v>311</v>
      </c>
      <c r="D105" s="553">
        <f>B104/B105</f>
        <v>0.95382038426724569</v>
      </c>
      <c r="G105" s="608"/>
      <c r="I105" s="553"/>
    </row>
    <row r="106" spans="1:10">
      <c r="A106" s="539" t="s">
        <v>259</v>
      </c>
      <c r="B106" s="554">
        <f>B105*D105*$B$22*100*$E$100/$B$27</f>
        <v>2.6623999999999999</v>
      </c>
      <c r="C106" s="539" t="s">
        <v>452</v>
      </c>
      <c r="D106" s="548">
        <f>thepsan!N35</f>
        <v>3.9249999999999998</v>
      </c>
      <c r="E106" s="548" t="str">
        <f>thepsan!P35</f>
        <v>Ø10a200</v>
      </c>
      <c r="G106" s="554"/>
      <c r="I106" s="548"/>
      <c r="J106" s="548"/>
    </row>
    <row r="107" spans="1:10">
      <c r="A107" s="539" t="s">
        <v>313</v>
      </c>
      <c r="B107" s="555">
        <f>thepsan!M35</f>
        <v>200</v>
      </c>
      <c r="C107" s="539" t="s">
        <v>453</v>
      </c>
      <c r="D107" s="556">
        <f>D106/(100*$E$100)*100</f>
        <v>0.49062499999999998</v>
      </c>
      <c r="G107" s="555"/>
      <c r="I107" s="556"/>
    </row>
    <row r="108" spans="1:10">
      <c r="A108" s="539" t="s">
        <v>312</v>
      </c>
      <c r="B108" s="555">
        <f>B88/B107+1</f>
        <v>21</v>
      </c>
      <c r="C108" s="539" t="s">
        <v>451</v>
      </c>
      <c r="D108" s="539">
        <f>B27</f>
        <v>225</v>
      </c>
      <c r="G108" s="555"/>
    </row>
    <row r="109" spans="1:10">
      <c r="A109" s="541" t="s">
        <v>315</v>
      </c>
    </row>
    <row r="110" spans="1:10">
      <c r="A110" s="539" t="s">
        <v>309</v>
      </c>
      <c r="B110" s="546">
        <f>B102/(D100*10*(E100/100)^2)</f>
        <v>0.19651764705882346</v>
      </c>
    </row>
    <row r="111" spans="1:10">
      <c r="A111" s="539" t="s">
        <v>310</v>
      </c>
      <c r="B111" s="546">
        <f>(1-SQRT(1-2*B110))</f>
        <v>0.22092060360810906</v>
      </c>
      <c r="C111" s="539" t="s">
        <v>311</v>
      </c>
      <c r="D111" s="553">
        <f>B110/B111</f>
        <v>0.88953969819594558</v>
      </c>
    </row>
    <row r="112" spans="1:10">
      <c r="A112" s="539" t="s">
        <v>259</v>
      </c>
      <c r="B112" s="554">
        <f>B111*D111*$B$22*100*$E$100/$B$27</f>
        <v>5.9391999999999978</v>
      </c>
      <c r="C112" s="539" t="s">
        <v>452</v>
      </c>
      <c r="D112" s="548">
        <f>thepsan!N41</f>
        <v>3.9249999999999998</v>
      </c>
      <c r="E112" s="548" t="str">
        <f>thepsan!P41</f>
        <v>Ø10a200</v>
      </c>
    </row>
    <row r="113" spans="1:9">
      <c r="A113" s="539" t="s">
        <v>313</v>
      </c>
      <c r="B113" s="555">
        <f>thepsan!M41</f>
        <v>200</v>
      </c>
      <c r="C113" s="539" t="s">
        <v>453</v>
      </c>
      <c r="D113" s="556">
        <f>D112/(100*$E$100)*100</f>
        <v>0.49062499999999998</v>
      </c>
    </row>
    <row r="114" spans="1:9">
      <c r="A114" s="539" t="s">
        <v>312</v>
      </c>
      <c r="B114" s="555">
        <f>$B$88/B113+1</f>
        <v>21</v>
      </c>
      <c r="C114" s="539" t="s">
        <v>451</v>
      </c>
      <c r="D114" s="539">
        <f>B33</f>
        <v>210000</v>
      </c>
    </row>
    <row r="115" spans="1:9">
      <c r="A115" s="541" t="s">
        <v>460</v>
      </c>
    </row>
    <row r="116" spans="1:9">
      <c r="A116" s="539" t="s">
        <v>461</v>
      </c>
      <c r="B116" s="539">
        <v>23</v>
      </c>
    </row>
    <row r="117" spans="1:9">
      <c r="A117" s="539" t="s">
        <v>462</v>
      </c>
      <c r="B117" s="539">
        <f>B18</f>
        <v>3.6</v>
      </c>
      <c r="G117" s="540" t="s">
        <v>1018</v>
      </c>
    </row>
    <row r="118" spans="1:9">
      <c r="A118" s="539" t="s">
        <v>463</v>
      </c>
      <c r="B118" s="549">
        <v>157</v>
      </c>
      <c r="C118" s="539" t="s">
        <v>253</v>
      </c>
      <c r="D118" s="539">
        <v>157</v>
      </c>
      <c r="E118" s="539">
        <f>D118/1000</f>
        <v>0.157</v>
      </c>
      <c r="G118" s="648">
        <f>B122/30*1000</f>
        <v>133.33333333333334</v>
      </c>
      <c r="H118" s="648">
        <f>B122/35*1000</f>
        <v>114.28571428571428</v>
      </c>
    </row>
    <row r="119" spans="1:9">
      <c r="A119" s="539" t="s">
        <v>464</v>
      </c>
      <c r="B119" s="539">
        <v>300</v>
      </c>
      <c r="C119" s="539">
        <f>B119/1000</f>
        <v>0.3</v>
      </c>
      <c r="D119" s="539">
        <f>600-2*B118</f>
        <v>286</v>
      </c>
      <c r="E119" s="539">
        <f>620-2*B118</f>
        <v>306</v>
      </c>
    </row>
    <row r="120" spans="1:9">
      <c r="A120" s="539" t="s">
        <v>465</v>
      </c>
      <c r="B120" s="531">
        <f>B118/B119</f>
        <v>0.52333333333333332</v>
      </c>
      <c r="C120" s="539" t="s">
        <v>466</v>
      </c>
      <c r="D120" s="531">
        <f>ATAN(B120)*180/PI()</f>
        <v>27.624561718474425</v>
      </c>
      <c r="F120" s="557">
        <f>TAN(E127*PI()/180)</f>
        <v>0.49967167737102014</v>
      </c>
      <c r="G120" s="531">
        <f>B118/F120</f>
        <v>314.20632209142229</v>
      </c>
    </row>
    <row r="121" spans="1:9">
      <c r="A121" s="539" t="s">
        <v>467</v>
      </c>
      <c r="B121" s="650">
        <v>120</v>
      </c>
      <c r="C121" s="539" t="s">
        <v>159</v>
      </c>
      <c r="D121" s="539">
        <f>B121/10</f>
        <v>12</v>
      </c>
      <c r="E121" s="539" t="s">
        <v>515</v>
      </c>
      <c r="F121" s="539">
        <v>2</v>
      </c>
      <c r="G121" s="540" t="s">
        <v>516</v>
      </c>
      <c r="H121" s="539">
        <f>+D121-F121</f>
        <v>10</v>
      </c>
      <c r="I121" s="539">
        <f>H121/100</f>
        <v>0.1</v>
      </c>
    </row>
    <row r="122" spans="1:9">
      <c r="A122" s="539" t="s">
        <v>468</v>
      </c>
      <c r="B122" s="566">
        <f>B123+B124</f>
        <v>4</v>
      </c>
      <c r="C122" s="539" t="s">
        <v>6</v>
      </c>
      <c r="D122" s="651">
        <f>B121/1000</f>
        <v>0.12</v>
      </c>
    </row>
    <row r="123" spans="1:9">
      <c r="A123" s="539" t="s">
        <v>100</v>
      </c>
      <c r="B123" s="566">
        <v>1.4</v>
      </c>
    </row>
    <row r="124" spans="1:9">
      <c r="A124" s="539" t="s">
        <v>101</v>
      </c>
      <c r="B124" s="566">
        <v>2.6</v>
      </c>
    </row>
    <row r="125" spans="1:9">
      <c r="A125" s="539" t="s">
        <v>469</v>
      </c>
      <c r="B125" s="566">
        <v>4</v>
      </c>
    </row>
    <row r="126" spans="1:9">
      <c r="A126" s="539" t="s">
        <v>1014</v>
      </c>
      <c r="B126" s="566">
        <v>1.2</v>
      </c>
    </row>
    <row r="127" spans="1:9">
      <c r="A127" s="539" t="s">
        <v>470</v>
      </c>
      <c r="B127" s="534">
        <f>B122/10*1000</f>
        <v>400</v>
      </c>
      <c r="C127" s="534">
        <f>+B122*1000/13</f>
        <v>307.69230769230768</v>
      </c>
      <c r="E127" s="539">
        <v>26.55</v>
      </c>
      <c r="F127" s="539">
        <f>COS(E127*PI()/180)</f>
        <v>0.89454463983802512</v>
      </c>
    </row>
    <row r="128" spans="1:9">
      <c r="A128" s="539" t="s">
        <v>471</v>
      </c>
      <c r="B128" s="512">
        <v>400</v>
      </c>
      <c r="C128" s="531">
        <f>B128/1000</f>
        <v>0.4</v>
      </c>
    </row>
    <row r="129" spans="1:12">
      <c r="A129" s="539" t="s">
        <v>472</v>
      </c>
      <c r="B129" s="539">
        <f>+B128/2</f>
        <v>200</v>
      </c>
      <c r="C129" s="648">
        <f>+B128/3</f>
        <v>133.33333333333334</v>
      </c>
      <c r="D129" s="539" t="s">
        <v>253</v>
      </c>
      <c r="E129" s="647">
        <v>200</v>
      </c>
      <c r="F129" s="531">
        <f>E129/1000</f>
        <v>0.2</v>
      </c>
    </row>
    <row r="130" spans="1:12">
      <c r="A130" s="539" t="s">
        <v>473</v>
      </c>
      <c r="B130" s="546">
        <f>+($D$118+$B$119)/1000*C130*$F$130/($B$119/1000)</f>
        <v>2.6993615671236568E-2</v>
      </c>
      <c r="C130" s="539">
        <v>0.02</v>
      </c>
      <c r="E130" s="541" t="s">
        <v>477</v>
      </c>
      <c r="F130" s="649">
        <f>COS(D120*PI()/180)</f>
        <v>0.88600489074080635</v>
      </c>
      <c r="G130" s="540">
        <f>tinhtai_san!F59/1000</f>
        <v>2.4</v>
      </c>
      <c r="H130" s="539">
        <f>tinhtai_san!G59</f>
        <v>1.2</v>
      </c>
      <c r="I130" s="531">
        <f>G130/1000</f>
        <v>2.3999999999999998E-3</v>
      </c>
    </row>
    <row r="131" spans="1:12">
      <c r="A131" s="539" t="s">
        <v>474</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475</v>
      </c>
      <c r="B132" s="546">
        <f t="shared" si="6"/>
        <v>2.6993615671236568E-2</v>
      </c>
      <c r="C132" s="539">
        <v>0.02</v>
      </c>
      <c r="I132" s="531">
        <f t="shared" si="7"/>
        <v>0</v>
      </c>
    </row>
    <row r="133" spans="1:12">
      <c r="A133" s="539" t="s">
        <v>476</v>
      </c>
      <c r="B133" s="546">
        <f t="shared" si="6"/>
        <v>0.16196169402741942</v>
      </c>
      <c r="C133" s="539">
        <f>B121/1000</f>
        <v>0.12</v>
      </c>
      <c r="G133" s="540">
        <f>tinhtai_san!F62/1000</f>
        <v>2.5</v>
      </c>
      <c r="H133" s="539">
        <f>tinhtai_san!G62</f>
        <v>1.1000000000000001</v>
      </c>
      <c r="I133" s="531">
        <f t="shared" si="7"/>
        <v>2.5000000000000001E-3</v>
      </c>
    </row>
    <row r="134" spans="1:12">
      <c r="A134" s="539" t="s">
        <v>1011</v>
      </c>
      <c r="B134" s="546">
        <f>C134*$F$130/2</f>
        <v>6.9551383923153298E-2</v>
      </c>
      <c r="C134" s="539">
        <f>D118/1000</f>
        <v>0.157</v>
      </c>
      <c r="G134" s="540">
        <f>tinhtai_san!F61/1000</f>
        <v>1.8</v>
      </c>
      <c r="H134" s="539">
        <f>tinhtai_san!G61</f>
        <v>1.2</v>
      </c>
      <c r="I134" s="531">
        <f t="shared" si="7"/>
        <v>1.8E-3</v>
      </c>
    </row>
    <row r="135" spans="1:12">
      <c r="A135" s="539" t="s">
        <v>478</v>
      </c>
      <c r="B135" s="546">
        <f>B130*G130*H130+(B131+B132)*G131*H131+B133*G133*H133+B134*G134*H134</f>
        <v>0.78390611715628966</v>
      </c>
      <c r="C135" s="539" t="s">
        <v>733</v>
      </c>
      <c r="D135" s="523">
        <f>B135/1000</f>
        <v>7.8390611715628967E-4</v>
      </c>
      <c r="I135" s="531"/>
    </row>
    <row r="136" spans="1:12">
      <c r="A136" s="539" t="s">
        <v>1013</v>
      </c>
      <c r="B136" s="546">
        <f>B135/F130</f>
        <v>0.88476500000000013</v>
      </c>
      <c r="C136" s="539" t="s">
        <v>733</v>
      </c>
      <c r="D136" s="523">
        <f>B136/1000</f>
        <v>8.8476500000000014E-4</v>
      </c>
    </row>
    <row r="137" spans="1:12">
      <c r="A137" s="541" t="s">
        <v>479</v>
      </c>
    </row>
    <row r="138" spans="1:12">
      <c r="A138" s="539" t="s">
        <v>1012</v>
      </c>
      <c r="B138" s="639">
        <f>C130*G130*H130+(C131+C132)*G131*H131+C133*G133*H133</f>
        <v>0.46950000000000003</v>
      </c>
      <c r="C138" s="539" t="s">
        <v>733</v>
      </c>
      <c r="D138" s="531">
        <f>C130*I130*H130+(C131+C132)*I131*H131+C133*I133*H133</f>
        <v>4.6949999999999997E-4</v>
      </c>
      <c r="E138" s="539" t="s">
        <v>733</v>
      </c>
    </row>
    <row r="139" spans="1:12">
      <c r="A139" s="539" t="s">
        <v>509</v>
      </c>
      <c r="B139" s="639">
        <f>B138+360/1000</f>
        <v>0.82950000000000002</v>
      </c>
      <c r="D139" s="531">
        <f>D138+0.36</f>
        <v>0.3604695</v>
      </c>
      <c r="E139" s="539" t="s">
        <v>733</v>
      </c>
    </row>
    <row r="140" spans="1:12">
      <c r="A140" s="539" t="s">
        <v>510</v>
      </c>
      <c r="B140" s="639">
        <f>B136+30/1000+360/1000</f>
        <v>1.2747650000000001</v>
      </c>
      <c r="D140" s="531">
        <f>D139+0.36</f>
        <v>0.72046949999999998</v>
      </c>
      <c r="E140" s="539" t="s">
        <v>1023</v>
      </c>
      <c r="F140" s="564">
        <f>B140*$F$130</f>
        <v>1.1294480245452041</v>
      </c>
    </row>
    <row r="141" spans="1:12">
      <c r="A141" s="541" t="s">
        <v>518</v>
      </c>
    </row>
    <row r="142" spans="1:12">
      <c r="A142" s="539" t="s">
        <v>511</v>
      </c>
      <c r="B142" s="523">
        <f>(B140/F130*B124*(B123+B124/2)+B139*B123^2/2)/(B123+B124)</f>
        <v>2.7282841880386206</v>
      </c>
      <c r="J142" s="546">
        <v>0.2</v>
      </c>
      <c r="K142" s="550">
        <f>+G149-F149</f>
        <v>0.19999999999999996</v>
      </c>
      <c r="L142" s="564">
        <f>J142/K142</f>
        <v>1.0000000000000002</v>
      </c>
    </row>
    <row r="143" spans="1:12">
      <c r="A143" s="539" t="s">
        <v>512</v>
      </c>
      <c r="B143" s="523">
        <f>B140/F130*B124+B139*B123-B142</f>
        <v>2.1738405349815579</v>
      </c>
      <c r="J143" s="539">
        <f>(G153-F153)/K142*L142</f>
        <v>0.16850000000000004</v>
      </c>
      <c r="K143" s="539">
        <f>+J143+F153</f>
        <v>5.0300000000000039E-2</v>
      </c>
    </row>
    <row r="144" spans="1:12">
      <c r="A144" s="539" t="s">
        <v>513</v>
      </c>
      <c r="B144" s="531">
        <f>B142*F130/B140</f>
        <v>1.8962500021047231</v>
      </c>
      <c r="C144" s="539" t="s">
        <v>6</v>
      </c>
      <c r="D144" s="539">
        <v>1</v>
      </c>
      <c r="E144" s="539">
        <f>D144*100</f>
        <v>100</v>
      </c>
    </row>
    <row r="145" spans="1:15">
      <c r="A145" s="539" t="s">
        <v>514</v>
      </c>
      <c r="B145" s="531">
        <f>B142*F130*B144-B140*B144^2/2</f>
        <v>2.2918770926540972</v>
      </c>
      <c r="C145" s="539" t="s">
        <v>674</v>
      </c>
      <c r="D145" s="539" t="s">
        <v>309</v>
      </c>
      <c r="E145" s="539" t="s">
        <v>1006</v>
      </c>
      <c r="F145" s="539" t="s">
        <v>259</v>
      </c>
      <c r="G145" s="540" t="s">
        <v>452</v>
      </c>
      <c r="K145" s="539" t="s">
        <v>1007</v>
      </c>
    </row>
    <row r="146" spans="1:15">
      <c r="A146" s="539" t="s">
        <v>306</v>
      </c>
      <c r="B146" s="531">
        <f>0.7*B145</f>
        <v>1.6043139648578679</v>
      </c>
      <c r="C146" s="539" t="s">
        <v>517</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308</v>
      </c>
      <c r="B147" s="531">
        <f>0.4*B145</f>
        <v>0.91675083706163896</v>
      </c>
      <c r="C147" s="539" t="s">
        <v>517</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520</v>
      </c>
      <c r="K148" s="531"/>
    </row>
    <row r="149" spans="1:15">
      <c r="A149" s="539" t="s">
        <v>100</v>
      </c>
      <c r="B149" s="531">
        <f>B123</f>
        <v>1.4</v>
      </c>
      <c r="C149" s="539" t="s">
        <v>6</v>
      </c>
      <c r="D149" s="539" t="s">
        <v>521</v>
      </c>
      <c r="E149" s="539">
        <f>B150*F130</f>
        <v>1.2</v>
      </c>
      <c r="F149" s="539">
        <v>1</v>
      </c>
      <c r="G149" s="540">
        <v>1.2</v>
      </c>
      <c r="J149" s="539" t="s">
        <v>1015</v>
      </c>
      <c r="K149" s="652">
        <f>C128/D122</f>
        <v>3.3333333333333335</v>
      </c>
      <c r="L149" s="539">
        <v>0.9</v>
      </c>
      <c r="M149" s="539">
        <v>1</v>
      </c>
      <c r="N149" s="539">
        <v>1.2</v>
      </c>
      <c r="O149" s="539">
        <v>1.5</v>
      </c>
    </row>
    <row r="150" spans="1:15">
      <c r="A150" s="539" t="s">
        <v>101</v>
      </c>
      <c r="B150" s="531">
        <f>B126/F130</f>
        <v>1.3543943295805694</v>
      </c>
      <c r="C150" s="539" t="s">
        <v>6</v>
      </c>
      <c r="D150" s="546">
        <f>B149/B150</f>
        <v>1.0336723725309407</v>
      </c>
      <c r="E150" s="539" t="s">
        <v>522</v>
      </c>
      <c r="F150" s="539">
        <v>5.5399999999999998E-3</v>
      </c>
      <c r="G150" s="539">
        <v>6.94E-3</v>
      </c>
      <c r="H150" s="567">
        <f>(D$151-F$149)/($G$149-$F$149)*(G150-F150)+F150</f>
        <v>5.7757066077165848E-3</v>
      </c>
      <c r="J150" s="539" t="s">
        <v>1016</v>
      </c>
      <c r="K150" s="652">
        <f>B126/F130</f>
        <v>1.3543943295805694</v>
      </c>
      <c r="L150" s="539">
        <v>7.11E-3</v>
      </c>
      <c r="M150" s="539">
        <v>7.79E-3</v>
      </c>
      <c r="N150" s="539">
        <v>8.9200000000000008E-3</v>
      </c>
      <c r="O150" s="561">
        <v>1.0160000000000001E-2</v>
      </c>
    </row>
    <row r="151" spans="1:15">
      <c r="A151" s="539" t="s">
        <v>1020</v>
      </c>
      <c r="B151" s="523">
        <f>H151*$F$140*$B$149^2</f>
        <v>3.2883846454854128E-2</v>
      </c>
      <c r="C151" s="539" t="s">
        <v>674</v>
      </c>
      <c r="D151" s="546">
        <f>D150</f>
        <v>1.0336723725309407</v>
      </c>
      <c r="E151" s="541" t="s">
        <v>523</v>
      </c>
      <c r="F151" s="541">
        <v>1.44E-2</v>
      </c>
      <c r="G151" s="541">
        <v>1.7100000000000001E-2</v>
      </c>
      <c r="H151" s="567">
        <f>(D$151-F$149)/($G$149-$F$149)*(G151-F151)+F151</f>
        <v>1.4854577029167699E-2</v>
      </c>
      <c r="J151" s="539" t="s">
        <v>1017</v>
      </c>
      <c r="K151" s="652">
        <f>B123*F130/B126</f>
        <v>1.0336723725309407</v>
      </c>
      <c r="L151" s="539">
        <v>2.0199999999999999E-2</v>
      </c>
      <c r="M151" s="539">
        <v>1.95E-2</v>
      </c>
      <c r="N151" s="539">
        <v>1.7899999999999999E-2</v>
      </c>
      <c r="O151" s="561">
        <v>1.4200000000000001E-2</v>
      </c>
    </row>
    <row r="152" spans="1:15">
      <c r="A152" s="539" t="s">
        <v>1021</v>
      </c>
      <c r="B152" s="523">
        <f>H152*$F$140*$B$150^2</f>
        <v>0.11137611423793368</v>
      </c>
      <c r="C152" s="539" t="s">
        <v>674</v>
      </c>
      <c r="D152" s="539">
        <f>1.678/1.3</f>
        <v>1.2907692307692307</v>
      </c>
      <c r="E152" s="541" t="s">
        <v>524</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1022</v>
      </c>
      <c r="B153" s="643">
        <f>ABS(H153*$F$140*$B$149^2)</f>
        <v>0.24910130040167994</v>
      </c>
      <c r="C153" s="539" t="s">
        <v>674</v>
      </c>
      <c r="E153" s="541" t="s">
        <v>1019</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448</v>
      </c>
      <c r="B154" s="643">
        <f>B153</f>
        <v>0.24910130040167994</v>
      </c>
      <c r="C154" s="539" t="s">
        <v>674</v>
      </c>
      <c r="E154" s="539" t="s">
        <v>525</v>
      </c>
      <c r="F154" s="539">
        <v>1.0030000000000001E-2</v>
      </c>
      <c r="G154" s="539">
        <v>1.2800000000000001E-2</v>
      </c>
      <c r="H154" s="567">
        <f>(D$151-F$149)/($G$149-$F$149)*(G154-F154)+F154</f>
        <v>1.049636235955353E-2</v>
      </c>
      <c r="K154" s="539" t="s">
        <v>1007</v>
      </c>
      <c r="L154" s="539">
        <v>0.1037</v>
      </c>
      <c r="M154" s="539">
        <v>0.1108</v>
      </c>
      <c r="N154" s="539">
        <v>0.1201</v>
      </c>
      <c r="O154" s="561">
        <v>0.12640000000000001</v>
      </c>
    </row>
    <row r="155" spans="1:15">
      <c r="A155" s="539" t="s">
        <v>446</v>
      </c>
      <c r="B155" s="646">
        <f>B151</f>
        <v>3.2883846454854128E-2</v>
      </c>
      <c r="C155" s="539" t="s">
        <v>674</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447</v>
      </c>
      <c r="B156" s="523">
        <f>B152</f>
        <v>0.11137611423793368</v>
      </c>
      <c r="C156" s="539" t="s">
        <v>674</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526</v>
      </c>
      <c r="B157" s="541" t="s">
        <v>529</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527</v>
      </c>
      <c r="B158" s="523">
        <f>$F$129*($C$128-$E$47)*1.1*2.5</f>
        <v>0.16500000000000004</v>
      </c>
    </row>
    <row r="159" spans="1:15">
      <c r="A159" s="539" t="s">
        <v>528</v>
      </c>
      <c r="B159" s="523">
        <f>0.2*($B$117-1.36)*1.1*1.8</f>
        <v>0.88704000000000027</v>
      </c>
    </row>
    <row r="160" spans="1:15">
      <c r="A160" s="539" t="s">
        <v>509</v>
      </c>
      <c r="B160" s="523">
        <f>B158+B159+$B$143</f>
        <v>3.2258805349815582</v>
      </c>
    </row>
    <row r="161" spans="1:15">
      <c r="A161" s="541" t="s">
        <v>526</v>
      </c>
      <c r="B161" s="563" t="s">
        <v>530</v>
      </c>
    </row>
    <row r="162" spans="1:15">
      <c r="A162" s="539" t="s">
        <v>527</v>
      </c>
      <c r="B162" s="523">
        <f>$F$129*($C$128-$E$47)*1.1*2.5/F130</f>
        <v>0.18622922031732833</v>
      </c>
      <c r="J162" s="539">
        <f>1-2*0.51</f>
        <v>-2.0000000000000018E-2</v>
      </c>
    </row>
    <row r="163" spans="1:15">
      <c r="A163" s="539" t="s">
        <v>528</v>
      </c>
      <c r="B163" s="523">
        <f>0.2*($B$18-F168)*1.1*1.8/$F$130</f>
        <v>0.82238823692132179</v>
      </c>
    </row>
    <row r="164" spans="1:15">
      <c r="A164" s="539" t="s">
        <v>532</v>
      </c>
      <c r="B164" s="531">
        <f>B140*B149/F130</f>
        <v>2.0142902354724037</v>
      </c>
    </row>
    <row r="165" spans="1:15">
      <c r="A165" s="539" t="s">
        <v>510</v>
      </c>
      <c r="B165" s="531">
        <f>B162+B163+B164</f>
        <v>3.0229076927110539</v>
      </c>
    </row>
    <row r="166" spans="1:15">
      <c r="A166" s="541" t="s">
        <v>526</v>
      </c>
      <c r="B166" s="563" t="s">
        <v>531</v>
      </c>
    </row>
    <row r="167" spans="1:15">
      <c r="A167" s="539" t="s">
        <v>527</v>
      </c>
      <c r="B167" s="523">
        <f>$F$129*($C$128-$E$47)*1.1*2.5</f>
        <v>0.16500000000000004</v>
      </c>
    </row>
    <row r="168" spans="1:15">
      <c r="A168" s="539" t="s">
        <v>528</v>
      </c>
      <c r="B168" s="523">
        <f>0.2*($B$18-2.16)*1.1*1.8</f>
        <v>0.57024000000000008</v>
      </c>
      <c r="D168" s="539">
        <v>3.6</v>
      </c>
      <c r="E168" s="539">
        <v>1.36</v>
      </c>
      <c r="F168" s="539">
        <f>+(E168+E169)/2</f>
        <v>1.7600000000000002</v>
      </c>
    </row>
    <row r="169" spans="1:15">
      <c r="A169" s="539" t="s">
        <v>533</v>
      </c>
      <c r="B169" s="531">
        <f>B167+B168+$B$143</f>
        <v>2.9090805349815581</v>
      </c>
      <c r="E169" s="539">
        <v>2.16</v>
      </c>
    </row>
    <row r="170" spans="1:15">
      <c r="A170" s="539" t="s">
        <v>519</v>
      </c>
      <c r="B170" s="531">
        <f>((B160*B149^2/2)+B165*E149/F130*(E149/2+B149)+B169*B149*(B149+E149+B149/2))/(B149+E149+B149)</f>
        <v>6.1974332679008484</v>
      </c>
      <c r="D170" s="539">
        <f>D171*100</f>
        <v>20</v>
      </c>
      <c r="F170" s="539">
        <f>F171*100</f>
        <v>40</v>
      </c>
      <c r="H170" s="539">
        <f>H171*100</f>
        <v>2</v>
      </c>
      <c r="J170" s="539">
        <f>J171*100</f>
        <v>38</v>
      </c>
    </row>
    <row r="171" spans="1:15">
      <c r="A171" s="539" t="s">
        <v>511</v>
      </c>
      <c r="B171" s="531">
        <f>B160*B149+B165*E149/F130+B169*B149-B170</f>
        <v>6.485721267900848</v>
      </c>
      <c r="C171" s="541" t="s">
        <v>534</v>
      </c>
      <c r="D171" s="541">
        <f>E129/1000</f>
        <v>0.2</v>
      </c>
      <c r="E171" s="541" t="s">
        <v>535</v>
      </c>
      <c r="F171" s="541">
        <f>B128/1000</f>
        <v>0.4</v>
      </c>
      <c r="G171" s="562" t="s">
        <v>172</v>
      </c>
      <c r="H171" s="541">
        <f>20/1000</f>
        <v>0.02</v>
      </c>
      <c r="I171" s="541" t="s">
        <v>173</v>
      </c>
      <c r="J171" s="541">
        <f>+F171-H171</f>
        <v>0.38</v>
      </c>
    </row>
    <row r="172" spans="1:15">
      <c r="A172" s="539" t="s">
        <v>513</v>
      </c>
      <c r="B172" s="531">
        <f>(B171-B160*B149)*F130/B165+B149</f>
        <v>1.9772509905725686</v>
      </c>
      <c r="C172" s="539" t="s">
        <v>6</v>
      </c>
      <c r="D172" s="539" t="s">
        <v>309</v>
      </c>
      <c r="E172" s="539" t="s">
        <v>1006</v>
      </c>
      <c r="F172" s="539" t="s">
        <v>259</v>
      </c>
      <c r="G172" s="540" t="s">
        <v>452</v>
      </c>
      <c r="K172" s="539" t="s">
        <v>1007</v>
      </c>
    </row>
    <row r="173" spans="1:15">
      <c r="A173" s="539" t="s">
        <v>514</v>
      </c>
      <c r="B173" s="531">
        <f>B171*B172-B160*B149*(B172-B149/2)-B165*(B172-B149)^2/2/F130</f>
        <v>6.4870914500151207</v>
      </c>
      <c r="C173" s="539" t="s">
        <v>517</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537</v>
      </c>
      <c r="B174" s="564"/>
      <c r="E174" s="539" t="s">
        <v>1006</v>
      </c>
      <c r="F174" s="641">
        <f>0.5*(1+SQRT(1-2*D173))</f>
        <v>0.84332090962420247</v>
      </c>
    </row>
    <row r="175" spans="1:15">
      <c r="A175" s="539" t="s">
        <v>249</v>
      </c>
      <c r="B175" s="539">
        <v>6</v>
      </c>
      <c r="C175" s="539" t="str">
        <f>"Ø"&amp;B175</f>
        <v>Ø6</v>
      </c>
      <c r="D175" s="565">
        <f>VLOOKUP(B175,'tra thep'!$R$9:$S$17,2,0)</f>
        <v>0.28274333882308139</v>
      </c>
      <c r="H175" s="539" t="s">
        <v>309</v>
      </c>
      <c r="I175" s="539" t="s">
        <v>1006</v>
      </c>
      <c r="J175" s="539" t="s">
        <v>259</v>
      </c>
      <c r="K175" s="540" t="s">
        <v>452</v>
      </c>
      <c r="O175" s="539" t="s">
        <v>1007</v>
      </c>
    </row>
    <row r="176" spans="1:15">
      <c r="A176" s="539" t="s">
        <v>14</v>
      </c>
      <c r="B176" s="539">
        <v>2</v>
      </c>
      <c r="F176" s="539" t="s">
        <v>308</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453</v>
      </c>
      <c r="B177" s="539">
        <v>15</v>
      </c>
      <c r="C177" s="539" t="s">
        <v>159</v>
      </c>
      <c r="D177" s="539">
        <f>B177/1000</f>
        <v>1.4999999999999999E-2</v>
      </c>
      <c r="F177" s="539" t="s">
        <v>306</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538</v>
      </c>
      <c r="B178" s="549">
        <f>SQRT(8*$D$22*$D$171*$J$171^2*D28*2*D175/10^4/D177)</f>
        <v>35.994623439250113</v>
      </c>
    </row>
    <row r="179" spans="1:15">
      <c r="A179" s="541" t="s">
        <v>1477</v>
      </c>
    </row>
    <row r="180" spans="1:15">
      <c r="A180" s="539" t="s">
        <v>621</v>
      </c>
      <c r="B180" s="539">
        <v>5.5</v>
      </c>
      <c r="C180" s="539" t="s">
        <v>6</v>
      </c>
    </row>
    <row r="181" spans="1:15">
      <c r="A181" s="539" t="s">
        <v>622</v>
      </c>
      <c r="B181" s="539">
        <v>3</v>
      </c>
      <c r="C181" s="539" t="s">
        <v>6</v>
      </c>
      <c r="H181" s="553"/>
      <c r="I181" s="553"/>
    </row>
    <row r="182" spans="1:15">
      <c r="A182" s="539" t="s">
        <v>623</v>
      </c>
      <c r="B182" s="541">
        <f>+B180/2+B181/2</f>
        <v>4.25</v>
      </c>
      <c r="C182" s="539" t="s">
        <v>6</v>
      </c>
      <c r="H182" s="553"/>
      <c r="I182" s="553"/>
    </row>
    <row r="183" spans="1:15">
      <c r="A183" s="539" t="s">
        <v>100</v>
      </c>
      <c r="B183" s="539">
        <v>2</v>
      </c>
      <c r="C183" s="539" t="s">
        <v>6</v>
      </c>
      <c r="H183" s="553"/>
      <c r="I183" s="553"/>
    </row>
    <row r="184" spans="1:15">
      <c r="A184" s="539" t="s">
        <v>101</v>
      </c>
      <c r="B184" s="539">
        <v>4</v>
      </c>
      <c r="C184" s="539" t="s">
        <v>6</v>
      </c>
    </row>
    <row r="185" spans="1:15">
      <c r="A185" s="539" t="s">
        <v>229</v>
      </c>
      <c r="B185" s="541">
        <f>+B183/2+B184/2</f>
        <v>3</v>
      </c>
      <c r="C185" s="539" t="s">
        <v>6</v>
      </c>
      <c r="D185" s="541">
        <f>B185+B182</f>
        <v>7.25</v>
      </c>
    </row>
    <row r="186" spans="1:15">
      <c r="A186" s="539" t="s">
        <v>624</v>
      </c>
      <c r="B186" s="548">
        <f>(B184+B183)/2*B182</f>
        <v>12.75</v>
      </c>
      <c r="C186" s="539" t="s">
        <v>3</v>
      </c>
    </row>
    <row r="187" spans="1:15">
      <c r="A187" s="539" t="s">
        <v>625</v>
      </c>
      <c r="B187" s="548">
        <f>B186*(D187+E187)</f>
        <v>12.24</v>
      </c>
      <c r="C187" s="539" t="s">
        <v>672</v>
      </c>
      <c r="D187" s="539">
        <f>B91</f>
        <v>0.48</v>
      </c>
      <c r="E187" s="539">
        <f>B92</f>
        <v>0.48</v>
      </c>
    </row>
    <row r="188" spans="1:15">
      <c r="A188" s="539" t="s">
        <v>626</v>
      </c>
      <c r="B188" s="539">
        <f>B50/1000</f>
        <v>0.4</v>
      </c>
      <c r="C188" s="539">
        <f>B53/1000</f>
        <v>0.2</v>
      </c>
    </row>
    <row r="189" spans="1:15">
      <c r="A189" s="539" t="s">
        <v>527</v>
      </c>
      <c r="B189" s="548">
        <f>1.1*$G$195*C188*B188*D185</f>
        <v>1.5950000000000002</v>
      </c>
      <c r="C189" s="539" t="s">
        <v>672</v>
      </c>
    </row>
    <row r="190" spans="1:15">
      <c r="A190" s="539" t="s">
        <v>627</v>
      </c>
      <c r="B190" s="548">
        <f>D185/2</f>
        <v>3.625</v>
      </c>
      <c r="C190" s="539" t="s">
        <v>6</v>
      </c>
    </row>
    <row r="191" spans="1:15">
      <c r="A191" s="539" t="s">
        <v>528</v>
      </c>
      <c r="B191" s="548">
        <f>1.1*0.1*$F$195*B190*3.6</f>
        <v>2.5839000000000003</v>
      </c>
      <c r="C191" s="539" t="s">
        <v>672</v>
      </c>
    </row>
    <row r="192" spans="1:15">
      <c r="A192" s="539" t="s">
        <v>628</v>
      </c>
      <c r="B192" s="539">
        <v>30</v>
      </c>
      <c r="C192" s="539">
        <v>30</v>
      </c>
      <c r="D192" s="539">
        <f>B192/100</f>
        <v>0.3</v>
      </c>
      <c r="E192" s="539">
        <f>C192/100</f>
        <v>0.3</v>
      </c>
    </row>
    <row r="193" spans="1:7">
      <c r="A193" s="539" t="s">
        <v>629</v>
      </c>
      <c r="B193" s="653">
        <f>1.1*$G$195*D192*E192*3.6</f>
        <v>0.8909999999999999</v>
      </c>
      <c r="C193" s="539" t="s">
        <v>672</v>
      </c>
    </row>
    <row r="194" spans="1:7">
      <c r="A194" s="539" t="s">
        <v>1</v>
      </c>
      <c r="B194" s="548">
        <v>2</v>
      </c>
    </row>
    <row r="195" spans="1:7">
      <c r="A195" s="539" t="s">
        <v>630</v>
      </c>
      <c r="B195" s="548">
        <f>(B187+B189+B191+B193)*B194</f>
        <v>34.619799999999998</v>
      </c>
      <c r="F195" s="539">
        <v>1.8</v>
      </c>
      <c r="G195" s="539">
        <v>2.5</v>
      </c>
    </row>
    <row r="196" spans="1:7">
      <c r="A196" s="539" t="s">
        <v>631</v>
      </c>
      <c r="B196" s="539">
        <f>D22</f>
        <v>850</v>
      </c>
      <c r="D196" s="539">
        <f>10*1000*B195</f>
        <v>346198</v>
      </c>
      <c r="E196" s="539">
        <v>8.5</v>
      </c>
      <c r="F196" s="539">
        <f>D196/E196/10*1.2</f>
        <v>4887.5011764705878</v>
      </c>
      <c r="G196" s="540">
        <f>B197*10^4</f>
        <v>488.7501176470588</v>
      </c>
    </row>
    <row r="197" spans="1:7">
      <c r="A197" s="539" t="s">
        <v>608</v>
      </c>
      <c r="B197" s="654">
        <f>B195/B196*E197</f>
        <v>4.8875011764705878E-2</v>
      </c>
      <c r="C197" s="539" t="s">
        <v>3</v>
      </c>
      <c r="D197" s="539" t="s">
        <v>632</v>
      </c>
      <c r="E197" s="539">
        <v>1.2</v>
      </c>
    </row>
    <row r="198" spans="1:7">
      <c r="A198" s="539" t="s">
        <v>242</v>
      </c>
      <c r="B198" s="540">
        <f>SQRT(B197)</f>
        <v>0.22107693630206177</v>
      </c>
      <c r="C198" s="539" t="s">
        <v>633</v>
      </c>
    </row>
    <row r="199" spans="1:7">
      <c r="A199" s="539" t="s">
        <v>634</v>
      </c>
      <c r="B199" s="539">
        <v>30</v>
      </c>
      <c r="C199" s="539" t="s">
        <v>633</v>
      </c>
    </row>
    <row r="200" spans="1:7">
      <c r="A200" s="539" t="s">
        <v>171</v>
      </c>
      <c r="B200" s="539">
        <v>30</v>
      </c>
      <c r="C200" s="539" t="s">
        <v>633</v>
      </c>
    </row>
    <row r="201" spans="1:7">
      <c r="A201" s="539" t="s">
        <v>608</v>
      </c>
      <c r="B201" s="539">
        <f>B200*B199</f>
        <v>900</v>
      </c>
    </row>
    <row r="202" spans="1:7">
      <c r="A202" s="541" t="s">
        <v>635</v>
      </c>
    </row>
    <row r="203" spans="1:7">
      <c r="A203" s="539" t="s">
        <v>621</v>
      </c>
      <c r="B203" s="539">
        <v>5.5</v>
      </c>
    </row>
    <row r="204" spans="1:7">
      <c r="A204" s="539" t="s">
        <v>622</v>
      </c>
      <c r="B204" s="539">
        <v>3</v>
      </c>
    </row>
    <row r="205" spans="1:7">
      <c r="A205" s="539" t="s">
        <v>623</v>
      </c>
      <c r="B205" s="541">
        <f>+B203/2+B204/2</f>
        <v>4.25</v>
      </c>
    </row>
    <row r="206" spans="1:7">
      <c r="A206" s="539" t="s">
        <v>100</v>
      </c>
      <c r="B206" s="539">
        <v>0</v>
      </c>
    </row>
    <row r="207" spans="1:7">
      <c r="A207" s="539" t="s">
        <v>101</v>
      </c>
      <c r="B207" s="539">
        <v>4</v>
      </c>
    </row>
    <row r="208" spans="1:7">
      <c r="A208" s="539" t="s">
        <v>229</v>
      </c>
      <c r="B208" s="541">
        <f>+B206/2+B207/2</f>
        <v>2</v>
      </c>
      <c r="C208" s="539" t="s">
        <v>6</v>
      </c>
      <c r="D208" s="541">
        <f>B208+B205</f>
        <v>6.25</v>
      </c>
    </row>
    <row r="209" spans="1:5">
      <c r="A209" s="539" t="s">
        <v>624</v>
      </c>
      <c r="B209" s="548">
        <f>(B207+B206)/2*B205</f>
        <v>8.5</v>
      </c>
      <c r="C209" s="539" t="s">
        <v>3</v>
      </c>
    </row>
    <row r="210" spans="1:5">
      <c r="A210" s="539" t="s">
        <v>625</v>
      </c>
      <c r="B210" s="548">
        <f>B209*(D210+E210)</f>
        <v>8.16</v>
      </c>
      <c r="C210" s="539" t="s">
        <v>672</v>
      </c>
      <c r="D210" s="539">
        <f>B91</f>
        <v>0.48</v>
      </c>
      <c r="E210" s="539">
        <f>B92</f>
        <v>0.48</v>
      </c>
    </row>
    <row r="211" spans="1:5">
      <c r="A211" s="539" t="s">
        <v>626</v>
      </c>
      <c r="B211" s="539">
        <f>B50/1000</f>
        <v>0.4</v>
      </c>
      <c r="C211" s="539">
        <f>B53/1000</f>
        <v>0.2</v>
      </c>
    </row>
    <row r="212" spans="1:5">
      <c r="A212" s="539" t="s">
        <v>527</v>
      </c>
      <c r="B212" s="548">
        <f>1.1*$G$195*C211*B211*D208</f>
        <v>1.3750000000000002</v>
      </c>
      <c r="C212" s="539" t="s">
        <v>569</v>
      </c>
    </row>
    <row r="213" spans="1:5">
      <c r="A213" s="539" t="s">
        <v>627</v>
      </c>
      <c r="B213" s="548">
        <f>(B205/2+B208/2)</f>
        <v>3.125</v>
      </c>
      <c r="C213" s="539" t="s">
        <v>6</v>
      </c>
    </row>
    <row r="214" spans="1:5">
      <c r="A214" s="539" t="s">
        <v>528</v>
      </c>
      <c r="B214" s="548">
        <f>1.1*0.2*$F$195*B213*3.6</f>
        <v>4.455000000000001</v>
      </c>
      <c r="C214" s="539" t="s">
        <v>569</v>
      </c>
    </row>
    <row r="215" spans="1:5">
      <c r="A215" s="539" t="s">
        <v>628</v>
      </c>
      <c r="B215" s="539">
        <v>30</v>
      </c>
      <c r="C215" s="539">
        <v>30</v>
      </c>
      <c r="D215" s="539">
        <f>B215/100</f>
        <v>0.3</v>
      </c>
      <c r="E215" s="539">
        <f>C215/100</f>
        <v>0.3</v>
      </c>
    </row>
    <row r="216" spans="1:5">
      <c r="A216" s="539" t="s">
        <v>629</v>
      </c>
      <c r="B216" s="653">
        <f>1.1*$G$195*D215*E215*3.6</f>
        <v>0.8909999999999999</v>
      </c>
      <c r="C216" s="539" t="s">
        <v>569</v>
      </c>
    </row>
    <row r="217" spans="1:5">
      <c r="A217" s="539" t="s">
        <v>1</v>
      </c>
      <c r="B217" s="548">
        <v>2</v>
      </c>
    </row>
    <row r="218" spans="1:5">
      <c r="A218" s="539" t="s">
        <v>630</v>
      </c>
      <c r="B218" s="548">
        <f>(B210+B212+B214+B216)*B217</f>
        <v>29.762000000000004</v>
      </c>
    </row>
    <row r="219" spans="1:5">
      <c r="A219" s="539" t="s">
        <v>631</v>
      </c>
      <c r="B219" s="539">
        <f>D22</f>
        <v>850</v>
      </c>
    </row>
    <row r="220" spans="1:5">
      <c r="A220" s="539" t="s">
        <v>608</v>
      </c>
      <c r="B220" s="654">
        <f>B218/B219*E220</f>
        <v>4.201694117647059E-2</v>
      </c>
      <c r="C220" s="539" t="s">
        <v>536</v>
      </c>
      <c r="D220" s="539" t="s">
        <v>632</v>
      </c>
      <c r="E220" s="539">
        <v>1.2</v>
      </c>
    </row>
    <row r="221" spans="1:5">
      <c r="A221" s="539" t="s">
        <v>242</v>
      </c>
      <c r="B221" s="540">
        <f>SQRT(B220)</f>
        <v>0.20498034339045926</v>
      </c>
      <c r="C221" s="539" t="s">
        <v>633</v>
      </c>
    </row>
    <row r="222" spans="1:5">
      <c r="A222" s="539" t="s">
        <v>634</v>
      </c>
      <c r="B222" s="539">
        <v>30</v>
      </c>
      <c r="C222" s="539" t="s">
        <v>633</v>
      </c>
    </row>
    <row r="223" spans="1:5">
      <c r="A223" s="539" t="s">
        <v>171</v>
      </c>
      <c r="B223" s="539">
        <v>30</v>
      </c>
      <c r="C223" s="539" t="s">
        <v>633</v>
      </c>
    </row>
    <row r="224" spans="1:5">
      <c r="A224" s="539" t="s">
        <v>608</v>
      </c>
      <c r="B224" s="539">
        <f>B223*B222</f>
        <v>900</v>
      </c>
    </row>
    <row r="225" spans="1:7">
      <c r="A225" s="539" t="s">
        <v>661</v>
      </c>
      <c r="D225" s="539" t="s">
        <v>242</v>
      </c>
      <c r="E225" s="539" t="s">
        <v>958</v>
      </c>
    </row>
    <row r="226" spans="1:7">
      <c r="A226" s="539" t="s">
        <v>662</v>
      </c>
      <c r="B226" s="539">
        <v>95</v>
      </c>
      <c r="D226" s="539">
        <f>D228*10</f>
        <v>300</v>
      </c>
      <c r="E226" s="539">
        <f>E228*10</f>
        <v>300</v>
      </c>
    </row>
    <row r="227" spans="1:7">
      <c r="A227" s="539" t="s">
        <v>664</v>
      </c>
      <c r="C227" s="539" t="s">
        <v>516</v>
      </c>
      <c r="D227" s="539">
        <f>D228-$B$241</f>
        <v>26</v>
      </c>
      <c r="E227" s="539">
        <f>E228-$B$241</f>
        <v>26</v>
      </c>
    </row>
    <row r="228" spans="1:7">
      <c r="A228" s="539" t="s">
        <v>665</v>
      </c>
      <c r="B228" s="539" t="s">
        <v>1120</v>
      </c>
      <c r="C228" s="539" t="s">
        <v>675</v>
      </c>
      <c r="D228" s="539">
        <f>B222</f>
        <v>30</v>
      </c>
      <c r="E228" s="539">
        <f>B223</f>
        <v>30</v>
      </c>
    </row>
    <row r="229" spans="1:7">
      <c r="A229" s="539" t="s">
        <v>667</v>
      </c>
      <c r="B229" s="539">
        <v>3.6</v>
      </c>
      <c r="C229" s="539" t="s">
        <v>6</v>
      </c>
      <c r="D229" s="549">
        <f>B229*100</f>
        <v>360</v>
      </c>
    </row>
    <row r="230" spans="1:7">
      <c r="A230" s="539" t="s">
        <v>468</v>
      </c>
      <c r="B230" s="548">
        <f>0.7*B229</f>
        <v>2.52</v>
      </c>
      <c r="C230" s="539" t="s">
        <v>6</v>
      </c>
      <c r="D230" s="549">
        <f>B230*100</f>
        <v>252</v>
      </c>
      <c r="E230" s="539" t="s">
        <v>633</v>
      </c>
      <c r="F230" s="539">
        <f>B230*1000</f>
        <v>2520</v>
      </c>
      <c r="G230" s="540" t="s">
        <v>159</v>
      </c>
    </row>
    <row r="231" spans="1:7">
      <c r="A231" s="539" t="s">
        <v>668</v>
      </c>
    </row>
    <row r="232" spans="1:7">
      <c r="A232" s="539" t="s">
        <v>669</v>
      </c>
      <c r="B232" s="539">
        <v>20.95</v>
      </c>
      <c r="C232" s="539" t="s">
        <v>672</v>
      </c>
      <c r="D232" s="539">
        <f>B232*1000</f>
        <v>20950</v>
      </c>
    </row>
    <row r="233" spans="1:7">
      <c r="A233" s="539" t="s">
        <v>670</v>
      </c>
      <c r="B233" s="539">
        <v>0.14000000000000001</v>
      </c>
      <c r="C233" s="539" t="s">
        <v>674</v>
      </c>
      <c r="D233" s="539">
        <f t="shared" ref="D233:D240" si="10">B233*1000</f>
        <v>140</v>
      </c>
    </row>
    <row r="234" spans="1:7">
      <c r="A234" s="539" t="s">
        <v>514</v>
      </c>
      <c r="B234" s="539">
        <v>0.15</v>
      </c>
      <c r="C234" s="539" t="s">
        <v>674</v>
      </c>
      <c r="D234" s="539">
        <f t="shared" si="10"/>
        <v>150</v>
      </c>
    </row>
    <row r="235" spans="1:7">
      <c r="A235" s="539" t="s">
        <v>671</v>
      </c>
      <c r="B235" s="539">
        <v>20.56</v>
      </c>
      <c r="C235" s="539" t="s">
        <v>672</v>
      </c>
      <c r="D235" s="539">
        <f t="shared" si="10"/>
        <v>20560</v>
      </c>
    </row>
    <row r="236" spans="1:7">
      <c r="A236" s="539" t="s">
        <v>673</v>
      </c>
      <c r="D236" s="539">
        <f t="shared" si="10"/>
        <v>0</v>
      </c>
    </row>
    <row r="237" spans="1:7">
      <c r="A237" s="539" t="s">
        <v>669</v>
      </c>
      <c r="B237" s="539">
        <v>36.75</v>
      </c>
      <c r="C237" s="539" t="s">
        <v>672</v>
      </c>
      <c r="D237" s="539">
        <f t="shared" si="10"/>
        <v>36750</v>
      </c>
    </row>
    <row r="238" spans="1:7">
      <c r="A238" s="539" t="s">
        <v>670</v>
      </c>
      <c r="B238" s="539">
        <v>0.43</v>
      </c>
      <c r="C238" s="539" t="s">
        <v>674</v>
      </c>
      <c r="D238" s="539">
        <f t="shared" si="10"/>
        <v>430</v>
      </c>
    </row>
    <row r="239" spans="1:7">
      <c r="A239" s="539" t="s">
        <v>514</v>
      </c>
      <c r="B239" s="539">
        <v>0.77</v>
      </c>
      <c r="C239" s="539" t="s">
        <v>674</v>
      </c>
      <c r="D239" s="539">
        <f t="shared" si="10"/>
        <v>770</v>
      </c>
    </row>
    <row r="240" spans="1:7">
      <c r="A240" s="539" t="s">
        <v>671</v>
      </c>
      <c r="B240" s="539">
        <v>7.99</v>
      </c>
      <c r="C240" s="539" t="s">
        <v>672</v>
      </c>
      <c r="D240" s="539">
        <f t="shared" si="10"/>
        <v>7990</v>
      </c>
    </row>
    <row r="241" spans="1:10">
      <c r="A241" s="539" t="s">
        <v>515</v>
      </c>
      <c r="B241" s="539">
        <v>4</v>
      </c>
      <c r="C241" s="539" t="s">
        <v>633</v>
      </c>
      <c r="D241" s="539">
        <f>+B241/100</f>
        <v>0.04</v>
      </c>
      <c r="E241" s="539" t="s">
        <v>6</v>
      </c>
      <c r="F241" s="539">
        <f>B241*10</f>
        <v>40</v>
      </c>
    </row>
    <row r="242" spans="1:10">
      <c r="A242" s="544" t="s">
        <v>931</v>
      </c>
    </row>
    <row r="243" spans="1:10">
      <c r="A243" s="539" t="s">
        <v>516</v>
      </c>
      <c r="B243" s="539">
        <f>E228-$B$241</f>
        <v>26</v>
      </c>
      <c r="C243" s="539" t="s">
        <v>633</v>
      </c>
      <c r="D243" s="647">
        <f>B243*10</f>
        <v>260</v>
      </c>
      <c r="E243" s="539" t="s">
        <v>159</v>
      </c>
      <c r="F243" s="539" t="s">
        <v>1119</v>
      </c>
      <c r="G243" s="540">
        <f>D243-F241</f>
        <v>220</v>
      </c>
    </row>
    <row r="244" spans="1:10">
      <c r="A244" s="539" t="s">
        <v>676</v>
      </c>
      <c r="B244" s="545">
        <f>D230/E228</f>
        <v>8.4</v>
      </c>
      <c r="C244" s="539" t="s">
        <v>678</v>
      </c>
      <c r="D244" s="539">
        <v>100</v>
      </c>
    </row>
    <row r="245" spans="1:10">
      <c r="A245" s="539" t="s">
        <v>677</v>
      </c>
      <c r="B245" s="539">
        <f>0.288*D228</f>
        <v>8.6399999999999988</v>
      </c>
      <c r="D245" s="539" t="s">
        <v>1121</v>
      </c>
      <c r="E245" s="539">
        <v>1</v>
      </c>
    </row>
    <row r="246" spans="1:10">
      <c r="A246" s="539" t="s">
        <v>679</v>
      </c>
      <c r="B246" s="547">
        <f>B233/B232</f>
        <v>6.6825775656324587E-3</v>
      </c>
      <c r="C246" s="548">
        <f>B246*100</f>
        <v>0.66825775656324582</v>
      </c>
    </row>
    <row r="247" spans="1:10">
      <c r="A247" s="539" t="s">
        <v>680</v>
      </c>
      <c r="B247" s="548">
        <f>MAX(C247,D247)</f>
        <v>1</v>
      </c>
      <c r="C247" s="548">
        <f>+D229/600</f>
        <v>0.6</v>
      </c>
      <c r="D247" s="548">
        <f>E228/30</f>
        <v>1</v>
      </c>
    </row>
    <row r="248" spans="1:10">
      <c r="A248" s="539" t="s">
        <v>681</v>
      </c>
      <c r="B248" s="548">
        <f>MAX(C246,B247)</f>
        <v>1</v>
      </c>
      <c r="C248" s="548">
        <f>B248*10</f>
        <v>10</v>
      </c>
    </row>
    <row r="249" spans="1:10">
      <c r="A249" s="539" t="s">
        <v>682</v>
      </c>
      <c r="B249" s="548">
        <f>B248+0.5*D228-B241</f>
        <v>12</v>
      </c>
    </row>
    <row r="250" spans="1:10">
      <c r="A250" s="539" t="s">
        <v>513</v>
      </c>
      <c r="B250" s="548">
        <f>B232/(0.85*D22*D228/100)</f>
        <v>9.6655132641291802E-2</v>
      </c>
      <c r="D250" s="548">
        <f>K22*B243/100</f>
        <v>0.16910025706940876</v>
      </c>
    </row>
    <row r="251" spans="1:10">
      <c r="A251" s="539" t="s">
        <v>683</v>
      </c>
      <c r="B251" s="540">
        <f>B248/E228</f>
        <v>3.3333333333333333E-2</v>
      </c>
    </row>
    <row r="252" spans="1:10">
      <c r="A252" s="539" t="s">
        <v>684</v>
      </c>
      <c r="B252" s="540">
        <f>($K$22+(1-$K$22)/(1+50*B251^2))*B243</f>
        <v>25.521580300365308</v>
      </c>
    </row>
    <row r="253" spans="1:10">
      <c r="A253" s="539" t="s">
        <v>259</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1122</v>
      </c>
      <c r="B257" s="539">
        <v>1.4999999999999999E-2</v>
      </c>
      <c r="C257" s="539">
        <f>B257*100</f>
        <v>1.5</v>
      </c>
      <c r="D257" s="539" t="s">
        <v>1123</v>
      </c>
    </row>
    <row r="258" spans="1:8">
      <c r="A258" s="539" t="s">
        <v>1124</v>
      </c>
      <c r="B258" s="553">
        <f>B257*D226*D243*(0.5*E226-F241)^2/10^6</f>
        <v>14.157</v>
      </c>
      <c r="C258" s="539" t="s">
        <v>1125</v>
      </c>
      <c r="D258" s="539" t="s">
        <v>1126</v>
      </c>
    </row>
    <row r="259" spans="1:8">
      <c r="A259"/>
      <c r="B259" s="553">
        <f>B33/B24</f>
        <v>9.1304347826086953</v>
      </c>
      <c r="G259" s="540">
        <v>36750</v>
      </c>
      <c r="H259" s="556">
        <f>(G259*G260-0.85*G262*G263*G264*(G265-0.5*G264))/(G266*(G265-5))</f>
        <v>-2.457635428571427</v>
      </c>
    </row>
    <row r="260" spans="1:8">
      <c r="A260" s="539" t="s">
        <v>1127</v>
      </c>
      <c r="B260" s="553">
        <f>D226*E226^3/12/10^6</f>
        <v>675</v>
      </c>
      <c r="C260" s="539" t="s">
        <v>1125</v>
      </c>
      <c r="D260" s="539" t="s">
        <v>1126</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15" zoomScaleNormal="100" workbookViewId="0">
      <selection activeCell="B46" sqref="B4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IF(TH!A1&lt;&gt;"",TH!A1,"")</f>
        <v>Ngày thực hiện luận văn</v>
      </c>
      <c r="B1" s="822" t="str">
        <f>IF(TH!B1&lt;&gt;"",TH!B1,"")</f>
        <v>ngày 02 tháng 07 năm 2020</v>
      </c>
      <c r="C1" s="822" t="str">
        <f>IF(TH!C1&lt;&gt;"",TH!C1,"")</f>
        <v/>
      </c>
      <c r="D1" s="822" t="str">
        <f>IF(TH!D1&lt;&gt;"",TH!D1,"")</f>
        <v/>
      </c>
      <c r="E1" s="822" t="str">
        <f>IF(TH!E1&lt;&gt;"",TH!E1,"")</f>
        <v/>
      </c>
      <c r="F1" s="822" t="str">
        <f>IF(TH!F1&lt;&gt;"",TH!F1,"")</f>
        <v/>
      </c>
      <c r="G1" s="822" t="str">
        <f>IF(TH!G1&lt;&gt;"",TH!G1,"")</f>
        <v/>
      </c>
      <c r="H1" s="822" t="str">
        <f>IF(TH!H1&lt;&gt;"",TH!H1,"")</f>
        <v/>
      </c>
      <c r="I1" s="822" t="str">
        <f>IF(TH!I1&lt;&gt;"",TH!I1,"")</f>
        <v/>
      </c>
    </row>
    <row r="2" spans="1:9">
      <c r="A2" s="822" t="str">
        <f>IF(TH!A2&lt;&gt;"",TH!A2,"")</f>
        <v>Tên công trình:</v>
      </c>
      <c r="B2" s="822" t="str">
        <f>IF(TH!B2&lt;&gt;"",TH!B2,"")</f>
        <v>Trụ Sở Làm Việc Xã Tân Ân -Huyện Ngọc Hiển-Tỉnh Cà Mau</v>
      </c>
      <c r="C2" s="822" t="str">
        <f>IF(TH!C2&lt;&gt;"",TH!C2,"")</f>
        <v/>
      </c>
      <c r="D2" s="822" t="str">
        <f>IF(TH!D2&lt;&gt;"",TH!D2,"")</f>
        <v/>
      </c>
      <c r="E2" s="822" t="str">
        <f>IF(TH!E2&lt;&gt;"",TH!E2,"")</f>
        <v/>
      </c>
      <c r="F2" s="822" t="str">
        <f>IF(TH!F2&lt;&gt;"",TH!F2,"")</f>
        <v/>
      </c>
      <c r="G2" s="822" t="str">
        <f>IF(TH!G2&lt;&gt;"",TH!G2,"")</f>
        <v/>
      </c>
      <c r="H2" s="822" t="str">
        <f>IF(TH!H2&lt;&gt;"",TH!H2,"")</f>
        <v/>
      </c>
      <c r="I2" s="822" t="str">
        <f>IF(TH!I2&lt;&gt;"",TH!I2,"")</f>
        <v/>
      </c>
    </row>
    <row r="3" spans="1:9">
      <c r="A3" s="822" t="str">
        <f>IF(TH!A3&lt;&gt;"",TH!A3,"")</f>
        <v>Địa điểm:</v>
      </c>
      <c r="B3" s="822" t="str">
        <f>IF(TH!B3&lt;&gt;"",TH!B3,"")</f>
        <v>Xã Tân Ân -Huyện Ngọc Hiển-Tỉnh Cà Mau</v>
      </c>
      <c r="C3" s="822" t="str">
        <f>IF(TH!C3&lt;&gt;"",TH!C3,"")</f>
        <v/>
      </c>
      <c r="D3" s="822" t="str">
        <f>IF(TH!D3&lt;&gt;"",TH!D3,"")</f>
        <v/>
      </c>
      <c r="E3" s="822" t="str">
        <f>IF(TH!E3&lt;&gt;"",TH!E3,"")</f>
        <v/>
      </c>
      <c r="F3" s="822" t="str">
        <f>IF(TH!F3&lt;&gt;"",TH!F3,"")</f>
        <v/>
      </c>
      <c r="G3" s="822" t="str">
        <f>IF(TH!G3&lt;&gt;"",TH!G3,"")</f>
        <v/>
      </c>
      <c r="H3" s="822" t="str">
        <f>IF(TH!H3&lt;&gt;"",TH!H3,"")</f>
        <v/>
      </c>
      <c r="I3" s="822" t="str">
        <f>IF(TH!I3&lt;&gt;"",TH!I3,"")</f>
        <v/>
      </c>
    </row>
    <row r="4" spans="1:9">
      <c r="A4" s="822" t="str">
        <f>IF(TH!A4&lt;&gt;"",TH!A4,"")</f>
        <v>Đặc điểm công trình:</v>
      </c>
      <c r="B4" s="822" t="str">
        <f>IF(TH!B4&lt;&gt;"",TH!B4,"")</f>
        <v>1 tầng trệt, 2 tầng lầu</v>
      </c>
      <c r="C4" s="822" t="str">
        <f>IF(TH!C4&lt;&gt;"",TH!C4,"")</f>
        <v/>
      </c>
      <c r="D4" s="822" t="str">
        <f>IF(TH!D4&lt;&gt;"",TH!D4,"")</f>
        <v/>
      </c>
      <c r="E4" s="822" t="str">
        <f>IF(TH!E4&lt;&gt;"",TH!E4,"")</f>
        <v/>
      </c>
      <c r="F4" s="822" t="str">
        <f>IF(TH!F4&lt;&gt;"",TH!F4,"")</f>
        <v/>
      </c>
      <c r="G4" s="822" t="str">
        <f>IF(TH!G4&lt;&gt;"",TH!G4,"")</f>
        <v/>
      </c>
      <c r="H4" s="822" t="str">
        <f>IF(TH!H4&lt;&gt;"",TH!H4,"")</f>
        <v/>
      </c>
      <c r="I4" s="822" t="str">
        <f>IF(TH!I4&lt;&gt;"",TH!I4,"")</f>
        <v/>
      </c>
    </row>
    <row r="5" spans="1:9">
      <c r="A5" s="822" t="str">
        <f>IF(TH!A5&lt;&gt;"",TH!A5,"")</f>
        <v>Cấp công trình</v>
      </c>
      <c r="B5" s="822">
        <f>IF(TH!B5&lt;&gt;"",TH!B5,"")</f>
        <v>5000</v>
      </c>
      <c r="C5" s="822" t="str">
        <f>IF(TH!C5&lt;&gt;"",TH!C5,"")</f>
        <v/>
      </c>
      <c r="D5" s="822" t="str">
        <f>IF(TH!D5&lt;&gt;"",TH!D5,"")</f>
        <v/>
      </c>
      <c r="E5" s="822" t="str">
        <f>IF(TH!E5&lt;&gt;"",TH!E5,"")</f>
        <v/>
      </c>
      <c r="F5" s="822" t="str">
        <f>IF(TH!F5&lt;&gt;"",TH!F5,"")</f>
        <v/>
      </c>
      <c r="G5" s="822" t="str">
        <f>IF(TH!G5&lt;&gt;"",TH!G5,"")</f>
        <v/>
      </c>
      <c r="H5" s="822" t="str">
        <f>IF(TH!H5&lt;&gt;"",TH!H5,"")</f>
        <v/>
      </c>
      <c r="I5" s="822" t="str">
        <f>IF(TH!I5&lt;&gt;"",TH!I5,"")</f>
        <v/>
      </c>
    </row>
    <row r="6" spans="1:9">
      <c r="A6" s="822" t="str">
        <f>IF(TH!A6&lt;&gt;"",TH!A6,"")</f>
        <v>Số tầng:</v>
      </c>
      <c r="B6" s="822">
        <f>IF(TH!B6&lt;&gt;"",TH!B6,"")</f>
        <v>4</v>
      </c>
      <c r="C6" s="822" t="str">
        <f>IF(TH!C6&lt;&gt;"",TH!C6,"")</f>
        <v>tầng</v>
      </c>
      <c r="D6" s="822" t="str">
        <f>IF(TH!D6&lt;&gt;"",TH!D6,"")</f>
        <v/>
      </c>
      <c r="E6" s="822" t="str">
        <f>IF(TH!E6&lt;&gt;"",TH!E6,"")</f>
        <v/>
      </c>
      <c r="F6" s="822" t="str">
        <f>IF(TH!F6&lt;&gt;"",TH!F6,"")</f>
        <v/>
      </c>
      <c r="G6" s="822" t="str">
        <f>IF(TH!G6&lt;&gt;"",TH!G6,"")</f>
        <v/>
      </c>
      <c r="H6" s="822" t="str">
        <f>IF(TH!H6&lt;&gt;"",TH!H6,"")</f>
        <v/>
      </c>
      <c r="I6" s="822" t="str">
        <f>IF(TH!I6&lt;&gt;"",TH!I6,"")</f>
        <v/>
      </c>
    </row>
    <row r="7" spans="1:9">
      <c r="A7" s="822" t="str">
        <f>IF(TH!A7&lt;&gt;"",TH!A7,"")</f>
        <v>Diện tích xây dựng</v>
      </c>
      <c r="B7" s="822">
        <f>IF(TH!B7&lt;&gt;"",TH!B7,"")</f>
        <v>435.7</v>
      </c>
      <c r="C7" s="822" t="str">
        <f>IF(TH!C7&lt;&gt;"",TH!C7,"")</f>
        <v>m2</v>
      </c>
      <c r="D7" s="822" t="str">
        <f>IF(TH!D7&lt;&gt;"",TH!D7,"")</f>
        <v/>
      </c>
      <c r="E7" s="822" t="str">
        <f>IF(TH!E7&lt;&gt;"",TH!E7,"")</f>
        <v/>
      </c>
      <c r="F7" s="822" t="str">
        <f>IF(TH!F7&lt;&gt;"",TH!F7,"")</f>
        <v/>
      </c>
      <c r="G7" s="822" t="str">
        <f>IF(TH!G7&lt;&gt;"",TH!G7,"")</f>
        <v/>
      </c>
      <c r="H7" s="822" t="str">
        <f>IF(TH!H7&lt;&gt;"",TH!H7,"")</f>
        <v/>
      </c>
      <c r="I7" s="822" t="str">
        <f>IF(TH!I7&lt;&gt;"",TH!I7,"")</f>
        <v/>
      </c>
    </row>
    <row r="8" spans="1:9">
      <c r="A8" s="822" t="str">
        <f>IF(TH!A8&lt;&gt;"",TH!A8,"")</f>
        <v xml:space="preserve">Tổng diện tích </v>
      </c>
      <c r="B8" s="822">
        <f>IF(TH!B8&lt;&gt;"",TH!B8,"")</f>
        <v>814.3</v>
      </c>
      <c r="C8" s="822" t="str">
        <f>IF(TH!C8&lt;&gt;"",TH!C8,"")</f>
        <v>m2</v>
      </c>
      <c r="D8" s="822" t="str">
        <f>IF(TH!D8&lt;&gt;"",TH!D8,"")</f>
        <v/>
      </c>
      <c r="E8" s="822" t="str">
        <f>IF(TH!E8&lt;&gt;"",TH!E8,"")</f>
        <v/>
      </c>
      <c r="F8" s="822" t="str">
        <f>IF(TH!F8&lt;&gt;"",TH!F8,"")</f>
        <v/>
      </c>
      <c r="G8" s="822" t="str">
        <f>IF(TH!G8&lt;&gt;"",TH!G8,"")</f>
        <v/>
      </c>
      <c r="H8" s="822" t="str">
        <f>IF(TH!H8&lt;&gt;"",TH!H8,"")</f>
        <v/>
      </c>
      <c r="I8" s="822" t="str">
        <f>IF(TH!I8&lt;&gt;"",TH!I8,"")</f>
        <v/>
      </c>
    </row>
    <row r="9" spans="1:9">
      <c r="A9" s="822" t="str">
        <f>IF(TH!A9&lt;&gt;"",TH!A9,"")</f>
        <v>Trong đó:</v>
      </c>
      <c r="B9" s="822" t="str">
        <f>IF(TH!B9&lt;&gt;"",TH!B9,"")</f>
        <v>tầng trệt: S=435,7 m², lầu 1: S=378,6 m²</v>
      </c>
      <c r="C9" s="822" t="str">
        <f>IF(TH!C9&lt;&gt;"",TH!C9,"")</f>
        <v/>
      </c>
      <c r="D9" s="822" t="str">
        <f>IF(TH!D9&lt;&gt;"",TH!D9,"")</f>
        <v/>
      </c>
      <c r="E9" s="822" t="str">
        <f>IF(TH!E9&lt;&gt;"",TH!E9,"")</f>
        <v/>
      </c>
      <c r="F9" s="822" t="str">
        <f>IF(TH!F9&lt;&gt;"",TH!F9,"")</f>
        <v/>
      </c>
      <c r="G9" s="822" t="str">
        <f>IF(TH!G9&lt;&gt;"",TH!G9,"")</f>
        <v/>
      </c>
      <c r="H9" s="822" t="str">
        <f>IF(TH!H9&lt;&gt;"",TH!H9,"")</f>
        <v/>
      </c>
      <c r="I9" s="822" t="str">
        <f>IF(TH!I9&lt;&gt;"",TH!I9,"")</f>
        <v/>
      </c>
    </row>
    <row r="10" spans="1:9">
      <c r="A10" s="822" t="str">
        <f>IF(TH!A10&lt;&gt;"",TH!A10,"")</f>
        <v>Chiều cao nèn từ tầng trệt:</v>
      </c>
      <c r="B10" s="822" t="str">
        <f>IF(TH!B10&lt;&gt;"",TH!B10,"")</f>
        <v/>
      </c>
      <c r="C10" s="822" t="str">
        <f>IF(TH!C10&lt;&gt;"",TH!C10,"")</f>
        <v/>
      </c>
      <c r="D10" s="822" t="str">
        <f>IF(TH!D10&lt;&gt;"",TH!D10,"")</f>
        <v/>
      </c>
      <c r="E10" s="822" t="str">
        <f>IF(TH!E10&lt;&gt;"",TH!E10,"")</f>
        <v/>
      </c>
      <c r="F10" s="822" t="str">
        <f>IF(TH!F10&lt;&gt;"",TH!F10,"")</f>
        <v/>
      </c>
      <c r="G10" s="822" t="str">
        <f>IF(TH!G10&lt;&gt;"",TH!G10,"")</f>
        <v/>
      </c>
      <c r="H10" s="822" t="str">
        <f>IF(TH!H10&lt;&gt;"",TH!H10,"")</f>
        <v/>
      </c>
      <c r="I10" s="822" t="str">
        <f>IF(TH!I10&lt;&gt;"",TH!I10,"")</f>
        <v/>
      </c>
    </row>
    <row r="11" spans="1:9">
      <c r="A11" s="822" t="str">
        <f>IF(TH!A11&lt;&gt;"",TH!A11,"")</f>
        <v>Cao độ mỗi tầng:</v>
      </c>
      <c r="B11" s="822" t="str">
        <f>IF(TH!B11&lt;&gt;"",TH!B11,"")</f>
        <v/>
      </c>
      <c r="C11" s="822" t="str">
        <f>IF(TH!C11&lt;&gt;"",TH!C11,"")</f>
        <v/>
      </c>
      <c r="D11" s="822" t="str">
        <f>IF(TH!D11&lt;&gt;"",TH!D11,"")</f>
        <v/>
      </c>
      <c r="E11" s="822" t="str">
        <f>IF(TH!E11&lt;&gt;"",TH!E11,"")</f>
        <v/>
      </c>
      <c r="F11" s="822" t="str">
        <f>IF(TH!F11&lt;&gt;"",TH!F11,"")</f>
        <v/>
      </c>
      <c r="G11" s="822" t="str">
        <f>IF(TH!G11&lt;&gt;"",TH!G11,"")</f>
        <v/>
      </c>
      <c r="H11" s="822" t="str">
        <f>IF(TH!H11&lt;&gt;"",TH!H11,"")</f>
        <v/>
      </c>
      <c r="I11" s="822" t="str">
        <f>IF(TH!I11&lt;&gt;"",TH!I11,"")</f>
        <v/>
      </c>
    </row>
    <row r="12" spans="1:9">
      <c r="A12" s="822" t="str">
        <f>IF(TH!A12&lt;&gt;"",TH!A12,"")</f>
        <v>Tầng trệt</v>
      </c>
      <c r="B12" s="822">
        <f>IF(TH!B12&lt;&gt;"",TH!B12,"")</f>
        <v>2.85</v>
      </c>
      <c r="C12" s="822" t="str">
        <f>IF(TH!C12&lt;&gt;"",TH!C12,"")</f>
        <v>m</v>
      </c>
      <c r="D12" s="822" t="str">
        <f>IF(TH!D12&lt;&gt;"",TH!D12,"")</f>
        <v/>
      </c>
      <c r="E12" s="822" t="str">
        <f>IF(TH!E12&lt;&gt;"",TH!E12,"")</f>
        <v/>
      </c>
      <c r="F12" s="822" t="str">
        <f>IF(TH!F12&lt;&gt;"",TH!F12,"")</f>
        <v/>
      </c>
      <c r="G12" s="822" t="str">
        <f>IF(TH!G12&lt;&gt;"",TH!G12,"")</f>
        <v/>
      </c>
      <c r="H12" s="822" t="str">
        <f>IF(TH!H12&lt;&gt;"",TH!H12,"")</f>
        <v/>
      </c>
      <c r="I12" s="822" t="str">
        <f>IF(TH!I12&lt;&gt;"",TH!I12,"")</f>
        <v/>
      </c>
    </row>
    <row r="13" spans="1:9">
      <c r="A13" s="822" t="str">
        <f>IF(TH!A13&lt;&gt;"",TH!A13,"")</f>
        <v>Tầng 1</v>
      </c>
      <c r="B13" s="822">
        <f>IF(TH!B13&lt;&gt;"",TH!B13,"")</f>
        <v>3.6</v>
      </c>
      <c r="C13" s="822" t="str">
        <f>IF(TH!C13&lt;&gt;"",TH!C13,"")</f>
        <v>m</v>
      </c>
      <c r="D13" s="822" t="str">
        <f>IF(TH!D13&lt;&gt;"",TH!D13,"")</f>
        <v/>
      </c>
      <c r="E13" s="822" t="str">
        <f>IF(TH!E13&lt;&gt;"",TH!E13,"")</f>
        <v/>
      </c>
      <c r="F13" s="822" t="str">
        <f>IF(TH!F13&lt;&gt;"",TH!F13,"")</f>
        <v/>
      </c>
      <c r="G13" s="822" t="str">
        <f>IF(TH!G13&lt;&gt;"",TH!G13,"")</f>
        <v/>
      </c>
      <c r="H13" s="822" t="str">
        <f>IF(TH!H13&lt;&gt;"",TH!H13,"")</f>
        <v/>
      </c>
      <c r="I13" s="822" t="str">
        <f>IF(TH!I13&lt;&gt;"",TH!I13,"")</f>
        <v/>
      </c>
    </row>
    <row r="14" spans="1:9">
      <c r="A14" s="822" t="str">
        <f>IF(TH!A14&lt;&gt;"",TH!A14,"")</f>
        <v>Tầng 2</v>
      </c>
      <c r="B14" s="822">
        <f>IF(TH!B14&lt;&gt;"",TH!B14,"")</f>
        <v>6.45</v>
      </c>
      <c r="C14" s="822" t="str">
        <f>IF(TH!C14&lt;&gt;"",TH!C14,"")</f>
        <v>m</v>
      </c>
      <c r="D14" s="822" t="str">
        <f>IF(TH!D14&lt;&gt;"",TH!D14,"")</f>
        <v/>
      </c>
      <c r="E14" s="822" t="str">
        <f>IF(TH!E14&lt;&gt;"",TH!E14,"")</f>
        <v/>
      </c>
      <c r="F14" s="822" t="str">
        <f>IF(TH!F14&lt;&gt;"",TH!F14,"")</f>
        <v/>
      </c>
      <c r="G14" s="822" t="str">
        <f>IF(TH!G14&lt;&gt;"",TH!G14,"")</f>
        <v/>
      </c>
      <c r="H14" s="822" t="str">
        <f>IF(TH!H14&lt;&gt;"",TH!H14,"")</f>
        <v/>
      </c>
      <c r="I14" s="822" t="str">
        <f>IF(TH!I14&lt;&gt;"",TH!I14,"")</f>
        <v/>
      </c>
    </row>
    <row r="15" spans="1:9">
      <c r="A15" s="822" t="str">
        <f>IF(TH!A15&lt;&gt;"",TH!A15,"")</f>
        <v>Mái</v>
      </c>
      <c r="B15" s="822">
        <f>IF(TH!B15&lt;&gt;"",TH!B15,"")</f>
        <v>13.35</v>
      </c>
      <c r="C15" s="822" t="str">
        <f>IF(TH!C15&lt;&gt;"",TH!C15,"")</f>
        <v>m</v>
      </c>
      <c r="D15" s="822" t="str">
        <f>IF(TH!D15&lt;&gt;"",TH!D15,"")</f>
        <v/>
      </c>
      <c r="E15" s="822" t="str">
        <f>IF(TH!E15&lt;&gt;"",TH!E15,"")</f>
        <v/>
      </c>
      <c r="F15" s="822" t="str">
        <f>IF(TH!F15&lt;&gt;"",TH!F15,"")</f>
        <v/>
      </c>
      <c r="G15" s="822" t="str">
        <f>IF(TH!G15&lt;&gt;"",TH!G15,"")</f>
        <v/>
      </c>
      <c r="H15" s="822" t="str">
        <f>IF(TH!H15&lt;&gt;"",TH!H15,"")</f>
        <v/>
      </c>
      <c r="I15" s="822" t="str">
        <f>IF(TH!I15&lt;&gt;"",TH!I15,"")</f>
        <v/>
      </c>
    </row>
    <row r="16" spans="1:9">
      <c r="A16" s="822" t="str">
        <f>IF(TH!A16&lt;&gt;"",TH!A16,"")</f>
        <v>Chiều cao công trình</v>
      </c>
      <c r="B16" s="822">
        <f>IF(TH!B16&lt;&gt;"",TH!B16,"")</f>
        <v>13.35</v>
      </c>
      <c r="C16" s="822" t="str">
        <f>IF(TH!C16&lt;&gt;"",TH!C16,"")</f>
        <v>m</v>
      </c>
      <c r="D16" s="822" t="str">
        <f>IF(TH!D16&lt;&gt;"",TH!D16,"")</f>
        <v/>
      </c>
      <c r="E16" s="822" t="str">
        <f>IF(TH!E16&lt;&gt;"",TH!E16,"")</f>
        <v/>
      </c>
      <c r="F16" s="822" t="str">
        <f>IF(TH!F16&lt;&gt;"",TH!F16,"")</f>
        <v/>
      </c>
      <c r="G16" s="822" t="str">
        <f>IF(TH!G16&lt;&gt;"",TH!G16,"")</f>
        <v/>
      </c>
      <c r="H16" s="822" t="str">
        <f>IF(TH!H16&lt;&gt;"",TH!H16,"")</f>
        <v/>
      </c>
      <c r="I16" s="822" t="str">
        <f>IF(TH!I16&lt;&gt;"",TH!I16,"")</f>
        <v/>
      </c>
    </row>
    <row r="17" spans="1:9">
      <c r="A17" s="822" t="str">
        <f>IF(TH!A17&lt;&gt;"",TH!A17,"")</f>
        <v>Sàn lầu 1</v>
      </c>
      <c r="B17" s="822">
        <f>IF(TH!B17&lt;&gt;"",TH!B17,"")</f>
        <v>3.6</v>
      </c>
      <c r="C17" s="822" t="str">
        <f>IF(TH!C17&lt;&gt;"",TH!C17,"")</f>
        <v>m</v>
      </c>
      <c r="D17" s="822" t="str">
        <f>IF(TH!D17&lt;&gt;"",TH!D17,"")</f>
        <v/>
      </c>
      <c r="E17" s="822" t="str">
        <f>IF(TH!E17&lt;&gt;"",TH!E17,"")</f>
        <v/>
      </c>
      <c r="F17" s="822" t="str">
        <f>IF(TH!F17&lt;&gt;"",TH!F17,"")</f>
        <v/>
      </c>
      <c r="G17" s="822" t="str">
        <f>IF(TH!G17&lt;&gt;"",TH!G17,"")</f>
        <v/>
      </c>
      <c r="H17" s="822" t="str">
        <f>IF(TH!H17&lt;&gt;"",TH!H17,"")</f>
        <v/>
      </c>
      <c r="I17" s="822" t="str">
        <f>IF(TH!I17&lt;&gt;"",TH!I17,"")</f>
        <v/>
      </c>
    </row>
    <row r="18" spans="1:9">
      <c r="A18" s="822" t="str">
        <f>IF(TH!A18&lt;&gt;"",TH!A18,"")</f>
        <v>Trần lầu 2</v>
      </c>
      <c r="B18" s="822">
        <f>IF(TH!B18&lt;&gt;"",TH!B18,"")</f>
        <v>3.6</v>
      </c>
      <c r="C18" s="822" t="str">
        <f>IF(TH!C18&lt;&gt;"",TH!C18,"")</f>
        <v>m</v>
      </c>
      <c r="D18" s="822" t="str">
        <f>IF(TH!D18&lt;&gt;"",TH!D18,"")</f>
        <v/>
      </c>
      <c r="E18" s="822" t="str">
        <f>IF(TH!E18&lt;&gt;"",TH!E18,"")</f>
        <v/>
      </c>
      <c r="F18" s="822" t="str">
        <f>IF(TH!F18&lt;&gt;"",TH!F18,"")</f>
        <v/>
      </c>
      <c r="G18" s="822" t="str">
        <f>IF(TH!G18&lt;&gt;"",TH!G18,"")</f>
        <v/>
      </c>
      <c r="H18" s="822" t="str">
        <f>IF(TH!H18&lt;&gt;"",TH!H18,"")</f>
        <v/>
      </c>
      <c r="I18" s="822" t="str">
        <f>IF(TH!I18&lt;&gt;"",TH!I18,"")</f>
        <v/>
      </c>
    </row>
    <row r="19" spans="1:9">
      <c r="A19" s="822" t="str">
        <f>IF(TH!A19&lt;&gt;"",TH!A19,"")</f>
        <v>mái</v>
      </c>
      <c r="B19" s="822">
        <f>IF(TH!B19&lt;&gt;"",TH!B19,"")</f>
        <v>3.3</v>
      </c>
      <c r="C19" s="822" t="str">
        <f>IF(TH!C19&lt;&gt;"",TH!C19,"")</f>
        <v>m</v>
      </c>
      <c r="D19" s="822" t="str">
        <f>IF(TH!D19&lt;&gt;"",TH!D19,"")</f>
        <v/>
      </c>
      <c r="E19" s="822" t="str">
        <f>IF(TH!E19&lt;&gt;"",TH!E19,"")</f>
        <v/>
      </c>
      <c r="F19" s="822" t="str">
        <f>IF(TH!F19&lt;&gt;"",TH!F19,"")</f>
        <v/>
      </c>
      <c r="G19" s="822" t="str">
        <f>IF(TH!G19&lt;&gt;"",TH!G19,"")</f>
        <v/>
      </c>
      <c r="H19" s="822" t="str">
        <f>IF(TH!H19&lt;&gt;"",TH!H19,"")</f>
        <v/>
      </c>
      <c r="I19" s="822" t="str">
        <f>IF(TH!I19&lt;&gt;"",TH!I19,"")</f>
        <v/>
      </c>
    </row>
    <row r="20" spans="1:9">
      <c r="A20" s="822" t="str">
        <f>IF(TH!A20&lt;&gt;"",TH!A20,"")</f>
        <v>BÊ TÔNG:</v>
      </c>
      <c r="B20" s="822" t="str">
        <f>IF(TH!B20&lt;&gt;"",TH!B20,"")</f>
        <v/>
      </c>
      <c r="C20" s="822" t="str">
        <f>IF(TH!C20&lt;&gt;"",TH!C20,"")</f>
        <v/>
      </c>
      <c r="D20" s="822" t="str">
        <f>IF(TH!D20&lt;&gt;"",TH!D20,"")</f>
        <v/>
      </c>
      <c r="E20" s="822" t="str">
        <f>IF(TH!E20&lt;&gt;"",TH!E20,"")</f>
        <v/>
      </c>
      <c r="F20" s="822" t="str">
        <f>IF(TH!F20&lt;&gt;"",TH!F20,"")</f>
        <v/>
      </c>
      <c r="G20" s="822" t="str">
        <f>IF(TH!G20&lt;&gt;"",TH!G20,"")</f>
        <v/>
      </c>
      <c r="H20" s="822" t="str">
        <f>IF(TH!H20&lt;&gt;"",TH!H20,"")</f>
        <v/>
      </c>
      <c r="I20" s="822" t="str">
        <f>IF(TH!I20&lt;&gt;"",TH!I20,"")</f>
        <v/>
      </c>
    </row>
    <row r="21" spans="1:9">
      <c r="A21" s="822" t="str">
        <f>IF(TH!A21&lt;&gt;"",TH!A21,"")</f>
        <v>Cấp độ bền</v>
      </c>
      <c r="B21" s="822" t="s">
        <v>84</v>
      </c>
      <c r="C21" s="822">
        <v>25</v>
      </c>
      <c r="D21" s="822" t="str">
        <f>IF(TH!D21&lt;&gt;"",TH!D21,"")</f>
        <v/>
      </c>
      <c r="E21" s="822" t="str">
        <f>IF(TH!E21&lt;&gt;"",TH!E21,"")</f>
        <v/>
      </c>
      <c r="F21" s="822" t="str">
        <f>IF(TH!F21&lt;&gt;"",TH!F21,"")</f>
        <v/>
      </c>
      <c r="G21" s="822" t="str">
        <f>IF(TH!G21&lt;&gt;"",TH!G21,"")</f>
        <v/>
      </c>
      <c r="H21" s="822" t="str">
        <f>IF(TH!H21&lt;&gt;"",TH!H21,"")</f>
        <v/>
      </c>
      <c r="I21" s="822" t="str">
        <f>IF(TH!I21&lt;&gt;"",TH!I21,"")</f>
        <v/>
      </c>
    </row>
    <row r="22" spans="1:9">
      <c r="A22" s="822" t="str">
        <f>IF(TH!A22&lt;&gt;"",TH!A22,"")</f>
        <v>Cường độ tính toán chịu nén</v>
      </c>
      <c r="B22" s="822">
        <v>14.5</v>
      </c>
      <c r="C22" s="822" t="str">
        <f>IF(TH!C22&lt;&gt;"",TH!C22,"")</f>
        <v>Mpa</v>
      </c>
      <c r="D22" s="822">
        <f>IF(TH!D22&lt;&gt;"",TH!D22,"")</f>
        <v>850</v>
      </c>
      <c r="E22" s="822" t="str">
        <f>IF(TH!E22&lt;&gt;"",TH!E22,"")</f>
        <v/>
      </c>
      <c r="F22" s="822" t="str">
        <f>IF(TH!F22&lt;&gt;"",TH!F22,"")</f>
        <v/>
      </c>
      <c r="G22" s="822" t="str">
        <f>IF(TH!G22&lt;&gt;"",TH!G22,"")</f>
        <v/>
      </c>
      <c r="H22" s="822">
        <f>B22*100</f>
        <v>1450</v>
      </c>
      <c r="I22" s="822" t="str">
        <f>IF(TH!I22&lt;&gt;"",TH!I22,"")</f>
        <v>T/m2</v>
      </c>
    </row>
    <row r="23" spans="1:9">
      <c r="A23" s="822" t="str">
        <f>IF(TH!A23&lt;&gt;"",TH!A23,"")</f>
        <v>Cường độ tính toán chịu kéo</v>
      </c>
      <c r="B23" s="822">
        <f>IF(TH!B23&lt;&gt;"",TH!B23,"")</f>
        <v>0.75</v>
      </c>
      <c r="C23" s="822" t="str">
        <f>IF(TH!C23&lt;&gt;"",TH!C23,"")</f>
        <v>Mpa</v>
      </c>
      <c r="D23" s="822">
        <f>IF(TH!D23&lt;&gt;"",TH!D23,"")</f>
        <v>75</v>
      </c>
      <c r="E23" s="822" t="str">
        <f>IF(TH!E23&lt;&gt;"",TH!E23,"")</f>
        <v/>
      </c>
      <c r="F23" s="822" t="str">
        <f>IF(TH!F23&lt;&gt;"",TH!F23,"")</f>
        <v/>
      </c>
      <c r="G23" s="822" t="str">
        <f>IF(TH!G23&lt;&gt;"",TH!G23,"")</f>
        <v/>
      </c>
      <c r="H23" s="822">
        <f t="shared" ref="H23:H24" si="0">B23*100</f>
        <v>75</v>
      </c>
      <c r="I23" s="822" t="str">
        <f>IF(TH!I23&lt;&gt;"",TH!I23,"")</f>
        <v>T/m2</v>
      </c>
    </row>
    <row r="24" spans="1:9">
      <c r="A24" s="822" t="str">
        <f>IF(TH!A24&lt;&gt;"",TH!A24,"")</f>
        <v>Modul đàn hồi</v>
      </c>
      <c r="B24" s="822">
        <f>IF(TH!B24&lt;&gt;"",TH!B24,"")</f>
        <v>23000</v>
      </c>
      <c r="C24" s="822" t="str">
        <f>IF(TH!C24&lt;&gt;"",TH!C24,"")</f>
        <v>Mpa</v>
      </c>
      <c r="D24" s="822">
        <f>IF(TH!D24&lt;&gt;"",TH!D24,"")</f>
        <v>2300000</v>
      </c>
      <c r="E24" s="822" t="str">
        <f>IF(TH!E24&lt;&gt;"",TH!E24,"")</f>
        <v/>
      </c>
      <c r="F24" s="822" t="str">
        <f>IF(TH!F24&lt;&gt;"",TH!F24,"")</f>
        <v/>
      </c>
      <c r="G24" s="822" t="str">
        <f>IF(TH!G24&lt;&gt;"",TH!G24,"")</f>
        <v/>
      </c>
      <c r="H24" s="822">
        <f t="shared" si="0"/>
        <v>2300000</v>
      </c>
      <c r="I24" s="822" t="str">
        <f>IF(TH!I24&lt;&gt;"",TH!I24,"")</f>
        <v>T/m2</v>
      </c>
    </row>
    <row r="25" spans="1:9">
      <c r="A25" s="822" t="str">
        <f>IF(TH!A25&lt;&gt;"",TH!A25,"")</f>
        <v>Cốt thép</v>
      </c>
      <c r="B25" s="822" t="str">
        <f>IF(TH!B25&lt;&gt;"",TH!B25,"")</f>
        <v/>
      </c>
      <c r="C25" s="822" t="str">
        <f>IF(TH!C25&lt;&gt;"",TH!C25,"")</f>
        <v/>
      </c>
      <c r="D25" s="822" t="str">
        <f>IF(TH!D25&lt;&gt;"",TH!D25,"")</f>
        <v/>
      </c>
      <c r="E25" s="822" t="str">
        <f>IF(TH!E25&lt;&gt;"",TH!E25,"")</f>
        <v/>
      </c>
      <c r="F25" s="822" t="str">
        <f>IF(TH!F25&lt;&gt;"",TH!F25,"")</f>
        <v/>
      </c>
      <c r="G25" s="822" t="str">
        <f>IF(TH!G25&lt;&gt;"",TH!G25,"")</f>
        <v/>
      </c>
      <c r="H25" s="822" t="str">
        <f>IF(TH!H25&lt;&gt;"",TH!H25,"")</f>
        <v/>
      </c>
      <c r="I25" s="822" t="str">
        <f>IF(TH!I25&lt;&gt;"",TH!I25,"")</f>
        <v/>
      </c>
    </row>
    <row r="26" spans="1:9">
      <c r="A26" s="822" t="str">
        <f>IF(TH!A26&lt;&gt;"",TH!A26,"")</f>
        <v>Loại thép</v>
      </c>
      <c r="B26" s="822" t="str">
        <f>IF(TH!B26&lt;&gt;"",TH!B26,"")</f>
        <v>CI (AI)</v>
      </c>
      <c r="C26" s="822" t="str">
        <f>IF(TH!C26&lt;&gt;"",TH!C26,"")</f>
        <v/>
      </c>
      <c r="D26" s="822" t="str">
        <f>IF(TH!D26&lt;&gt;"",TH!D26,"")</f>
        <v/>
      </c>
      <c r="E26" s="822" t="str">
        <f>IF(TH!E26&lt;&gt;"",TH!E26,"")</f>
        <v/>
      </c>
      <c r="F26" s="822" t="str">
        <f>IF(TH!F26&lt;&gt;"",TH!F26,"")</f>
        <v xml:space="preserve">CB300-T </v>
      </c>
      <c r="G26" s="822" t="str">
        <f>IF(TH!G26&lt;&gt;"",TH!G26,"")</f>
        <v/>
      </c>
      <c r="H26" s="822" t="str">
        <f>IF(TH!H26&lt;&gt;"",TH!H26,"")</f>
        <v/>
      </c>
      <c r="I26" s="822" t="str">
        <f>IF(TH!I26&lt;&gt;"",TH!I26,"")</f>
        <v/>
      </c>
    </row>
    <row r="27" spans="1:9">
      <c r="A27" s="822" t="str">
        <f>IF(TH!A27&lt;&gt;"",TH!A27,"")</f>
        <v>Cường độ tính toán chịu nén, kéo</v>
      </c>
      <c r="B27" s="822">
        <f>IF(TH!B27&lt;&gt;"",TH!B27,"")</f>
        <v>225</v>
      </c>
      <c r="C27" s="822" t="str">
        <f>IF(TH!C27&lt;&gt;"",TH!C27,"")</f>
        <v>Mpa</v>
      </c>
      <c r="D27" s="822">
        <f>IF(TH!D27&lt;&gt;"",TH!D27,"")</f>
        <v>2250</v>
      </c>
      <c r="E27" s="822" t="str">
        <f>IF(TH!E27&lt;&gt;"",TH!E27,"")</f>
        <v/>
      </c>
      <c r="F27" s="822">
        <f>IF(TH!F27&lt;&gt;"",TH!F27,"")</f>
        <v>260</v>
      </c>
      <c r="G27" s="822" t="str">
        <f>IF(TH!G27&lt;&gt;"",TH!G27,"")</f>
        <v>Mpa</v>
      </c>
      <c r="H27" s="822">
        <f>IF(TH!H27&lt;&gt;"",TH!H27,"")</f>
        <v>22500</v>
      </c>
      <c r="I27" s="822" t="str">
        <f>IF(TH!I27&lt;&gt;"",TH!I27,"")</f>
        <v>T/m2</v>
      </c>
    </row>
    <row r="28" spans="1:9">
      <c r="A28" s="822" t="str">
        <f>IF(TH!A28&lt;&gt;"",TH!A28,"")</f>
        <v>Cường độ tính toán chịu kéo cho cốt đai</v>
      </c>
      <c r="B28" s="822">
        <f>IF(TH!B28&lt;&gt;"",TH!B28,"")</f>
        <v>175</v>
      </c>
      <c r="C28" s="822" t="str">
        <f>IF(TH!C28&lt;&gt;"",TH!C28,"")</f>
        <v>Mpa</v>
      </c>
      <c r="D28" s="822">
        <f>IF(TH!D28&lt;&gt;"",TH!D28,"")</f>
        <v>1750</v>
      </c>
      <c r="E28" s="822" t="str">
        <f>IF(TH!E28&lt;&gt;"",TH!E28,"")</f>
        <v/>
      </c>
      <c r="F28" s="822">
        <f>IF(TH!F28&lt;&gt;"",TH!F28,"")</f>
        <v>210</v>
      </c>
      <c r="G28" s="822" t="str">
        <f>IF(TH!G28&lt;&gt;"",TH!G28,"")</f>
        <v>Mpa</v>
      </c>
      <c r="H28" s="822">
        <f>IF(TH!H28&lt;&gt;"",TH!H28,"")</f>
        <v>17500</v>
      </c>
      <c r="I28" s="822" t="str">
        <f>IF(TH!I28&lt;&gt;"",TH!I28,"")</f>
        <v>T/m2</v>
      </c>
    </row>
    <row r="29" spans="1:9">
      <c r="A29" s="822" t="str">
        <f>IF(TH!A29&lt;&gt;"",TH!A29,"")</f>
        <v>Modul đàn hồi</v>
      </c>
      <c r="B29" s="822">
        <f>IF(TH!B29&lt;&gt;"",TH!B29,"")</f>
        <v>210000</v>
      </c>
      <c r="C29" s="822" t="str">
        <f>IF(TH!C29&lt;&gt;"",TH!C29,"")</f>
        <v>Mpa</v>
      </c>
      <c r="D29" s="822" t="str">
        <f>IF(TH!D29&lt;&gt;"",TH!D29,"")</f>
        <v/>
      </c>
      <c r="E29" s="822" t="str">
        <f>IF(TH!E29&lt;&gt;"",TH!E29,"")</f>
        <v/>
      </c>
      <c r="F29" s="822">
        <f>IF(TH!F29&lt;&gt;"",TH!F29,"")</f>
        <v>200000</v>
      </c>
      <c r="G29" s="822" t="str">
        <f>IF(TH!G29&lt;&gt;"",TH!G29,"")</f>
        <v>Mpa</v>
      </c>
      <c r="H29" s="822">
        <f>IF(TH!H29&lt;&gt;"",TH!H29,"")</f>
        <v>21000000</v>
      </c>
      <c r="I29" s="822" t="str">
        <f>IF(TH!I29&lt;&gt;"",TH!I29,"")</f>
        <v>T/m2</v>
      </c>
    </row>
    <row r="30" spans="1:9">
      <c r="A30" s="822" t="str">
        <f>IF(TH!A30&lt;&gt;"",TH!A30,"")</f>
        <v>Loại thép</v>
      </c>
      <c r="B30" s="822" t="str">
        <f>IF(TH!B30&lt;&gt;"",TH!B30,"")</f>
        <v>CII(AII)</v>
      </c>
      <c r="C30" s="822" t="str">
        <f>IF(TH!C30&lt;&gt;"",TH!C30,"")</f>
        <v/>
      </c>
      <c r="D30" s="822" t="str">
        <f>IF(TH!D30&lt;&gt;"",TH!D30,"")</f>
        <v/>
      </c>
      <c r="E30" s="822" t="str">
        <f>IF(TH!E30&lt;&gt;"",TH!E30,"")</f>
        <v/>
      </c>
      <c r="F30" s="822" t="str">
        <f>IF(TH!F30&lt;&gt;"",TH!F30,"")</f>
        <v xml:space="preserve">CB300-V </v>
      </c>
      <c r="G30" s="822" t="str">
        <f>IF(TH!G30&lt;&gt;"",TH!G30,"")</f>
        <v/>
      </c>
      <c r="H30" s="822" t="str">
        <f>IF(TH!H30&lt;&gt;"",TH!H30,"")</f>
        <v/>
      </c>
      <c r="I30" s="822" t="str">
        <f>IF(TH!I30&lt;&gt;"",TH!I30,"")</f>
        <v/>
      </c>
    </row>
    <row r="31" spans="1:9">
      <c r="A31" s="822" t="str">
        <f>IF(TH!A31&lt;&gt;"",TH!A31,"")</f>
        <v>Cường độ tính toán chịu nén, kéo</v>
      </c>
      <c r="B31" s="822">
        <f>IF(TH!B31&lt;&gt;"",TH!B31,"")</f>
        <v>280</v>
      </c>
      <c r="C31" s="822" t="str">
        <f>IF(TH!C31&lt;&gt;"",TH!C31,"")</f>
        <v>Mpa</v>
      </c>
      <c r="D31" s="822">
        <f>IF(TH!D31&lt;&gt;"",TH!D31,"")</f>
        <v>2800</v>
      </c>
      <c r="E31" s="822" t="str">
        <f>IF(TH!E31&lt;&gt;"",TH!E31,"")</f>
        <v/>
      </c>
      <c r="F31" s="822">
        <f>IF(TH!F31&lt;&gt;"",TH!F31,"")</f>
        <v>260</v>
      </c>
      <c r="G31" s="822" t="str">
        <f>IF(TH!G31&lt;&gt;"",TH!G31,"")</f>
        <v>Mpa</v>
      </c>
      <c r="H31" s="822">
        <f>IF(TH!H31&lt;&gt;"",TH!H31,"")</f>
        <v>28000</v>
      </c>
      <c r="I31" s="822" t="str">
        <f>IF(TH!I31&lt;&gt;"",TH!I31,"")</f>
        <v>T/m2</v>
      </c>
    </row>
    <row r="32" spans="1:9">
      <c r="A32" s="822" t="str">
        <f>IF(TH!A32&lt;&gt;"",TH!A32,"")</f>
        <v>Cường độ tính toán chịu kéo cho cốt đai</v>
      </c>
      <c r="B32" s="822">
        <f>IF(TH!B32&lt;&gt;"",TH!B32,"")</f>
        <v>225</v>
      </c>
      <c r="C32" s="822" t="str">
        <f>IF(TH!C32&lt;&gt;"",TH!C32,"")</f>
        <v>Mpa</v>
      </c>
      <c r="D32" s="822" t="str">
        <f>IF(TH!D32&lt;&gt;"",TH!D32,"")</f>
        <v/>
      </c>
      <c r="E32" s="822" t="str">
        <f>IF(TH!E32&lt;&gt;"",TH!E32,"")</f>
        <v/>
      </c>
      <c r="F32" s="822">
        <f>IF(TH!F32&lt;&gt;"",TH!F32,"")</f>
        <v>210</v>
      </c>
      <c r="G32" s="822" t="str">
        <f>IF(TH!G32&lt;&gt;"",TH!G32,"")</f>
        <v>Mpa</v>
      </c>
      <c r="H32" s="822">
        <f>IF(TH!H32&lt;&gt;"",TH!H32,"")</f>
        <v>22500</v>
      </c>
      <c r="I32" s="822" t="str">
        <f>IF(TH!I32&lt;&gt;"",TH!I32,"")</f>
        <v>T/m2</v>
      </c>
    </row>
    <row r="33" spans="1:16">
      <c r="A33" s="822" t="str">
        <f>IF(TH!A33&lt;&gt;"",TH!A33,"")</f>
        <v>Modul đàn hồi</v>
      </c>
      <c r="B33" s="822">
        <f>IF(TH!B33&lt;&gt;"",TH!B33,"")</f>
        <v>210000</v>
      </c>
      <c r="C33" s="822" t="str">
        <f>IF(TH!C33&lt;&gt;"",TH!C33,"")</f>
        <v>Mpa</v>
      </c>
      <c r="D33" s="822" t="str">
        <f>IF(TH!D33&lt;&gt;"",TH!D33,"")</f>
        <v/>
      </c>
      <c r="E33" s="822" t="str">
        <f>IF(TH!E33&lt;&gt;"",TH!E33,"")</f>
        <v/>
      </c>
      <c r="F33" s="822">
        <f>IF(TH!F33&lt;&gt;"",TH!F33,"")</f>
        <v>200000</v>
      </c>
      <c r="G33" s="822" t="str">
        <f>IF(TH!G33&lt;&gt;"",TH!G33,"")</f>
        <v>Mpa</v>
      </c>
      <c r="H33" s="822">
        <f>IF(TH!H33&lt;&gt;"",TH!H33,"")</f>
        <v>21000000</v>
      </c>
      <c r="I33" s="822" t="str">
        <f>IF(TH!I33&lt;&gt;"",TH!I33,"")</f>
        <v>T/m2</v>
      </c>
    </row>
    <row r="34" spans="1:16">
      <c r="A34" s="822" t="str">
        <f>IF(TH!A34&lt;&gt;"",TH!A34,"")</f>
        <v>Loại thép</v>
      </c>
      <c r="B34" s="822" t="str">
        <f>IF(TH!B34&lt;&gt;"",TH!B34,"")</f>
        <v>CIII(AIII)</v>
      </c>
      <c r="C34" s="822" t="str">
        <f>IF(TH!C34&lt;&gt;"",TH!C34,"")</f>
        <v/>
      </c>
      <c r="D34" s="822" t="str">
        <f>IF(TH!D34&lt;&gt;"",TH!D34,"")</f>
        <v/>
      </c>
      <c r="E34" s="822" t="str">
        <f>IF(TH!E34&lt;&gt;"",TH!E34,"")</f>
        <v/>
      </c>
      <c r="F34" s="822" t="str">
        <f>IF(TH!F34&lt;&gt;"",TH!F34,"")</f>
        <v xml:space="preserve">CB400-V </v>
      </c>
      <c r="G34" s="822" t="str">
        <f>IF(TH!G34&lt;&gt;"",TH!G34,"")</f>
        <v/>
      </c>
      <c r="H34" s="822" t="str">
        <f>IF(TH!H34&lt;&gt;"",TH!H34,"")</f>
        <v/>
      </c>
      <c r="I34" s="822" t="str">
        <f>IF(TH!I34&lt;&gt;"",TH!I34,"")</f>
        <v/>
      </c>
    </row>
    <row r="35" spans="1:16">
      <c r="A35" s="822" t="str">
        <f>IF(TH!A35&lt;&gt;"",TH!A35,"")</f>
        <v>Cường độ tính toán chịu nén, kéo</v>
      </c>
      <c r="B35" s="822">
        <f>IF(TH!B35&lt;&gt;"",TH!B35,"")</f>
        <v>365</v>
      </c>
      <c r="C35" s="822" t="str">
        <f>IF(TH!C35&lt;&gt;"",TH!C35,"")</f>
        <v>Mpa</v>
      </c>
      <c r="D35" s="822" t="str">
        <f>IF(TH!D35&lt;&gt;"",TH!D35,"")</f>
        <v/>
      </c>
      <c r="E35" s="822" t="str">
        <f>IF(TH!E35&lt;&gt;"",TH!E35,"")</f>
        <v/>
      </c>
      <c r="F35" s="822">
        <f>IF(TH!F35&lt;&gt;"",TH!F35,"")</f>
        <v>350</v>
      </c>
      <c r="G35" s="822" t="str">
        <f>IF(TH!G35&lt;&gt;"",TH!G35,"")</f>
        <v>Mpa</v>
      </c>
      <c r="H35" s="822">
        <f>IF(TH!H35&lt;&gt;"",TH!H35,"")</f>
        <v>36500</v>
      </c>
      <c r="I35" s="822" t="str">
        <f>IF(TH!I35&lt;&gt;"",TH!I35,"")</f>
        <v>T/m2</v>
      </c>
    </row>
    <row r="36" spans="1:16">
      <c r="A36" s="822" t="str">
        <f>IF(TH!A36&lt;&gt;"",TH!A36,"")</f>
        <v>Cường độ tính toán chịu kéo cho cốt đai</v>
      </c>
      <c r="B36" s="822">
        <f>IF(TH!B36&lt;&gt;"",TH!B36,"")</f>
        <v>290</v>
      </c>
      <c r="C36" s="822" t="str">
        <f>IF(TH!C36&lt;&gt;"",TH!C36,"")</f>
        <v>Mpa</v>
      </c>
      <c r="D36" s="822" t="str">
        <f>IF(TH!D36&lt;&gt;"",TH!D36,"")</f>
        <v/>
      </c>
      <c r="E36" s="822" t="str">
        <f>IF(TH!E36&lt;&gt;"",TH!E36,"")</f>
        <v/>
      </c>
      <c r="F36" s="822">
        <f>IF(TH!F36&lt;&gt;"",TH!F36,"")</f>
        <v>280</v>
      </c>
      <c r="G36" s="822" t="str">
        <f>IF(TH!G36&lt;&gt;"",TH!G36,"")</f>
        <v>Mpa</v>
      </c>
      <c r="H36" s="822">
        <f>IF(TH!H36&lt;&gt;"",TH!H36,"")</f>
        <v>29000</v>
      </c>
      <c r="I36" s="822" t="str">
        <f>IF(TH!I36&lt;&gt;"",TH!I36,"")</f>
        <v>T/m2</v>
      </c>
    </row>
    <row r="37" spans="1:16">
      <c r="A37" s="822" t="str">
        <f>IF(TH!A37&lt;&gt;"",TH!A37,"")</f>
        <v>Modul đàn hồi</v>
      </c>
      <c r="B37" s="822">
        <f>IF(TH!B37&lt;&gt;"",TH!B37,"")</f>
        <v>210000</v>
      </c>
      <c r="C37" s="822" t="str">
        <f>IF(TH!C37&lt;&gt;"",TH!C37,"")</f>
        <v>Mpa</v>
      </c>
      <c r="D37" s="822" t="str">
        <f>IF(TH!D37&lt;&gt;"",TH!D37,"")</f>
        <v/>
      </c>
      <c r="E37" s="822" t="str">
        <f>IF(TH!E37&lt;&gt;"",TH!E37,"")</f>
        <v/>
      </c>
      <c r="F37" s="822">
        <f>IF(TH!F37&lt;&gt;"",TH!F37,"")</f>
        <v>200000</v>
      </c>
      <c r="G37" s="822" t="str">
        <f>IF(TH!G37&lt;&gt;"",TH!G37,"")</f>
        <v>Mpa</v>
      </c>
      <c r="H37" s="822">
        <f>IF(TH!H37&lt;&gt;"",TH!H37,"")</f>
        <v>21000000</v>
      </c>
      <c r="I37" s="822" t="str">
        <f>IF(TH!I37&lt;&gt;"",TH!I37,"")</f>
        <v>T/m2</v>
      </c>
    </row>
    <row r="38" spans="1:16" ht="14.5" thickBot="1">
      <c r="A38" s="823" t="s">
        <v>1200</v>
      </c>
    </row>
    <row r="39" spans="1:16">
      <c r="A39" s="822" t="s">
        <v>242</v>
      </c>
      <c r="B39" s="822">
        <v>30</v>
      </c>
      <c r="C39" s="822" t="s">
        <v>633</v>
      </c>
      <c r="D39" s="822">
        <f>B39*0.01</f>
        <v>0.3</v>
      </c>
      <c r="E39" s="999" t="s">
        <v>1246</v>
      </c>
      <c r="F39" s="999" t="s">
        <v>1206</v>
      </c>
      <c r="G39" s="999" t="s">
        <v>1207</v>
      </c>
      <c r="H39" s="999" t="s">
        <v>1208</v>
      </c>
      <c r="I39" s="999" t="s">
        <v>1209</v>
      </c>
      <c r="J39" s="1002"/>
      <c r="K39" s="999" t="s">
        <v>1211</v>
      </c>
      <c r="L39" s="999" t="s">
        <v>1212</v>
      </c>
      <c r="M39" s="999" t="s">
        <v>1213</v>
      </c>
    </row>
    <row r="40" spans="1:16">
      <c r="A40" s="822" t="s">
        <v>958</v>
      </c>
      <c r="B40" s="822">
        <v>30</v>
      </c>
      <c r="C40" s="822" t="s">
        <v>633</v>
      </c>
      <c r="D40" s="822">
        <f>B40*0.01</f>
        <v>0.3</v>
      </c>
      <c r="E40" s="1000"/>
      <c r="F40" s="1000"/>
      <c r="G40" s="1000"/>
      <c r="H40" s="1000"/>
      <c r="I40" s="1000"/>
      <c r="J40" s="1003"/>
      <c r="K40" s="1000"/>
      <c r="L40" s="1000"/>
      <c r="M40" s="1000"/>
    </row>
    <row r="41" spans="1:16">
      <c r="A41" s="822" t="s">
        <v>254</v>
      </c>
      <c r="B41" s="822">
        <v>4</v>
      </c>
      <c r="C41" s="822" t="s">
        <v>1201</v>
      </c>
      <c r="D41" s="822">
        <v>16</v>
      </c>
      <c r="E41" s="1000"/>
      <c r="F41" s="1000"/>
      <c r="G41" s="1000"/>
      <c r="H41" s="1000"/>
      <c r="I41" s="1000"/>
      <c r="J41" s="1003"/>
      <c r="K41" s="1000"/>
      <c r="L41" s="1000"/>
      <c r="M41" s="1000"/>
    </row>
    <row r="42" spans="1:16" ht="14.25" customHeight="1" thickBot="1">
      <c r="C42" s="823" t="s">
        <v>1244</v>
      </c>
      <c r="D42" s="823" t="s">
        <v>1245</v>
      </c>
      <c r="E42" s="1001" t="s">
        <v>1246</v>
      </c>
      <c r="F42" s="1001"/>
      <c r="G42" s="1001"/>
      <c r="H42" s="1001"/>
      <c r="I42" s="1001"/>
      <c r="J42" s="1004"/>
      <c r="K42" s="1001"/>
      <c r="L42" s="1001"/>
      <c r="M42" s="1001"/>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E133</f>
        <v>0.54999999999999993</v>
      </c>
      <c r="C45" s="822" t="s">
        <v>6</v>
      </c>
      <c r="E45" s="823" t="s">
        <v>1328</v>
      </c>
    </row>
    <row r="46" spans="1:16">
      <c r="A46" s="822" t="s">
        <v>1247</v>
      </c>
      <c r="B46" s="822">
        <v>-1.5</v>
      </c>
      <c r="C46" s="822" t="s">
        <v>6</v>
      </c>
      <c r="D46" s="822">
        <f>ABS(B46)</f>
        <v>1.5</v>
      </c>
    </row>
    <row r="47" spans="1:16">
      <c r="A47" s="822" t="s">
        <v>1249</v>
      </c>
      <c r="B47" s="822">
        <f>E43</f>
        <v>10.4</v>
      </c>
      <c r="C47" s="822" t="s">
        <v>6</v>
      </c>
    </row>
    <row r="48" spans="1:16">
      <c r="A48" s="822" t="s">
        <v>1251</v>
      </c>
      <c r="B48" s="822">
        <f>-15.9</f>
        <v>-15.9</v>
      </c>
      <c r="C48" s="822" t="s">
        <v>6</v>
      </c>
    </row>
    <row r="49" spans="1:28">
      <c r="A49" s="822" t="s">
        <v>1250</v>
      </c>
      <c r="B49" s="959">
        <v>4</v>
      </c>
      <c r="C49" s="822" t="s">
        <v>6</v>
      </c>
    </row>
    <row r="50" spans="1:28">
      <c r="A50" s="822" t="s">
        <v>1261</v>
      </c>
      <c r="B50" s="822">
        <v>0.1</v>
      </c>
      <c r="C50" s="822" t="s">
        <v>6</v>
      </c>
      <c r="D50" s="822" t="s">
        <v>1329</v>
      </c>
      <c r="G50" s="822">
        <f>ABS(B46)+ABS(B48)+B49</f>
        <v>21.4</v>
      </c>
      <c r="H50" s="822">
        <f>+G50-B45</f>
        <v>20.849999999999998</v>
      </c>
    </row>
    <row r="51" spans="1:28">
      <c r="A51" s="822" t="s">
        <v>1260</v>
      </c>
      <c r="B51" s="822">
        <f>B49+ABS(B48)</f>
        <v>19.899999999999999</v>
      </c>
      <c r="C51" s="822" t="s">
        <v>6</v>
      </c>
    </row>
    <row r="52" spans="1:28">
      <c r="A52" s="822" t="s">
        <v>1262</v>
      </c>
      <c r="B52" s="822">
        <f>B51+B50</f>
        <v>20</v>
      </c>
    </row>
    <row r="53" spans="1:28">
      <c r="A53" s="822" t="s">
        <v>1252</v>
      </c>
      <c r="B53" s="822">
        <v>2</v>
      </c>
      <c r="C53" s="822" t="s">
        <v>1254</v>
      </c>
    </row>
    <row r="54" spans="1:28">
      <c r="A54" s="822" t="s">
        <v>1253</v>
      </c>
      <c r="B54" s="822">
        <f>B52/B53</f>
        <v>10</v>
      </c>
      <c r="C54" s="822" t="s">
        <v>6</v>
      </c>
    </row>
    <row r="55" spans="1:28">
      <c r="A55" s="823" t="s">
        <v>1256</v>
      </c>
    </row>
    <row r="56" spans="1:28" ht="16.5">
      <c r="A56" s="823" t="s">
        <v>1257</v>
      </c>
      <c r="U56" s="998" t="s">
        <v>1304</v>
      </c>
      <c r="V56" s="998"/>
      <c r="W56" s="998"/>
      <c r="X56" s="998"/>
      <c r="Y56" s="998"/>
      <c r="Z56" s="998"/>
      <c r="AA56" s="998"/>
      <c r="AB56" s="998"/>
    </row>
    <row r="57" spans="1:28" ht="17" thickBot="1">
      <c r="A57" s="889" t="s">
        <v>1258</v>
      </c>
      <c r="B57" s="822">
        <f>ROUND(1.028-0.0000288*B58^2-0.0016*B58,3)</f>
        <v>0.30299999999999999</v>
      </c>
    </row>
    <row r="58" spans="1:28" ht="20" customHeight="1" thickBot="1">
      <c r="A58" s="822" t="s">
        <v>1259</v>
      </c>
      <c r="B58" s="822">
        <f>ROUND(B60/D39,3)</f>
        <v>133.333</v>
      </c>
      <c r="K58" s="996" t="s">
        <v>1340</v>
      </c>
      <c r="L58" s="996" t="s">
        <v>1339</v>
      </c>
      <c r="M58" s="996" t="s">
        <v>1338</v>
      </c>
      <c r="N58" s="940" t="s">
        <v>1287</v>
      </c>
      <c r="O58" s="940" t="s">
        <v>1346</v>
      </c>
      <c r="P58" s="996" t="s">
        <v>1459</v>
      </c>
      <c r="Q58" s="941" t="s">
        <v>1347</v>
      </c>
      <c r="R58" s="940" t="s">
        <v>1348</v>
      </c>
      <c r="U58" s="996" t="s">
        <v>1340</v>
      </c>
      <c r="V58" s="996" t="s">
        <v>1339</v>
      </c>
      <c r="W58" s="996" t="s">
        <v>1338</v>
      </c>
      <c r="X58" s="940" t="s">
        <v>1287</v>
      </c>
      <c r="Y58" s="940" t="s">
        <v>1346</v>
      </c>
      <c r="Z58" s="996" t="s">
        <v>1459</v>
      </c>
      <c r="AA58" s="941" t="s">
        <v>1347</v>
      </c>
      <c r="AB58" s="940" t="s">
        <v>1348</v>
      </c>
    </row>
    <row r="59" spans="1:28" ht="19" thickBot="1">
      <c r="A59" s="822" t="s">
        <v>1263</v>
      </c>
      <c r="B59" s="822">
        <v>2</v>
      </c>
      <c r="D59" s="822" t="s">
        <v>1345</v>
      </c>
      <c r="K59" s="997"/>
      <c r="L59" s="997"/>
      <c r="M59" s="997"/>
      <c r="N59" s="942" t="s">
        <v>6</v>
      </c>
      <c r="O59" s="942" t="s">
        <v>6</v>
      </c>
      <c r="P59" s="997"/>
      <c r="Q59" s="943" t="s">
        <v>1349</v>
      </c>
      <c r="R59" s="942" t="s">
        <v>845</v>
      </c>
      <c r="U59" s="997"/>
      <c r="V59" s="997"/>
      <c r="W59" s="997"/>
      <c r="X59" s="942" t="s">
        <v>6</v>
      </c>
      <c r="Y59" s="942" t="s">
        <v>6</v>
      </c>
      <c r="Z59" s="997"/>
      <c r="AA59" s="943" t="s">
        <v>1349</v>
      </c>
      <c r="AB59" s="942" t="s">
        <v>845</v>
      </c>
    </row>
    <row r="60" spans="1:28" ht="17" thickBot="1">
      <c r="A60" s="822" t="s">
        <v>468</v>
      </c>
      <c r="B60" s="822">
        <f>B59*B52</f>
        <v>40</v>
      </c>
      <c r="C60" s="822" t="s">
        <v>6</v>
      </c>
      <c r="K60" s="890" t="s">
        <v>1332</v>
      </c>
      <c r="L60" s="252" t="s">
        <v>696</v>
      </c>
      <c r="M60" s="252" t="s">
        <v>696</v>
      </c>
      <c r="N60" s="252">
        <v>0</v>
      </c>
      <c r="O60" s="252" t="s">
        <v>696</v>
      </c>
      <c r="P60" s="252" t="s">
        <v>696</v>
      </c>
      <c r="Q60" s="252" t="s">
        <v>696</v>
      </c>
      <c r="R60" s="252" t="s">
        <v>696</v>
      </c>
      <c r="U60" s="890" t="str">
        <f>K60</f>
        <v>đất đắp</v>
      </c>
      <c r="V60" s="890" t="str">
        <f t="shared" ref="V60:AB60"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1264</v>
      </c>
      <c r="B61" s="822">
        <f>D39*D40</f>
        <v>0.09</v>
      </c>
      <c r="C61" s="822" t="s">
        <v>3</v>
      </c>
      <c r="K61" s="890" t="s">
        <v>1333</v>
      </c>
      <c r="L61" s="252" t="s">
        <v>1294</v>
      </c>
      <c r="M61" s="252" t="s">
        <v>1295</v>
      </c>
      <c r="N61" s="252">
        <f>+O61/2+N60</f>
        <v>5</v>
      </c>
      <c r="O61" s="252">
        <v>10</v>
      </c>
      <c r="P61" s="252">
        <v>1</v>
      </c>
      <c r="Q61" s="252">
        <v>0.8</v>
      </c>
      <c r="R61" s="891">
        <f>Q61*P61*O61</f>
        <v>8</v>
      </c>
      <c r="U61" s="890" t="str">
        <f t="shared" ref="U61:U64" si="3">K61</f>
        <v>lớp 1</v>
      </c>
      <c r="V61" s="890" t="str">
        <f t="shared" ref="V61:V64" si="4">L61</f>
        <v>dẻo mềm</v>
      </c>
      <c r="W61" s="890" t="str">
        <f t="shared" ref="W61:W64" si="5">M61</f>
        <v>Il=0,8</v>
      </c>
      <c r="X61" s="890">
        <f t="shared" ref="X61:X64" si="6">N61</f>
        <v>5</v>
      </c>
      <c r="Y61" s="890">
        <f t="shared" ref="Y61:Y64" si="7">O61</f>
        <v>10</v>
      </c>
      <c r="Z61" s="890">
        <f t="shared" ref="Z61:Z64" si="8">P61</f>
        <v>1</v>
      </c>
      <c r="AA61" s="890">
        <f t="shared" ref="AA61:AA64" si="9">Q61</f>
        <v>0.8</v>
      </c>
      <c r="AB61" s="890">
        <f t="shared" ref="AB61:AB64" si="10">R61</f>
        <v>8</v>
      </c>
    </row>
    <row r="62" spans="1:2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11">Q62*P62*O62</f>
        <v>9.1079999999999988</v>
      </c>
      <c r="U62" s="890" t="str">
        <f t="shared" si="3"/>
        <v>lớp 2</v>
      </c>
      <c r="V62" s="890" t="str">
        <f t="shared" si="4"/>
        <v>dẻo mềm</v>
      </c>
      <c r="W62" s="890" t="str">
        <f t="shared" si="5"/>
        <v>Il=0,53</v>
      </c>
      <c r="X62" s="890">
        <f t="shared" si="6"/>
        <v>12.3</v>
      </c>
      <c r="Y62" s="890">
        <f t="shared" si="7"/>
        <v>4.5999999999999996</v>
      </c>
      <c r="Z62" s="890">
        <f t="shared" si="8"/>
        <v>1</v>
      </c>
      <c r="AA62" s="890">
        <f t="shared" si="9"/>
        <v>1.98</v>
      </c>
      <c r="AB62" s="890">
        <f t="shared" si="10"/>
        <v>9.1079999999999988</v>
      </c>
    </row>
    <row r="63" spans="1:28" ht="33.5" thickBot="1">
      <c r="A63" s="822" t="s">
        <v>1265</v>
      </c>
      <c r="B63" s="886">
        <f>ROUND(B57*(H22*B61+H31*D62),0)</f>
        <v>46</v>
      </c>
      <c r="C63" s="822" t="s">
        <v>672</v>
      </c>
      <c r="K63" s="890" t="s">
        <v>1335</v>
      </c>
      <c r="L63" s="870" t="s">
        <v>1297</v>
      </c>
      <c r="M63" s="252" t="s">
        <v>1298</v>
      </c>
      <c r="N63" s="252">
        <f t="shared" ref="N63:N64" si="12">+N62+O63/2+O62/2</f>
        <v>15.25</v>
      </c>
      <c r="O63" s="252">
        <v>1.3</v>
      </c>
      <c r="P63" s="252">
        <v>1</v>
      </c>
      <c r="Q63" s="252">
        <v>5.25</v>
      </c>
      <c r="R63" s="891">
        <f t="shared" si="11"/>
        <v>6.8250000000000002</v>
      </c>
      <c r="U63" s="890" t="str">
        <f t="shared" si="3"/>
        <v>lớp 3</v>
      </c>
      <c r="V63" s="890" t="str">
        <f t="shared" si="4"/>
        <v>chặt vừa</v>
      </c>
      <c r="W63" s="890" t="str">
        <f t="shared" si="5"/>
        <v>cát hạt trung</v>
      </c>
      <c r="X63" s="890">
        <f t="shared" si="6"/>
        <v>15.25</v>
      </c>
      <c r="Y63" s="890">
        <f t="shared" si="7"/>
        <v>1.3</v>
      </c>
      <c r="Z63" s="890">
        <f t="shared" si="8"/>
        <v>1</v>
      </c>
      <c r="AA63" s="890">
        <f t="shared" si="9"/>
        <v>5.25</v>
      </c>
      <c r="AB63" s="890">
        <f t="shared" si="10"/>
        <v>6.8250000000000002</v>
      </c>
    </row>
    <row r="64" spans="1:28" ht="20" thickBot="1">
      <c r="A64" s="823" t="s">
        <v>1267</v>
      </c>
      <c r="K64" s="890" t="s">
        <v>1336</v>
      </c>
      <c r="L64" s="870" t="s">
        <v>1299</v>
      </c>
      <c r="M64" s="252" t="s">
        <v>1300</v>
      </c>
      <c r="N64" s="252">
        <f t="shared" si="12"/>
        <v>17.899999999999999</v>
      </c>
      <c r="O64" s="252">
        <f>B49</f>
        <v>4</v>
      </c>
      <c r="P64" s="252">
        <v>1</v>
      </c>
      <c r="Q64" s="252">
        <v>3.1</v>
      </c>
      <c r="R64" s="891">
        <f t="shared" si="11"/>
        <v>12.4</v>
      </c>
      <c r="U64" s="890" t="str">
        <f t="shared" si="3"/>
        <v>lớp 4</v>
      </c>
      <c r="V64" s="890" t="str">
        <f t="shared" si="4"/>
        <v>dẻo thấp</v>
      </c>
      <c r="W64" s="890" t="str">
        <f t="shared" si="5"/>
        <v>Il=0,5</v>
      </c>
      <c r="X64" s="890">
        <f t="shared" si="6"/>
        <v>17.899999999999999</v>
      </c>
      <c r="Y64" s="890">
        <f t="shared" si="7"/>
        <v>4</v>
      </c>
      <c r="Z64" s="890">
        <f t="shared" si="8"/>
        <v>1</v>
      </c>
      <c r="AA64" s="890">
        <f t="shared" si="9"/>
        <v>3.1</v>
      </c>
      <c r="AB64" s="890">
        <f t="shared" si="10"/>
        <v>12.4</v>
      </c>
    </row>
    <row r="65" spans="1:28" ht="17" thickBot="1">
      <c r="A65" s="822" t="s">
        <v>1268</v>
      </c>
      <c r="B65" s="822">
        <v>1</v>
      </c>
      <c r="D65" s="822" t="s">
        <v>1330</v>
      </c>
      <c r="K65" s="890"/>
      <c r="L65" s="870"/>
      <c r="M65" s="252"/>
      <c r="N65" s="252"/>
      <c r="O65" s="252">
        <f>SUM(O61:O64)</f>
        <v>19.899999999999999</v>
      </c>
      <c r="P65" s="252"/>
      <c r="Q65" s="252"/>
      <c r="R65" s="891"/>
      <c r="AA65" s="933" t="s">
        <v>659</v>
      </c>
      <c r="AB65" s="891">
        <f>R67</f>
        <v>36.332999999999998</v>
      </c>
    </row>
    <row r="66" spans="1:28" ht="20" thickBot="1">
      <c r="A66" s="7" t="s">
        <v>1269</v>
      </c>
      <c r="B66" s="822">
        <v>0.9</v>
      </c>
      <c r="K66" s="890"/>
      <c r="L66" s="870"/>
      <c r="M66" s="252"/>
      <c r="N66" s="252"/>
      <c r="O66" s="252"/>
      <c r="P66" s="252"/>
      <c r="Q66" s="252"/>
      <c r="R66" s="891"/>
    </row>
    <row r="67" spans="1:28" ht="17" thickBot="1">
      <c r="A67" s="822" t="s">
        <v>1270</v>
      </c>
      <c r="B67" s="822">
        <v>0.9</v>
      </c>
      <c r="K67" s="528"/>
      <c r="L67" s="528"/>
      <c r="M67" s="528"/>
      <c r="N67" s="528"/>
      <c r="O67" s="528"/>
      <c r="P67" s="528"/>
      <c r="Q67" s="871" t="s">
        <v>659</v>
      </c>
      <c r="R67" s="891">
        <f>SUM(R61:R66)</f>
        <v>36.332999999999998</v>
      </c>
    </row>
    <row r="68" spans="1:28">
      <c r="A68" s="822" t="s">
        <v>1271</v>
      </c>
      <c r="B68" s="822">
        <f>(B39+B40)*2</f>
        <v>120</v>
      </c>
      <c r="C68" s="822" t="s">
        <v>633</v>
      </c>
      <c r="D68" s="822">
        <f>B68/100</f>
        <v>1.2</v>
      </c>
      <c r="E68" s="822" t="s">
        <v>6</v>
      </c>
    </row>
    <row r="69" spans="1:28">
      <c r="A69" s="822" t="s">
        <v>1272</v>
      </c>
      <c r="B69" s="822">
        <f>N70</f>
        <v>184.2</v>
      </c>
      <c r="C69" s="822" t="s">
        <v>733</v>
      </c>
      <c r="D69" s="822">
        <f>B69*B61*B66</f>
        <v>14.920199999999999</v>
      </c>
      <c r="E69" s="822" t="s">
        <v>672</v>
      </c>
      <c r="F69" s="822">
        <f>8.8/0.9/B61</f>
        <v>108.64197530864199</v>
      </c>
      <c r="K69" s="822">
        <v>0.5</v>
      </c>
    </row>
    <row r="70" spans="1:28">
      <c r="A70" s="822" t="s">
        <v>1273</v>
      </c>
      <c r="C70" s="822">
        <v>0.5</v>
      </c>
      <c r="J70" s="822">
        <v>15</v>
      </c>
      <c r="K70" s="822">
        <v>165</v>
      </c>
      <c r="M70" s="822">
        <f>G50</f>
        <v>21.4</v>
      </c>
      <c r="N70" s="822">
        <f>(K71-K70)/(J71-J70)*(M70-J70)+K70</f>
        <v>184.2</v>
      </c>
    </row>
    <row r="71" spans="1:28">
      <c r="A71" s="822" t="s">
        <v>1274</v>
      </c>
      <c r="J71" s="822">
        <v>20</v>
      </c>
      <c r="K71" s="822">
        <v>180</v>
      </c>
    </row>
    <row r="72" spans="1:28" ht="19.5">
      <c r="A72" s="7" t="s">
        <v>1331</v>
      </c>
      <c r="B72" s="822">
        <f>D39*D40</f>
        <v>0.09</v>
      </c>
      <c r="C72" s="822" t="s">
        <v>3</v>
      </c>
    </row>
    <row r="73" spans="1:28">
      <c r="A73" s="822" t="s">
        <v>1341</v>
      </c>
      <c r="B73" s="892">
        <f>B65*(B66*B69*B72+D68*E74)</f>
        <v>58.519799999999996</v>
      </c>
    </row>
    <row r="74" spans="1:28">
      <c r="A74" s="822" t="s">
        <v>1342</v>
      </c>
      <c r="B74" s="892">
        <v>1.55</v>
      </c>
      <c r="D74" s="822" t="s">
        <v>1309</v>
      </c>
      <c r="E74" s="892">
        <f>R67</f>
        <v>36.332999999999998</v>
      </c>
      <c r="F74" s="822" t="s">
        <v>672</v>
      </c>
    </row>
    <row r="75" spans="1:28">
      <c r="A75" s="822" t="s">
        <v>1343</v>
      </c>
      <c r="B75" s="892">
        <f>B73/B74</f>
        <v>37.754709677419349</v>
      </c>
    </row>
    <row r="76" spans="1:28">
      <c r="A76" s="823" t="s">
        <v>1344</v>
      </c>
      <c r="B76" s="936" t="e">
        <f>[2]Locsolieu!#REF!</f>
        <v>#REF!</v>
      </c>
      <c r="C76" s="822" t="s">
        <v>447</v>
      </c>
    </row>
    <row r="77" spans="1:28" ht="16.5">
      <c r="A77" s="893" t="s">
        <v>1350</v>
      </c>
      <c r="J77" s="822">
        <v>6.7750000000000004</v>
      </c>
      <c r="K77" s="822">
        <f>+J77+1.5</f>
        <v>8.2750000000000004</v>
      </c>
      <c r="L77" s="822">
        <f>10-K77</f>
        <v>1.7249999999999996</v>
      </c>
    </row>
    <row r="78" spans="1:28">
      <c r="A78" s="822" t="s">
        <v>178</v>
      </c>
      <c r="B78" s="822">
        <v>300</v>
      </c>
      <c r="L78" s="822">
        <f>10-J77</f>
        <v>3.2249999999999996</v>
      </c>
    </row>
    <row r="79" spans="1:28">
      <c r="A79" s="822" t="s">
        <v>630</v>
      </c>
      <c r="B79" s="822">
        <f>I43</f>
        <v>16</v>
      </c>
      <c r="L79" s="822">
        <f>1.5+10/2</f>
        <v>6.5</v>
      </c>
    </row>
    <row r="83" spans="1:13">
      <c r="M83" s="908"/>
    </row>
    <row r="86" spans="1:13">
      <c r="A86" s="822" t="s">
        <v>1351</v>
      </c>
      <c r="B86" s="907">
        <f>MIN(B75,B63)</f>
        <v>37.754709677419349</v>
      </c>
      <c r="C86" s="822" t="s">
        <v>672</v>
      </c>
    </row>
    <row r="87" spans="1:13">
      <c r="A87" s="822" t="s">
        <v>1352</v>
      </c>
      <c r="B87" s="822">
        <f>+B72*B52*2.5</f>
        <v>4.5</v>
      </c>
    </row>
    <row r="88" spans="1:13" ht="14.5" thickBot="1">
      <c r="A88" s="822" t="s">
        <v>1353</v>
      </c>
      <c r="B88" s="934">
        <f>B86-B87</f>
        <v>33.254709677419349</v>
      </c>
    </row>
    <row r="89" spans="1:13" ht="14.5" thickBot="1">
      <c r="A89" s="823" t="s">
        <v>1366</v>
      </c>
      <c r="E89" s="910" t="s">
        <v>1354</v>
      </c>
      <c r="F89" s="911" t="s">
        <v>1355</v>
      </c>
      <c r="G89" s="911" t="s">
        <v>1356</v>
      </c>
      <c r="H89" s="911" t="s">
        <v>1357</v>
      </c>
      <c r="I89" s="911" t="s">
        <v>1358</v>
      </c>
      <c r="J89" s="911" t="s">
        <v>1359</v>
      </c>
      <c r="K89" s="911" t="s">
        <v>1360</v>
      </c>
      <c r="L89" s="822" t="s">
        <v>1378</v>
      </c>
      <c r="M89" s="822" t="s">
        <v>1379</v>
      </c>
    </row>
    <row r="90" spans="1:13" ht="26.5" thickBot="1">
      <c r="A90" s="889" t="s">
        <v>242</v>
      </c>
      <c r="B90" s="822">
        <v>1.2</v>
      </c>
      <c r="C90" s="822">
        <v>1.6</v>
      </c>
      <c r="E90" s="935" t="e">
        <f>[2]Locsolieu!#REF!</f>
        <v>#REF!</v>
      </c>
      <c r="F90" s="912" t="s">
        <v>1361</v>
      </c>
      <c r="G90" s="937" t="e">
        <f>[2]Locsolieu!#REF!</f>
        <v>#REF!</v>
      </c>
      <c r="H90" s="937" t="e">
        <f>[2]Locsolieu!#REF!</f>
        <v>#REF!</v>
      </c>
      <c r="I90" s="937" t="e">
        <f>[2]Locsolieu!#REF!</f>
        <v>#REF!</v>
      </c>
      <c r="J90" s="937" t="e">
        <f>[2]Locsolieu!#REF!</f>
        <v>#REF!</v>
      </c>
      <c r="K90" s="937" t="e">
        <f>[2]Locsolieu!#REF!</f>
        <v>#REF!</v>
      </c>
      <c r="L90" s="822" t="e">
        <f>I90+J90*$B$45</f>
        <v>#REF!</v>
      </c>
      <c r="M90" s="822" t="e">
        <f>H90+K90*$B$45</f>
        <v>#REF!</v>
      </c>
    </row>
    <row r="91" spans="1:13" ht="39.5" thickBot="1">
      <c r="A91" s="822" t="s">
        <v>1367</v>
      </c>
      <c r="B91" s="913" t="e">
        <f>B90*G90/$B$88</f>
        <v>#REF!</v>
      </c>
      <c r="C91" s="913" t="e">
        <f>C90*G90/$B$88</f>
        <v>#REF!</v>
      </c>
      <c r="E91" s="935" t="e">
        <f>[2]Locsolieu!#REF!</f>
        <v>#REF!</v>
      </c>
      <c r="F91" s="912" t="s">
        <v>1362</v>
      </c>
      <c r="G91" s="937" t="e">
        <f>[2]Locsolieu!#REF!</f>
        <v>#REF!</v>
      </c>
      <c r="H91" s="937" t="e">
        <f>[2]Locsolieu!#REF!</f>
        <v>#REF!</v>
      </c>
      <c r="I91" s="937" t="e">
        <f>[2]Locsolieu!#REF!</f>
        <v>#REF!</v>
      </c>
      <c r="J91" s="937" t="e">
        <f>[2]Locsolieu!#REF!</f>
        <v>#REF!</v>
      </c>
      <c r="K91" s="937" t="e">
        <f>[2]Locsolieu!#REF!</f>
        <v>#REF!</v>
      </c>
      <c r="L91" s="822" t="e">
        <f t="shared" ref="L91:L94" si="13">I91+J91*$B$45</f>
        <v>#REF!</v>
      </c>
      <c r="M91" s="822" t="e">
        <f t="shared" ref="M91:M94" si="14">H91+K91*$B$45</f>
        <v>#REF!</v>
      </c>
    </row>
    <row r="92" spans="1:13" ht="26.5" thickBot="1">
      <c r="A92" s="822" t="s">
        <v>249</v>
      </c>
      <c r="B92" s="822">
        <v>2</v>
      </c>
      <c r="E92" s="935" t="e">
        <f>[2]Locsolieu!#REF!</f>
        <v>#REF!</v>
      </c>
      <c r="F92" s="912" t="s">
        <v>1363</v>
      </c>
      <c r="G92" s="937" t="e">
        <f>[2]Locsolieu!#REF!</f>
        <v>#REF!</v>
      </c>
      <c r="H92" s="937" t="e">
        <f>[2]Locsolieu!#REF!</f>
        <v>#REF!</v>
      </c>
      <c r="I92" s="937" t="e">
        <f>[2]Locsolieu!#REF!</f>
        <v>#REF!</v>
      </c>
      <c r="J92" s="937" t="e">
        <f>[2]Locsolieu!#REF!</f>
        <v>#REF!</v>
      </c>
      <c r="K92" s="937" t="e">
        <f>[2]Locsolieu!#REF!</f>
        <v>#REF!</v>
      </c>
      <c r="L92" s="822" t="e">
        <f t="shared" si="13"/>
        <v>#REF!</v>
      </c>
      <c r="M92" s="822" t="e">
        <f t="shared" si="14"/>
        <v>#REF!</v>
      </c>
    </row>
    <row r="93" spans="1:13" ht="26.5" thickBot="1">
      <c r="A93" s="822" t="s">
        <v>1368</v>
      </c>
      <c r="B93" s="822">
        <f>3*D39</f>
        <v>0.89999999999999991</v>
      </c>
      <c r="E93" s="935" t="e">
        <f>[2]Locsolieu!#REF!</f>
        <v>#REF!</v>
      </c>
      <c r="F93" s="912" t="s">
        <v>1364</v>
      </c>
      <c r="G93" s="937" t="e">
        <f>[2]Locsolieu!#REF!</f>
        <v>#REF!</v>
      </c>
      <c r="H93" s="937" t="e">
        <f>[2]Locsolieu!#REF!</f>
        <v>#REF!</v>
      </c>
      <c r="I93" s="937" t="e">
        <f>[2]Locsolieu!#REF!</f>
        <v>#REF!</v>
      </c>
      <c r="J93" s="937" t="e">
        <f>[2]Locsolieu!#REF!</f>
        <v>#REF!</v>
      </c>
      <c r="K93" s="937" t="e">
        <f>[2]Locsolieu!#REF!</f>
        <v>#REF!</v>
      </c>
      <c r="L93" s="822" t="e">
        <f t="shared" si="13"/>
        <v>#REF!</v>
      </c>
      <c r="M93" s="822" t="e">
        <f t="shared" si="14"/>
        <v>#REF!</v>
      </c>
    </row>
    <row r="94" spans="1:13" ht="26.5" thickBot="1">
      <c r="A94" s="822" t="s">
        <v>1369</v>
      </c>
      <c r="B94" s="822">
        <f>3*D39</f>
        <v>0.89999999999999991</v>
      </c>
      <c r="E94" s="935" t="e">
        <f>[2]Locsolieu!#REF!</f>
        <v>#REF!</v>
      </c>
      <c r="F94" s="912" t="s">
        <v>1365</v>
      </c>
      <c r="G94" s="937" t="e">
        <f>[2]Locsolieu!#REF!</f>
        <v>#REF!</v>
      </c>
      <c r="H94" s="937" t="e">
        <f>[2]Locsolieu!#REF!</f>
        <v>#REF!</v>
      </c>
      <c r="I94" s="937" t="e">
        <f>[2]Locsolieu!#REF!</f>
        <v>#REF!</v>
      </c>
      <c r="J94" s="937" t="e">
        <f>[2]Locsolieu!#REF!</f>
        <v>#REF!</v>
      </c>
      <c r="K94" s="937" t="e">
        <f>[2]Locsolieu!#REF!</f>
        <v>#REF!</v>
      </c>
      <c r="L94" s="822" t="e">
        <f t="shared" si="13"/>
        <v>#REF!</v>
      </c>
      <c r="M94" s="822" t="e">
        <f t="shared" si="14"/>
        <v>#REF!</v>
      </c>
    </row>
    <row r="95" spans="1:13">
      <c r="A95" s="822" t="s">
        <v>1370</v>
      </c>
      <c r="B95" s="822">
        <f>D39/2</f>
        <v>0.15</v>
      </c>
    </row>
    <row r="96" spans="1:13">
      <c r="A96" s="822" t="s">
        <v>623</v>
      </c>
      <c r="B96" s="822">
        <f>D39+B95*2</f>
        <v>0.6</v>
      </c>
      <c r="C96" s="822" t="s">
        <v>6</v>
      </c>
    </row>
    <row r="97" spans="1:25">
      <c r="A97" s="822" t="s">
        <v>229</v>
      </c>
      <c r="B97" s="822">
        <v>1.5</v>
      </c>
      <c r="C97" s="822" t="s">
        <v>6</v>
      </c>
    </row>
    <row r="98" spans="1:25">
      <c r="A98" s="822" t="s">
        <v>1375</v>
      </c>
      <c r="B98" s="822">
        <f>B96*B97</f>
        <v>0.89999999999999991</v>
      </c>
      <c r="C98" s="822" t="s">
        <v>3</v>
      </c>
    </row>
    <row r="100" spans="1:25">
      <c r="A100" s="823" t="s">
        <v>1371</v>
      </c>
    </row>
    <row r="101" spans="1:25" ht="19.5">
      <c r="A101" s="7" t="s">
        <v>1372</v>
      </c>
      <c r="B101" s="822">
        <v>1.1499999999999999</v>
      </c>
      <c r="E101" s="914" t="s">
        <v>1380</v>
      </c>
      <c r="F101" s="914" t="s">
        <v>1381</v>
      </c>
      <c r="G101" s="914" t="s">
        <v>1382</v>
      </c>
      <c r="H101" s="914" t="s">
        <v>1383</v>
      </c>
      <c r="I101" s="914" t="s">
        <v>1384</v>
      </c>
      <c r="J101" s="914" t="s">
        <v>1387</v>
      </c>
      <c r="K101" s="914" t="s">
        <v>1385</v>
      </c>
      <c r="L101" s="914" t="s">
        <v>1386</v>
      </c>
      <c r="Q101" s="929" t="str">
        <f>E101</f>
        <v>Tên cọc</v>
      </c>
      <c r="R101" s="929" t="s">
        <v>1460</v>
      </c>
      <c r="S101" s="929" t="s">
        <v>1461</v>
      </c>
      <c r="T101" s="929" t="s">
        <v>1462</v>
      </c>
      <c r="U101" s="929" t="s">
        <v>1463</v>
      </c>
      <c r="V101" s="929" t="s">
        <v>1464</v>
      </c>
    </row>
    <row r="102" spans="1:25">
      <c r="A102" s="822" t="s">
        <v>1373</v>
      </c>
      <c r="B102" s="822">
        <v>2.5</v>
      </c>
      <c r="C102" s="822" t="s">
        <v>672</v>
      </c>
      <c r="E102" s="914">
        <v>1</v>
      </c>
      <c r="F102" s="914">
        <f>-B93/2</f>
        <v>-0.44999999999999996</v>
      </c>
      <c r="G102" s="914">
        <v>0</v>
      </c>
      <c r="H102" s="915">
        <f>F102^2</f>
        <v>0.20249999999999996</v>
      </c>
      <c r="I102" s="915">
        <f>G102^2</f>
        <v>0</v>
      </c>
      <c r="J102" s="916"/>
      <c r="K102" s="914"/>
      <c r="L102" s="917" t="e">
        <f>$B$105/$B$92+M90*F102/$H$104</f>
        <v>#REF!</v>
      </c>
      <c r="Q102" s="930">
        <f t="shared" ref="Q102:Q103" si="15">E102</f>
        <v>1</v>
      </c>
      <c r="R102" s="944">
        <f t="shared" ref="R102:U103" si="16">F102</f>
        <v>-0.44999999999999996</v>
      </c>
      <c r="S102" s="944">
        <f t="shared" si="16"/>
        <v>0</v>
      </c>
      <c r="T102" s="944">
        <f t="shared" si="16"/>
        <v>0.20249999999999996</v>
      </c>
      <c r="U102" s="944">
        <f>I102</f>
        <v>0</v>
      </c>
      <c r="V102" s="944" t="e">
        <f>L102</f>
        <v>#REF!</v>
      </c>
    </row>
    <row r="103" spans="1:25">
      <c r="A103" s="822" t="s">
        <v>1374</v>
      </c>
      <c r="B103" s="822">
        <v>1.1499999999999999</v>
      </c>
      <c r="E103" s="914">
        <v>2</v>
      </c>
      <c r="F103" s="914">
        <f>+B93/2</f>
        <v>0.44999999999999996</v>
      </c>
      <c r="G103" s="914">
        <v>0</v>
      </c>
      <c r="H103" s="915">
        <f>F103^2</f>
        <v>0.20249999999999996</v>
      </c>
      <c r="I103" s="915">
        <f>G103^2</f>
        <v>0</v>
      </c>
      <c r="J103" s="914"/>
      <c r="K103" s="914"/>
      <c r="L103" s="917" t="e">
        <f>$B$105/$B$92+M90*F103/$H$104</f>
        <v>#REF!</v>
      </c>
      <c r="Q103" s="930">
        <f t="shared" si="15"/>
        <v>2</v>
      </c>
      <c r="R103" s="944">
        <f t="shared" si="16"/>
        <v>0.44999999999999996</v>
      </c>
      <c r="S103" s="944">
        <f t="shared" si="16"/>
        <v>0</v>
      </c>
      <c r="T103" s="944">
        <f t="shared" si="16"/>
        <v>0.20249999999999996</v>
      </c>
      <c r="U103" s="944">
        <f t="shared" si="16"/>
        <v>0</v>
      </c>
      <c r="V103" s="944" t="e">
        <f t="shared" ref="V103" si="17">L103</f>
        <v>#REF!</v>
      </c>
    </row>
    <row r="104" spans="1:25">
      <c r="A104" s="822" t="s">
        <v>1376</v>
      </c>
      <c r="B104" s="822">
        <f>B102*B98*B45</f>
        <v>1.2374999999999998</v>
      </c>
      <c r="C104" s="822" t="s">
        <v>672</v>
      </c>
      <c r="H104" s="907">
        <f>SUM(H102:H103)</f>
        <v>0.40499999999999992</v>
      </c>
      <c r="I104" s="907">
        <f>SUM(I102:I103)</f>
        <v>0</v>
      </c>
      <c r="K104" s="822" t="s">
        <v>1388</v>
      </c>
      <c r="L104" s="892" t="e">
        <f>MAX(L102:L103)</f>
        <v>#REF!</v>
      </c>
      <c r="Q104" s="930"/>
      <c r="R104" s="944"/>
      <c r="S104" s="944"/>
      <c r="T104" s="944"/>
      <c r="U104" s="944"/>
      <c r="V104" s="944"/>
    </row>
    <row r="105" spans="1:25">
      <c r="A105" s="822" t="s">
        <v>1377</v>
      </c>
      <c r="B105" s="822" t="e">
        <f>B104+G90</f>
        <v>#REF!</v>
      </c>
      <c r="C105" s="822" t="s">
        <v>672</v>
      </c>
      <c r="K105" s="822" t="s">
        <v>1390</v>
      </c>
      <c r="L105" s="892" t="e">
        <f>MIN(L102:L103)</f>
        <v>#REF!</v>
      </c>
    </row>
    <row r="106" spans="1:25">
      <c r="A106" s="822" t="s">
        <v>1389</v>
      </c>
      <c r="B106" s="934">
        <f>B101/B103*B88</f>
        <v>33.254709677419349</v>
      </c>
      <c r="K106" s="822">
        <f>1.2*1.2</f>
        <v>1.44</v>
      </c>
    </row>
    <row r="107" spans="1:25" ht="16">
      <c r="I107" s="822">
        <f>1.44*4</f>
        <v>5.76</v>
      </c>
      <c r="Q107" s="993" t="str">
        <f>E108</f>
        <v>Tên cọc</v>
      </c>
      <c r="R107" s="993" t="s">
        <v>1460</v>
      </c>
      <c r="S107" s="993" t="s">
        <v>1461</v>
      </c>
      <c r="T107" s="993" t="s">
        <v>1462</v>
      </c>
      <c r="U107" s="993" t="s">
        <v>1463</v>
      </c>
      <c r="V107" s="995" t="s">
        <v>1464</v>
      </c>
      <c r="W107" s="995"/>
      <c r="X107" s="995"/>
      <c r="Y107" s="995"/>
    </row>
    <row r="108" spans="1:25" ht="16">
      <c r="E108" s="914" t="s">
        <v>1380</v>
      </c>
      <c r="F108" s="914" t="s">
        <v>1381</v>
      </c>
      <c r="G108" s="914" t="s">
        <v>1382</v>
      </c>
      <c r="H108" s="914" t="s">
        <v>1383</v>
      </c>
      <c r="I108" s="914" t="s">
        <v>1384</v>
      </c>
      <c r="J108" s="914" t="s">
        <v>1387</v>
      </c>
      <c r="K108" s="914" t="s">
        <v>1385</v>
      </c>
      <c r="L108" s="914" t="s">
        <v>1391</v>
      </c>
      <c r="M108" s="822" t="s">
        <v>1392</v>
      </c>
      <c r="N108" s="822" t="s">
        <v>1393</v>
      </c>
      <c r="O108" s="822" t="s">
        <v>1394</v>
      </c>
      <c r="Q108" s="994"/>
      <c r="R108" s="994"/>
      <c r="S108" s="994"/>
      <c r="T108" s="994"/>
      <c r="U108" s="994"/>
      <c r="V108" s="931" t="s">
        <v>1465</v>
      </c>
      <c r="W108" s="931" t="s">
        <v>1466</v>
      </c>
      <c r="X108" s="931" t="s">
        <v>1467</v>
      </c>
      <c r="Y108" s="931" t="s">
        <v>1468</v>
      </c>
    </row>
    <row r="109" spans="1:25">
      <c r="E109" s="914">
        <v>1</v>
      </c>
      <c r="F109" s="914">
        <f>-B93/2</f>
        <v>-0.44999999999999996</v>
      </c>
      <c r="G109" s="914">
        <v>0</v>
      </c>
      <c r="H109" s="915">
        <f>F109^2</f>
        <v>0.20249999999999996</v>
      </c>
      <c r="I109" s="915">
        <f>G109^2</f>
        <v>0</v>
      </c>
      <c r="J109" s="916"/>
      <c r="K109" s="914"/>
      <c r="L109" s="917" t="e">
        <f>$B$105/$B$92+M91*F109/$H$104</f>
        <v>#REF!</v>
      </c>
      <c r="M109" s="909" t="e">
        <f>$B$105/$B$92+M92*F109/$H$104</f>
        <v>#REF!</v>
      </c>
      <c r="N109" s="909" t="e">
        <f>$B$105/$B$92+M93*F109/$H$104</f>
        <v>#REF!</v>
      </c>
      <c r="O109" s="909" t="e">
        <f>$B$105/$B$92+M94*F109/$H$104</f>
        <v>#REF!</v>
      </c>
      <c r="Q109" s="930">
        <f t="shared" ref="Q109:S110" si="18">E109</f>
        <v>1</v>
      </c>
      <c r="R109" s="944">
        <f t="shared" si="18"/>
        <v>-0.44999999999999996</v>
      </c>
      <c r="S109" s="944">
        <f t="shared" si="18"/>
        <v>0</v>
      </c>
      <c r="T109" s="944">
        <f>ROUND(H109,2)</f>
        <v>0.2</v>
      </c>
      <c r="U109" s="944">
        <f>ROUND(I109,2)</f>
        <v>0</v>
      </c>
      <c r="V109" s="944" t="e">
        <f>L109</f>
        <v>#REF!</v>
      </c>
      <c r="W109" s="944" t="e">
        <f t="shared" ref="W109:Y110" si="19">M109</f>
        <v>#REF!</v>
      </c>
      <c r="X109" s="944" t="e">
        <f t="shared" si="19"/>
        <v>#REF!</v>
      </c>
      <c r="Y109" s="944" t="e">
        <f t="shared" si="19"/>
        <v>#REF!</v>
      </c>
    </row>
    <row r="110" spans="1:25">
      <c r="E110" s="914">
        <v>2</v>
      </c>
      <c r="F110" s="914">
        <f>+B93/2</f>
        <v>0.44999999999999996</v>
      </c>
      <c r="G110" s="914">
        <v>0</v>
      </c>
      <c r="H110" s="915">
        <f>F110^2</f>
        <v>0.20249999999999996</v>
      </c>
      <c r="I110" s="915">
        <f>G110^2</f>
        <v>0</v>
      </c>
      <c r="J110" s="914"/>
      <c r="K110" s="914"/>
      <c r="L110" s="917" t="e">
        <f>$B$105/$B$92+M91*F110/$H$104</f>
        <v>#REF!</v>
      </c>
      <c r="M110" s="909" t="e">
        <f>$B$105/$B$92+M92*F110/$H$104</f>
        <v>#REF!</v>
      </c>
      <c r="N110" s="909" t="e">
        <f>$B$105/$B$92+M93*F110/$H$104</f>
        <v>#REF!</v>
      </c>
      <c r="O110" s="909" t="e">
        <f>$B$105/$B$92+M94*F110/$H$104</f>
        <v>#REF!</v>
      </c>
      <c r="Q110" s="930">
        <f t="shared" si="18"/>
        <v>2</v>
      </c>
      <c r="R110" s="944">
        <f t="shared" si="18"/>
        <v>0.44999999999999996</v>
      </c>
      <c r="S110" s="944">
        <f t="shared" si="18"/>
        <v>0</v>
      </c>
      <c r="T110" s="944">
        <f t="shared" ref="T110:U110" si="20">ROUND(H110,2)</f>
        <v>0.2</v>
      </c>
      <c r="U110" s="944">
        <f t="shared" si="20"/>
        <v>0</v>
      </c>
      <c r="V110" s="944" t="e">
        <f t="shared" ref="V110" si="21">L110</f>
        <v>#REF!</v>
      </c>
      <c r="W110" s="944" t="e">
        <f t="shared" si="19"/>
        <v>#REF!</v>
      </c>
      <c r="X110" s="944" t="e">
        <f t="shared" si="19"/>
        <v>#REF!</v>
      </c>
      <c r="Y110" s="944" t="e">
        <f t="shared" si="19"/>
        <v>#REF!</v>
      </c>
    </row>
    <row r="111" spans="1:25">
      <c r="H111" s="907">
        <f>SUM(H109:H110)</f>
        <v>0.40499999999999992</v>
      </c>
      <c r="I111" s="907">
        <f>SUM(I109:I110)</f>
        <v>0</v>
      </c>
      <c r="Q111" s="930"/>
      <c r="R111" s="944"/>
      <c r="S111" s="944"/>
      <c r="T111" s="944"/>
      <c r="U111" s="944"/>
      <c r="V111" s="944"/>
      <c r="W111" s="944"/>
      <c r="X111" s="944"/>
      <c r="Y111" s="944"/>
    </row>
    <row r="112" spans="1:25">
      <c r="A112" s="823" t="s">
        <v>1395</v>
      </c>
      <c r="L112" s="915"/>
    </row>
    <row r="113" spans="1:11">
      <c r="A113"/>
      <c r="B113" s="892">
        <f>'Co Ly dat'!W15</f>
        <v>2.251633165829146</v>
      </c>
      <c r="C113" s="954">
        <f>ROUNDDOWN(B113,0)</f>
        <v>2</v>
      </c>
      <c r="D113" s="918">
        <f>+(B113-C113)*60</f>
        <v>15.097989949748758</v>
      </c>
      <c r="F113" s="6">
        <f>'Co Ly dat'!V15</f>
        <v>9.0065326633165839</v>
      </c>
      <c r="G113" s="907">
        <f>ROUNDDOWN(F113,0)</f>
        <v>9</v>
      </c>
      <c r="H113" s="918">
        <f>+(F113-G113)*60</f>
        <v>0.39195979899503186</v>
      </c>
    </row>
    <row r="114" spans="1:11">
      <c r="A114" s="822" t="s">
        <v>1396</v>
      </c>
      <c r="B114" s="822">
        <f>B51</f>
        <v>19.899999999999999</v>
      </c>
    </row>
    <row r="115" spans="1:11">
      <c r="A115" s="822" t="s">
        <v>1397</v>
      </c>
      <c r="B115" s="892">
        <f>D115+2*B114*TAN(RADIANS(B113))</f>
        <v>1.8648824754781275</v>
      </c>
      <c r="D115" s="822">
        <f>B96-B95*2</f>
        <v>0.3</v>
      </c>
      <c r="E115" s="822">
        <f>B97-B95*2</f>
        <v>1.2</v>
      </c>
    </row>
    <row r="116" spans="1:11">
      <c r="A116" s="822" t="s">
        <v>1398</v>
      </c>
      <c r="B116" s="892">
        <f>E115+2*B114*TAN(RADIANS(B113))</f>
        <v>2.7648824754781272</v>
      </c>
      <c r="C116" s="961"/>
      <c r="F116" s="822">
        <f>TAN(PI()*RADIANS(B113))</f>
        <v>0.12409071984357102</v>
      </c>
    </row>
    <row r="117" spans="1:11">
      <c r="A117" s="822" t="s">
        <v>1399</v>
      </c>
      <c r="B117" s="892">
        <f>B115*B116</f>
        <v>5.1561808752757425</v>
      </c>
      <c r="C117" s="822" t="s">
        <v>3</v>
      </c>
    </row>
    <row r="118" spans="1:11">
      <c r="A118" s="822" t="s">
        <v>1400</v>
      </c>
      <c r="B118" s="822">
        <v>2</v>
      </c>
      <c r="I118" s="822">
        <f>SIN(J118*PI()/180)</f>
        <v>3.925981575906861E-2</v>
      </c>
      <c r="J118" s="907">
        <v>2.25</v>
      </c>
      <c r="K118" s="909">
        <f>(J118*PI()/180)</f>
        <v>3.9269908169872414E-2</v>
      </c>
    </row>
    <row r="119" spans="1:11">
      <c r="A119" s="822" t="s">
        <v>1401</v>
      </c>
      <c r="B119" s="955">
        <f>B117*D46*B118</f>
        <v>15.468542625827228</v>
      </c>
      <c r="C119" s="822" t="s">
        <v>672</v>
      </c>
      <c r="I119" s="822">
        <f>SIN((K119))</f>
        <v>3.925981575906861E-2</v>
      </c>
      <c r="K119" s="822">
        <f>RADIANS(J118)</f>
        <v>3.9269908169872414E-2</v>
      </c>
    </row>
    <row r="120" spans="1:11">
      <c r="A120" s="822" t="s">
        <v>1402</v>
      </c>
      <c r="B120" s="955">
        <f>B92*B72*B51*2.5</f>
        <v>8.9549999999999983</v>
      </c>
      <c r="C120" s="822" t="s">
        <v>672</v>
      </c>
    </row>
    <row r="121" spans="1:11">
      <c r="A121" s="822" t="s">
        <v>1403</v>
      </c>
      <c r="B121" s="956">
        <f>'Co Ly dat'!N16</f>
        <v>37.548000000000002</v>
      </c>
      <c r="C121" s="822" t="s">
        <v>672</v>
      </c>
    </row>
    <row r="122" spans="1:11">
      <c r="A122" s="822" t="s">
        <v>1404</v>
      </c>
      <c r="B122" s="956">
        <f>(B117-B92*B61)*B121*1</f>
        <v>186.84563950485361</v>
      </c>
      <c r="C122" s="822" t="s">
        <v>672</v>
      </c>
      <c r="D122" s="909">
        <f>(B117-B92*B61)*B121*1</f>
        <v>186.84563950485361</v>
      </c>
    </row>
    <row r="123" spans="1:11">
      <c r="A123" s="822" t="s">
        <v>1405</v>
      </c>
      <c r="B123" s="956">
        <f>B119+B120+B122</f>
        <v>211.26918213068083</v>
      </c>
      <c r="C123" s="822" t="s">
        <v>672</v>
      </c>
    </row>
    <row r="124" spans="1:11">
      <c r="A124" s="823" t="s">
        <v>1406</v>
      </c>
    </row>
    <row r="125" spans="1:11">
      <c r="A125" s="822" t="s">
        <v>1407</v>
      </c>
      <c r="B125" s="892" t="e">
        <f>B123+G90</f>
        <v>#REF!</v>
      </c>
      <c r="C125" s="822" t="s">
        <v>672</v>
      </c>
    </row>
    <row r="126" spans="1:11">
      <c r="A126" s="822" t="s">
        <v>1408</v>
      </c>
      <c r="B126" s="892" t="e">
        <f>L90/B101</f>
        <v>#REF!</v>
      </c>
      <c r="C126" s="822" t="s">
        <v>672</v>
      </c>
    </row>
    <row r="127" spans="1:11">
      <c r="A127" s="822" t="s">
        <v>1409</v>
      </c>
      <c r="B127" s="892" t="e">
        <f>M90/B101</f>
        <v>#REF!</v>
      </c>
      <c r="C127" s="822" t="s">
        <v>672</v>
      </c>
    </row>
    <row r="128" spans="1:11">
      <c r="A128" s="822" t="s">
        <v>1410</v>
      </c>
      <c r="B128" s="892">
        <f>B115^2*B116/6</f>
        <v>1.6026118924495343</v>
      </c>
    </row>
    <row r="129" spans="1:11">
      <c r="A129" s="822" t="s">
        <v>1411</v>
      </c>
      <c r="B129" s="892">
        <f>B115*B116^2/6</f>
        <v>2.3760390237408955</v>
      </c>
    </row>
    <row r="130" spans="1:11">
      <c r="A130" s="892"/>
      <c r="C130" s="823" t="s">
        <v>1444</v>
      </c>
    </row>
    <row r="131" spans="1:11">
      <c r="A131" s="822" t="s">
        <v>1412</v>
      </c>
      <c r="B131" s="822">
        <v>1.1000000000000001</v>
      </c>
      <c r="D131" s="822" t="s">
        <v>1454</v>
      </c>
      <c r="E131" s="822">
        <f>TinhMongM2!E131</f>
        <v>1.5</v>
      </c>
      <c r="F131" s="822" t="str">
        <f ca="1">TinhMong!F131</f>
        <v>bc</v>
      </c>
      <c r="G131" s="822">
        <f>C153</f>
        <v>0.3</v>
      </c>
      <c r="H131" s="822" t="s">
        <v>1456</v>
      </c>
      <c r="I131" s="822">
        <f>(E131-G131)/2-($H$134-$D$39/2)</f>
        <v>0.44999999999999996</v>
      </c>
      <c r="J131" s="822">
        <f ca="1">TinhMong!J131</f>
        <v>0</v>
      </c>
    </row>
    <row r="132" spans="1:11">
      <c r="A132" s="822" t="s">
        <v>430</v>
      </c>
      <c r="B132" s="822">
        <v>1.4</v>
      </c>
      <c r="D132" s="822" t="s">
        <v>1453</v>
      </c>
      <c r="E132" s="822">
        <f>TinhMongM2!E132</f>
        <v>1.5</v>
      </c>
      <c r="F132" s="822" t="str">
        <f ca="1">TinhMong!F132</f>
        <v>hc</v>
      </c>
      <c r="G132" s="822">
        <f>C154</f>
        <v>0.3</v>
      </c>
      <c r="H132" s="822" t="s">
        <v>1455</v>
      </c>
      <c r="I132" s="822">
        <f>(E132-G132)/2-($H$134-$D$39/2)</f>
        <v>0.44999999999999996</v>
      </c>
      <c r="J132" s="822">
        <f ca="1">TinhMong!J132</f>
        <v>0</v>
      </c>
    </row>
    <row r="133" spans="1:11">
      <c r="A133" s="822" t="s">
        <v>3</v>
      </c>
      <c r="B133" s="822">
        <v>1</v>
      </c>
      <c r="D133" s="822" t="s">
        <v>1457</v>
      </c>
      <c r="E133" s="932">
        <f>J133+H133</f>
        <v>0.54999999999999993</v>
      </c>
      <c r="F133" s="822" t="str">
        <f ca="1">TinhMong!F133</f>
        <v>m</v>
      </c>
      <c r="G133" s="822" t="s">
        <v>1458</v>
      </c>
      <c r="H133" s="822">
        <f>B50</f>
        <v>0.1</v>
      </c>
      <c r="I133" s="822" t="s">
        <v>6</v>
      </c>
      <c r="J133" s="822">
        <f>MAX(I131:I132)</f>
        <v>0.44999999999999996</v>
      </c>
    </row>
    <row r="134" spans="1:11">
      <c r="A134" s="822" t="s">
        <v>1413</v>
      </c>
      <c r="B134" s="822">
        <f>'Co Ly dat'!O11</f>
        <v>1.01</v>
      </c>
      <c r="H134" s="822">
        <f>0.9-0.6</f>
        <v>0.30000000000000004</v>
      </c>
    </row>
    <row r="135" spans="1:11">
      <c r="A135" s="822" t="s">
        <v>1414</v>
      </c>
      <c r="B135" s="956">
        <f>'Co Ly dat'!M16</f>
        <v>0.87085427135678373</v>
      </c>
      <c r="H135" s="822">
        <f>+H134/2+0.2</f>
        <v>0.35000000000000003</v>
      </c>
      <c r="I135" s="822">
        <f>1.2-0.3</f>
        <v>0.89999999999999991</v>
      </c>
      <c r="J135" s="822">
        <f>1.2-0.3</f>
        <v>0.89999999999999991</v>
      </c>
    </row>
    <row r="136" spans="1:11">
      <c r="A136" s="822" t="s">
        <v>1415</v>
      </c>
      <c r="B136" s="822">
        <f>'TinhMongM2 (2)'!K43</f>
        <v>2.75</v>
      </c>
      <c r="J136" s="822">
        <f>514.4*3*0.9</f>
        <v>1388.8799999999999</v>
      </c>
    </row>
    <row r="137" spans="1:11">
      <c r="A137" s="822" t="s">
        <v>516</v>
      </c>
      <c r="B137" s="822">
        <v>0</v>
      </c>
    </row>
    <row r="138" spans="1:11" ht="19">
      <c r="A138" s="889" t="s">
        <v>1416</v>
      </c>
      <c r="B138" s="822">
        <f>'Co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9">
        <f>B132*B133/B131*(B139*B115*B134+B140*B51*B135+B141*B136)</f>
        <v>52.253345863141277</v>
      </c>
      <c r="J142" s="822">
        <f>+J140/1.2</f>
        <v>385.8055555555556</v>
      </c>
    </row>
    <row r="143" spans="1:11">
      <c r="A143" s="822" t="s">
        <v>1418</v>
      </c>
      <c r="H143" s="822">
        <f>650.76*4</f>
        <v>2603.04</v>
      </c>
    </row>
    <row r="144" spans="1:11">
      <c r="A144" s="822" t="s">
        <v>1419</v>
      </c>
      <c r="B144" s="958" t="e">
        <f>B125/B117</f>
        <v>#REF!</v>
      </c>
      <c r="H144" s="822">
        <f>548.03*4</f>
        <v>2192.12</v>
      </c>
    </row>
    <row r="145" spans="1:28">
      <c r="A145" s="822" t="s">
        <v>1420</v>
      </c>
      <c r="B145" s="892" t="e">
        <f>B125/B117+B126/B128+B127/B129</f>
        <v>#REF!</v>
      </c>
      <c r="K145" s="822">
        <f>514.4*3</f>
        <v>1543.1999999999998</v>
      </c>
      <c r="L145" s="822">
        <f>+K145*1.2</f>
        <v>1851.8399999999997</v>
      </c>
    </row>
    <row r="146" spans="1:28">
      <c r="A146" s="822" t="s">
        <v>1421</v>
      </c>
      <c r="B146" s="892" t="e">
        <f>B125/B117-B126/B128-B127/B129</f>
        <v>#REF!</v>
      </c>
    </row>
    <row r="147" spans="1:28">
      <c r="A147" s="822" t="s">
        <v>1422</v>
      </c>
      <c r="B147" s="892">
        <f>1.2*B142</f>
        <v>62.70401503576953</v>
      </c>
    </row>
    <row r="148" spans="1:28" ht="14.5" thickBot="1"/>
    <row r="149" spans="1:28" ht="101" thickBot="1">
      <c r="A149" s="823" t="s">
        <v>1423</v>
      </c>
      <c r="E149" s="1005" t="s">
        <v>1340</v>
      </c>
      <c r="F149" s="950" t="s">
        <v>1470</v>
      </c>
      <c r="G149" s="951" t="s">
        <v>1469</v>
      </c>
      <c r="H149" s="952" t="s">
        <v>1424</v>
      </c>
    </row>
    <row r="150" spans="1:28" ht="19" thickBot="1">
      <c r="A150"/>
      <c r="B150" s="957" t="e">
        <f>B144-H155</f>
        <v>#REF!</v>
      </c>
      <c r="C150" s="822" t="s">
        <v>672</v>
      </c>
      <c r="E150" s="1006"/>
      <c r="F150" s="953" t="s">
        <v>6</v>
      </c>
      <c r="G150" s="953" t="s">
        <v>1426</v>
      </c>
      <c r="H150" s="953"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TH!B199</f>
        <v>30</v>
      </c>
      <c r="C153" s="822">
        <f>B153/100</f>
        <v>0.3</v>
      </c>
      <c r="D153" s="822" t="s">
        <v>6</v>
      </c>
      <c r="E153" s="890">
        <v>3</v>
      </c>
      <c r="F153" s="252">
        <v>1.3</v>
      </c>
      <c r="G153" s="252">
        <v>2.06</v>
      </c>
      <c r="H153" s="891">
        <f t="shared" ref="H153:H154" si="22">G153*F153</f>
        <v>2.6780000000000004</v>
      </c>
    </row>
    <row r="154" spans="1:28" ht="17" thickBot="1">
      <c r="A154" s="822" t="s">
        <v>1437</v>
      </c>
      <c r="B154" s="822">
        <f>TH!B200</f>
        <v>30</v>
      </c>
      <c r="C154" s="822">
        <f>B154/100</f>
        <v>0.3</v>
      </c>
      <c r="D154" s="822" t="s">
        <v>6</v>
      </c>
      <c r="E154" s="890">
        <v>4</v>
      </c>
      <c r="F154" s="252">
        <f>B49</f>
        <v>4</v>
      </c>
      <c r="G154" s="252">
        <v>2.0099999999999998</v>
      </c>
      <c r="H154" s="891">
        <f t="shared" si="22"/>
        <v>8.0399999999999991</v>
      </c>
    </row>
    <row r="155" spans="1:28" ht="17" thickBot="1">
      <c r="A155" s="822" t="s">
        <v>515</v>
      </c>
      <c r="B155" s="822">
        <v>10</v>
      </c>
      <c r="C155" s="822">
        <f>B155/100</f>
        <v>0.1</v>
      </c>
      <c r="D155" s="822" t="s">
        <v>6</v>
      </c>
      <c r="E155" s="1007" t="s">
        <v>1425</v>
      </c>
      <c r="F155" s="1008"/>
      <c r="G155" s="1009"/>
      <c r="H155" s="919">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1010" t="s">
        <v>1284</v>
      </c>
      <c r="F158" s="1010" t="s">
        <v>1427</v>
      </c>
      <c r="G158" s="1010" t="s">
        <v>1428</v>
      </c>
      <c r="H158" s="1016" t="s">
        <v>1429</v>
      </c>
      <c r="I158" s="1016" t="s">
        <v>1430</v>
      </c>
      <c r="J158" s="1010" t="s">
        <v>1431</v>
      </c>
      <c r="K158" s="1010"/>
      <c r="L158" s="1010"/>
      <c r="M158" s="1010"/>
    </row>
    <row r="159" spans="1:28" ht="14.5" customHeight="1" thickBot="1">
      <c r="A159" s="822" t="s">
        <v>1440</v>
      </c>
      <c r="B159" s="822">
        <f>(2*(C153+C154)+2*(B157+B158))/2</f>
        <v>3</v>
      </c>
      <c r="C159" s="822" t="s">
        <v>6</v>
      </c>
      <c r="E159" s="1011"/>
      <c r="F159" s="1011"/>
      <c r="G159" s="1012"/>
      <c r="H159" s="1017"/>
      <c r="I159" s="1017"/>
      <c r="J159" s="1011"/>
      <c r="K159" s="1012"/>
      <c r="L159" s="1012"/>
      <c r="M159" s="1011"/>
    </row>
    <row r="160" spans="1:28" ht="33.5" thickBot="1">
      <c r="A160"/>
      <c r="B160" s="822">
        <f>1*H23*B159*B156</f>
        <v>101.24999999999999</v>
      </c>
      <c r="C160" s="822" t="s">
        <v>672</v>
      </c>
      <c r="E160" s="1012"/>
      <c r="F160" s="1012"/>
      <c r="G160" s="867" t="s">
        <v>6</v>
      </c>
      <c r="H160" s="1018"/>
      <c r="I160" s="1019"/>
      <c r="J160" s="1012"/>
      <c r="K160" s="867" t="s">
        <v>1349</v>
      </c>
      <c r="L160" s="867" t="s">
        <v>1349</v>
      </c>
      <c r="M160" s="1012"/>
      <c r="S160" s="964" t="s">
        <v>1432</v>
      </c>
      <c r="T160" s="963" t="s">
        <v>1472</v>
      </c>
      <c r="U160" s="964" t="s">
        <v>1474</v>
      </c>
      <c r="V160" s="964"/>
      <c r="W160" s="963"/>
      <c r="X160" s="964"/>
      <c r="Y160" s="964"/>
      <c r="Z160" s="963"/>
      <c r="AA160" s="963"/>
      <c r="AB160" s="963"/>
    </row>
    <row r="161" spans="1:28" ht="17" thickBot="1">
      <c r="A161" s="822" t="s">
        <v>1471</v>
      </c>
      <c r="B161" s="909">
        <f>ROUND(B115/4,2)</f>
        <v>0.47</v>
      </c>
      <c r="C161" s="822" t="s">
        <v>6</v>
      </c>
      <c r="E161" s="869">
        <v>4</v>
      </c>
      <c r="F161" s="252">
        <v>1</v>
      </c>
      <c r="G161" s="252">
        <v>0</v>
      </c>
      <c r="H161" s="891">
        <f>$B$116/$B$115</f>
        <v>1.4826041382416086</v>
      </c>
      <c r="I161" s="920">
        <f>G161/H161</f>
        <v>0</v>
      </c>
      <c r="J161" s="252">
        <v>1</v>
      </c>
      <c r="K161" s="921" t="e">
        <f>J161*$B$150</f>
        <v>#REF!</v>
      </c>
      <c r="L161" s="922">
        <f>H155</f>
        <v>37.548000000000002</v>
      </c>
      <c r="M161" s="921" t="e">
        <f>K161/L161</f>
        <v>#REF!</v>
      </c>
      <c r="N161" s="909" t="e">
        <f>M161-0.2</f>
        <v>#REF!</v>
      </c>
      <c r="S161" s="974">
        <v>1</v>
      </c>
      <c r="T161" s="970">
        <v>0</v>
      </c>
      <c r="U161" s="970">
        <f>T161/$B$115</f>
        <v>0</v>
      </c>
      <c r="V161" s="1024">
        <f>$B$116/$B$115</f>
        <v>1.4826041382416086</v>
      </c>
      <c r="W161" s="970">
        <f>'[3]Tinh lun M1'!E4</f>
        <v>1</v>
      </c>
      <c r="X161" s="971" t="e">
        <f>W161*$B$150</f>
        <v>#REF!</v>
      </c>
      <c r="Y161" s="972">
        <f>$H$155</f>
        <v>37.548000000000002</v>
      </c>
      <c r="Z161" s="971" t="e">
        <f>X161/Y161</f>
        <v>#REF!</v>
      </c>
      <c r="AA161" s="973"/>
      <c r="AB161" s="973"/>
    </row>
    <row r="162" spans="1:28" ht="17" thickBot="1">
      <c r="A162" s="823" t="s">
        <v>1441</v>
      </c>
      <c r="E162" s="869">
        <v>4</v>
      </c>
      <c r="F162" s="252">
        <v>2</v>
      </c>
      <c r="G162" s="252">
        <v>1.5</v>
      </c>
      <c r="H162" s="891">
        <f t="shared" ref="H162:H164" si="23">$B$116/$B$115</f>
        <v>1.4826041382416086</v>
      </c>
      <c r="I162" s="920">
        <f t="shared" ref="I162:I164" si="24">G162/H162</f>
        <v>1.0117333152590706</v>
      </c>
      <c r="J162" s="252">
        <v>0.89</v>
      </c>
      <c r="K162" s="921" t="e">
        <f>J162*$B$150</f>
        <v>#REF!</v>
      </c>
      <c r="L162" s="922">
        <f>L161+$G$154*G162</f>
        <v>40.563000000000002</v>
      </c>
      <c r="M162" s="921" t="e">
        <f t="shared" ref="M162:M164" si="25">K162/L162</f>
        <v>#REF!</v>
      </c>
      <c r="N162" s="909" t="e">
        <f>M162-0.2</f>
        <v>#REF!</v>
      </c>
      <c r="S162" s="975">
        <v>2</v>
      </c>
      <c r="T162" s="965">
        <f>+T161+$B$161</f>
        <v>0.47</v>
      </c>
      <c r="U162" s="965">
        <f>T162/$B$115</f>
        <v>0.25202660552617351</v>
      </c>
      <c r="V162" s="1025"/>
      <c r="W162" s="965">
        <f>'[3]Tinh lun M1'!E5</f>
        <v>0.92</v>
      </c>
      <c r="X162" s="966" t="e">
        <f t="shared" ref="X162:X172" si="26">W162*$B$150</f>
        <v>#REF!</v>
      </c>
      <c r="Y162" s="967">
        <f>Y161+$G$154*T162</f>
        <v>38.492699999999999</v>
      </c>
      <c r="Z162" s="966" t="e">
        <f t="shared" ref="Z162:Z172" si="27">X162/Y162</f>
        <v>#REF!</v>
      </c>
      <c r="AA162" s="968">
        <f>$M$43</f>
        <v>544.67999999999995</v>
      </c>
      <c r="AB162" s="968" t="e">
        <f>ROUND(0.8*(X161+X162)/2*$B$161/AA162*100,2)</f>
        <v>#REF!</v>
      </c>
    </row>
    <row r="163" spans="1:28" ht="17" thickBot="1">
      <c r="A163" s="822" t="s">
        <v>1442</v>
      </c>
      <c r="B163" s="822">
        <v>1</v>
      </c>
      <c r="E163" s="869">
        <v>4</v>
      </c>
      <c r="F163" s="252">
        <v>3</v>
      </c>
      <c r="G163" s="252">
        <v>3</v>
      </c>
      <c r="H163" s="891">
        <f t="shared" si="23"/>
        <v>1.4826041382416086</v>
      </c>
      <c r="I163" s="920">
        <f t="shared" si="24"/>
        <v>2.0234666305181412</v>
      </c>
      <c r="J163" s="252">
        <v>0.7</v>
      </c>
      <c r="K163" s="921" t="e">
        <f t="shared" ref="K163:K164" si="28">J163*$B$150</f>
        <v>#REF!</v>
      </c>
      <c r="L163" s="922">
        <f t="shared" ref="L163:L164" si="29">L162+$G$154*G163</f>
        <v>46.593000000000004</v>
      </c>
      <c r="M163" s="921" t="e">
        <f t="shared" si="25"/>
        <v>#REF!</v>
      </c>
      <c r="N163" s="909" t="e">
        <f>M163-0.2</f>
        <v>#REF!</v>
      </c>
      <c r="S163" s="975">
        <v>3</v>
      </c>
      <c r="T163" s="965">
        <f t="shared" ref="T163:T172" si="30">+T162+$B$161</f>
        <v>0.94</v>
      </c>
      <c r="U163" s="965">
        <f t="shared" ref="U163:U172" si="31">T163/$B$115</f>
        <v>0.50405321105234702</v>
      </c>
      <c r="V163" s="1025"/>
      <c r="W163" s="965">
        <f>'[3]Tinh lun M1'!E6</f>
        <v>0.70599999999999996</v>
      </c>
      <c r="X163" s="966" t="e">
        <f t="shared" si="26"/>
        <v>#REF!</v>
      </c>
      <c r="Y163" s="967">
        <f t="shared" ref="Y163:Y172" si="32">Y162+$G$154*T163</f>
        <v>40.382100000000001</v>
      </c>
      <c r="Z163" s="966" t="e">
        <f t="shared" si="27"/>
        <v>#REF!</v>
      </c>
      <c r="AA163" s="968">
        <f t="shared" ref="AA163:AA172" si="33">$M$43</f>
        <v>544.67999999999995</v>
      </c>
      <c r="AB163" s="968" t="e">
        <f t="shared" ref="AB163:AB172" si="34">ROUND(0.8*(X162+X163)/2*$B$161/AA163*100,2)</f>
        <v>#REF!</v>
      </c>
    </row>
    <row r="164" spans="1:28" ht="17" thickBot="1">
      <c r="A164" s="822" t="s">
        <v>524</v>
      </c>
      <c r="B164" s="892" t="e">
        <f>B163*$L$104*B165</f>
        <v>#REF!</v>
      </c>
      <c r="C164" s="822" t="s">
        <v>674</v>
      </c>
      <c r="E164" s="869">
        <v>4</v>
      </c>
      <c r="F164" s="252">
        <v>4</v>
      </c>
      <c r="G164" s="252">
        <v>4.5</v>
      </c>
      <c r="H164" s="891">
        <f t="shared" si="23"/>
        <v>1.4826041382416086</v>
      </c>
      <c r="I164" s="920">
        <f t="shared" si="24"/>
        <v>3.0351999457772116</v>
      </c>
      <c r="J164" s="252">
        <v>0.51</v>
      </c>
      <c r="K164" s="921" t="e">
        <f t="shared" si="28"/>
        <v>#REF!</v>
      </c>
      <c r="L164" s="922">
        <f t="shared" si="29"/>
        <v>55.638000000000005</v>
      </c>
      <c r="M164" s="921" t="e">
        <f t="shared" si="25"/>
        <v>#REF!</v>
      </c>
      <c r="S164" s="975">
        <v>4</v>
      </c>
      <c r="T164" s="965">
        <f t="shared" si="30"/>
        <v>1.41</v>
      </c>
      <c r="U164" s="965">
        <f t="shared" si="31"/>
        <v>0.75607981657852052</v>
      </c>
      <c r="V164" s="1025"/>
      <c r="W164" s="965">
        <f>'[3]Tinh lun M1'!E7</f>
        <v>0.49099999999999999</v>
      </c>
      <c r="X164" s="966" t="e">
        <f t="shared" si="26"/>
        <v>#REF!</v>
      </c>
      <c r="Y164" s="967">
        <f t="shared" si="32"/>
        <v>43.216200000000001</v>
      </c>
      <c r="Z164" s="966" t="e">
        <f t="shared" si="27"/>
        <v>#REF!</v>
      </c>
      <c r="AA164" s="968">
        <f t="shared" si="33"/>
        <v>544.67999999999995</v>
      </c>
      <c r="AB164" s="968" t="e">
        <f t="shared" si="34"/>
        <v>#REF!</v>
      </c>
    </row>
    <row r="165" spans="1:28" ht="16.5">
      <c r="A165" s="822" t="s">
        <v>100</v>
      </c>
      <c r="B165" s="822">
        <f>0.9/2-$D$39/2</f>
        <v>0.30000000000000004</v>
      </c>
      <c r="C165" s="822" t="s">
        <v>6</v>
      </c>
      <c r="S165" s="975">
        <v>5</v>
      </c>
      <c r="T165" s="965">
        <f t="shared" si="30"/>
        <v>1.88</v>
      </c>
      <c r="U165" s="965">
        <f t="shared" si="31"/>
        <v>1.008106422104694</v>
      </c>
      <c r="V165" s="1025"/>
      <c r="W165" s="965">
        <f>'[3]Tinh lun M1'!E8</f>
        <v>0.34100000000000003</v>
      </c>
      <c r="X165" s="966" t="e">
        <f t="shared" si="26"/>
        <v>#REF!</v>
      </c>
      <c r="Y165" s="967">
        <f t="shared" si="32"/>
        <v>46.994999999999997</v>
      </c>
      <c r="Z165" s="966" t="e">
        <f t="shared" si="27"/>
        <v>#REF!</v>
      </c>
      <c r="AA165" s="968">
        <f t="shared" si="33"/>
        <v>544.67999999999995</v>
      </c>
      <c r="AB165" s="968" t="e">
        <f t="shared" si="34"/>
        <v>#REF!</v>
      </c>
    </row>
    <row r="166" spans="1:28" ht="17" thickBot="1">
      <c r="A166"/>
      <c r="B166" s="926" t="e">
        <f>B164/(0.9*$H$22*$B$167*$B$156^2)</f>
        <v>#REF!</v>
      </c>
      <c r="D166" s="892"/>
      <c r="S166" s="975">
        <v>6</v>
      </c>
      <c r="T166" s="965">
        <f t="shared" si="30"/>
        <v>2.3499999999999996</v>
      </c>
      <c r="U166" s="965">
        <f t="shared" si="31"/>
        <v>1.2601330276308673</v>
      </c>
      <c r="V166" s="1025"/>
      <c r="W166" s="965">
        <f>'[3]Tinh lun M1'!E9</f>
        <v>0.246</v>
      </c>
      <c r="X166" s="966" t="e">
        <f t="shared" si="26"/>
        <v>#REF!</v>
      </c>
      <c r="Y166" s="967">
        <f t="shared" si="32"/>
        <v>51.718499999999999</v>
      </c>
      <c r="Z166" s="966" t="e">
        <f t="shared" si="27"/>
        <v>#REF!</v>
      </c>
      <c r="AA166" s="968">
        <f t="shared" si="33"/>
        <v>544.67999999999995</v>
      </c>
      <c r="AB166" s="968" t="e">
        <f t="shared" si="34"/>
        <v>#REF!</v>
      </c>
    </row>
    <row r="167" spans="1:28" ht="14" customHeight="1">
      <c r="A167" s="822" t="s">
        <v>1443</v>
      </c>
      <c r="B167" s="822">
        <v>1.5</v>
      </c>
      <c r="E167" s="1013" t="s">
        <v>1203</v>
      </c>
      <c r="F167" s="1013" t="s">
        <v>1432</v>
      </c>
      <c r="G167" s="1013"/>
      <c r="H167" s="1013"/>
      <c r="I167" s="1013"/>
      <c r="J167" s="1013" t="s">
        <v>1433</v>
      </c>
      <c r="K167" s="1013" t="s">
        <v>112</v>
      </c>
      <c r="S167" s="975">
        <v>7</v>
      </c>
      <c r="T167" s="965">
        <f t="shared" si="30"/>
        <v>2.8199999999999994</v>
      </c>
      <c r="U167" s="965">
        <f t="shared" si="31"/>
        <v>1.5121596331570408</v>
      </c>
      <c r="V167" s="1025"/>
      <c r="W167" s="965">
        <f>'[3]Tinh lun M1'!E10</f>
        <v>0.18099999999999999</v>
      </c>
      <c r="X167" s="966" t="e">
        <f t="shared" si="26"/>
        <v>#REF!</v>
      </c>
      <c r="Y167" s="967">
        <f t="shared" si="32"/>
        <v>57.386699999999998</v>
      </c>
      <c r="Z167" s="966" t="e">
        <f t="shared" si="27"/>
        <v>#REF!</v>
      </c>
      <c r="AA167" s="968">
        <f t="shared" si="33"/>
        <v>544.67999999999995</v>
      </c>
      <c r="AB167" s="968" t="e">
        <f t="shared" si="34"/>
        <v>#REF!</v>
      </c>
    </row>
    <row r="168" spans="1:28" ht="14.5" customHeight="1" thickBot="1">
      <c r="A168"/>
      <c r="B168" s="927" t="e">
        <f>(1-SQRT(1-2*B166))</f>
        <v>#REF!</v>
      </c>
      <c r="E168" s="1014"/>
      <c r="F168" s="1014"/>
      <c r="G168" s="1015"/>
      <c r="H168" s="1015"/>
      <c r="I168" s="1015"/>
      <c r="J168" s="1015"/>
      <c r="K168" s="1015"/>
      <c r="S168" s="975">
        <v>8</v>
      </c>
      <c r="T168" s="965">
        <f t="shared" si="30"/>
        <v>3.2899999999999991</v>
      </c>
      <c r="U168" s="965">
        <f t="shared" si="31"/>
        <v>1.7641862386832141</v>
      </c>
      <c r="V168" s="1025"/>
      <c r="W168" s="965">
        <f>'[3]Tinh lun M1'!E11</f>
        <v>0.13800000000000001</v>
      </c>
      <c r="X168" s="966" t="e">
        <f t="shared" si="26"/>
        <v>#REF!</v>
      </c>
      <c r="Y168" s="967">
        <f t="shared" si="32"/>
        <v>63.999599999999994</v>
      </c>
      <c r="Z168" s="966" t="e">
        <f t="shared" si="27"/>
        <v>#REF!</v>
      </c>
      <c r="AA168" s="968">
        <f t="shared" si="33"/>
        <v>544.67999999999995</v>
      </c>
      <c r="AB168" s="968" t="e">
        <f t="shared" si="34"/>
        <v>#REF!</v>
      </c>
    </row>
    <row r="169" spans="1:28" ht="19" thickBot="1">
      <c r="A169" s="822" t="s">
        <v>259</v>
      </c>
      <c r="B169" s="928" t="e">
        <f>B168*0.9*$H$22*$B$167*$B$156/$H$31</f>
        <v>#REF!</v>
      </c>
      <c r="C169" s="892" t="e">
        <f>B169*10^4</f>
        <v>#REF!</v>
      </c>
      <c r="D169" s="822" t="s">
        <v>536</v>
      </c>
      <c r="E169" s="1015"/>
      <c r="F169" s="1015"/>
      <c r="G169" s="923" t="s">
        <v>1349</v>
      </c>
      <c r="H169" s="923" t="s">
        <v>1349</v>
      </c>
      <c r="I169" s="923"/>
      <c r="J169" s="923" t="s">
        <v>1349</v>
      </c>
      <c r="K169" s="923" t="s">
        <v>633</v>
      </c>
      <c r="S169" s="975">
        <v>9</v>
      </c>
      <c r="T169" s="965">
        <f t="shared" si="30"/>
        <v>3.7599999999999989</v>
      </c>
      <c r="U169" s="965">
        <f t="shared" si="31"/>
        <v>2.0162128442093876</v>
      </c>
      <c r="V169" s="1025"/>
      <c r="W169" s="965">
        <f>'[3]Tinh lun M1'!E12</f>
        <v>0.11</v>
      </c>
      <c r="X169" s="966" t="e">
        <f t="shared" si="26"/>
        <v>#REF!</v>
      </c>
      <c r="Y169" s="967">
        <f t="shared" si="32"/>
        <v>71.557199999999995</v>
      </c>
      <c r="Z169" s="966" t="e">
        <f t="shared" si="27"/>
        <v>#REF!</v>
      </c>
      <c r="AA169" s="968">
        <f t="shared" si="33"/>
        <v>544.67999999999995</v>
      </c>
      <c r="AB169" s="968" t="e">
        <f t="shared" si="34"/>
        <v>#REF!</v>
      </c>
    </row>
    <row r="170" spans="1:28" ht="17" thickBot="1">
      <c r="B170" s="822">
        <v>8</v>
      </c>
      <c r="C170" s="822">
        <v>12</v>
      </c>
      <c r="D170" s="822">
        <f>(B167-0.1)/(B170-1)*1000</f>
        <v>199.99999999999997</v>
      </c>
      <c r="E170" s="960">
        <v>4</v>
      </c>
      <c r="F170" s="923">
        <v>1</v>
      </c>
      <c r="G170" s="924" t="e">
        <f>K161</f>
        <v>#REF!</v>
      </c>
      <c r="H170" s="1023" t="e">
        <f>G170+G171</f>
        <v>#REF!</v>
      </c>
      <c r="I170" s="1013">
        <v>0.8</v>
      </c>
      <c r="J170" s="1013">
        <f>$M$43</f>
        <v>544.67999999999995</v>
      </c>
      <c r="K170" s="1023" t="e">
        <f>I170/J170*H170*1.5*100</f>
        <v>#REF!</v>
      </c>
      <c r="M170" s="822">
        <f>0.8/11420*336.99*1.5</f>
        <v>3.5410507880910685E-2</v>
      </c>
      <c r="N170" s="822">
        <f>+M170*100</f>
        <v>3.5410507880910687</v>
      </c>
      <c r="S170" s="975">
        <v>10</v>
      </c>
      <c r="T170" s="965">
        <f t="shared" si="30"/>
        <v>4.2299999999999986</v>
      </c>
      <c r="U170" s="965">
        <f t="shared" si="31"/>
        <v>2.2682394497355611</v>
      </c>
      <c r="V170" s="1025"/>
      <c r="W170" s="965">
        <f>'[3]Tinh lun M1'!E13</f>
        <v>8.7999999999999995E-2</v>
      </c>
      <c r="X170" s="966" t="e">
        <f t="shared" si="26"/>
        <v>#REF!</v>
      </c>
      <c r="Y170" s="967">
        <f t="shared" si="32"/>
        <v>80.059499999999986</v>
      </c>
      <c r="Z170" s="966" t="e">
        <f t="shared" si="27"/>
        <v>#REF!</v>
      </c>
      <c r="AA170" s="968">
        <f t="shared" si="33"/>
        <v>544.67999999999995</v>
      </c>
      <c r="AB170" s="968" t="e">
        <f t="shared" si="34"/>
        <v>#REF!</v>
      </c>
    </row>
    <row r="171" spans="1:28" ht="17" thickBot="1">
      <c r="C171" s="892">
        <f>B170*(C170/10)^2/4*3.14</f>
        <v>9.0432000000000006</v>
      </c>
      <c r="D171" s="822" t="s">
        <v>536</v>
      </c>
      <c r="E171" s="960">
        <v>4</v>
      </c>
      <c r="F171" s="923">
        <v>2</v>
      </c>
      <c r="G171" s="925" t="e">
        <f>K162</f>
        <v>#REF!</v>
      </c>
      <c r="H171" s="1015"/>
      <c r="I171" s="1015"/>
      <c r="J171" s="1015"/>
      <c r="K171" s="1015"/>
      <c r="S171" s="975">
        <v>11</v>
      </c>
      <c r="T171" s="965">
        <f t="shared" si="30"/>
        <v>4.6999999999999984</v>
      </c>
      <c r="U171" s="965">
        <f t="shared" si="31"/>
        <v>2.5202660552617342</v>
      </c>
      <c r="V171" s="1025"/>
      <c r="W171" s="965">
        <f>'[3]Tinh lun M1'!E14</f>
        <v>7.4999999999999997E-2</v>
      </c>
      <c r="X171" s="966" t="e">
        <f t="shared" si="26"/>
        <v>#REF!</v>
      </c>
      <c r="Y171" s="967">
        <f t="shared" si="32"/>
        <v>89.506499999999988</v>
      </c>
      <c r="Z171" s="966" t="e">
        <f t="shared" si="27"/>
        <v>#REF!</v>
      </c>
      <c r="AA171" s="968">
        <f t="shared" si="33"/>
        <v>544.67999999999995</v>
      </c>
      <c r="AB171" s="968" t="e">
        <f t="shared" si="34"/>
        <v>#REF!</v>
      </c>
    </row>
    <row r="172" spans="1:28" ht="17" thickBot="1">
      <c r="B172" s="909" t="e">
        <f>B164/(0.9*B167*B156)</f>
        <v>#REF!</v>
      </c>
      <c r="C172" s="822">
        <v>1.2999999999999999E-2</v>
      </c>
      <c r="E172" s="960">
        <v>4</v>
      </c>
      <c r="F172" s="923">
        <v>2</v>
      </c>
      <c r="G172" s="925" t="e">
        <f>G171</f>
        <v>#REF!</v>
      </c>
      <c r="H172" s="1023" t="e">
        <f>G172+G173</f>
        <v>#REF!</v>
      </c>
      <c r="I172" s="1013">
        <v>0.8</v>
      </c>
      <c r="J172" s="1013">
        <f t="shared" ref="J172" si="35">$M$43</f>
        <v>544.67999999999995</v>
      </c>
      <c r="K172" s="1023" t="e">
        <f t="shared" ref="K172" si="36">I172/J172*H172*1.5*100</f>
        <v>#REF!</v>
      </c>
      <c r="S172" s="975">
        <v>12</v>
      </c>
      <c r="T172" s="965">
        <f t="shared" si="30"/>
        <v>5.1699999999999982</v>
      </c>
      <c r="U172" s="965">
        <f t="shared" si="31"/>
        <v>2.7722926607879077</v>
      </c>
      <c r="V172" s="1025"/>
      <c r="W172" s="965">
        <f>'[3]Tinh lun M1'!E15</f>
        <v>6.3E-2</v>
      </c>
      <c r="X172" s="966" t="e">
        <f t="shared" si="26"/>
        <v>#REF!</v>
      </c>
      <c r="Y172" s="967">
        <f t="shared" si="32"/>
        <v>99.898199999999989</v>
      </c>
      <c r="Z172" s="966" t="e">
        <f t="shared" si="27"/>
        <v>#REF!</v>
      </c>
      <c r="AA172" s="968">
        <f t="shared" si="33"/>
        <v>544.67999999999995</v>
      </c>
      <c r="AB172" s="968" t="e">
        <f t="shared" si="34"/>
        <v>#REF!</v>
      </c>
    </row>
    <row r="173" spans="1:28" ht="17" thickBot="1">
      <c r="C173" s="822">
        <f>(1-SQRT(1-2*C172))/2</f>
        <v>6.5428083409869164E-3</v>
      </c>
      <c r="E173" s="960">
        <v>4</v>
      </c>
      <c r="F173" s="923">
        <v>3</v>
      </c>
      <c r="G173" s="925" t="e">
        <f>K163</f>
        <v>#REF!</v>
      </c>
      <c r="H173" s="1015"/>
      <c r="I173" s="1015"/>
      <c r="J173" s="1015"/>
      <c r="K173" s="1015"/>
      <c r="S173" s="7"/>
      <c r="T173" s="7"/>
      <c r="U173" s="7"/>
      <c r="V173" s="7"/>
      <c r="W173" s="7"/>
      <c r="X173" s="7"/>
      <c r="Y173" s="7"/>
      <c r="Z173" s="7"/>
      <c r="AA173" s="962" t="s">
        <v>1473</v>
      </c>
      <c r="AB173" s="969" t="e">
        <f>SUM(AB162:AB172)</f>
        <v>#REF!</v>
      </c>
    </row>
    <row r="174" spans="1:28" ht="17" thickBot="1">
      <c r="E174" s="960">
        <v>4</v>
      </c>
      <c r="F174" s="923">
        <v>3</v>
      </c>
      <c r="G174" s="925" t="e">
        <f>G173</f>
        <v>#REF!</v>
      </c>
      <c r="H174" s="1023" t="e">
        <f>G174+G175</f>
        <v>#REF!</v>
      </c>
      <c r="I174" s="1013">
        <v>0.8</v>
      </c>
      <c r="J174" s="1013">
        <f t="shared" ref="J174" si="37">$M$43</f>
        <v>544.67999999999995</v>
      </c>
      <c r="K174" s="1023" t="e">
        <f t="shared" ref="K174" si="38">I174/J174*H174*1.5*100</f>
        <v>#REF!</v>
      </c>
      <c r="R174" s="822" t="s">
        <v>1475</v>
      </c>
      <c r="S174" s="954">
        <f>S172</f>
        <v>12</v>
      </c>
      <c r="AA174" s="7"/>
      <c r="AB174" s="7"/>
    </row>
    <row r="175" spans="1:28" ht="17" thickBot="1">
      <c r="E175" s="960">
        <v>4</v>
      </c>
      <c r="F175" s="923">
        <v>4</v>
      </c>
      <c r="G175" s="924" t="e">
        <f>K164</f>
        <v>#REF!</v>
      </c>
      <c r="H175" s="1015"/>
      <c r="I175" s="1015"/>
      <c r="J175" s="1015"/>
      <c r="K175" s="1015"/>
      <c r="R175" s="822" t="s">
        <v>1245</v>
      </c>
      <c r="S175" s="955">
        <f>+T172</f>
        <v>5.1699999999999982</v>
      </c>
    </row>
    <row r="176" spans="1:28" ht="17" thickBot="1">
      <c r="A176" s="823" t="s">
        <v>1447</v>
      </c>
      <c r="E176" s="1020" t="s">
        <v>1434</v>
      </c>
      <c r="F176" s="1021"/>
      <c r="G176" s="1021"/>
      <c r="H176" s="1021"/>
      <c r="I176" s="1021"/>
      <c r="J176" s="1022"/>
      <c r="K176" s="924" t="e">
        <f>SUM(K170:K175)</f>
        <v>#REF!</v>
      </c>
      <c r="R176" s="822" t="s">
        <v>1476</v>
      </c>
      <c r="S176" s="822" t="e">
        <f>AB173</f>
        <v>#REF!</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1448</v>
      </c>
      <c r="E183" s="822">
        <f>+E182*0.9*1.45*320*140/36.5</f>
        <v>116.34840624476492</v>
      </c>
    </row>
    <row r="184" spans="1:5">
      <c r="A184" s="822" t="s">
        <v>1449</v>
      </c>
      <c r="B184" s="822">
        <f>B54*0.207</f>
        <v>2.0699999999999998</v>
      </c>
      <c r="C184" s="822" t="s">
        <v>6</v>
      </c>
    </row>
    <row r="185" spans="1:5">
      <c r="A185" s="822" t="s">
        <v>226</v>
      </c>
      <c r="B185" s="822">
        <f>1.2*2.5*D39*D40</f>
        <v>0.26999999999999996</v>
      </c>
      <c r="C185" s="822" t="s">
        <v>845</v>
      </c>
    </row>
    <row r="186" spans="1:5">
      <c r="A186" s="822" t="s">
        <v>808</v>
      </c>
      <c r="B186" s="892">
        <f>0.0214*B185*B54^2</f>
        <v>0.57779999999999998</v>
      </c>
    </row>
    <row r="188" spans="1:5" ht="13.5" customHeight="1">
      <c r="A188" s="893" t="s">
        <v>1450</v>
      </c>
    </row>
    <row r="189" spans="1:5">
      <c r="A189" s="822" t="s">
        <v>1451</v>
      </c>
      <c r="B189" s="892">
        <f>0.068*B185*B54^2</f>
        <v>1.8359999999999999</v>
      </c>
    </row>
    <row r="191" spans="1:5">
      <c r="A191"/>
      <c r="B191" s="892">
        <f>1.2*B189/(H22*B192*B193^2)</f>
        <v>6.9476372924648769E-2</v>
      </c>
    </row>
    <row r="192" spans="1:5">
      <c r="A192" s="822" t="s">
        <v>242</v>
      </c>
      <c r="B192" s="822">
        <f>D39</f>
        <v>0.3</v>
      </c>
    </row>
    <row r="193" spans="1:4">
      <c r="A193" s="822" t="s">
        <v>516</v>
      </c>
      <c r="B193" s="822">
        <f>B192-0.03</f>
        <v>0.27</v>
      </c>
    </row>
    <row r="194" spans="1:4">
      <c r="A194"/>
      <c r="B194" s="822">
        <f>1-SQRT(1-2*B191)</f>
        <v>7.2073680645546867E-2</v>
      </c>
    </row>
    <row r="195" spans="1:4">
      <c r="A195"/>
      <c r="B195" s="822">
        <f>ROUND(1-0.5*B194,2)</f>
        <v>0.96</v>
      </c>
    </row>
    <row r="196" spans="1:4">
      <c r="A196" s="822" t="s">
        <v>259</v>
      </c>
      <c r="B196" s="892">
        <f>1.2*B189/(H31*B195*B193)</f>
        <v>3.0357142857142855E-4</v>
      </c>
      <c r="C196" s="892">
        <f>B196*10^4</f>
        <v>3.0357142857142856</v>
      </c>
    </row>
    <row r="197" spans="1:4">
      <c r="B197" s="822">
        <f>B41</f>
        <v>4</v>
      </c>
      <c r="C197" s="822">
        <f>D41</f>
        <v>16</v>
      </c>
    </row>
    <row r="198" spans="1:4">
      <c r="C198" s="892">
        <f>B197*(C197/10)^2/4*3.14</f>
        <v>8.0384000000000011</v>
      </c>
      <c r="D198" s="822" t="s">
        <v>536</v>
      </c>
    </row>
    <row r="200" spans="1:4" ht="16.5">
      <c r="A200" s="893" t="s">
        <v>1452</v>
      </c>
    </row>
    <row r="201" spans="1:4">
      <c r="A201" s="822" t="s">
        <v>630</v>
      </c>
      <c r="B201" s="822">
        <f>B185*B54/2</f>
        <v>1.3499999999999999</v>
      </c>
      <c r="C201" s="822" t="s">
        <v>672</v>
      </c>
    </row>
    <row r="202" spans="1:4">
      <c r="A202" s="822" t="s">
        <v>259</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536</v>
      </c>
    </row>
  </sheetData>
  <mergeCells count="56">
    <mergeCell ref="V161:V172"/>
    <mergeCell ref="H174:H175"/>
    <mergeCell ref="I174:I175"/>
    <mergeCell ref="J174:J175"/>
    <mergeCell ref="K174:K175"/>
    <mergeCell ref="E176:J176"/>
    <mergeCell ref="H170:H171"/>
    <mergeCell ref="I170:I171"/>
    <mergeCell ref="J170:J171"/>
    <mergeCell ref="K170:K171"/>
    <mergeCell ref="H172:H173"/>
    <mergeCell ref="I172:I173"/>
    <mergeCell ref="J172:J173"/>
    <mergeCell ref="K172:K173"/>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49:E150"/>
    <mergeCell ref="E155:G155"/>
    <mergeCell ref="E158:E160"/>
    <mergeCell ref="F158:F160"/>
    <mergeCell ref="G158:G1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V107:Y107"/>
    <mergeCell ref="U58:U59"/>
    <mergeCell ref="V58:V59"/>
    <mergeCell ref="W58:W59"/>
    <mergeCell ref="Z58:Z59"/>
    <mergeCell ref="Q107:Q108"/>
    <mergeCell ref="R107:R108"/>
    <mergeCell ref="S107:S108"/>
    <mergeCell ref="T107:T108"/>
    <mergeCell ref="U107:U10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187"/>
  <sheetViews>
    <sheetView topLeftCell="A41" zoomScaleNormal="100" workbookViewId="0">
      <selection activeCell="D62" sqref="D62"/>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IF(TH!A1&lt;&gt;"",TH!A1,"")</f>
        <v>Ngày thực hiện luận văn</v>
      </c>
      <c r="B1" s="822" t="str">
        <f>IF(TH!B1&lt;&gt;"",TH!B1,"")</f>
        <v>ngày 02 tháng 07 năm 2020</v>
      </c>
      <c r="C1" s="822" t="str">
        <f>IF(TH!C1&lt;&gt;"",TH!C1,"")</f>
        <v/>
      </c>
      <c r="D1" s="822" t="str">
        <f>IF(TH!D1&lt;&gt;"",TH!D1,"")</f>
        <v/>
      </c>
      <c r="E1" s="822" t="str">
        <f>IF(TH!E1&lt;&gt;"",TH!E1,"")</f>
        <v/>
      </c>
      <c r="F1" s="822" t="str">
        <f>IF(TH!F1&lt;&gt;"",TH!F1,"")</f>
        <v/>
      </c>
      <c r="G1" s="822" t="str">
        <f>IF(TH!G1&lt;&gt;"",TH!G1,"")</f>
        <v/>
      </c>
      <c r="H1" s="822" t="str">
        <f>IF(TH!H1&lt;&gt;"",TH!H1,"")</f>
        <v/>
      </c>
      <c r="I1" s="822" t="str">
        <f>IF(TH!I1&lt;&gt;"",TH!I1,"")</f>
        <v/>
      </c>
    </row>
    <row r="2" spans="1:9">
      <c r="A2" s="822" t="str">
        <f>IF(TH!A2&lt;&gt;"",TH!A2,"")</f>
        <v>Tên công trình:</v>
      </c>
      <c r="B2" s="822" t="str">
        <f>IF(TH!B2&lt;&gt;"",TH!B2,"")</f>
        <v>Trụ Sở Làm Việc Xã Tân Ân -Huyện Ngọc Hiển-Tỉnh Cà Mau</v>
      </c>
      <c r="C2" s="822" t="str">
        <f>IF(TH!C2&lt;&gt;"",TH!C2,"")</f>
        <v/>
      </c>
      <c r="D2" s="822" t="str">
        <f>IF(TH!D2&lt;&gt;"",TH!D2,"")</f>
        <v/>
      </c>
      <c r="E2" s="822" t="str">
        <f>IF(TH!E2&lt;&gt;"",TH!E2,"")</f>
        <v/>
      </c>
      <c r="F2" s="822" t="str">
        <f>IF(TH!F2&lt;&gt;"",TH!F2,"")</f>
        <v/>
      </c>
      <c r="G2" s="822" t="str">
        <f>IF(TH!G2&lt;&gt;"",TH!G2,"")</f>
        <v/>
      </c>
      <c r="H2" s="822" t="str">
        <f>IF(TH!H2&lt;&gt;"",TH!H2,"")</f>
        <v/>
      </c>
      <c r="I2" s="822" t="str">
        <f>IF(TH!I2&lt;&gt;"",TH!I2,"")</f>
        <v/>
      </c>
    </row>
    <row r="3" spans="1:9">
      <c r="A3" s="822" t="str">
        <f>IF(TH!A3&lt;&gt;"",TH!A3,"")</f>
        <v>Địa điểm:</v>
      </c>
      <c r="B3" s="822" t="str">
        <f>IF(TH!B3&lt;&gt;"",TH!B3,"")</f>
        <v>Xã Tân Ân -Huyện Ngọc Hiển-Tỉnh Cà Mau</v>
      </c>
      <c r="C3" s="822" t="str">
        <f>IF(TH!C3&lt;&gt;"",TH!C3,"")</f>
        <v/>
      </c>
      <c r="D3" s="822" t="str">
        <f>IF(TH!D3&lt;&gt;"",TH!D3,"")</f>
        <v/>
      </c>
      <c r="E3" s="822" t="str">
        <f>IF(TH!E3&lt;&gt;"",TH!E3,"")</f>
        <v/>
      </c>
      <c r="F3" s="822" t="str">
        <f>IF(TH!F3&lt;&gt;"",TH!F3,"")</f>
        <v/>
      </c>
      <c r="G3" s="822" t="str">
        <f>IF(TH!G3&lt;&gt;"",TH!G3,"")</f>
        <v/>
      </c>
      <c r="H3" s="822" t="str">
        <f>IF(TH!H3&lt;&gt;"",TH!H3,"")</f>
        <v/>
      </c>
      <c r="I3" s="822" t="str">
        <f>IF(TH!I3&lt;&gt;"",TH!I3,"")</f>
        <v/>
      </c>
    </row>
    <row r="4" spans="1:9">
      <c r="A4" s="822" t="str">
        <f>IF(TH!A4&lt;&gt;"",TH!A4,"")</f>
        <v>Đặc điểm công trình:</v>
      </c>
      <c r="B4" s="822" t="str">
        <f>IF(TH!B4&lt;&gt;"",TH!B4,"")</f>
        <v>1 tầng trệt, 2 tầng lầu</v>
      </c>
      <c r="C4" s="822" t="str">
        <f>IF(TH!C4&lt;&gt;"",TH!C4,"")</f>
        <v/>
      </c>
      <c r="D4" s="822" t="str">
        <f>IF(TH!D4&lt;&gt;"",TH!D4,"")</f>
        <v/>
      </c>
      <c r="E4" s="822" t="str">
        <f>IF(TH!E4&lt;&gt;"",TH!E4,"")</f>
        <v/>
      </c>
      <c r="F4" s="822" t="str">
        <f>IF(TH!F4&lt;&gt;"",TH!F4,"")</f>
        <v/>
      </c>
      <c r="G4" s="822" t="str">
        <f>IF(TH!G4&lt;&gt;"",TH!G4,"")</f>
        <v/>
      </c>
      <c r="H4" s="822" t="str">
        <f>IF(TH!H4&lt;&gt;"",TH!H4,"")</f>
        <v/>
      </c>
      <c r="I4" s="822" t="str">
        <f>IF(TH!I4&lt;&gt;"",TH!I4,"")</f>
        <v/>
      </c>
    </row>
    <row r="5" spans="1:9">
      <c r="A5" s="822" t="str">
        <f>IF(TH!A5&lt;&gt;"",TH!A5,"")</f>
        <v>Cấp công trình</v>
      </c>
      <c r="B5" s="822">
        <f>IF(TH!B5&lt;&gt;"",TH!B5,"")</f>
        <v>5000</v>
      </c>
      <c r="C5" s="822" t="str">
        <f>IF(TH!C5&lt;&gt;"",TH!C5,"")</f>
        <v/>
      </c>
      <c r="D5" s="822" t="str">
        <f>IF(TH!D5&lt;&gt;"",TH!D5,"")</f>
        <v/>
      </c>
      <c r="E5" s="822" t="str">
        <f>IF(TH!E5&lt;&gt;"",TH!E5,"")</f>
        <v/>
      </c>
      <c r="F5" s="822" t="str">
        <f>IF(TH!F5&lt;&gt;"",TH!F5,"")</f>
        <v/>
      </c>
      <c r="G5" s="822" t="str">
        <f>IF(TH!G5&lt;&gt;"",TH!G5,"")</f>
        <v/>
      </c>
      <c r="H5" s="822" t="str">
        <f>IF(TH!H5&lt;&gt;"",TH!H5,"")</f>
        <v/>
      </c>
      <c r="I5" s="822" t="str">
        <f>IF(TH!I5&lt;&gt;"",TH!I5,"")</f>
        <v/>
      </c>
    </row>
    <row r="6" spans="1:9">
      <c r="A6" s="822" t="str">
        <f>IF(TH!A6&lt;&gt;"",TH!A6,"")</f>
        <v>Số tầng:</v>
      </c>
      <c r="B6" s="822">
        <f>IF(TH!B6&lt;&gt;"",TH!B6,"")</f>
        <v>4</v>
      </c>
      <c r="C6" s="822" t="str">
        <f>IF(TH!C6&lt;&gt;"",TH!C6,"")</f>
        <v>tầng</v>
      </c>
      <c r="D6" s="822" t="str">
        <f>IF(TH!D6&lt;&gt;"",TH!D6,"")</f>
        <v/>
      </c>
      <c r="E6" s="822" t="str">
        <f>IF(TH!E6&lt;&gt;"",TH!E6,"")</f>
        <v/>
      </c>
      <c r="F6" s="822" t="str">
        <f>IF(TH!F6&lt;&gt;"",TH!F6,"")</f>
        <v/>
      </c>
      <c r="G6" s="822" t="str">
        <f>IF(TH!G6&lt;&gt;"",TH!G6,"")</f>
        <v/>
      </c>
      <c r="H6" s="822" t="str">
        <f>IF(TH!H6&lt;&gt;"",TH!H6,"")</f>
        <v/>
      </c>
      <c r="I6" s="822" t="str">
        <f>IF(TH!I6&lt;&gt;"",TH!I6,"")</f>
        <v/>
      </c>
    </row>
    <row r="7" spans="1:9">
      <c r="A7" s="822" t="str">
        <f>IF(TH!A7&lt;&gt;"",TH!A7,"")</f>
        <v>Diện tích xây dựng</v>
      </c>
      <c r="B7" s="822">
        <f>IF(TH!B7&lt;&gt;"",TH!B7,"")</f>
        <v>435.7</v>
      </c>
      <c r="C7" s="822" t="str">
        <f>IF(TH!C7&lt;&gt;"",TH!C7,"")</f>
        <v>m2</v>
      </c>
      <c r="D7" s="822" t="str">
        <f>IF(TH!D7&lt;&gt;"",TH!D7,"")</f>
        <v/>
      </c>
      <c r="E7" s="822" t="str">
        <f>IF(TH!E7&lt;&gt;"",TH!E7,"")</f>
        <v/>
      </c>
      <c r="F7" s="822" t="str">
        <f>IF(TH!F7&lt;&gt;"",TH!F7,"")</f>
        <v/>
      </c>
      <c r="G7" s="822" t="str">
        <f>IF(TH!G7&lt;&gt;"",TH!G7,"")</f>
        <v/>
      </c>
      <c r="H7" s="822" t="str">
        <f>IF(TH!H7&lt;&gt;"",TH!H7,"")</f>
        <v/>
      </c>
      <c r="I7" s="822" t="str">
        <f>IF(TH!I7&lt;&gt;"",TH!I7,"")</f>
        <v/>
      </c>
    </row>
    <row r="8" spans="1:9">
      <c r="A8" s="822" t="str">
        <f>IF(TH!A8&lt;&gt;"",TH!A8,"")</f>
        <v xml:space="preserve">Tổng diện tích </v>
      </c>
      <c r="B8" s="822">
        <f>IF(TH!B8&lt;&gt;"",TH!B8,"")</f>
        <v>814.3</v>
      </c>
      <c r="C8" s="822" t="str">
        <f>IF(TH!C8&lt;&gt;"",TH!C8,"")</f>
        <v>m2</v>
      </c>
      <c r="D8" s="822" t="str">
        <f>IF(TH!D8&lt;&gt;"",TH!D8,"")</f>
        <v/>
      </c>
      <c r="E8" s="822" t="str">
        <f>IF(TH!E8&lt;&gt;"",TH!E8,"")</f>
        <v/>
      </c>
      <c r="F8" s="822" t="str">
        <f>IF(TH!F8&lt;&gt;"",TH!F8,"")</f>
        <v/>
      </c>
      <c r="G8" s="822" t="str">
        <f>IF(TH!G8&lt;&gt;"",TH!G8,"")</f>
        <v/>
      </c>
      <c r="H8" s="822" t="str">
        <f>IF(TH!H8&lt;&gt;"",TH!H8,"")</f>
        <v/>
      </c>
      <c r="I8" s="822" t="str">
        <f>IF(TH!I8&lt;&gt;"",TH!I8,"")</f>
        <v/>
      </c>
    </row>
    <row r="9" spans="1:9">
      <c r="A9" s="822" t="str">
        <f>IF(TH!A9&lt;&gt;"",TH!A9,"")</f>
        <v>Trong đó:</v>
      </c>
      <c r="B9" s="822" t="str">
        <f>IF(TH!B9&lt;&gt;"",TH!B9,"")</f>
        <v>tầng trệt: S=435,7 m², lầu 1: S=378,6 m²</v>
      </c>
      <c r="C9" s="822" t="str">
        <f>IF(TH!C9&lt;&gt;"",TH!C9,"")</f>
        <v/>
      </c>
      <c r="D9" s="822" t="str">
        <f>IF(TH!D9&lt;&gt;"",TH!D9,"")</f>
        <v/>
      </c>
      <c r="E9" s="822" t="str">
        <f>IF(TH!E9&lt;&gt;"",TH!E9,"")</f>
        <v/>
      </c>
      <c r="F9" s="822" t="str">
        <f>IF(TH!F9&lt;&gt;"",TH!F9,"")</f>
        <v/>
      </c>
      <c r="G9" s="822" t="str">
        <f>IF(TH!G9&lt;&gt;"",TH!G9,"")</f>
        <v/>
      </c>
      <c r="H9" s="822" t="str">
        <f>IF(TH!H9&lt;&gt;"",TH!H9,"")</f>
        <v/>
      </c>
      <c r="I9" s="822" t="str">
        <f>IF(TH!I9&lt;&gt;"",TH!I9,"")</f>
        <v/>
      </c>
    </row>
    <row r="10" spans="1:9">
      <c r="A10" s="822" t="str">
        <f>IF(TH!A10&lt;&gt;"",TH!A10,"")</f>
        <v>Chiều cao nèn từ tầng trệt:</v>
      </c>
      <c r="B10" s="822" t="str">
        <f>IF(TH!B10&lt;&gt;"",TH!B10,"")</f>
        <v/>
      </c>
      <c r="C10" s="822" t="str">
        <f>IF(TH!C10&lt;&gt;"",TH!C10,"")</f>
        <v/>
      </c>
      <c r="D10" s="822" t="str">
        <f>IF(TH!D10&lt;&gt;"",TH!D10,"")</f>
        <v/>
      </c>
      <c r="E10" s="822" t="str">
        <f>IF(TH!E10&lt;&gt;"",TH!E10,"")</f>
        <v/>
      </c>
      <c r="F10" s="822" t="str">
        <f>IF(TH!F10&lt;&gt;"",TH!F10,"")</f>
        <v/>
      </c>
      <c r="G10" s="822" t="str">
        <f>IF(TH!G10&lt;&gt;"",TH!G10,"")</f>
        <v/>
      </c>
      <c r="H10" s="822" t="str">
        <f>IF(TH!H10&lt;&gt;"",TH!H10,"")</f>
        <v/>
      </c>
      <c r="I10" s="822" t="str">
        <f>IF(TH!I10&lt;&gt;"",TH!I10,"")</f>
        <v/>
      </c>
    </row>
    <row r="11" spans="1:9">
      <c r="A11" s="822" t="str">
        <f>IF(TH!A11&lt;&gt;"",TH!A11,"")</f>
        <v>Cao độ mỗi tầng:</v>
      </c>
      <c r="B11" s="822" t="str">
        <f>IF(TH!B11&lt;&gt;"",TH!B11,"")</f>
        <v/>
      </c>
      <c r="C11" s="822" t="str">
        <f>IF(TH!C11&lt;&gt;"",TH!C11,"")</f>
        <v/>
      </c>
      <c r="D11" s="822" t="str">
        <f>IF(TH!D11&lt;&gt;"",TH!D11,"")</f>
        <v/>
      </c>
      <c r="E11" s="822" t="str">
        <f>IF(TH!E11&lt;&gt;"",TH!E11,"")</f>
        <v/>
      </c>
      <c r="F11" s="822" t="str">
        <f>IF(TH!F11&lt;&gt;"",TH!F11,"")</f>
        <v/>
      </c>
      <c r="G11" s="822" t="str">
        <f>IF(TH!G11&lt;&gt;"",TH!G11,"")</f>
        <v/>
      </c>
      <c r="H11" s="822" t="str">
        <f>IF(TH!H11&lt;&gt;"",TH!H11,"")</f>
        <v/>
      </c>
      <c r="I11" s="822" t="str">
        <f>IF(TH!I11&lt;&gt;"",TH!I11,"")</f>
        <v/>
      </c>
    </row>
    <row r="12" spans="1:9">
      <c r="A12" s="822" t="str">
        <f>IF(TH!A12&lt;&gt;"",TH!A12,"")</f>
        <v>Tầng trệt</v>
      </c>
      <c r="B12" s="822">
        <f>IF(TH!B12&lt;&gt;"",TH!B12,"")</f>
        <v>2.85</v>
      </c>
      <c r="C12" s="822" t="str">
        <f>IF(TH!C12&lt;&gt;"",TH!C12,"")</f>
        <v>m</v>
      </c>
      <c r="D12" s="822" t="str">
        <f>IF(TH!D12&lt;&gt;"",TH!D12,"")</f>
        <v/>
      </c>
      <c r="E12" s="822" t="str">
        <f>IF(TH!E12&lt;&gt;"",TH!E12,"")</f>
        <v/>
      </c>
      <c r="F12" s="822" t="str">
        <f>IF(TH!F12&lt;&gt;"",TH!F12,"")</f>
        <v/>
      </c>
      <c r="G12" s="822" t="str">
        <f>IF(TH!G12&lt;&gt;"",TH!G12,"")</f>
        <v/>
      </c>
      <c r="H12" s="822" t="str">
        <f>IF(TH!H12&lt;&gt;"",TH!H12,"")</f>
        <v/>
      </c>
      <c r="I12" s="822" t="str">
        <f>IF(TH!I12&lt;&gt;"",TH!I12,"")</f>
        <v/>
      </c>
    </row>
    <row r="13" spans="1:9">
      <c r="A13" s="822" t="str">
        <f>IF(TH!A13&lt;&gt;"",TH!A13,"")</f>
        <v>Tầng 1</v>
      </c>
      <c r="B13" s="822">
        <f>IF(TH!B13&lt;&gt;"",TH!B13,"")</f>
        <v>3.6</v>
      </c>
      <c r="C13" s="822" t="str">
        <f>IF(TH!C13&lt;&gt;"",TH!C13,"")</f>
        <v>m</v>
      </c>
      <c r="D13" s="822" t="str">
        <f>IF(TH!D13&lt;&gt;"",TH!D13,"")</f>
        <v/>
      </c>
      <c r="E13" s="822" t="str">
        <f>IF(TH!E13&lt;&gt;"",TH!E13,"")</f>
        <v/>
      </c>
      <c r="F13" s="822" t="str">
        <f>IF(TH!F13&lt;&gt;"",TH!F13,"")</f>
        <v/>
      </c>
      <c r="G13" s="822" t="str">
        <f>IF(TH!G13&lt;&gt;"",TH!G13,"")</f>
        <v/>
      </c>
      <c r="H13" s="822" t="str">
        <f>IF(TH!H13&lt;&gt;"",TH!H13,"")</f>
        <v/>
      </c>
      <c r="I13" s="822" t="str">
        <f>IF(TH!I13&lt;&gt;"",TH!I13,"")</f>
        <v/>
      </c>
    </row>
    <row r="14" spans="1:9">
      <c r="A14" s="822" t="str">
        <f>IF(TH!A14&lt;&gt;"",TH!A14,"")</f>
        <v>Tầng 2</v>
      </c>
      <c r="B14" s="822">
        <f>IF(TH!B14&lt;&gt;"",TH!B14,"")</f>
        <v>6.45</v>
      </c>
      <c r="C14" s="822" t="str">
        <f>IF(TH!C14&lt;&gt;"",TH!C14,"")</f>
        <v>m</v>
      </c>
      <c r="D14" s="822" t="str">
        <f>IF(TH!D14&lt;&gt;"",TH!D14,"")</f>
        <v/>
      </c>
      <c r="E14" s="822" t="str">
        <f>IF(TH!E14&lt;&gt;"",TH!E14,"")</f>
        <v/>
      </c>
      <c r="F14" s="822" t="str">
        <f>IF(TH!F14&lt;&gt;"",TH!F14,"")</f>
        <v/>
      </c>
      <c r="G14" s="822" t="str">
        <f>IF(TH!G14&lt;&gt;"",TH!G14,"")</f>
        <v/>
      </c>
      <c r="H14" s="822" t="str">
        <f>IF(TH!H14&lt;&gt;"",TH!H14,"")</f>
        <v/>
      </c>
      <c r="I14" s="822" t="str">
        <f>IF(TH!I14&lt;&gt;"",TH!I14,"")</f>
        <v/>
      </c>
    </row>
    <row r="15" spans="1:9">
      <c r="A15" s="822" t="str">
        <f>IF(TH!A15&lt;&gt;"",TH!A15,"")</f>
        <v>Mái</v>
      </c>
      <c r="B15" s="822">
        <f>IF(TH!B15&lt;&gt;"",TH!B15,"")</f>
        <v>13.35</v>
      </c>
      <c r="C15" s="822" t="str">
        <f>IF(TH!C15&lt;&gt;"",TH!C15,"")</f>
        <v>m</v>
      </c>
      <c r="D15" s="822" t="str">
        <f>IF(TH!D15&lt;&gt;"",TH!D15,"")</f>
        <v/>
      </c>
      <c r="E15" s="822" t="str">
        <f>IF(TH!E15&lt;&gt;"",TH!E15,"")</f>
        <v/>
      </c>
      <c r="F15" s="822" t="str">
        <f>IF(TH!F15&lt;&gt;"",TH!F15,"")</f>
        <v/>
      </c>
      <c r="G15" s="822" t="str">
        <f>IF(TH!G15&lt;&gt;"",TH!G15,"")</f>
        <v/>
      </c>
      <c r="H15" s="822" t="str">
        <f>IF(TH!H15&lt;&gt;"",TH!H15,"")</f>
        <v/>
      </c>
      <c r="I15" s="822" t="str">
        <f>IF(TH!I15&lt;&gt;"",TH!I15,"")</f>
        <v/>
      </c>
    </row>
    <row r="16" spans="1:9">
      <c r="A16" s="822" t="str">
        <f>IF(TH!A16&lt;&gt;"",TH!A16,"")</f>
        <v>Chiều cao công trình</v>
      </c>
      <c r="B16" s="822">
        <f>IF(TH!B16&lt;&gt;"",TH!B16,"")</f>
        <v>13.35</v>
      </c>
      <c r="C16" s="822" t="str">
        <f>IF(TH!C16&lt;&gt;"",TH!C16,"")</f>
        <v>m</v>
      </c>
      <c r="D16" s="822" t="str">
        <f>IF(TH!D16&lt;&gt;"",TH!D16,"")</f>
        <v/>
      </c>
      <c r="E16" s="822" t="str">
        <f>IF(TH!E16&lt;&gt;"",TH!E16,"")</f>
        <v/>
      </c>
      <c r="F16" s="822" t="str">
        <f>IF(TH!F16&lt;&gt;"",TH!F16,"")</f>
        <v/>
      </c>
      <c r="G16" s="822" t="str">
        <f>IF(TH!G16&lt;&gt;"",TH!G16,"")</f>
        <v/>
      </c>
      <c r="H16" s="822" t="str">
        <f>IF(TH!H16&lt;&gt;"",TH!H16,"")</f>
        <v/>
      </c>
      <c r="I16" s="822" t="str">
        <f>IF(TH!I16&lt;&gt;"",TH!I16,"")</f>
        <v/>
      </c>
    </row>
    <row r="17" spans="1:9">
      <c r="A17" s="822" t="str">
        <f>IF(TH!A17&lt;&gt;"",TH!A17,"")</f>
        <v>Sàn lầu 1</v>
      </c>
      <c r="B17" s="822">
        <f>IF(TH!B17&lt;&gt;"",TH!B17,"")</f>
        <v>3.6</v>
      </c>
      <c r="C17" s="822" t="str">
        <f>IF(TH!C17&lt;&gt;"",TH!C17,"")</f>
        <v>m</v>
      </c>
      <c r="D17" s="822" t="str">
        <f>IF(TH!D17&lt;&gt;"",TH!D17,"")</f>
        <v/>
      </c>
      <c r="E17" s="822" t="str">
        <f>IF(TH!E17&lt;&gt;"",TH!E17,"")</f>
        <v/>
      </c>
      <c r="F17" s="822" t="str">
        <f>IF(TH!F17&lt;&gt;"",TH!F17,"")</f>
        <v/>
      </c>
      <c r="G17" s="822" t="str">
        <f>IF(TH!G17&lt;&gt;"",TH!G17,"")</f>
        <v/>
      </c>
      <c r="H17" s="822" t="str">
        <f>IF(TH!H17&lt;&gt;"",TH!H17,"")</f>
        <v/>
      </c>
      <c r="I17" s="822" t="str">
        <f>IF(TH!I17&lt;&gt;"",TH!I17,"")</f>
        <v/>
      </c>
    </row>
    <row r="18" spans="1:9">
      <c r="A18" s="822" t="str">
        <f>IF(TH!A18&lt;&gt;"",TH!A18,"")</f>
        <v>Trần lầu 2</v>
      </c>
      <c r="B18" s="822">
        <f>IF(TH!B18&lt;&gt;"",TH!B18,"")</f>
        <v>3.6</v>
      </c>
      <c r="C18" s="822" t="str">
        <f>IF(TH!C18&lt;&gt;"",TH!C18,"")</f>
        <v>m</v>
      </c>
      <c r="D18" s="822" t="str">
        <f>IF(TH!D18&lt;&gt;"",TH!D18,"")</f>
        <v/>
      </c>
      <c r="E18" s="822" t="str">
        <f>IF(TH!E18&lt;&gt;"",TH!E18,"")</f>
        <v/>
      </c>
      <c r="F18" s="822" t="str">
        <f>IF(TH!F18&lt;&gt;"",TH!F18,"")</f>
        <v/>
      </c>
      <c r="G18" s="822" t="str">
        <f>IF(TH!G18&lt;&gt;"",TH!G18,"")</f>
        <v/>
      </c>
      <c r="H18" s="822" t="str">
        <f>IF(TH!H18&lt;&gt;"",TH!H18,"")</f>
        <v/>
      </c>
      <c r="I18" s="822" t="str">
        <f>IF(TH!I18&lt;&gt;"",TH!I18,"")</f>
        <v/>
      </c>
    </row>
    <row r="19" spans="1:9">
      <c r="A19" s="822" t="str">
        <f>IF(TH!A19&lt;&gt;"",TH!A19,"")</f>
        <v>mái</v>
      </c>
      <c r="B19" s="822">
        <f>IF(TH!B19&lt;&gt;"",TH!B19,"")</f>
        <v>3.3</v>
      </c>
      <c r="C19" s="822" t="str">
        <f>IF(TH!C19&lt;&gt;"",TH!C19,"")</f>
        <v>m</v>
      </c>
      <c r="D19" s="822" t="str">
        <f>IF(TH!D19&lt;&gt;"",TH!D19,"")</f>
        <v/>
      </c>
      <c r="E19" s="822" t="str">
        <f>IF(TH!E19&lt;&gt;"",TH!E19,"")</f>
        <v/>
      </c>
      <c r="F19" s="822" t="str">
        <f>IF(TH!F19&lt;&gt;"",TH!F19,"")</f>
        <v/>
      </c>
      <c r="G19" s="822" t="str">
        <f>IF(TH!G19&lt;&gt;"",TH!G19,"")</f>
        <v/>
      </c>
      <c r="H19" s="822" t="str">
        <f>IF(TH!H19&lt;&gt;"",TH!H19,"")</f>
        <v/>
      </c>
      <c r="I19" s="822" t="str">
        <f>IF(TH!I19&lt;&gt;"",TH!I19,"")</f>
        <v/>
      </c>
    </row>
    <row r="20" spans="1:9">
      <c r="A20" s="822" t="str">
        <f>IF(TH!A20&lt;&gt;"",TH!A20,"")</f>
        <v>BÊ TÔNG:</v>
      </c>
      <c r="B20" s="822" t="str">
        <f>IF(TH!B20&lt;&gt;"",TH!B20,"")</f>
        <v/>
      </c>
      <c r="C20" s="822" t="str">
        <f>IF(TH!C20&lt;&gt;"",TH!C20,"")</f>
        <v/>
      </c>
      <c r="D20" s="822" t="str">
        <f>IF(TH!D20&lt;&gt;"",TH!D20,"")</f>
        <v/>
      </c>
      <c r="E20" s="822" t="str">
        <f>IF(TH!E20&lt;&gt;"",TH!E20,"")</f>
        <v/>
      </c>
      <c r="F20" s="822" t="str">
        <f>IF(TH!F20&lt;&gt;"",TH!F20,"")</f>
        <v/>
      </c>
      <c r="G20" s="822" t="str">
        <f>IF(TH!G20&lt;&gt;"",TH!G20,"")</f>
        <v/>
      </c>
      <c r="H20" s="822" t="str">
        <f>IF(TH!H20&lt;&gt;"",TH!H20,"")</f>
        <v/>
      </c>
      <c r="I20" s="822" t="str">
        <f>IF(TH!I20&lt;&gt;"",TH!I20,"")</f>
        <v/>
      </c>
    </row>
    <row r="21" spans="1:9">
      <c r="A21" s="822" t="str">
        <f>IF(TH!A21&lt;&gt;"",TH!A21,"")</f>
        <v>Cấp độ bền</v>
      </c>
      <c r="B21" s="822" t="s">
        <v>84</v>
      </c>
      <c r="C21" s="822">
        <v>25</v>
      </c>
      <c r="D21" s="822" t="str">
        <f>IF(TH!D21&lt;&gt;"",TH!D21,"")</f>
        <v/>
      </c>
      <c r="E21" s="822" t="str">
        <f>IF(TH!E21&lt;&gt;"",TH!E21,"")</f>
        <v/>
      </c>
      <c r="F21" s="822" t="str">
        <f>IF(TH!F21&lt;&gt;"",TH!F21,"")</f>
        <v/>
      </c>
      <c r="G21" s="822" t="str">
        <f>IF(TH!G21&lt;&gt;"",TH!G21,"")</f>
        <v/>
      </c>
      <c r="H21" s="822" t="str">
        <f>IF(TH!H21&lt;&gt;"",TH!H21,"")</f>
        <v/>
      </c>
      <c r="I21" s="822" t="str">
        <f>IF(TH!I21&lt;&gt;"",TH!I21,"")</f>
        <v/>
      </c>
    </row>
    <row r="22" spans="1:9">
      <c r="A22" s="822" t="str">
        <f>IF(TH!A22&lt;&gt;"",TH!A22,"")</f>
        <v>Cường độ tính toán chịu nén</v>
      </c>
      <c r="B22" s="822">
        <v>14.5</v>
      </c>
      <c r="C22" s="822" t="str">
        <f>IF(TH!C22&lt;&gt;"",TH!C22,"")</f>
        <v>Mpa</v>
      </c>
      <c r="D22" s="822">
        <f>IF(TH!D22&lt;&gt;"",TH!D22,"")</f>
        <v>850</v>
      </c>
      <c r="E22" s="822" t="str">
        <f>IF(TH!E22&lt;&gt;"",TH!E22,"")</f>
        <v/>
      </c>
      <c r="F22" s="822" t="str">
        <f>IF(TH!F22&lt;&gt;"",TH!F22,"")</f>
        <v/>
      </c>
      <c r="G22" s="822" t="str">
        <f>IF(TH!G22&lt;&gt;"",TH!G22,"")</f>
        <v/>
      </c>
      <c r="H22" s="822">
        <f>B22*100</f>
        <v>1450</v>
      </c>
      <c r="I22" s="822" t="str">
        <f>IF(TH!I22&lt;&gt;"",TH!I22,"")</f>
        <v>T/m2</v>
      </c>
    </row>
    <row r="23" spans="1:9">
      <c r="A23" s="822" t="str">
        <f>IF(TH!A23&lt;&gt;"",TH!A23,"")</f>
        <v>Cường độ tính toán chịu kéo</v>
      </c>
      <c r="B23" s="822">
        <f>IF(TH!B23&lt;&gt;"",TH!B23,"")</f>
        <v>0.75</v>
      </c>
      <c r="C23" s="822" t="str">
        <f>IF(TH!C23&lt;&gt;"",TH!C23,"")</f>
        <v>Mpa</v>
      </c>
      <c r="D23" s="822">
        <f>IF(TH!D23&lt;&gt;"",TH!D23,"")</f>
        <v>75</v>
      </c>
      <c r="E23" s="822" t="str">
        <f>IF(TH!E23&lt;&gt;"",TH!E23,"")</f>
        <v/>
      </c>
      <c r="F23" s="822" t="str">
        <f>IF(TH!F23&lt;&gt;"",TH!F23,"")</f>
        <v/>
      </c>
      <c r="G23" s="822" t="str">
        <f>IF(TH!G23&lt;&gt;"",TH!G23,"")</f>
        <v/>
      </c>
      <c r="H23" s="822">
        <f t="shared" ref="H23:H24" si="0">B23*100</f>
        <v>75</v>
      </c>
      <c r="I23" s="822" t="str">
        <f>IF(TH!I23&lt;&gt;"",TH!I23,"")</f>
        <v>T/m2</v>
      </c>
    </row>
    <row r="24" spans="1:9">
      <c r="A24" s="822" t="str">
        <f>IF(TH!A24&lt;&gt;"",TH!A24,"")</f>
        <v>Modul đàn hồi</v>
      </c>
      <c r="B24" s="822">
        <f>IF(TH!B24&lt;&gt;"",TH!B24,"")</f>
        <v>23000</v>
      </c>
      <c r="C24" s="822" t="str">
        <f>IF(TH!C24&lt;&gt;"",TH!C24,"")</f>
        <v>Mpa</v>
      </c>
      <c r="D24" s="822">
        <f>IF(TH!D24&lt;&gt;"",TH!D24,"")</f>
        <v>2300000</v>
      </c>
      <c r="E24" s="822" t="str">
        <f>IF(TH!E24&lt;&gt;"",TH!E24,"")</f>
        <v/>
      </c>
      <c r="F24" s="822" t="str">
        <f>IF(TH!F24&lt;&gt;"",TH!F24,"")</f>
        <v/>
      </c>
      <c r="G24" s="822" t="str">
        <f>IF(TH!G24&lt;&gt;"",TH!G24,"")</f>
        <v/>
      </c>
      <c r="H24" s="822">
        <f t="shared" si="0"/>
        <v>2300000</v>
      </c>
      <c r="I24" s="822" t="str">
        <f>IF(TH!I24&lt;&gt;"",TH!I24,"")</f>
        <v>T/m2</v>
      </c>
    </row>
    <row r="25" spans="1:9">
      <c r="A25" s="822" t="str">
        <f>IF(TH!A25&lt;&gt;"",TH!A25,"")</f>
        <v>Cốt thép</v>
      </c>
      <c r="B25" s="822" t="str">
        <f>IF(TH!B25&lt;&gt;"",TH!B25,"")</f>
        <v/>
      </c>
      <c r="C25" s="822" t="str">
        <f>IF(TH!C25&lt;&gt;"",TH!C25,"")</f>
        <v/>
      </c>
      <c r="D25" s="822" t="str">
        <f>IF(TH!D25&lt;&gt;"",TH!D25,"")</f>
        <v/>
      </c>
      <c r="E25" s="822" t="str">
        <f>IF(TH!E25&lt;&gt;"",TH!E25,"")</f>
        <v/>
      </c>
      <c r="F25" s="822" t="str">
        <f>IF(TH!F25&lt;&gt;"",TH!F25,"")</f>
        <v/>
      </c>
      <c r="G25" s="822" t="str">
        <f>IF(TH!G25&lt;&gt;"",TH!G25,"")</f>
        <v/>
      </c>
      <c r="H25" s="822" t="str">
        <f>IF(TH!H25&lt;&gt;"",TH!H25,"")</f>
        <v/>
      </c>
      <c r="I25" s="822" t="str">
        <f>IF(TH!I25&lt;&gt;"",TH!I25,"")</f>
        <v/>
      </c>
    </row>
    <row r="26" spans="1:9">
      <c r="A26" s="822" t="str">
        <f>IF(TH!A26&lt;&gt;"",TH!A26,"")</f>
        <v>Loại thép</v>
      </c>
      <c r="B26" s="822" t="str">
        <f>IF(TH!B26&lt;&gt;"",TH!B26,"")</f>
        <v>CI (AI)</v>
      </c>
      <c r="C26" s="822" t="str">
        <f>IF(TH!C26&lt;&gt;"",TH!C26,"")</f>
        <v/>
      </c>
      <c r="D26" s="822" t="str">
        <f>IF(TH!D26&lt;&gt;"",TH!D26,"")</f>
        <v/>
      </c>
      <c r="E26" s="822" t="str">
        <f>IF(TH!E26&lt;&gt;"",TH!E26,"")</f>
        <v/>
      </c>
      <c r="F26" s="822" t="str">
        <f>IF(TH!F26&lt;&gt;"",TH!F26,"")</f>
        <v xml:space="preserve">CB300-T </v>
      </c>
      <c r="G26" s="822" t="str">
        <f>IF(TH!G26&lt;&gt;"",TH!G26,"")</f>
        <v/>
      </c>
      <c r="H26" s="822" t="str">
        <f>IF(TH!H26&lt;&gt;"",TH!H26,"")</f>
        <v/>
      </c>
      <c r="I26" s="822" t="str">
        <f>IF(TH!I26&lt;&gt;"",TH!I26,"")</f>
        <v/>
      </c>
    </row>
    <row r="27" spans="1:9">
      <c r="A27" s="822" t="str">
        <f>IF(TH!A27&lt;&gt;"",TH!A27,"")</f>
        <v>Cường độ tính toán chịu nén, kéo</v>
      </c>
      <c r="B27" s="822">
        <f>IF(TH!B27&lt;&gt;"",TH!B27,"")</f>
        <v>225</v>
      </c>
      <c r="C27" s="822" t="str">
        <f>IF(TH!C27&lt;&gt;"",TH!C27,"")</f>
        <v>Mpa</v>
      </c>
      <c r="D27" s="822">
        <f>IF(TH!D27&lt;&gt;"",TH!D27,"")</f>
        <v>2250</v>
      </c>
      <c r="E27" s="822" t="str">
        <f>IF(TH!E27&lt;&gt;"",TH!E27,"")</f>
        <v/>
      </c>
      <c r="F27" s="822">
        <f>IF(TH!F27&lt;&gt;"",TH!F27,"")</f>
        <v>260</v>
      </c>
      <c r="G27" s="822" t="str">
        <f>IF(TH!G27&lt;&gt;"",TH!G27,"")</f>
        <v>Mpa</v>
      </c>
      <c r="H27" s="822">
        <f>IF(TH!H27&lt;&gt;"",TH!H27,"")</f>
        <v>22500</v>
      </c>
      <c r="I27" s="822" t="str">
        <f>IF(TH!I27&lt;&gt;"",TH!I27,"")</f>
        <v>T/m2</v>
      </c>
    </row>
    <row r="28" spans="1:9">
      <c r="A28" s="822" t="str">
        <f>IF(TH!A28&lt;&gt;"",TH!A28,"")</f>
        <v>Cường độ tính toán chịu kéo cho cốt đai</v>
      </c>
      <c r="B28" s="822">
        <f>IF(TH!B28&lt;&gt;"",TH!B28,"")</f>
        <v>175</v>
      </c>
      <c r="C28" s="822" t="str">
        <f>IF(TH!C28&lt;&gt;"",TH!C28,"")</f>
        <v>Mpa</v>
      </c>
      <c r="D28" s="822">
        <f>IF(TH!D28&lt;&gt;"",TH!D28,"")</f>
        <v>1750</v>
      </c>
      <c r="E28" s="822" t="str">
        <f>IF(TH!E28&lt;&gt;"",TH!E28,"")</f>
        <v/>
      </c>
      <c r="F28" s="822">
        <f>IF(TH!F28&lt;&gt;"",TH!F28,"")</f>
        <v>210</v>
      </c>
      <c r="G28" s="822" t="str">
        <f>IF(TH!G28&lt;&gt;"",TH!G28,"")</f>
        <v>Mpa</v>
      </c>
      <c r="H28" s="822">
        <f>IF(TH!H28&lt;&gt;"",TH!H28,"")</f>
        <v>17500</v>
      </c>
      <c r="I28" s="822" t="str">
        <f>IF(TH!I28&lt;&gt;"",TH!I28,"")</f>
        <v>T/m2</v>
      </c>
    </row>
    <row r="29" spans="1:9">
      <c r="A29" s="822" t="str">
        <f>IF(TH!A29&lt;&gt;"",TH!A29,"")</f>
        <v>Modul đàn hồi</v>
      </c>
      <c r="B29" s="822">
        <f>IF(TH!B29&lt;&gt;"",TH!B29,"")</f>
        <v>210000</v>
      </c>
      <c r="C29" s="822" t="str">
        <f>IF(TH!C29&lt;&gt;"",TH!C29,"")</f>
        <v>Mpa</v>
      </c>
      <c r="D29" s="822" t="str">
        <f>IF(TH!D29&lt;&gt;"",TH!D29,"")</f>
        <v/>
      </c>
      <c r="E29" s="822" t="str">
        <f>IF(TH!E29&lt;&gt;"",TH!E29,"")</f>
        <v/>
      </c>
      <c r="F29" s="822">
        <f>IF(TH!F29&lt;&gt;"",TH!F29,"")</f>
        <v>200000</v>
      </c>
      <c r="G29" s="822" t="str">
        <f>IF(TH!G29&lt;&gt;"",TH!G29,"")</f>
        <v>Mpa</v>
      </c>
      <c r="H29" s="822">
        <f>IF(TH!H29&lt;&gt;"",TH!H29,"")</f>
        <v>21000000</v>
      </c>
      <c r="I29" s="822" t="str">
        <f>IF(TH!I29&lt;&gt;"",TH!I29,"")</f>
        <v>T/m2</v>
      </c>
    </row>
    <row r="30" spans="1:9">
      <c r="A30" s="822" t="str">
        <f>IF(TH!A30&lt;&gt;"",TH!A30,"")</f>
        <v>Loại thép</v>
      </c>
      <c r="B30" s="822" t="str">
        <f>IF(TH!B30&lt;&gt;"",TH!B30,"")</f>
        <v>CII(AII)</v>
      </c>
      <c r="C30" s="822" t="str">
        <f>IF(TH!C30&lt;&gt;"",TH!C30,"")</f>
        <v/>
      </c>
      <c r="D30" s="822" t="str">
        <f>IF(TH!D30&lt;&gt;"",TH!D30,"")</f>
        <v/>
      </c>
      <c r="E30" s="822" t="str">
        <f>IF(TH!E30&lt;&gt;"",TH!E30,"")</f>
        <v/>
      </c>
      <c r="F30" s="822" t="str">
        <f>IF(TH!F30&lt;&gt;"",TH!F30,"")</f>
        <v xml:space="preserve">CB300-V </v>
      </c>
      <c r="G30" s="822" t="str">
        <f>IF(TH!G30&lt;&gt;"",TH!G30,"")</f>
        <v/>
      </c>
      <c r="H30" s="822" t="str">
        <f>IF(TH!H30&lt;&gt;"",TH!H30,"")</f>
        <v/>
      </c>
      <c r="I30" s="822" t="str">
        <f>IF(TH!I30&lt;&gt;"",TH!I30,"")</f>
        <v/>
      </c>
    </row>
    <row r="31" spans="1:9">
      <c r="A31" s="822" t="str">
        <f>IF(TH!A31&lt;&gt;"",TH!A31,"")</f>
        <v>Cường độ tính toán chịu nén, kéo</v>
      </c>
      <c r="B31" s="822">
        <f>IF(TH!B31&lt;&gt;"",TH!B31,"")</f>
        <v>280</v>
      </c>
      <c r="C31" s="822" t="str">
        <f>IF(TH!C31&lt;&gt;"",TH!C31,"")</f>
        <v>Mpa</v>
      </c>
      <c r="D31" s="822">
        <f>IF(TH!D31&lt;&gt;"",TH!D31,"")</f>
        <v>2800</v>
      </c>
      <c r="E31" s="822" t="str">
        <f>IF(TH!E31&lt;&gt;"",TH!E31,"")</f>
        <v/>
      </c>
      <c r="F31" s="822">
        <f>IF(TH!F31&lt;&gt;"",TH!F31,"")</f>
        <v>260</v>
      </c>
      <c r="G31" s="822" t="str">
        <f>IF(TH!G31&lt;&gt;"",TH!G31,"")</f>
        <v>Mpa</v>
      </c>
      <c r="H31" s="822">
        <f>IF(TH!H31&lt;&gt;"",TH!H31,"")</f>
        <v>28000</v>
      </c>
      <c r="I31" s="822" t="str">
        <f>IF(TH!I31&lt;&gt;"",TH!I31,"")</f>
        <v>T/m2</v>
      </c>
    </row>
    <row r="32" spans="1:9">
      <c r="A32" s="822" t="str">
        <f>IF(TH!A32&lt;&gt;"",TH!A32,"")</f>
        <v>Cường độ tính toán chịu kéo cho cốt đai</v>
      </c>
      <c r="B32" s="822">
        <f>IF(TH!B32&lt;&gt;"",TH!B32,"")</f>
        <v>225</v>
      </c>
      <c r="C32" s="822" t="str">
        <f>IF(TH!C32&lt;&gt;"",TH!C32,"")</f>
        <v>Mpa</v>
      </c>
      <c r="D32" s="822" t="str">
        <f>IF(TH!D32&lt;&gt;"",TH!D32,"")</f>
        <v/>
      </c>
      <c r="E32" s="822" t="str">
        <f>IF(TH!E32&lt;&gt;"",TH!E32,"")</f>
        <v/>
      </c>
      <c r="F32" s="822">
        <f>IF(TH!F32&lt;&gt;"",TH!F32,"")</f>
        <v>210</v>
      </c>
      <c r="G32" s="822" t="str">
        <f>IF(TH!G32&lt;&gt;"",TH!G32,"")</f>
        <v>Mpa</v>
      </c>
      <c r="H32" s="822">
        <f>IF(TH!H32&lt;&gt;"",TH!H32,"")</f>
        <v>22500</v>
      </c>
      <c r="I32" s="822" t="str">
        <f>IF(TH!I32&lt;&gt;"",TH!I32,"")</f>
        <v>T/m2</v>
      </c>
    </row>
    <row r="33" spans="1:16">
      <c r="A33" s="822" t="str">
        <f>IF(TH!A33&lt;&gt;"",TH!A33,"")</f>
        <v>Modul đàn hồi</v>
      </c>
      <c r="B33" s="822">
        <f>IF(TH!B33&lt;&gt;"",TH!B33,"")</f>
        <v>210000</v>
      </c>
      <c r="C33" s="822" t="str">
        <f>IF(TH!C33&lt;&gt;"",TH!C33,"")</f>
        <v>Mpa</v>
      </c>
      <c r="D33" s="822" t="str">
        <f>IF(TH!D33&lt;&gt;"",TH!D33,"")</f>
        <v/>
      </c>
      <c r="E33" s="822" t="str">
        <f>IF(TH!E33&lt;&gt;"",TH!E33,"")</f>
        <v/>
      </c>
      <c r="F33" s="822">
        <f>IF(TH!F33&lt;&gt;"",TH!F33,"")</f>
        <v>200000</v>
      </c>
      <c r="G33" s="822" t="str">
        <f>IF(TH!G33&lt;&gt;"",TH!G33,"")</f>
        <v>Mpa</v>
      </c>
      <c r="H33" s="822">
        <f>IF(TH!H33&lt;&gt;"",TH!H33,"")</f>
        <v>21000000</v>
      </c>
      <c r="I33" s="822" t="str">
        <f>IF(TH!I33&lt;&gt;"",TH!I33,"")</f>
        <v>T/m2</v>
      </c>
    </row>
    <row r="34" spans="1:16">
      <c r="A34" s="822" t="str">
        <f>IF(TH!A34&lt;&gt;"",TH!A34,"")</f>
        <v>Loại thép</v>
      </c>
      <c r="B34" s="822" t="str">
        <f>IF(TH!B34&lt;&gt;"",TH!B34,"")</f>
        <v>CIII(AIII)</v>
      </c>
      <c r="C34" s="822" t="str">
        <f>IF(TH!C34&lt;&gt;"",TH!C34,"")</f>
        <v/>
      </c>
      <c r="D34" s="822" t="str">
        <f>IF(TH!D34&lt;&gt;"",TH!D34,"")</f>
        <v/>
      </c>
      <c r="E34" s="822" t="str">
        <f>IF(TH!E34&lt;&gt;"",TH!E34,"")</f>
        <v/>
      </c>
      <c r="F34" s="822" t="str">
        <f>IF(TH!F34&lt;&gt;"",TH!F34,"")</f>
        <v xml:space="preserve">CB400-V </v>
      </c>
      <c r="G34" s="822" t="str">
        <f>IF(TH!G34&lt;&gt;"",TH!G34,"")</f>
        <v/>
      </c>
      <c r="H34" s="822" t="str">
        <f>IF(TH!H34&lt;&gt;"",TH!H34,"")</f>
        <v/>
      </c>
      <c r="I34" s="822" t="str">
        <f>IF(TH!I34&lt;&gt;"",TH!I34,"")</f>
        <v/>
      </c>
    </row>
    <row r="35" spans="1:16">
      <c r="A35" s="822" t="str">
        <f>IF(TH!A35&lt;&gt;"",TH!A35,"")</f>
        <v>Cường độ tính toán chịu nén, kéo</v>
      </c>
      <c r="B35" s="822">
        <f>IF(TH!B35&lt;&gt;"",TH!B35,"")</f>
        <v>365</v>
      </c>
      <c r="C35" s="822" t="str">
        <f>IF(TH!C35&lt;&gt;"",TH!C35,"")</f>
        <v>Mpa</v>
      </c>
      <c r="D35" s="822" t="str">
        <f>IF(TH!D35&lt;&gt;"",TH!D35,"")</f>
        <v/>
      </c>
      <c r="E35" s="822" t="str">
        <f>IF(TH!E35&lt;&gt;"",TH!E35,"")</f>
        <v/>
      </c>
      <c r="F35" s="822">
        <f>IF(TH!F35&lt;&gt;"",TH!F35,"")</f>
        <v>350</v>
      </c>
      <c r="G35" s="822" t="str">
        <f>IF(TH!G35&lt;&gt;"",TH!G35,"")</f>
        <v>Mpa</v>
      </c>
      <c r="H35" s="822">
        <f>IF(TH!H35&lt;&gt;"",TH!H35,"")</f>
        <v>36500</v>
      </c>
      <c r="I35" s="822" t="str">
        <f>IF(TH!I35&lt;&gt;"",TH!I35,"")</f>
        <v>T/m2</v>
      </c>
    </row>
    <row r="36" spans="1:16">
      <c r="A36" s="822" t="str">
        <f>IF(TH!A36&lt;&gt;"",TH!A36,"")</f>
        <v>Cường độ tính toán chịu kéo cho cốt đai</v>
      </c>
      <c r="B36" s="822">
        <f>IF(TH!B36&lt;&gt;"",TH!B36,"")</f>
        <v>290</v>
      </c>
      <c r="C36" s="822" t="str">
        <f>IF(TH!C36&lt;&gt;"",TH!C36,"")</f>
        <v>Mpa</v>
      </c>
      <c r="D36" s="822" t="str">
        <f>IF(TH!D36&lt;&gt;"",TH!D36,"")</f>
        <v/>
      </c>
      <c r="E36" s="822" t="str">
        <f>IF(TH!E36&lt;&gt;"",TH!E36,"")</f>
        <v/>
      </c>
      <c r="F36" s="822">
        <f>IF(TH!F36&lt;&gt;"",TH!F36,"")</f>
        <v>280</v>
      </c>
      <c r="G36" s="822" t="str">
        <f>IF(TH!G36&lt;&gt;"",TH!G36,"")</f>
        <v>Mpa</v>
      </c>
      <c r="H36" s="822">
        <f>IF(TH!H36&lt;&gt;"",TH!H36,"")</f>
        <v>29000</v>
      </c>
      <c r="I36" s="822" t="str">
        <f>IF(TH!I36&lt;&gt;"",TH!I36,"")</f>
        <v>T/m2</v>
      </c>
    </row>
    <row r="37" spans="1:16">
      <c r="A37" s="822" t="str">
        <f>IF(TH!A37&lt;&gt;"",TH!A37,"")</f>
        <v>Modul đàn hồi</v>
      </c>
      <c r="B37" s="822">
        <f>IF(TH!B37&lt;&gt;"",TH!B37,"")</f>
        <v>210000</v>
      </c>
      <c r="C37" s="822" t="str">
        <f>IF(TH!C37&lt;&gt;"",TH!C37,"")</f>
        <v>Mpa</v>
      </c>
      <c r="D37" s="822" t="str">
        <f>IF(TH!D37&lt;&gt;"",TH!D37,"")</f>
        <v/>
      </c>
      <c r="E37" s="822" t="str">
        <f>IF(TH!E37&lt;&gt;"",TH!E37,"")</f>
        <v/>
      </c>
      <c r="F37" s="822">
        <f>IF(TH!F37&lt;&gt;"",TH!F37,"")</f>
        <v>200000</v>
      </c>
      <c r="G37" s="822" t="str">
        <f>IF(TH!G37&lt;&gt;"",TH!G37,"")</f>
        <v>Mpa</v>
      </c>
      <c r="H37" s="822">
        <f>IF(TH!H37&lt;&gt;"",TH!H37,"")</f>
        <v>21000000</v>
      </c>
      <c r="I37" s="822" t="str">
        <f>IF(TH!I37&lt;&gt;"",TH!I37,"")</f>
        <v>T/m2</v>
      </c>
    </row>
    <row r="38" spans="1:16" ht="14.5" thickBot="1">
      <c r="A38" s="823" t="s">
        <v>1200</v>
      </c>
    </row>
    <row r="39" spans="1:16">
      <c r="A39" s="822" t="s">
        <v>242</v>
      </c>
      <c r="B39" s="822">
        <v>30</v>
      </c>
      <c r="C39" s="822" t="s">
        <v>633</v>
      </c>
      <c r="D39" s="822">
        <f>B39*0.01</f>
        <v>0.3</v>
      </c>
      <c r="E39" s="999" t="s">
        <v>1246</v>
      </c>
      <c r="F39" s="999" t="s">
        <v>1206</v>
      </c>
      <c r="G39" s="999" t="s">
        <v>1207</v>
      </c>
      <c r="H39" s="999" t="s">
        <v>1208</v>
      </c>
      <c r="I39" s="999" t="s">
        <v>1209</v>
      </c>
      <c r="J39" s="1002"/>
      <c r="K39" s="999" t="s">
        <v>1211</v>
      </c>
      <c r="L39" s="999" t="s">
        <v>1212</v>
      </c>
      <c r="M39" s="999" t="s">
        <v>1213</v>
      </c>
    </row>
    <row r="40" spans="1:16">
      <c r="A40" s="822" t="s">
        <v>958</v>
      </c>
      <c r="B40" s="822">
        <v>30</v>
      </c>
      <c r="C40" s="822" t="s">
        <v>633</v>
      </c>
      <c r="D40" s="822">
        <f>B40*0.01</f>
        <v>0.3</v>
      </c>
      <c r="E40" s="1000"/>
      <c r="F40" s="1000"/>
      <c r="G40" s="1000"/>
      <c r="H40" s="1000"/>
      <c r="I40" s="1000"/>
      <c r="J40" s="1003"/>
      <c r="K40" s="1000"/>
      <c r="L40" s="1000"/>
      <c r="M40" s="1000"/>
    </row>
    <row r="41" spans="1:16">
      <c r="A41" s="822" t="s">
        <v>254</v>
      </c>
      <c r="B41" s="822">
        <v>4</v>
      </c>
      <c r="C41" s="822" t="s">
        <v>1201</v>
      </c>
      <c r="D41" s="822">
        <v>16</v>
      </c>
      <c r="E41" s="1000"/>
      <c r="F41" s="1000"/>
      <c r="G41" s="1000"/>
      <c r="H41" s="1000"/>
      <c r="I41" s="1000"/>
      <c r="J41" s="1003"/>
      <c r="K41" s="1000"/>
      <c r="L41" s="1000"/>
      <c r="M41" s="1000"/>
    </row>
    <row r="42" spans="1:16" ht="14.25" customHeight="1" thickBot="1">
      <c r="C42" s="823" t="s">
        <v>1244</v>
      </c>
      <c r="D42" s="823" t="s">
        <v>1245</v>
      </c>
      <c r="E42" s="1001" t="s">
        <v>1246</v>
      </c>
      <c r="F42" s="1001"/>
      <c r="G42" s="1001"/>
      <c r="H42" s="1001"/>
      <c r="I42" s="1001"/>
      <c r="J42" s="1004"/>
      <c r="K42" s="1001"/>
      <c r="L42" s="1001"/>
      <c r="M42" s="1001"/>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TinhMong!B45</f>
        <v>0.54999999999999993</v>
      </c>
      <c r="C45" s="822" t="s">
        <v>6</v>
      </c>
      <c r="E45" s="823" t="s">
        <v>1328</v>
      </c>
    </row>
    <row r="46" spans="1:16">
      <c r="A46" s="822" t="s">
        <v>1247</v>
      </c>
      <c r="B46" s="822">
        <f>TinhMong!B46</f>
        <v>-1.5</v>
      </c>
      <c r="C46" s="822" t="s">
        <v>6</v>
      </c>
      <c r="D46" s="822">
        <f>ABS(B46)</f>
        <v>1.5</v>
      </c>
    </row>
    <row r="47" spans="1:16">
      <c r="A47" s="822" t="s">
        <v>1249</v>
      </c>
      <c r="B47" s="822">
        <f>TinhMong!B47</f>
        <v>10.4</v>
      </c>
      <c r="C47" s="822" t="s">
        <v>6</v>
      </c>
    </row>
    <row r="48" spans="1:16">
      <c r="A48" s="822" t="s">
        <v>1251</v>
      </c>
      <c r="B48" s="822">
        <f>TinhMong!B48</f>
        <v>-15.9</v>
      </c>
      <c r="C48" s="822" t="s">
        <v>6</v>
      </c>
    </row>
    <row r="49" spans="1:18">
      <c r="A49" s="822" t="s">
        <v>1250</v>
      </c>
      <c r="B49" s="959">
        <f>TinhMong!B49</f>
        <v>4</v>
      </c>
      <c r="C49" s="822" t="s">
        <v>6</v>
      </c>
    </row>
    <row r="50" spans="1:18">
      <c r="A50" s="822" t="s">
        <v>1261</v>
      </c>
      <c r="B50" s="822">
        <f>TinhMong!B50</f>
        <v>0.1</v>
      </c>
      <c r="C50" s="822" t="s">
        <v>6</v>
      </c>
      <c r="D50" s="822" t="s">
        <v>1329</v>
      </c>
      <c r="G50" s="822">
        <f>ABS(B46)+ABS(B48)+B49</f>
        <v>21.4</v>
      </c>
      <c r="H50" s="822">
        <f>+G50-B45</f>
        <v>20.849999999999998</v>
      </c>
    </row>
    <row r="51" spans="1:18">
      <c r="A51" s="822" t="s">
        <v>1260</v>
      </c>
      <c r="B51" s="822">
        <f>TinhMong!B51</f>
        <v>19.899999999999999</v>
      </c>
      <c r="C51" s="822" t="s">
        <v>6</v>
      </c>
    </row>
    <row r="52" spans="1:18">
      <c r="A52" s="822" t="s">
        <v>1262</v>
      </c>
      <c r="B52" s="822">
        <f>TinhMong!B52</f>
        <v>20</v>
      </c>
    </row>
    <row r="53" spans="1:18">
      <c r="A53" s="822" t="s">
        <v>1252</v>
      </c>
      <c r="B53" s="822">
        <f>TinhMong!B53</f>
        <v>2</v>
      </c>
      <c r="C53" s="822" t="s">
        <v>1254</v>
      </c>
    </row>
    <row r="54" spans="1:18">
      <c r="A54" s="822" t="s">
        <v>1253</v>
      </c>
      <c r="B54" s="822">
        <f>TinhMong!B54</f>
        <v>10</v>
      </c>
      <c r="C54" s="822" t="s">
        <v>6</v>
      </c>
    </row>
    <row r="55" spans="1:18">
      <c r="A55" s="823" t="s">
        <v>1256</v>
      </c>
    </row>
    <row r="56" spans="1:18">
      <c r="A56" s="823" t="s">
        <v>1257</v>
      </c>
    </row>
    <row r="57" spans="1:18" ht="17" thickBot="1">
      <c r="A57" s="889" t="s">
        <v>1258</v>
      </c>
      <c r="B57" s="822">
        <f>ROUND(1.028-0.0000288*B58^2-0.0016*B58,3)</f>
        <v>0.30299999999999999</v>
      </c>
    </row>
    <row r="58" spans="1:18" ht="20" customHeight="1" thickBot="1">
      <c r="A58" s="822" t="s">
        <v>1259</v>
      </c>
      <c r="B58" s="822">
        <f>ROUND(B60/D39,3)</f>
        <v>133.333</v>
      </c>
      <c r="K58" s="1016" t="s">
        <v>1340</v>
      </c>
      <c r="L58" s="1016" t="s">
        <v>1339</v>
      </c>
      <c r="M58" s="1016" t="s">
        <v>1338</v>
      </c>
      <c r="N58" s="865" t="s">
        <v>1287</v>
      </c>
      <c r="O58" s="865" t="s">
        <v>1288</v>
      </c>
      <c r="P58" s="1016" t="s">
        <v>1289</v>
      </c>
      <c r="Q58" s="866" t="s">
        <v>1290</v>
      </c>
      <c r="R58" s="865" t="s">
        <v>1291</v>
      </c>
    </row>
    <row r="59" spans="1:18" ht="19.5" thickBot="1">
      <c r="A59" s="822" t="s">
        <v>1263</v>
      </c>
      <c r="B59" s="822">
        <v>2</v>
      </c>
      <c r="D59" s="822" t="s">
        <v>1345</v>
      </c>
      <c r="K59" s="1018"/>
      <c r="L59" s="1018"/>
      <c r="M59" s="1018"/>
      <c r="N59" s="867" t="s">
        <v>6</v>
      </c>
      <c r="O59" s="867" t="s">
        <v>6</v>
      </c>
      <c r="P59" s="1018"/>
      <c r="Q59" s="868" t="s">
        <v>1337</v>
      </c>
      <c r="R59" s="867" t="s">
        <v>845</v>
      </c>
    </row>
    <row r="60" spans="1:18" ht="17" thickBot="1">
      <c r="A60" s="822" t="s">
        <v>468</v>
      </c>
      <c r="B60" s="822">
        <f>B59*B52</f>
        <v>40</v>
      </c>
      <c r="C60" s="822" t="s">
        <v>6</v>
      </c>
      <c r="K60" s="869" t="s">
        <v>1332</v>
      </c>
      <c r="L60" s="252" t="s">
        <v>696</v>
      </c>
      <c r="M60" s="252" t="s">
        <v>696</v>
      </c>
      <c r="N60" s="252">
        <v>0</v>
      </c>
      <c r="O60" s="252" t="s">
        <v>696</v>
      </c>
      <c r="P60" s="252" t="s">
        <v>696</v>
      </c>
      <c r="Q60" s="252" t="s">
        <v>696</v>
      </c>
      <c r="R60" s="252" t="s">
        <v>696</v>
      </c>
    </row>
    <row r="61" spans="1:18" ht="20" thickBot="1">
      <c r="A61" s="822" t="s">
        <v>1264</v>
      </c>
      <c r="B61" s="822">
        <f>D39*D40</f>
        <v>0.09</v>
      </c>
      <c r="C61" s="822" t="s">
        <v>3</v>
      </c>
      <c r="K61" s="890" t="s">
        <v>1333</v>
      </c>
      <c r="L61" s="252" t="s">
        <v>1294</v>
      </c>
      <c r="M61" s="252" t="s">
        <v>1295</v>
      </c>
      <c r="N61" s="252">
        <f>+O61/2+N60</f>
        <v>5</v>
      </c>
      <c r="O61" s="252">
        <v>10</v>
      </c>
      <c r="P61" s="252">
        <v>1</v>
      </c>
      <c r="Q61" s="252">
        <v>0.8</v>
      </c>
      <c r="R61" s="891">
        <f>Q61*P61*O61</f>
        <v>8</v>
      </c>
    </row>
    <row r="62" spans="1:1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2">Q62*P62*O62</f>
        <v>9.1079999999999988</v>
      </c>
    </row>
    <row r="63" spans="1:18" ht="33.5" thickBot="1">
      <c r="A63" s="822" t="s">
        <v>1265</v>
      </c>
      <c r="B63" s="886">
        <f>ROUND(B57*(H22*B61+H31*D62),0)</f>
        <v>46</v>
      </c>
      <c r="C63" s="822" t="s">
        <v>672</v>
      </c>
      <c r="K63" s="890" t="s">
        <v>1335</v>
      </c>
      <c r="L63" s="870" t="s">
        <v>1297</v>
      </c>
      <c r="M63" s="252" t="s">
        <v>1298</v>
      </c>
      <c r="N63" s="252">
        <f t="shared" ref="N63:N64" si="3">+N62+O63/2+O62/2</f>
        <v>15.25</v>
      </c>
      <c r="O63" s="252">
        <v>1.3</v>
      </c>
      <c r="P63" s="252">
        <v>1</v>
      </c>
      <c r="Q63" s="252">
        <v>5.25</v>
      </c>
      <c r="R63" s="891">
        <f t="shared" si="2"/>
        <v>6.8250000000000002</v>
      </c>
    </row>
    <row r="64" spans="1:18" ht="20" thickBot="1">
      <c r="A64" s="823" t="s">
        <v>1267</v>
      </c>
      <c r="K64" s="890" t="s">
        <v>1336</v>
      </c>
      <c r="L64" s="870" t="s">
        <v>1299</v>
      </c>
      <c r="M64" s="252" t="s">
        <v>1300</v>
      </c>
      <c r="N64" s="252">
        <f t="shared" si="3"/>
        <v>17.899999999999999</v>
      </c>
      <c r="O64" s="252">
        <f>B49</f>
        <v>4</v>
      </c>
      <c r="P64" s="252">
        <v>1</v>
      </c>
      <c r="Q64" s="252">
        <v>3.1</v>
      </c>
      <c r="R64" s="891">
        <f t="shared" si="2"/>
        <v>12.4</v>
      </c>
    </row>
    <row r="65" spans="1:18" ht="17" thickBot="1">
      <c r="A65" s="822" t="s">
        <v>1268</v>
      </c>
      <c r="B65" s="822">
        <v>1</v>
      </c>
      <c r="D65" s="822" t="s">
        <v>1330</v>
      </c>
      <c r="K65" s="890"/>
      <c r="L65" s="870"/>
      <c r="M65" s="252"/>
      <c r="N65" s="252"/>
      <c r="O65" s="252">
        <f>SUM(O61:O64)</f>
        <v>19.899999999999999</v>
      </c>
      <c r="P65" s="252"/>
      <c r="Q65" s="252"/>
      <c r="R65" s="891"/>
    </row>
    <row r="66" spans="1:18" ht="20" thickBot="1">
      <c r="A66" s="7" t="s">
        <v>1269</v>
      </c>
      <c r="B66" s="822">
        <v>0.9</v>
      </c>
      <c r="K66" s="890"/>
      <c r="L66" s="870"/>
      <c r="M66" s="252"/>
      <c r="N66" s="252"/>
      <c r="O66" s="252"/>
      <c r="P66" s="252"/>
      <c r="Q66" s="252"/>
      <c r="R66" s="891"/>
    </row>
    <row r="67" spans="1:18" ht="17" thickBot="1">
      <c r="A67" s="822" t="s">
        <v>1270</v>
      </c>
      <c r="B67" s="822">
        <v>0.9</v>
      </c>
      <c r="K67" s="528"/>
      <c r="L67" s="528"/>
      <c r="M67" s="528"/>
      <c r="N67" s="528"/>
      <c r="O67" s="528"/>
      <c r="P67" s="528"/>
      <c r="Q67" s="948" t="s">
        <v>659</v>
      </c>
      <c r="R67" s="891">
        <f>SUM(R61:R66)</f>
        <v>36.332999999999998</v>
      </c>
    </row>
    <row r="68" spans="1:18">
      <c r="A68" s="822" t="s">
        <v>1271</v>
      </c>
      <c r="B68" s="822">
        <f>(B39+B40)*2</f>
        <v>120</v>
      </c>
      <c r="C68" s="822" t="s">
        <v>633</v>
      </c>
      <c r="D68" s="822">
        <f>B68/100</f>
        <v>1.2</v>
      </c>
      <c r="E68" s="822" t="s">
        <v>6</v>
      </c>
    </row>
    <row r="69" spans="1:18">
      <c r="A69" s="822" t="s">
        <v>1272</v>
      </c>
      <c r="B69" s="822">
        <f>N70</f>
        <v>184.2</v>
      </c>
      <c r="C69" s="822" t="s">
        <v>733</v>
      </c>
      <c r="D69" s="822">
        <f>B69*B61*B66</f>
        <v>14.920199999999999</v>
      </c>
      <c r="E69" s="822" t="s">
        <v>672</v>
      </c>
      <c r="F69" s="822">
        <f>8.8/0.9/B61</f>
        <v>108.64197530864199</v>
      </c>
      <c r="K69" s="822">
        <v>0.5</v>
      </c>
    </row>
    <row r="70" spans="1:18">
      <c r="A70" s="822" t="s">
        <v>1273</v>
      </c>
      <c r="C70" s="822">
        <v>0.5</v>
      </c>
      <c r="J70" s="822">
        <v>15</v>
      </c>
      <c r="K70" s="822">
        <v>165</v>
      </c>
      <c r="M70" s="822">
        <f>G50</f>
        <v>21.4</v>
      </c>
      <c r="N70" s="822">
        <f>(K71-K70)/(J71-J70)*(M70-J70)+K70</f>
        <v>184.2</v>
      </c>
    </row>
    <row r="71" spans="1:18">
      <c r="A71" s="822" t="s">
        <v>1274</v>
      </c>
      <c r="J71" s="822">
        <v>20</v>
      </c>
      <c r="K71" s="822">
        <v>180</v>
      </c>
    </row>
    <row r="72" spans="1:18" ht="19.5">
      <c r="A72" s="7" t="s">
        <v>1331</v>
      </c>
      <c r="B72" s="822">
        <f>D39*D40</f>
        <v>0.09</v>
      </c>
      <c r="C72" s="822" t="s">
        <v>3</v>
      </c>
    </row>
    <row r="73" spans="1:18">
      <c r="A73" s="822" t="s">
        <v>1341</v>
      </c>
      <c r="B73" s="892">
        <f>B65*(B66*B69*B72+D68*E74)</f>
        <v>58.519799999999996</v>
      </c>
    </row>
    <row r="74" spans="1:18">
      <c r="A74" s="822" t="s">
        <v>1342</v>
      </c>
      <c r="B74" s="892">
        <v>1.55</v>
      </c>
      <c r="D74" s="822" t="s">
        <v>1309</v>
      </c>
      <c r="E74" s="892">
        <f>R67</f>
        <v>36.332999999999998</v>
      </c>
      <c r="F74" s="822" t="s">
        <v>672</v>
      </c>
    </row>
    <row r="75" spans="1:18">
      <c r="A75" s="822" t="s">
        <v>1343</v>
      </c>
      <c r="B75" s="892">
        <f>B73/B74</f>
        <v>37.754709677419349</v>
      </c>
    </row>
    <row r="76" spans="1:18">
      <c r="A76" s="823" t="s">
        <v>1344</v>
      </c>
      <c r="B76" s="936" t="e">
        <f>[2]Locsolieu!#REF!</f>
        <v>#REF!</v>
      </c>
      <c r="C76" s="822" t="s">
        <v>446</v>
      </c>
    </row>
    <row r="77" spans="1:18" ht="16.5">
      <c r="A77" s="893" t="s">
        <v>1350</v>
      </c>
      <c r="J77" s="822">
        <v>6.7750000000000004</v>
      </c>
      <c r="K77" s="822">
        <f>+J77+1.5</f>
        <v>8.2750000000000004</v>
      </c>
      <c r="L77" s="822">
        <f>10-K77</f>
        <v>1.7249999999999996</v>
      </c>
    </row>
    <row r="78" spans="1:18">
      <c r="A78" s="822" t="s">
        <v>178</v>
      </c>
      <c r="B78" s="822">
        <v>300</v>
      </c>
      <c r="L78" s="822">
        <f>10-J77</f>
        <v>3.2249999999999996</v>
      </c>
    </row>
    <row r="79" spans="1:18">
      <c r="A79" s="822" t="s">
        <v>630</v>
      </c>
      <c r="B79" s="822">
        <f>I43</f>
        <v>16</v>
      </c>
      <c r="L79" s="822">
        <f>1.5+10/2</f>
        <v>6.5</v>
      </c>
    </row>
    <row r="83" spans="1:13">
      <c r="M83" s="908"/>
    </row>
    <row r="86" spans="1:13">
      <c r="A86" s="822" t="s">
        <v>1351</v>
      </c>
      <c r="B86" s="907">
        <f>MIN(B75,B63)</f>
        <v>37.754709677419349</v>
      </c>
      <c r="C86" s="822" t="s">
        <v>672</v>
      </c>
    </row>
    <row r="87" spans="1:13">
      <c r="A87" s="822" t="s">
        <v>1352</v>
      </c>
      <c r="B87" s="822">
        <f>+B72*B52*2.5</f>
        <v>4.5</v>
      </c>
    </row>
    <row r="88" spans="1:13" ht="14.5" thickBot="1">
      <c r="A88" s="822" t="s">
        <v>1353</v>
      </c>
      <c r="B88" s="909">
        <f>B86-B87</f>
        <v>33.254709677419349</v>
      </c>
    </row>
    <row r="89" spans="1:13" ht="14.5" thickBot="1">
      <c r="A89" s="823" t="s">
        <v>1366</v>
      </c>
      <c r="E89" s="910" t="s">
        <v>1354</v>
      </c>
      <c r="F89" s="911" t="s">
        <v>1355</v>
      </c>
      <c r="G89" s="911" t="s">
        <v>630</v>
      </c>
      <c r="H89" s="911" t="s">
        <v>524</v>
      </c>
      <c r="I89" s="911" t="s">
        <v>523</v>
      </c>
      <c r="J89" s="911" t="s">
        <v>1445</v>
      </c>
      <c r="K89" s="911" t="s">
        <v>1446</v>
      </c>
      <c r="L89" s="822" t="s">
        <v>1378</v>
      </c>
      <c r="M89" s="822" t="s">
        <v>1379</v>
      </c>
    </row>
    <row r="90" spans="1:13" ht="26.5" thickBot="1">
      <c r="A90" s="889" t="s">
        <v>242</v>
      </c>
      <c r="B90" s="822">
        <v>1.2</v>
      </c>
      <c r="C90" s="822">
        <v>1.6</v>
      </c>
      <c r="E90" s="935" t="e">
        <f>[2]Locsolieu!#REF!</f>
        <v>#REF!</v>
      </c>
      <c r="F90" s="912" t="s">
        <v>1361</v>
      </c>
      <c r="G90" s="937" t="e">
        <f>[2]Locsolieu!#REF!</f>
        <v>#REF!</v>
      </c>
      <c r="H90" s="937" t="e">
        <f>[2]Locsolieu!#REF!</f>
        <v>#REF!</v>
      </c>
      <c r="I90" s="937" t="e">
        <f>[2]Locsolieu!#REF!</f>
        <v>#REF!</v>
      </c>
      <c r="J90" s="937" t="e">
        <f>[2]Locsolieu!#REF!</f>
        <v>#REF!</v>
      </c>
      <c r="K90" s="937" t="e">
        <f>[2]Locsolieu!#REF!</f>
        <v>#REF!</v>
      </c>
      <c r="L90" s="822" t="e">
        <f>I90+J90*$B$45</f>
        <v>#REF!</v>
      </c>
      <c r="M90" s="822" t="e">
        <f>H90+K90*$B$45</f>
        <v>#REF!</v>
      </c>
    </row>
    <row r="91" spans="1:13" ht="39.5" thickBot="1">
      <c r="A91" s="822" t="s">
        <v>1367</v>
      </c>
      <c r="B91" s="913" t="e">
        <f>B90*G90/$B$88</f>
        <v>#REF!</v>
      </c>
      <c r="C91" s="913" t="e">
        <f>C90*G90/$B$88</f>
        <v>#REF!</v>
      </c>
      <c r="E91" s="935" t="e">
        <f>[2]Locsolieu!#REF!</f>
        <v>#REF!</v>
      </c>
      <c r="F91" s="912" t="s">
        <v>1362</v>
      </c>
      <c r="G91" s="937" t="e">
        <f>[2]Locsolieu!#REF!</f>
        <v>#REF!</v>
      </c>
      <c r="H91" s="937" t="e">
        <f>[2]Locsolieu!#REF!</f>
        <v>#REF!</v>
      </c>
      <c r="I91" s="937" t="e">
        <f>[2]Locsolieu!#REF!</f>
        <v>#REF!</v>
      </c>
      <c r="J91" s="937" t="e">
        <f>[2]Locsolieu!#REF!</f>
        <v>#REF!</v>
      </c>
      <c r="K91" s="937" t="e">
        <f>[2]Locsolieu!#REF!</f>
        <v>#REF!</v>
      </c>
      <c r="L91" s="822" t="e">
        <f>I91+J91*$B$45</f>
        <v>#REF!</v>
      </c>
      <c r="M91" s="822" t="e">
        <f>H91+K91*$B$45</f>
        <v>#REF!</v>
      </c>
    </row>
    <row r="92" spans="1:13" ht="26.5" thickBot="1">
      <c r="A92" s="822" t="s">
        <v>249</v>
      </c>
      <c r="B92" s="822">
        <v>3</v>
      </c>
      <c r="E92" s="935" t="e">
        <f>[2]Locsolieu!#REF!</f>
        <v>#REF!</v>
      </c>
      <c r="F92" s="912" t="s">
        <v>1363</v>
      </c>
      <c r="G92" s="937" t="e">
        <f>[2]Locsolieu!#REF!</f>
        <v>#REF!</v>
      </c>
      <c r="H92" s="937" t="e">
        <f>[2]Locsolieu!#REF!</f>
        <v>#REF!</v>
      </c>
      <c r="I92" s="937" t="e">
        <f>[2]Locsolieu!#REF!</f>
        <v>#REF!</v>
      </c>
      <c r="J92" s="937" t="e">
        <f>[2]Locsolieu!#REF!</f>
        <v>#REF!</v>
      </c>
      <c r="K92" s="937" t="e">
        <f>[2]Locsolieu!#REF!</f>
        <v>#REF!</v>
      </c>
      <c r="L92" s="822" t="e">
        <f t="shared" ref="L92:L94" si="4">I92+J92*$B$45</f>
        <v>#REF!</v>
      </c>
      <c r="M92" s="822" t="e">
        <f t="shared" ref="M92:M94" si="5">H92+K92*$B$45</f>
        <v>#REF!</v>
      </c>
    </row>
    <row r="93" spans="1:13" ht="26.5" thickBot="1">
      <c r="A93" s="822" t="s">
        <v>1368</v>
      </c>
      <c r="B93" s="822">
        <f>3*D39</f>
        <v>0.89999999999999991</v>
      </c>
      <c r="E93" s="935" t="e">
        <f>[2]Locsolieu!#REF!</f>
        <v>#REF!</v>
      </c>
      <c r="F93" s="912" t="s">
        <v>1364</v>
      </c>
      <c r="G93" s="937" t="e">
        <f>[2]Locsolieu!#REF!</f>
        <v>#REF!</v>
      </c>
      <c r="H93" s="937" t="e">
        <f>[2]Locsolieu!#REF!</f>
        <v>#REF!</v>
      </c>
      <c r="I93" s="937" t="e">
        <f>[2]Locsolieu!#REF!</f>
        <v>#REF!</v>
      </c>
      <c r="J93" s="937" t="e">
        <f>[2]Locsolieu!#REF!</f>
        <v>#REF!</v>
      </c>
      <c r="K93" s="937" t="e">
        <f>[2]Locsolieu!#REF!</f>
        <v>#REF!</v>
      </c>
      <c r="L93" s="822" t="e">
        <f t="shared" si="4"/>
        <v>#REF!</v>
      </c>
      <c r="M93" s="822" t="e">
        <f t="shared" si="5"/>
        <v>#REF!</v>
      </c>
    </row>
    <row r="94" spans="1:13" ht="26.5" thickBot="1">
      <c r="A94" s="822" t="s">
        <v>1369</v>
      </c>
      <c r="B94" s="822">
        <f>3*D39</f>
        <v>0.89999999999999991</v>
      </c>
      <c r="E94" s="935" t="e">
        <f>[2]Locsolieu!#REF!</f>
        <v>#REF!</v>
      </c>
      <c r="F94" s="912" t="s">
        <v>1365</v>
      </c>
      <c r="G94" s="937" t="e">
        <f>[2]Locsolieu!#REF!</f>
        <v>#REF!</v>
      </c>
      <c r="H94" s="937" t="e">
        <f>[2]Locsolieu!#REF!</f>
        <v>#REF!</v>
      </c>
      <c r="I94" s="937" t="e">
        <f>[2]Locsolieu!#REF!</f>
        <v>#REF!</v>
      </c>
      <c r="J94" s="937" t="e">
        <f>[2]Locsolieu!#REF!</f>
        <v>#REF!</v>
      </c>
      <c r="K94" s="937" t="e">
        <f>[2]Locsolieu!#REF!</f>
        <v>#REF!</v>
      </c>
      <c r="L94" s="822" t="e">
        <f t="shared" si="4"/>
        <v>#REF!</v>
      </c>
      <c r="M94" s="822" t="e">
        <f t="shared" si="5"/>
        <v>#REF!</v>
      </c>
    </row>
    <row r="95" spans="1:13">
      <c r="A95" s="822" t="s">
        <v>1370</v>
      </c>
      <c r="B95" s="822">
        <f>D39/2</f>
        <v>0.15</v>
      </c>
    </row>
    <row r="96" spans="1:13">
      <c r="A96" s="822" t="s">
        <v>623</v>
      </c>
      <c r="B96" s="822">
        <v>1.5</v>
      </c>
      <c r="C96" s="822" t="s">
        <v>6</v>
      </c>
    </row>
    <row r="97" spans="1:26">
      <c r="A97" s="822" t="s">
        <v>229</v>
      </c>
      <c r="B97" s="822">
        <f>B94+D39+B95*2</f>
        <v>1.5</v>
      </c>
      <c r="C97" s="822" t="s">
        <v>6</v>
      </c>
    </row>
    <row r="98" spans="1:26">
      <c r="A98" s="822" t="s">
        <v>1375</v>
      </c>
      <c r="B98" s="822">
        <f>B96*B97</f>
        <v>2.25</v>
      </c>
      <c r="C98" s="822" t="s">
        <v>3</v>
      </c>
      <c r="Q98" s="929"/>
      <c r="R98" s="929"/>
      <c r="S98" s="929"/>
      <c r="T98" s="929"/>
      <c r="U98" s="929"/>
      <c r="V98" s="929"/>
      <c r="W98" s="929"/>
    </row>
    <row r="100" spans="1:26" ht="17.5">
      <c r="A100" s="823" t="s">
        <v>1371</v>
      </c>
      <c r="E100" s="914" t="s">
        <v>1380</v>
      </c>
      <c r="F100" s="914" t="s">
        <v>1381</v>
      </c>
      <c r="G100" s="914" t="s">
        <v>1382</v>
      </c>
      <c r="H100" s="914" t="s">
        <v>1383</v>
      </c>
      <c r="I100" s="914" t="s">
        <v>1384</v>
      </c>
      <c r="J100" s="914" t="s">
        <v>1387</v>
      </c>
      <c r="K100" s="914" t="s">
        <v>1385</v>
      </c>
      <c r="L100" s="914" t="s">
        <v>1386</v>
      </c>
      <c r="Q100" s="929" t="str">
        <f>E100</f>
        <v>Tên cọc</v>
      </c>
      <c r="R100" s="929" t="s">
        <v>1460</v>
      </c>
      <c r="S100" s="929" t="s">
        <v>1461</v>
      </c>
      <c r="T100" s="929" t="s">
        <v>1462</v>
      </c>
      <c r="U100" s="929"/>
      <c r="V100" s="929" t="s">
        <v>1463</v>
      </c>
      <c r="W100" s="929" t="s">
        <v>1464</v>
      </c>
    </row>
    <row r="101" spans="1:26" ht="19.5">
      <c r="A101" s="7" t="s">
        <v>1372</v>
      </c>
      <c r="B101" s="955">
        <v>1.1499999999999999</v>
      </c>
      <c r="E101" s="914">
        <v>1</v>
      </c>
      <c r="F101" s="914">
        <f>-B93/2</f>
        <v>-0.44999999999999996</v>
      </c>
      <c r="G101" s="914">
        <v>0.45</v>
      </c>
      <c r="H101" s="915">
        <f t="shared" ref="H101:I103" si="6">F101^2</f>
        <v>0.20249999999999996</v>
      </c>
      <c r="I101" s="915">
        <f t="shared" si="6"/>
        <v>0.20250000000000001</v>
      </c>
      <c r="J101" s="916"/>
      <c r="K101" s="914"/>
      <c r="L101" s="917" t="e">
        <f>$B$105/$B$92+$L$90*G101/$I$104+$M$90*F101/$H$104</f>
        <v>#REF!</v>
      </c>
      <c r="Q101" s="930">
        <f t="shared" ref="Q101:T103" si="7">E101</f>
        <v>1</v>
      </c>
      <c r="R101" s="945">
        <f t="shared" si="7"/>
        <v>-0.44999999999999996</v>
      </c>
      <c r="S101" s="945">
        <f t="shared" si="7"/>
        <v>0.45</v>
      </c>
      <c r="T101" s="945">
        <f t="shared" si="7"/>
        <v>0.20249999999999996</v>
      </c>
      <c r="U101" s="945"/>
      <c r="V101" s="945">
        <f>I101</f>
        <v>0.20250000000000001</v>
      </c>
      <c r="W101" s="945" t="e">
        <f>L101</f>
        <v>#REF!</v>
      </c>
    </row>
    <row r="102" spans="1:26">
      <c r="A102" s="822" t="s">
        <v>1373</v>
      </c>
      <c r="B102" s="955">
        <v>2.5</v>
      </c>
      <c r="C102" s="822" t="s">
        <v>672</v>
      </c>
      <c r="E102" s="914">
        <v>2</v>
      </c>
      <c r="F102" s="914">
        <f>+B93/2</f>
        <v>0.44999999999999996</v>
      </c>
      <c r="G102" s="914">
        <v>0</v>
      </c>
      <c r="H102" s="915">
        <f t="shared" si="6"/>
        <v>0.20249999999999996</v>
      </c>
      <c r="I102" s="915">
        <f t="shared" si="6"/>
        <v>0</v>
      </c>
      <c r="J102" s="914"/>
      <c r="K102" s="914"/>
      <c r="L102" s="917" t="e">
        <f>$B$105/$B$92+$L$90*G102/$I$104+$M$90*F102/$H$104</f>
        <v>#REF!</v>
      </c>
      <c r="Q102" s="930">
        <f t="shared" si="7"/>
        <v>2</v>
      </c>
      <c r="R102" s="945">
        <f t="shared" si="7"/>
        <v>0.44999999999999996</v>
      </c>
      <c r="S102" s="945">
        <f t="shared" si="7"/>
        <v>0</v>
      </c>
      <c r="T102" s="945">
        <f t="shared" si="7"/>
        <v>0.20249999999999996</v>
      </c>
      <c r="U102" s="945"/>
      <c r="V102" s="945">
        <f>I102</f>
        <v>0</v>
      </c>
      <c r="W102" s="945" t="e">
        <f t="shared" ref="W102:W103" si="8">L102</f>
        <v>#REF!</v>
      </c>
    </row>
    <row r="103" spans="1:26">
      <c r="A103" s="822" t="s">
        <v>1374</v>
      </c>
      <c r="B103" s="955">
        <v>1.1499999999999999</v>
      </c>
      <c r="E103" s="914">
        <v>3</v>
      </c>
      <c r="F103" s="914">
        <v>-0.45</v>
      </c>
      <c r="G103" s="914">
        <v>-0.45</v>
      </c>
      <c r="H103" s="915">
        <f t="shared" si="6"/>
        <v>0.20250000000000001</v>
      </c>
      <c r="I103" s="915">
        <f t="shared" si="6"/>
        <v>0.20250000000000001</v>
      </c>
      <c r="J103" s="914"/>
      <c r="K103" s="914"/>
      <c r="L103" s="917" t="e">
        <f>$B$105/$B$92+$L$90*G103/$I$104+$M$90*F103/$H$104</f>
        <v>#REF!</v>
      </c>
      <c r="Q103" s="930">
        <v>3</v>
      </c>
      <c r="R103" s="945">
        <f t="shared" si="7"/>
        <v>-0.45</v>
      </c>
      <c r="S103" s="945">
        <f t="shared" si="7"/>
        <v>-0.45</v>
      </c>
      <c r="T103" s="945">
        <f t="shared" si="7"/>
        <v>0.20250000000000001</v>
      </c>
      <c r="U103" s="945"/>
      <c r="V103" s="945">
        <f>I103</f>
        <v>0.20250000000000001</v>
      </c>
      <c r="W103" s="945" t="e">
        <f t="shared" si="8"/>
        <v>#REF!</v>
      </c>
    </row>
    <row r="104" spans="1:26">
      <c r="A104" s="822" t="s">
        <v>1376</v>
      </c>
      <c r="B104" s="955">
        <f>B102*B98*B45*B101</f>
        <v>3.5578124999999994</v>
      </c>
      <c r="C104" s="822" t="s">
        <v>672</v>
      </c>
      <c r="H104" s="907">
        <f>SUM(H101:H103)</f>
        <v>0.60749999999999993</v>
      </c>
      <c r="I104" s="907">
        <f>SUM(I101:I103)</f>
        <v>0.40500000000000003</v>
      </c>
      <c r="K104" s="822" t="s">
        <v>1388</v>
      </c>
      <c r="L104" s="892" t="e">
        <f>MAX(L101:L103)</f>
        <v>#REF!</v>
      </c>
    </row>
    <row r="105" spans="1:26">
      <c r="A105" s="822" t="s">
        <v>1377</v>
      </c>
      <c r="B105" s="955" t="e">
        <f>B104+G90</f>
        <v>#REF!</v>
      </c>
      <c r="C105" s="822" t="s">
        <v>672</v>
      </c>
      <c r="K105" s="822" t="s">
        <v>1390</v>
      </c>
      <c r="L105" s="892" t="e">
        <f>MIN(L101:L103)</f>
        <v>#REF!</v>
      </c>
    </row>
    <row r="106" spans="1:26">
      <c r="A106" s="822" t="s">
        <v>1389</v>
      </c>
      <c r="B106" s="955">
        <f>B101/B103*B88</f>
        <v>33.254709677419349</v>
      </c>
      <c r="K106" s="822">
        <f>1.2*1.2</f>
        <v>1.44</v>
      </c>
    </row>
    <row r="107" spans="1:26" ht="16">
      <c r="Q107" s="993" t="str">
        <f>E108</f>
        <v>Tên cọc</v>
      </c>
      <c r="R107" s="993" t="s">
        <v>1460</v>
      </c>
      <c r="S107" s="993" t="s">
        <v>1461</v>
      </c>
      <c r="T107" s="993" t="s">
        <v>1462</v>
      </c>
      <c r="U107" s="946"/>
      <c r="V107" s="993" t="s">
        <v>1463</v>
      </c>
      <c r="W107" s="995" t="s">
        <v>1464</v>
      </c>
      <c r="X107" s="995"/>
      <c r="Y107" s="995"/>
      <c r="Z107" s="995"/>
    </row>
    <row r="108" spans="1:26" ht="16">
      <c r="E108" s="914" t="s">
        <v>1380</v>
      </c>
      <c r="F108" s="914" t="s">
        <v>1381</v>
      </c>
      <c r="G108" s="914" t="s">
        <v>1382</v>
      </c>
      <c r="H108" s="914" t="s">
        <v>1383</v>
      </c>
      <c r="I108" s="914" t="s">
        <v>1384</v>
      </c>
      <c r="J108" s="914" t="s">
        <v>1387</v>
      </c>
      <c r="K108" s="914" t="s">
        <v>1385</v>
      </c>
      <c r="L108" s="914" t="s">
        <v>1391</v>
      </c>
      <c r="M108" s="822" t="s">
        <v>1392</v>
      </c>
      <c r="N108" s="822" t="s">
        <v>1393</v>
      </c>
      <c r="O108" s="822" t="s">
        <v>1394</v>
      </c>
      <c r="Q108" s="994"/>
      <c r="R108" s="994"/>
      <c r="S108" s="994"/>
      <c r="T108" s="994"/>
      <c r="U108" s="947"/>
      <c r="V108" s="994"/>
      <c r="W108" s="931" t="s">
        <v>1465</v>
      </c>
      <c r="X108" s="931" t="s">
        <v>1466</v>
      </c>
      <c r="Y108" s="931" t="s">
        <v>1467</v>
      </c>
      <c r="Z108" s="931" t="s">
        <v>1468</v>
      </c>
    </row>
    <row r="109" spans="1:26">
      <c r="E109" s="914">
        <f>E101</f>
        <v>1</v>
      </c>
      <c r="F109" s="914">
        <f t="shared" ref="F109:K109" si="9">F101</f>
        <v>-0.44999999999999996</v>
      </c>
      <c r="G109" s="914">
        <f t="shared" si="9"/>
        <v>0.45</v>
      </c>
      <c r="H109" s="914">
        <f t="shared" si="9"/>
        <v>0.20249999999999996</v>
      </c>
      <c r="I109" s="914">
        <f t="shared" si="9"/>
        <v>0.20250000000000001</v>
      </c>
      <c r="J109" s="914">
        <f t="shared" si="9"/>
        <v>0</v>
      </c>
      <c r="K109" s="914">
        <f t="shared" si="9"/>
        <v>0</v>
      </c>
      <c r="L109" s="915" t="e">
        <f>$B$105/$B$92+$L$91*G101/$I$104+$M$91*F101/$H$104</f>
        <v>#REF!</v>
      </c>
      <c r="M109" s="915" t="e">
        <f>$B$105/$B$92+$L$92*H101/$I$104+$M$92*G101/$H$104</f>
        <v>#REF!</v>
      </c>
      <c r="N109" s="915" t="e">
        <f>$B$105/$B$92+$L$93*I101/$I$104+$M$93*H101/$H$104</f>
        <v>#REF!</v>
      </c>
      <c r="O109" s="915" t="e">
        <f>$B$105/$B$92+$L$94*J101/$I$104+$M$94*I101/$H$104</f>
        <v>#REF!</v>
      </c>
      <c r="Q109" s="930">
        <f t="shared" ref="Q109:S111" si="10">E109</f>
        <v>1</v>
      </c>
      <c r="R109" s="944">
        <f t="shared" si="10"/>
        <v>-0.44999999999999996</v>
      </c>
      <c r="S109" s="944">
        <f t="shared" si="10"/>
        <v>0.45</v>
      </c>
      <c r="T109" s="944">
        <f>ROUND(H109,2)</f>
        <v>0.2</v>
      </c>
      <c r="U109" s="944"/>
      <c r="V109" s="944">
        <f>ROUND(I109,2)</f>
        <v>0.2</v>
      </c>
      <c r="W109" s="944" t="e">
        <f>L109</f>
        <v>#REF!</v>
      </c>
      <c r="X109" s="944" t="e">
        <f t="shared" ref="X109:Z111" si="11">M109</f>
        <v>#REF!</v>
      </c>
      <c r="Y109" s="944" t="e">
        <f t="shared" si="11"/>
        <v>#REF!</v>
      </c>
      <c r="Z109" s="944" t="e">
        <f t="shared" si="11"/>
        <v>#REF!</v>
      </c>
    </row>
    <row r="110" spans="1:26">
      <c r="E110" s="914">
        <f t="shared" ref="E110:K111" si="12">E102</f>
        <v>2</v>
      </c>
      <c r="F110" s="914">
        <f t="shared" si="12"/>
        <v>0.44999999999999996</v>
      </c>
      <c r="G110" s="914">
        <f t="shared" si="12"/>
        <v>0</v>
      </c>
      <c r="H110" s="914">
        <f t="shared" si="12"/>
        <v>0.20249999999999996</v>
      </c>
      <c r="I110" s="914">
        <f t="shared" si="12"/>
        <v>0</v>
      </c>
      <c r="J110" s="914">
        <f t="shared" si="12"/>
        <v>0</v>
      </c>
      <c r="K110" s="914">
        <f t="shared" si="12"/>
        <v>0</v>
      </c>
      <c r="L110" s="915" t="e">
        <f>$B$105/$B$92+$L$91*G102/$I$104+$M$91*F102/$H$104</f>
        <v>#REF!</v>
      </c>
      <c r="M110" s="915" t="e">
        <f>$B$105/$B$92+$L$92*H102/$I$104+$M$92*G102/$H$104</f>
        <v>#REF!</v>
      </c>
      <c r="N110" s="915" t="e">
        <f>$B$105/$B$92+$L$93*I102/$I$104+$M$93*H102/$H$104</f>
        <v>#REF!</v>
      </c>
      <c r="O110" s="915" t="e">
        <f>$B$105/$B$92+$L$94*J102/$I$104+$M$94*I102/$H$104</f>
        <v>#REF!</v>
      </c>
      <c r="Q110" s="930">
        <f t="shared" si="10"/>
        <v>2</v>
      </c>
      <c r="R110" s="944">
        <f t="shared" si="10"/>
        <v>0.44999999999999996</v>
      </c>
      <c r="S110" s="944">
        <f t="shared" si="10"/>
        <v>0</v>
      </c>
      <c r="T110" s="944">
        <f t="shared" ref="T110:T111" si="13">ROUND(H110,2)</f>
        <v>0.2</v>
      </c>
      <c r="U110" s="944"/>
      <c r="V110" s="944">
        <f>ROUND(I110,2)</f>
        <v>0</v>
      </c>
      <c r="W110" s="944" t="e">
        <f t="shared" ref="W110:W111" si="14">L110</f>
        <v>#REF!</v>
      </c>
      <c r="X110" s="944" t="e">
        <f t="shared" si="11"/>
        <v>#REF!</v>
      </c>
      <c r="Y110" s="944" t="e">
        <f t="shared" si="11"/>
        <v>#REF!</v>
      </c>
      <c r="Z110" s="944" t="e">
        <f t="shared" si="11"/>
        <v>#REF!</v>
      </c>
    </row>
    <row r="111" spans="1:26">
      <c r="E111" s="914">
        <f t="shared" si="12"/>
        <v>3</v>
      </c>
      <c r="F111" s="914">
        <f t="shared" si="12"/>
        <v>-0.45</v>
      </c>
      <c r="G111" s="914">
        <f t="shared" si="12"/>
        <v>-0.45</v>
      </c>
      <c r="H111" s="914">
        <f t="shared" si="12"/>
        <v>0.20250000000000001</v>
      </c>
      <c r="I111" s="914">
        <f t="shared" si="12"/>
        <v>0.20250000000000001</v>
      </c>
      <c r="J111" s="914">
        <f t="shared" si="12"/>
        <v>0</v>
      </c>
      <c r="K111" s="914">
        <f t="shared" si="12"/>
        <v>0</v>
      </c>
      <c r="L111" s="915" t="e">
        <f>$B$105/$B$92+$L$91*G103/$I$104+$M$91*F103/$H$104</f>
        <v>#REF!</v>
      </c>
      <c r="M111" s="915" t="e">
        <f>$B$105/$B$92+$L$92*H103/$I$104+$M$92*G103/$H$104</f>
        <v>#REF!</v>
      </c>
      <c r="N111" s="915" t="e">
        <f>$B$105/$B$92+$L$93*I103/$I$104+$M$93*H103/$H$104</f>
        <v>#REF!</v>
      </c>
      <c r="O111" s="915" t="e">
        <f>$B$105/$B$92+$L$94*J103/$I$104+$M$94*I103/$H$104</f>
        <v>#REF!</v>
      </c>
      <c r="Q111" s="930">
        <f t="shared" si="10"/>
        <v>3</v>
      </c>
      <c r="R111" s="944">
        <f t="shared" si="10"/>
        <v>-0.45</v>
      </c>
      <c r="S111" s="944">
        <f t="shared" si="10"/>
        <v>-0.45</v>
      </c>
      <c r="T111" s="944">
        <f t="shared" si="13"/>
        <v>0.2</v>
      </c>
      <c r="U111" s="944"/>
      <c r="V111" s="944">
        <f>ROUND(I111,2)</f>
        <v>0.2</v>
      </c>
      <c r="W111" s="944" t="e">
        <f t="shared" si="14"/>
        <v>#REF!</v>
      </c>
      <c r="X111" s="944" t="e">
        <f t="shared" si="11"/>
        <v>#REF!</v>
      </c>
      <c r="Y111" s="944" t="e">
        <f t="shared" si="11"/>
        <v>#REF!</v>
      </c>
      <c r="Z111" s="944" t="e">
        <f t="shared" si="11"/>
        <v>#REF!</v>
      </c>
    </row>
    <row r="112" spans="1:26">
      <c r="A112" s="823" t="s">
        <v>1395</v>
      </c>
      <c r="L112" s="915"/>
    </row>
    <row r="113" spans="1:11">
      <c r="A113"/>
      <c r="B113" s="892">
        <f>'Co Ly dat'!W15</f>
        <v>2.251633165829146</v>
      </c>
      <c r="C113" s="954">
        <f>ROUNDDOWN(B113,0)</f>
        <v>2</v>
      </c>
      <c r="D113" s="918">
        <f>+(B113-C113)*60</f>
        <v>15.097989949748758</v>
      </c>
      <c r="F113" s="6">
        <f>'Co Ly dat'!V15</f>
        <v>9.0065326633165839</v>
      </c>
      <c r="G113" s="907">
        <f>ROUNDDOWN(F113,0)</f>
        <v>9</v>
      </c>
      <c r="H113" s="918">
        <f>+(F113-G113)*60</f>
        <v>0.39195979899503186</v>
      </c>
    </row>
    <row r="114" spans="1:11">
      <c r="A114" s="822" t="s">
        <v>1396</v>
      </c>
      <c r="B114" s="822">
        <f>B51</f>
        <v>19.899999999999999</v>
      </c>
    </row>
    <row r="115" spans="1:11">
      <c r="A115" s="822" t="s">
        <v>1397</v>
      </c>
      <c r="B115" s="892">
        <f>D115+2*B114*TAN(RADIANS(B113))</f>
        <v>2.7648824754781272</v>
      </c>
      <c r="D115" s="822">
        <f>B96-B95*2</f>
        <v>1.2</v>
      </c>
      <c r="E115" s="822">
        <f>B97-B95*2</f>
        <v>1.2</v>
      </c>
    </row>
    <row r="116" spans="1:11">
      <c r="A116" s="822" t="s">
        <v>1398</v>
      </c>
      <c r="B116" s="892">
        <f>E115+2*B114*TAN(RADIANS(B113))</f>
        <v>2.7648824754781272</v>
      </c>
      <c r="C116" s="961"/>
      <c r="F116" s="822">
        <f>TAN(PI()*RADIANS(B113))</f>
        <v>0.12409071984357102</v>
      </c>
    </row>
    <row r="117" spans="1:11">
      <c r="A117" s="822" t="s">
        <v>1399</v>
      </c>
      <c r="B117" s="892">
        <f>B115*B116</f>
        <v>7.6445751032060567</v>
      </c>
      <c r="C117" s="822" t="s">
        <v>3</v>
      </c>
    </row>
    <row r="118" spans="1:11">
      <c r="A118" s="822" t="s">
        <v>1400</v>
      </c>
      <c r="B118" s="822">
        <v>2</v>
      </c>
      <c r="I118" s="822">
        <f>SIN(J118*PI()/180)</f>
        <v>3.925981575906861E-2</v>
      </c>
      <c r="J118" s="907">
        <v>2.25</v>
      </c>
      <c r="K118" s="909">
        <f>(J118*PI()/180)</f>
        <v>3.9269908169872414E-2</v>
      </c>
    </row>
    <row r="119" spans="1:11">
      <c r="A119" s="822" t="s">
        <v>1401</v>
      </c>
      <c r="B119" s="955">
        <f>B117*D46*B118</f>
        <v>22.933725309618168</v>
      </c>
      <c r="C119" s="822" t="s">
        <v>672</v>
      </c>
      <c r="I119" s="822">
        <f>SIN((K119))</f>
        <v>3.925981575906861E-2</v>
      </c>
      <c r="K119" s="822">
        <f>RADIANS(J118)</f>
        <v>3.9269908169872414E-2</v>
      </c>
    </row>
    <row r="120" spans="1:11">
      <c r="A120" s="822" t="s">
        <v>1402</v>
      </c>
      <c r="B120" s="955">
        <f>B92*B72*B51*2.5</f>
        <v>13.432500000000001</v>
      </c>
      <c r="C120" s="822" t="s">
        <v>672</v>
      </c>
    </row>
    <row r="121" spans="1:11">
      <c r="A121" s="822" t="s">
        <v>1403</v>
      </c>
      <c r="B121" s="956">
        <f>'Co Ly dat'!N16</f>
        <v>37.548000000000002</v>
      </c>
      <c r="C121" s="822" t="s">
        <v>672</v>
      </c>
    </row>
    <row r="122" spans="1:11">
      <c r="A122" s="822" t="s">
        <v>1404</v>
      </c>
      <c r="B122" s="956">
        <f>(B117-B92*B61)*B121*1</f>
        <v>276.90054597518105</v>
      </c>
      <c r="C122" s="822" t="s">
        <v>672</v>
      </c>
      <c r="D122" s="909">
        <f>(B117-B92*B61)*B121*1</f>
        <v>276.90054597518105</v>
      </c>
    </row>
    <row r="123" spans="1:11">
      <c r="A123" s="822" t="s">
        <v>1405</v>
      </c>
      <c r="B123" s="956">
        <f>B119+B120+B122</f>
        <v>313.26677128479923</v>
      </c>
      <c r="C123" s="822" t="s">
        <v>672</v>
      </c>
    </row>
    <row r="124" spans="1:11">
      <c r="A124" s="823" t="s">
        <v>1406</v>
      </c>
    </row>
    <row r="125" spans="1:11">
      <c r="A125" s="822" t="s">
        <v>1407</v>
      </c>
      <c r="B125" s="892" t="e">
        <f>B123+G90</f>
        <v>#REF!</v>
      </c>
      <c r="C125" s="822" t="s">
        <v>672</v>
      </c>
    </row>
    <row r="126" spans="1:11">
      <c r="A126" s="822" t="s">
        <v>1408</v>
      </c>
      <c r="B126" s="892" t="e">
        <f>L90/B101</f>
        <v>#REF!</v>
      </c>
      <c r="C126" s="822" t="s">
        <v>672</v>
      </c>
    </row>
    <row r="127" spans="1:11">
      <c r="A127" s="822" t="s">
        <v>1409</v>
      </c>
      <c r="B127" s="892" t="e">
        <f>M90/B101</f>
        <v>#REF!</v>
      </c>
      <c r="C127" s="822" t="s">
        <v>672</v>
      </c>
    </row>
    <row r="128" spans="1:11">
      <c r="A128" s="822" t="s">
        <v>1410</v>
      </c>
      <c r="B128" s="892">
        <f>B115^2*B116/6</f>
        <v>3.5227252892218037</v>
      </c>
    </row>
    <row r="129" spans="1:11">
      <c r="A129" s="822" t="s">
        <v>1411</v>
      </c>
      <c r="B129" s="892">
        <f>B115*B116^2/6</f>
        <v>3.5227252892218037</v>
      </c>
    </row>
    <row r="130" spans="1:11">
      <c r="A130" s="892"/>
      <c r="C130" s="823" t="s">
        <v>1444</v>
      </c>
    </row>
    <row r="131" spans="1:11">
      <c r="A131" s="822" t="s">
        <v>1412</v>
      </c>
      <c r="B131" s="822">
        <v>1.1000000000000001</v>
      </c>
      <c r="D131" s="822" t="s">
        <v>1454</v>
      </c>
      <c r="E131" s="822">
        <f>B96</f>
        <v>1.5</v>
      </c>
      <c r="F131" s="822" t="str">
        <f ca="1">TinhMong!F131</f>
        <v>bc</v>
      </c>
      <c r="G131" s="822">
        <f>C153</f>
        <v>0.3</v>
      </c>
      <c r="H131" s="822" t="s">
        <v>1456</v>
      </c>
      <c r="I131" s="822">
        <f>(E131-G131)/2-($H$134-$D$39/2)</f>
        <v>0.44999999999999996</v>
      </c>
      <c r="J131" s="822">
        <f ca="1">TinhMong!J131</f>
        <v>0</v>
      </c>
    </row>
    <row r="132" spans="1:11">
      <c r="A132" s="822" t="s">
        <v>430</v>
      </c>
      <c r="B132" s="822">
        <v>1.4</v>
      </c>
      <c r="D132" s="822" t="s">
        <v>1453</v>
      </c>
      <c r="E132" s="822">
        <f>B97</f>
        <v>1.5</v>
      </c>
      <c r="F132" s="822" t="str">
        <f ca="1">TinhMong!F132</f>
        <v>hc</v>
      </c>
      <c r="G132" s="822">
        <f>C154</f>
        <v>0.3</v>
      </c>
      <c r="H132" s="822" t="s">
        <v>1455</v>
      </c>
      <c r="I132" s="822">
        <f>(E132-G132)/2-($H$134-$D$39/2)</f>
        <v>0.44999999999999996</v>
      </c>
      <c r="J132" s="822">
        <f ca="1">TinhMong!J132</f>
        <v>0</v>
      </c>
    </row>
    <row r="133" spans="1:11">
      <c r="A133" s="822" t="s">
        <v>3</v>
      </c>
      <c r="B133" s="822">
        <v>1</v>
      </c>
      <c r="D133" s="822" t="s">
        <v>1457</v>
      </c>
      <c r="E133" s="932">
        <f>J133+H133</f>
        <v>0.54999999999999993</v>
      </c>
      <c r="F133" s="822" t="str">
        <f ca="1">TinhMong!F133</f>
        <v>m</v>
      </c>
      <c r="G133" s="822" t="s">
        <v>1458</v>
      </c>
      <c r="H133" s="822">
        <f>B50</f>
        <v>0.1</v>
      </c>
      <c r="I133" s="822" t="s">
        <v>6</v>
      </c>
      <c r="J133" s="822">
        <f>MAX(I131:I132)</f>
        <v>0.44999999999999996</v>
      </c>
    </row>
    <row r="134" spans="1:11">
      <c r="A134" s="822" t="s">
        <v>1413</v>
      </c>
      <c r="B134" s="822">
        <f>'Co Ly dat'!O11</f>
        <v>1.01</v>
      </c>
      <c r="H134" s="822">
        <f>0.9-0.6</f>
        <v>0.30000000000000004</v>
      </c>
    </row>
    <row r="135" spans="1:11">
      <c r="A135" s="822" t="s">
        <v>1414</v>
      </c>
      <c r="B135" s="956">
        <f>'Co Ly dat'!M16</f>
        <v>0.87085427135678373</v>
      </c>
      <c r="H135" s="822">
        <f>+H134/2+0.2</f>
        <v>0.35000000000000003</v>
      </c>
      <c r="I135" s="822">
        <f>1.2-0.3</f>
        <v>0.89999999999999991</v>
      </c>
      <c r="J135" s="822">
        <f>1.2-0.3</f>
        <v>0.89999999999999991</v>
      </c>
    </row>
    <row r="136" spans="1:11">
      <c r="A136" s="822" t="s">
        <v>1415</v>
      </c>
      <c r="B136" s="822">
        <f>'TinhMongM2 (2)'!K43</f>
        <v>2.75</v>
      </c>
      <c r="J136" s="822">
        <f>514.4*3*0.9</f>
        <v>1388.8799999999999</v>
      </c>
    </row>
    <row r="137" spans="1:11">
      <c r="A137" s="822" t="s">
        <v>516</v>
      </c>
      <c r="B137" s="822">
        <v>0</v>
      </c>
    </row>
    <row r="138" spans="1:11" ht="19">
      <c r="A138" s="889" t="s">
        <v>1416</v>
      </c>
      <c r="B138" s="822">
        <f>'Co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9">
        <f>B132*B133/B131*(B139*B115*B134+B140*B51*B135+B141*B136)</f>
        <v>52.450020408595826</v>
      </c>
      <c r="J142" s="822">
        <f>+J140/1.2</f>
        <v>385.8055555555556</v>
      </c>
    </row>
    <row r="143" spans="1:11">
      <c r="A143" s="822" t="s">
        <v>1418</v>
      </c>
      <c r="H143" s="822">
        <f>650.76*4</f>
        <v>2603.04</v>
      </c>
    </row>
    <row r="144" spans="1:11">
      <c r="A144" s="822" t="s">
        <v>1419</v>
      </c>
      <c r="B144" s="958" t="e">
        <f>B125/B117</f>
        <v>#REF!</v>
      </c>
      <c r="H144" s="822">
        <f>548.03*4</f>
        <v>2192.12</v>
      </c>
    </row>
    <row r="145" spans="1:28">
      <c r="A145" s="822" t="s">
        <v>1420</v>
      </c>
      <c r="B145" s="892" t="e">
        <f>B125/B117+B126/B128+B127/B129</f>
        <v>#REF!</v>
      </c>
      <c r="K145" s="822">
        <f>514.4*3</f>
        <v>1543.1999999999998</v>
      </c>
      <c r="L145" s="822">
        <f>+K145*1.2</f>
        <v>1851.8399999999997</v>
      </c>
    </row>
    <row r="146" spans="1:28">
      <c r="A146" s="822" t="s">
        <v>1421</v>
      </c>
      <c r="B146" s="892" t="e">
        <f>B125/B117-B126/B128-B127/B129</f>
        <v>#REF!</v>
      </c>
    </row>
    <row r="147" spans="1:28">
      <c r="A147" s="822" t="s">
        <v>1422</v>
      </c>
      <c r="B147" s="892">
        <f>1.2*B142</f>
        <v>62.94002449031499</v>
      </c>
    </row>
    <row r="148" spans="1:28" ht="14.5" thickBot="1"/>
    <row r="149" spans="1:28" ht="101" thickBot="1">
      <c r="A149" s="823" t="s">
        <v>1423</v>
      </c>
      <c r="E149" s="1005" t="s">
        <v>1340</v>
      </c>
      <c r="F149" s="950" t="s">
        <v>1470</v>
      </c>
      <c r="G149" s="951" t="s">
        <v>1469</v>
      </c>
      <c r="H149" s="952" t="s">
        <v>1424</v>
      </c>
    </row>
    <row r="150" spans="1:28" ht="19" thickBot="1">
      <c r="A150"/>
      <c r="B150" s="957" t="e">
        <f>B144-H155</f>
        <v>#REF!</v>
      </c>
      <c r="C150" s="822" t="s">
        <v>672</v>
      </c>
      <c r="E150" s="1006"/>
      <c r="F150" s="953" t="s">
        <v>6</v>
      </c>
      <c r="G150" s="953" t="s">
        <v>1426</v>
      </c>
      <c r="H150" s="953"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TH!B199</f>
        <v>30</v>
      </c>
      <c r="C153" s="822">
        <f>B153/100</f>
        <v>0.3</v>
      </c>
      <c r="D153" s="822" t="s">
        <v>6</v>
      </c>
      <c r="E153" s="890">
        <v>3</v>
      </c>
      <c r="F153" s="252">
        <v>1.3</v>
      </c>
      <c r="G153" s="252">
        <v>2.06</v>
      </c>
      <c r="H153" s="891">
        <f t="shared" ref="H153:H154" si="15">G153*F153</f>
        <v>2.6780000000000004</v>
      </c>
    </row>
    <row r="154" spans="1:28" ht="17" thickBot="1">
      <c r="A154" s="822" t="s">
        <v>1437</v>
      </c>
      <c r="B154" s="822">
        <f>TH!B200</f>
        <v>30</v>
      </c>
      <c r="C154" s="822">
        <f>B154/100</f>
        <v>0.3</v>
      </c>
      <c r="D154" s="822" t="s">
        <v>6</v>
      </c>
      <c r="E154" s="890">
        <v>4</v>
      </c>
      <c r="F154" s="252">
        <f>B49</f>
        <v>4</v>
      </c>
      <c r="G154" s="252">
        <v>2.0099999999999998</v>
      </c>
      <c r="H154" s="891">
        <f t="shared" si="15"/>
        <v>8.0399999999999991</v>
      </c>
    </row>
    <row r="155" spans="1:28" ht="17" thickBot="1">
      <c r="A155" s="822" t="s">
        <v>515</v>
      </c>
      <c r="B155" s="822">
        <v>10</v>
      </c>
      <c r="C155" s="822">
        <f>B155/100</f>
        <v>0.1</v>
      </c>
      <c r="D155" s="822" t="s">
        <v>6</v>
      </c>
      <c r="E155" s="1007" t="s">
        <v>1425</v>
      </c>
      <c r="F155" s="1008"/>
      <c r="G155" s="1009"/>
      <c r="H155" s="919">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1010" t="s">
        <v>1284</v>
      </c>
      <c r="F158" s="1010" t="s">
        <v>1427</v>
      </c>
      <c r="G158" s="1010" t="s">
        <v>1428</v>
      </c>
      <c r="H158" s="1016" t="s">
        <v>1429</v>
      </c>
      <c r="I158" s="1016" t="s">
        <v>1430</v>
      </c>
      <c r="J158" s="1010" t="s">
        <v>1431</v>
      </c>
      <c r="K158" s="1010"/>
      <c r="L158" s="1010"/>
      <c r="M158" s="1010"/>
    </row>
    <row r="159" spans="1:28" ht="14.5" customHeight="1" thickBot="1">
      <c r="A159" s="822" t="s">
        <v>1440</v>
      </c>
      <c r="B159" s="822">
        <f>(2*(C153+C154)+2*(B157+B158))/2</f>
        <v>3</v>
      </c>
      <c r="C159" s="822" t="s">
        <v>6</v>
      </c>
      <c r="E159" s="1011"/>
      <c r="F159" s="1011"/>
      <c r="G159" s="1012"/>
      <c r="H159" s="1017"/>
      <c r="I159" s="1017"/>
      <c r="J159" s="1011"/>
      <c r="K159" s="1012"/>
      <c r="L159" s="1012"/>
      <c r="M159" s="1011"/>
    </row>
    <row r="160" spans="1:28" ht="33.5" thickBot="1">
      <c r="A160"/>
      <c r="B160" s="822">
        <f>1*H23*B159*B156</f>
        <v>101.24999999999999</v>
      </c>
      <c r="C160" s="822" t="s">
        <v>672</v>
      </c>
      <c r="E160" s="1012"/>
      <c r="F160" s="1012"/>
      <c r="G160" s="867" t="s">
        <v>6</v>
      </c>
      <c r="H160" s="1018"/>
      <c r="I160" s="1019"/>
      <c r="J160" s="1012"/>
      <c r="K160" s="867" t="s">
        <v>1349</v>
      </c>
      <c r="L160" s="867" t="s">
        <v>1349</v>
      </c>
      <c r="M160" s="1012"/>
      <c r="S160" s="964" t="s">
        <v>1432</v>
      </c>
      <c r="T160" s="963" t="s">
        <v>1472</v>
      </c>
      <c r="U160" s="964" t="s">
        <v>1474</v>
      </c>
      <c r="V160" s="964"/>
      <c r="W160" s="963"/>
      <c r="X160" s="964"/>
      <c r="Y160" s="964"/>
      <c r="Z160" s="963"/>
      <c r="AA160" s="963"/>
      <c r="AB160" s="963"/>
    </row>
    <row r="161" spans="1:28" ht="17" thickBot="1">
      <c r="A161" s="822" t="s">
        <v>1471</v>
      </c>
      <c r="B161" s="909">
        <f>ROUND(B115/4,2)</f>
        <v>0.69</v>
      </c>
      <c r="C161" s="822" t="s">
        <v>6</v>
      </c>
      <c r="E161" s="869">
        <v>4</v>
      </c>
      <c r="F161" s="252">
        <v>1</v>
      </c>
      <c r="G161" s="252">
        <v>0</v>
      </c>
      <c r="H161" s="891">
        <f>$B$116/$B$115</f>
        <v>1</v>
      </c>
      <c r="I161" s="920">
        <f>G161/H161</f>
        <v>0</v>
      </c>
      <c r="J161" s="252">
        <v>1</v>
      </c>
      <c r="K161" s="921" t="e">
        <f>J161*$B$150</f>
        <v>#REF!</v>
      </c>
      <c r="L161" s="922">
        <f>H155</f>
        <v>37.548000000000002</v>
      </c>
      <c r="M161" s="921" t="e">
        <f>K161/L161</f>
        <v>#REF!</v>
      </c>
      <c r="N161" s="909" t="e">
        <f>M161-0.2</f>
        <v>#REF!</v>
      </c>
      <c r="S161" s="974">
        <v>1</v>
      </c>
      <c r="T161" s="970">
        <v>0</v>
      </c>
      <c r="U161" s="970">
        <f>T161/$B$115</f>
        <v>0</v>
      </c>
      <c r="V161" s="1024">
        <f>$B$116/$B$115</f>
        <v>1</v>
      </c>
      <c r="W161" s="970">
        <f>'[3]Tinh lun M1'!E4</f>
        <v>1</v>
      </c>
      <c r="X161" s="971" t="e">
        <f>W161*$B$150</f>
        <v>#REF!</v>
      </c>
      <c r="Y161" s="972">
        <f>$H$155</f>
        <v>37.548000000000002</v>
      </c>
      <c r="Z161" s="971" t="e">
        <f>X161/Y161</f>
        <v>#REF!</v>
      </c>
      <c r="AA161" s="973"/>
      <c r="AB161" s="973"/>
    </row>
    <row r="162" spans="1:28" ht="17" thickBot="1">
      <c r="A162" s="823" t="s">
        <v>1441</v>
      </c>
      <c r="E162" s="869">
        <v>4</v>
      </c>
      <c r="F162" s="252">
        <v>2</v>
      </c>
      <c r="G162" s="252">
        <v>1.5</v>
      </c>
      <c r="H162" s="891">
        <f t="shared" ref="H162:H164" si="16">$B$116/$B$115</f>
        <v>1</v>
      </c>
      <c r="I162" s="920">
        <f t="shared" ref="I162:I164" si="17">G162/H162</f>
        <v>1.5</v>
      </c>
      <c r="J162" s="252">
        <v>0.89</v>
      </c>
      <c r="K162" s="921" t="e">
        <f>J162*$B$150</f>
        <v>#REF!</v>
      </c>
      <c r="L162" s="922">
        <f>L161+$G$154*G162</f>
        <v>40.563000000000002</v>
      </c>
      <c r="M162" s="921" t="e">
        <f t="shared" ref="M162:M164" si="18">K162/L162</f>
        <v>#REF!</v>
      </c>
      <c r="N162" s="909" t="e">
        <f>M162-0.2</f>
        <v>#REF!</v>
      </c>
      <c r="S162" s="975">
        <v>2</v>
      </c>
      <c r="T162" s="965">
        <f>+T161+$B$161</f>
        <v>0.69</v>
      </c>
      <c r="U162" s="965">
        <f>T162/$B$115</f>
        <v>0.24955852775647516</v>
      </c>
      <c r="V162" s="1025"/>
      <c r="W162" s="965">
        <f>'[3]Tinh lun M1'!E5</f>
        <v>0.92</v>
      </c>
      <c r="X162" s="966" t="e">
        <f t="shared" ref="X162:X172" si="19">W162*$B$150</f>
        <v>#REF!</v>
      </c>
      <c r="Y162" s="967">
        <f>Y161+$G$154*T162</f>
        <v>38.934899999999999</v>
      </c>
      <c r="Z162" s="966" t="e">
        <f t="shared" ref="Z162:Z172" si="20">X162/Y162</f>
        <v>#REF!</v>
      </c>
      <c r="AA162" s="968">
        <f>$M$43</f>
        <v>544.67999999999995</v>
      </c>
      <c r="AB162" s="968" t="e">
        <f>ROUND(0.8*(X161+X162)/2*$B$161/AA162*100,2)</f>
        <v>#REF!</v>
      </c>
    </row>
    <row r="163" spans="1:28" ht="17" thickBot="1">
      <c r="A163" s="822" t="s">
        <v>1442</v>
      </c>
      <c r="B163" s="822">
        <v>1</v>
      </c>
      <c r="E163" s="869">
        <v>4</v>
      </c>
      <c r="F163" s="252">
        <v>3</v>
      </c>
      <c r="G163" s="252">
        <v>3</v>
      </c>
      <c r="H163" s="891">
        <f t="shared" si="16"/>
        <v>1</v>
      </c>
      <c r="I163" s="920">
        <f t="shared" si="17"/>
        <v>3</v>
      </c>
      <c r="J163" s="252">
        <v>0.7</v>
      </c>
      <c r="K163" s="921" t="e">
        <f t="shared" ref="K163:K164" si="21">J163*$B$150</f>
        <v>#REF!</v>
      </c>
      <c r="L163" s="922">
        <f t="shared" ref="L163:L164" si="22">L162+$G$154*G163</f>
        <v>46.593000000000004</v>
      </c>
      <c r="M163" s="921" t="e">
        <f t="shared" si="18"/>
        <v>#REF!</v>
      </c>
      <c r="N163" s="909" t="e">
        <f>M163-0.2</f>
        <v>#REF!</v>
      </c>
      <c r="S163" s="975">
        <v>3</v>
      </c>
      <c r="T163" s="965">
        <f t="shared" ref="T163:T172" si="23">+T162+$B$161</f>
        <v>1.38</v>
      </c>
      <c r="U163" s="965">
        <f t="shared" ref="U163:U172" si="24">T163/$B$115</f>
        <v>0.49911705551295033</v>
      </c>
      <c r="V163" s="1025"/>
      <c r="W163" s="965">
        <f>'[3]Tinh lun M1'!E6</f>
        <v>0.70599999999999996</v>
      </c>
      <c r="X163" s="966" t="e">
        <f t="shared" si="19"/>
        <v>#REF!</v>
      </c>
      <c r="Y163" s="967">
        <f t="shared" ref="Y163:Y172" si="25">Y162+$G$154*T163</f>
        <v>41.7087</v>
      </c>
      <c r="Z163" s="966" t="e">
        <f t="shared" si="20"/>
        <v>#REF!</v>
      </c>
      <c r="AA163" s="968">
        <f t="shared" ref="AA163:AA172" si="26">$M$43</f>
        <v>544.67999999999995</v>
      </c>
      <c r="AB163" s="968" t="e">
        <f t="shared" ref="AB163:AB172" si="27">ROUND(0.8*(X162+X163)/2*$B$161/AA163*100,2)</f>
        <v>#REF!</v>
      </c>
    </row>
    <row r="164" spans="1:28" ht="17" thickBot="1">
      <c r="A164" s="822" t="s">
        <v>524</v>
      </c>
      <c r="B164" s="892" t="e">
        <f>B163*$L$104*B165</f>
        <v>#REF!</v>
      </c>
      <c r="C164" s="822" t="s">
        <v>674</v>
      </c>
      <c r="E164" s="869">
        <v>4</v>
      </c>
      <c r="F164" s="252">
        <v>4</v>
      </c>
      <c r="G164" s="252">
        <v>4.5</v>
      </c>
      <c r="H164" s="891">
        <f t="shared" si="16"/>
        <v>1</v>
      </c>
      <c r="I164" s="920">
        <f t="shared" si="17"/>
        <v>4.5</v>
      </c>
      <c r="J164" s="252">
        <v>0.51</v>
      </c>
      <c r="K164" s="921" t="e">
        <f t="shared" si="21"/>
        <v>#REF!</v>
      </c>
      <c r="L164" s="922">
        <f t="shared" si="22"/>
        <v>55.638000000000005</v>
      </c>
      <c r="M164" s="921" t="e">
        <f t="shared" si="18"/>
        <v>#REF!</v>
      </c>
      <c r="S164" s="975">
        <v>4</v>
      </c>
      <c r="T164" s="965">
        <f t="shared" si="23"/>
        <v>2.0699999999999998</v>
      </c>
      <c r="U164" s="965">
        <f t="shared" si="24"/>
        <v>0.74867558326942552</v>
      </c>
      <c r="V164" s="1025"/>
      <c r="W164" s="965">
        <f>'[3]Tinh lun M1'!E7</f>
        <v>0.49099999999999999</v>
      </c>
      <c r="X164" s="966" t="e">
        <f t="shared" si="19"/>
        <v>#REF!</v>
      </c>
      <c r="Y164" s="967">
        <f t="shared" si="25"/>
        <v>45.869399999999999</v>
      </c>
      <c r="Z164" s="966" t="e">
        <f t="shared" si="20"/>
        <v>#REF!</v>
      </c>
      <c r="AA164" s="968">
        <f t="shared" si="26"/>
        <v>544.67999999999995</v>
      </c>
      <c r="AB164" s="968" t="e">
        <f t="shared" si="27"/>
        <v>#REF!</v>
      </c>
    </row>
    <row r="165" spans="1:28" ht="16.5">
      <c r="A165" s="822" t="s">
        <v>100</v>
      </c>
      <c r="B165" s="822">
        <f>0.9/2-$D$39/2</f>
        <v>0.30000000000000004</v>
      </c>
      <c r="C165" s="822" t="s">
        <v>6</v>
      </c>
      <c r="S165" s="975">
        <v>5</v>
      </c>
      <c r="T165" s="965">
        <f t="shared" si="23"/>
        <v>2.76</v>
      </c>
      <c r="U165" s="965">
        <f t="shared" si="24"/>
        <v>0.99823411102590065</v>
      </c>
      <c r="V165" s="1025"/>
      <c r="W165" s="965">
        <f>'[3]Tinh lun M1'!E8</f>
        <v>0.34100000000000003</v>
      </c>
      <c r="X165" s="966" t="e">
        <f t="shared" si="19"/>
        <v>#REF!</v>
      </c>
      <c r="Y165" s="967">
        <f t="shared" si="25"/>
        <v>51.417000000000002</v>
      </c>
      <c r="Z165" s="966" t="e">
        <f t="shared" si="20"/>
        <v>#REF!</v>
      </c>
      <c r="AA165" s="968">
        <f t="shared" si="26"/>
        <v>544.67999999999995</v>
      </c>
      <c r="AB165" s="968" t="e">
        <f t="shared" si="27"/>
        <v>#REF!</v>
      </c>
    </row>
    <row r="166" spans="1:28" ht="17" thickBot="1">
      <c r="A166"/>
      <c r="B166" s="926" t="e">
        <f>B164/(0.9*$H$22*$B$167*$B$156^2)</f>
        <v>#REF!</v>
      </c>
      <c r="D166" s="892"/>
      <c r="S166" s="975">
        <v>6</v>
      </c>
      <c r="T166" s="965">
        <f t="shared" si="23"/>
        <v>3.4499999999999997</v>
      </c>
      <c r="U166" s="965">
        <f t="shared" si="24"/>
        <v>1.2477926387823759</v>
      </c>
      <c r="V166" s="1025"/>
      <c r="W166" s="965">
        <f>'[3]Tinh lun M1'!E9</f>
        <v>0.246</v>
      </c>
      <c r="X166" s="966" t="e">
        <f t="shared" si="19"/>
        <v>#REF!</v>
      </c>
      <c r="Y166" s="967">
        <f t="shared" si="25"/>
        <v>58.351500000000001</v>
      </c>
      <c r="Z166" s="966" t="e">
        <f t="shared" si="20"/>
        <v>#REF!</v>
      </c>
      <c r="AA166" s="968">
        <f t="shared" si="26"/>
        <v>544.67999999999995</v>
      </c>
      <c r="AB166" s="968" t="e">
        <f t="shared" si="27"/>
        <v>#REF!</v>
      </c>
    </row>
    <row r="167" spans="1:28" ht="16.5">
      <c r="A167" s="822" t="s">
        <v>1443</v>
      </c>
      <c r="B167" s="822">
        <v>1.5</v>
      </c>
      <c r="E167" s="1013" t="s">
        <v>1203</v>
      </c>
      <c r="F167" s="1013" t="s">
        <v>1432</v>
      </c>
      <c r="G167" s="1013"/>
      <c r="H167" s="1013"/>
      <c r="I167" s="1013"/>
      <c r="J167" s="1013" t="s">
        <v>1433</v>
      </c>
      <c r="K167" s="1013" t="s">
        <v>112</v>
      </c>
      <c r="S167" s="975">
        <v>7</v>
      </c>
      <c r="T167" s="965">
        <f t="shared" si="23"/>
        <v>4.1399999999999997</v>
      </c>
      <c r="U167" s="965">
        <f t="shared" si="24"/>
        <v>1.497351166538851</v>
      </c>
      <c r="V167" s="1025"/>
      <c r="W167" s="965">
        <f>'[3]Tinh lun M1'!E10</f>
        <v>0.18099999999999999</v>
      </c>
      <c r="X167" s="966" t="e">
        <f t="shared" si="19"/>
        <v>#REF!</v>
      </c>
      <c r="Y167" s="967">
        <f t="shared" si="25"/>
        <v>66.672899999999998</v>
      </c>
      <c r="Z167" s="966" t="e">
        <f t="shared" si="20"/>
        <v>#REF!</v>
      </c>
      <c r="AA167" s="968">
        <f t="shared" si="26"/>
        <v>544.67999999999995</v>
      </c>
      <c r="AB167" s="968" t="e">
        <f t="shared" si="27"/>
        <v>#REF!</v>
      </c>
    </row>
    <row r="168" spans="1:28" ht="17" thickBot="1">
      <c r="A168"/>
      <c r="B168" s="927" t="e">
        <f>(1-SQRT(1-2*B166))</f>
        <v>#REF!</v>
      </c>
      <c r="E168" s="1014"/>
      <c r="F168" s="1014"/>
      <c r="G168" s="1015"/>
      <c r="H168" s="1015"/>
      <c r="I168" s="1015"/>
      <c r="J168" s="1015"/>
      <c r="K168" s="1015"/>
      <c r="S168" s="975">
        <v>8</v>
      </c>
      <c r="T168" s="965">
        <f t="shared" si="23"/>
        <v>4.83</v>
      </c>
      <c r="U168" s="965">
        <f t="shared" si="24"/>
        <v>1.7469096942953264</v>
      </c>
      <c r="V168" s="1025"/>
      <c r="W168" s="965">
        <f>'[3]Tinh lun M1'!E11</f>
        <v>0.13800000000000001</v>
      </c>
      <c r="X168" s="966" t="e">
        <f t="shared" si="19"/>
        <v>#REF!</v>
      </c>
      <c r="Y168" s="967">
        <f t="shared" si="25"/>
        <v>76.381199999999993</v>
      </c>
      <c r="Z168" s="966" t="e">
        <f t="shared" si="20"/>
        <v>#REF!</v>
      </c>
      <c r="AA168" s="968">
        <f t="shared" si="26"/>
        <v>544.67999999999995</v>
      </c>
      <c r="AB168" s="968" t="e">
        <f t="shared" si="27"/>
        <v>#REF!</v>
      </c>
    </row>
    <row r="169" spans="1:28" ht="19" thickBot="1">
      <c r="A169" s="822" t="s">
        <v>259</v>
      </c>
      <c r="B169" s="928" t="e">
        <f>B168*0.9*$H$22*$B$167*$B$156/$H$31</f>
        <v>#REF!</v>
      </c>
      <c r="C169" s="892" t="e">
        <f>B169*10^4</f>
        <v>#REF!</v>
      </c>
      <c r="D169" s="822" t="s">
        <v>536</v>
      </c>
      <c r="E169" s="1015"/>
      <c r="F169" s="1015"/>
      <c r="G169" s="923" t="s">
        <v>1349</v>
      </c>
      <c r="H169" s="923" t="s">
        <v>1349</v>
      </c>
      <c r="I169" s="923"/>
      <c r="J169" s="923" t="s">
        <v>1349</v>
      </c>
      <c r="K169" s="923" t="s">
        <v>633</v>
      </c>
      <c r="S169" s="975">
        <v>9</v>
      </c>
      <c r="T169" s="965">
        <f t="shared" si="23"/>
        <v>5.52</v>
      </c>
      <c r="U169" s="965">
        <f t="shared" si="24"/>
        <v>1.9964682220518013</v>
      </c>
      <c r="V169" s="1025"/>
      <c r="W169" s="965">
        <f>'[3]Tinh lun M1'!E12</f>
        <v>0.11</v>
      </c>
      <c r="X169" s="966" t="e">
        <f t="shared" si="19"/>
        <v>#REF!</v>
      </c>
      <c r="Y169" s="967">
        <f t="shared" si="25"/>
        <v>87.476399999999984</v>
      </c>
      <c r="Z169" s="966" t="e">
        <f t="shared" si="20"/>
        <v>#REF!</v>
      </c>
      <c r="AA169" s="968">
        <f t="shared" si="26"/>
        <v>544.67999999999995</v>
      </c>
      <c r="AB169" s="968" t="e">
        <f t="shared" si="27"/>
        <v>#REF!</v>
      </c>
    </row>
    <row r="170" spans="1:28" ht="17" thickBot="1">
      <c r="B170" s="822">
        <v>8</v>
      </c>
      <c r="C170" s="822">
        <v>12</v>
      </c>
      <c r="D170" s="822">
        <f>(B167-0.1)/(B170-1)*1000</f>
        <v>199.99999999999997</v>
      </c>
      <c r="E170" s="949">
        <v>4</v>
      </c>
      <c r="F170" s="923">
        <v>1</v>
      </c>
      <c r="G170" s="924" t="e">
        <f>K161</f>
        <v>#REF!</v>
      </c>
      <c r="H170" s="1023" t="e">
        <f>G170+G171</f>
        <v>#REF!</v>
      </c>
      <c r="I170" s="1013">
        <v>0.8</v>
      </c>
      <c r="J170" s="1013">
        <f>$M$43</f>
        <v>544.67999999999995</v>
      </c>
      <c r="K170" s="1023" t="e">
        <f>I170/J170*H170*1.5*100</f>
        <v>#REF!</v>
      </c>
      <c r="M170" s="822">
        <f>0.8/11420*336.99*1.5</f>
        <v>3.5410507880910685E-2</v>
      </c>
      <c r="N170" s="822">
        <f>+M170*100</f>
        <v>3.5410507880910687</v>
      </c>
      <c r="S170" s="975">
        <v>10</v>
      </c>
      <c r="T170" s="965">
        <f t="shared" si="23"/>
        <v>6.2099999999999991</v>
      </c>
      <c r="U170" s="965">
        <f t="shared" si="24"/>
        <v>2.2460267498082764</v>
      </c>
      <c r="V170" s="1025"/>
      <c r="W170" s="965">
        <f>'[3]Tinh lun M1'!E13</f>
        <v>8.7999999999999995E-2</v>
      </c>
      <c r="X170" s="966" t="e">
        <f t="shared" si="19"/>
        <v>#REF!</v>
      </c>
      <c r="Y170" s="967">
        <f t="shared" si="25"/>
        <v>99.958499999999987</v>
      </c>
      <c r="Z170" s="966" t="e">
        <f t="shared" si="20"/>
        <v>#REF!</v>
      </c>
      <c r="AA170" s="968">
        <f t="shared" si="26"/>
        <v>544.67999999999995</v>
      </c>
      <c r="AB170" s="968" t="e">
        <f t="shared" si="27"/>
        <v>#REF!</v>
      </c>
    </row>
    <row r="171" spans="1:28" ht="17" thickBot="1">
      <c r="C171" s="892">
        <f>B170*(C170/10)^2/4*3.14</f>
        <v>9.0432000000000006</v>
      </c>
      <c r="D171" s="822" t="s">
        <v>536</v>
      </c>
      <c r="E171" s="949">
        <v>4</v>
      </c>
      <c r="F171" s="923">
        <v>2</v>
      </c>
      <c r="G171" s="925" t="e">
        <f>K162</f>
        <v>#REF!</v>
      </c>
      <c r="H171" s="1015"/>
      <c r="I171" s="1015"/>
      <c r="J171" s="1015"/>
      <c r="K171" s="1015"/>
      <c r="S171" s="975">
        <v>11</v>
      </c>
      <c r="T171" s="965">
        <f t="shared" si="23"/>
        <v>6.8999999999999986</v>
      </c>
      <c r="U171" s="965">
        <f t="shared" si="24"/>
        <v>2.4955852775647513</v>
      </c>
      <c r="V171" s="1025"/>
      <c r="W171" s="965">
        <f>'[3]Tinh lun M1'!E14</f>
        <v>7.4999999999999997E-2</v>
      </c>
      <c r="X171" s="966" t="e">
        <f t="shared" si="19"/>
        <v>#REF!</v>
      </c>
      <c r="Y171" s="967">
        <f t="shared" si="25"/>
        <v>113.82749999999999</v>
      </c>
      <c r="Z171" s="966" t="e">
        <f t="shared" si="20"/>
        <v>#REF!</v>
      </c>
      <c r="AA171" s="968">
        <f t="shared" si="26"/>
        <v>544.67999999999995</v>
      </c>
      <c r="AB171" s="968" t="e">
        <f t="shared" si="27"/>
        <v>#REF!</v>
      </c>
    </row>
    <row r="172" spans="1:28" ht="17" thickBot="1">
      <c r="B172" s="909" t="e">
        <f>B164/(0.9*B167*B156)</f>
        <v>#REF!</v>
      </c>
      <c r="C172" s="822">
        <v>1.2999999999999999E-2</v>
      </c>
      <c r="E172" s="949">
        <v>4</v>
      </c>
      <c r="F172" s="923">
        <v>2</v>
      </c>
      <c r="G172" s="925" t="e">
        <f>G171</f>
        <v>#REF!</v>
      </c>
      <c r="H172" s="1023" t="e">
        <f>G172+G173</f>
        <v>#REF!</v>
      </c>
      <c r="I172" s="1013">
        <v>0.8</v>
      </c>
      <c r="J172" s="1013">
        <f t="shared" ref="J172" si="28">$M$43</f>
        <v>544.67999999999995</v>
      </c>
      <c r="K172" s="1023" t="e">
        <f t="shared" ref="K172" si="29">I172/J172*H172*1.5*100</f>
        <v>#REF!</v>
      </c>
      <c r="S172" s="975">
        <v>12</v>
      </c>
      <c r="T172" s="965">
        <f t="shared" si="23"/>
        <v>7.5899999999999981</v>
      </c>
      <c r="U172" s="965">
        <f t="shared" si="24"/>
        <v>2.7451438053212263</v>
      </c>
      <c r="V172" s="1025"/>
      <c r="W172" s="965">
        <f>'[3]Tinh lun M1'!E15</f>
        <v>6.3E-2</v>
      </c>
      <c r="X172" s="966" t="e">
        <f t="shared" si="19"/>
        <v>#REF!</v>
      </c>
      <c r="Y172" s="967">
        <f t="shared" si="25"/>
        <v>129.08339999999998</v>
      </c>
      <c r="Z172" s="966" t="e">
        <f t="shared" si="20"/>
        <v>#REF!</v>
      </c>
      <c r="AA172" s="968">
        <f t="shared" si="26"/>
        <v>544.67999999999995</v>
      </c>
      <c r="AB172" s="968" t="e">
        <f t="shared" si="27"/>
        <v>#REF!</v>
      </c>
    </row>
    <row r="173" spans="1:28" ht="17" thickBot="1">
      <c r="C173" s="822">
        <f>(1-SQRT(1-2*C172))/2</f>
        <v>6.5428083409869164E-3</v>
      </c>
      <c r="E173" s="949">
        <v>4</v>
      </c>
      <c r="F173" s="923">
        <v>3</v>
      </c>
      <c r="G173" s="925" t="e">
        <f>K163</f>
        <v>#REF!</v>
      </c>
      <c r="H173" s="1015"/>
      <c r="I173" s="1015"/>
      <c r="J173" s="1015"/>
      <c r="K173" s="1015"/>
      <c r="S173" s="7"/>
      <c r="T173" s="7"/>
      <c r="U173" s="7"/>
      <c r="V173" s="7"/>
      <c r="W173" s="7"/>
      <c r="X173" s="7"/>
      <c r="Y173" s="7"/>
      <c r="Z173" s="7"/>
      <c r="AA173" s="962" t="s">
        <v>1473</v>
      </c>
      <c r="AB173" s="969" t="e">
        <f>SUM(AB162:AB172)</f>
        <v>#REF!</v>
      </c>
    </row>
    <row r="174" spans="1:28" ht="17" thickBot="1">
      <c r="E174" s="949">
        <v>4</v>
      </c>
      <c r="F174" s="923">
        <v>3</v>
      </c>
      <c r="G174" s="925" t="e">
        <f>G173</f>
        <v>#REF!</v>
      </c>
      <c r="H174" s="1023" t="e">
        <f>G174+G175</f>
        <v>#REF!</v>
      </c>
      <c r="I174" s="1013">
        <v>0.8</v>
      </c>
      <c r="J174" s="1013">
        <f t="shared" ref="J174" si="30">$M$43</f>
        <v>544.67999999999995</v>
      </c>
      <c r="K174" s="1023" t="e">
        <f t="shared" ref="K174" si="31">I174/J174*H174*1.5*100</f>
        <v>#REF!</v>
      </c>
      <c r="R174" s="822" t="s">
        <v>1475</v>
      </c>
      <c r="S174" s="954">
        <f>S172</f>
        <v>12</v>
      </c>
      <c r="AA174" s="7"/>
      <c r="AB174" s="7"/>
    </row>
    <row r="175" spans="1:28" ht="17" thickBot="1">
      <c r="E175" s="949">
        <v>4</v>
      </c>
      <c r="F175" s="923">
        <v>4</v>
      </c>
      <c r="G175" s="924" t="e">
        <f>K164</f>
        <v>#REF!</v>
      </c>
      <c r="H175" s="1015"/>
      <c r="I175" s="1015"/>
      <c r="J175" s="1015"/>
      <c r="K175" s="1015"/>
      <c r="R175" s="822" t="s">
        <v>1245</v>
      </c>
      <c r="S175" s="955">
        <f>+T172</f>
        <v>7.5899999999999981</v>
      </c>
    </row>
    <row r="176" spans="1:28" ht="17" thickBot="1">
      <c r="A176" s="823" t="s">
        <v>1447</v>
      </c>
      <c r="E176" s="1020" t="s">
        <v>1434</v>
      </c>
      <c r="F176" s="1021"/>
      <c r="G176" s="1021"/>
      <c r="H176" s="1021"/>
      <c r="I176" s="1021"/>
      <c r="J176" s="1022"/>
      <c r="K176" s="924" t="e">
        <f>SUM(K170:K175)</f>
        <v>#REF!</v>
      </c>
      <c r="R176" s="822" t="s">
        <v>1476</v>
      </c>
      <c r="S176" s="822" t="e">
        <f>AB173</f>
        <v>#REF!</v>
      </c>
    </row>
    <row r="177" spans="1:5">
      <c r="A177" s="822" t="s">
        <v>1442</v>
      </c>
      <c r="B177" s="822">
        <v>2</v>
      </c>
    </row>
    <row r="178" spans="1:5">
      <c r="A178" s="822" t="s">
        <v>524</v>
      </c>
      <c r="B178" s="892" t="e">
        <f>B177*$L$104*B179</f>
        <v>#REF!</v>
      </c>
      <c r="C178" s="822" t="s">
        <v>674</v>
      </c>
    </row>
    <row r="179" spans="1:5">
      <c r="A179" s="822" t="s">
        <v>100</v>
      </c>
      <c r="B179" s="822">
        <f>0.9/2-$D$39/2</f>
        <v>0.30000000000000004</v>
      </c>
      <c r="C179" s="822" t="s">
        <v>6</v>
      </c>
    </row>
    <row r="180" spans="1:5">
      <c r="B180" s="926" t="e">
        <f>B178/(0.9*$H$22*$B$167*$B$156^2)</f>
        <v>#REF!</v>
      </c>
      <c r="D180" s="892"/>
    </row>
    <row r="181" spans="1:5">
      <c r="A181" s="822" t="s">
        <v>1443</v>
      </c>
      <c r="B181" s="822">
        <v>1.5</v>
      </c>
      <c r="E181" s="822">
        <v>7.0000000000000007E-2</v>
      </c>
    </row>
    <row r="182" spans="1:5">
      <c r="B182" s="927" t="e">
        <f>(1-SQRT(1-2*B180))</f>
        <v>#REF!</v>
      </c>
      <c r="E182" s="822">
        <f>1-SQRT(1-2*E181)</f>
        <v>7.263815045042965E-2</v>
      </c>
    </row>
    <row r="183" spans="1:5">
      <c r="A183" s="822" t="s">
        <v>259</v>
      </c>
      <c r="B183" s="928" t="e">
        <f>B182*0.9*$H$22*$B$167*$B$156/$H$31</f>
        <v>#REF!</v>
      </c>
      <c r="C183" s="892" t="e">
        <f>B183*10^4</f>
        <v>#REF!</v>
      </c>
      <c r="D183" s="822" t="s">
        <v>536</v>
      </c>
      <c r="E183" s="822">
        <f>+E182*0.9*1.45*320*140/36.5</f>
        <v>116.34840624476492</v>
      </c>
    </row>
    <row r="184" spans="1:5">
      <c r="B184" s="822">
        <v>11</v>
      </c>
      <c r="C184" s="822">
        <v>12</v>
      </c>
      <c r="D184" s="822">
        <f>(B181-0.1)/(B184-1)*1000</f>
        <v>139.99999999999997</v>
      </c>
    </row>
    <row r="185" spans="1:5">
      <c r="C185" s="892">
        <f>B184*(C184/10)^2/4*3.14</f>
        <v>12.4344</v>
      </c>
      <c r="D185" s="822" t="s">
        <v>536</v>
      </c>
    </row>
    <row r="186" spans="1:5">
      <c r="B186" s="909" t="e">
        <f>B178/(0.9*B181*B170)</f>
        <v>#REF!</v>
      </c>
      <c r="C186" s="822">
        <v>1.2999999999999999E-2</v>
      </c>
    </row>
    <row r="187" spans="1:5">
      <c r="C187" s="822">
        <f>(1-SQRT(1-2*C186))/2</f>
        <v>6.5428083409869164E-3</v>
      </c>
    </row>
  </sheetData>
  <mergeCells count="51">
    <mergeCell ref="V107:V108"/>
    <mergeCell ref="H174:H175"/>
    <mergeCell ref="I174:I175"/>
    <mergeCell ref="J174:J175"/>
    <mergeCell ref="K174:K175"/>
    <mergeCell ref="J167:J168"/>
    <mergeCell ref="K167:K168"/>
    <mergeCell ref="V161:V172"/>
    <mergeCell ref="J158:J160"/>
    <mergeCell ref="K158:K159"/>
    <mergeCell ref="E176:J176"/>
    <mergeCell ref="W107:Z107"/>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E167:E169"/>
    <mergeCell ref="F167:F169"/>
    <mergeCell ref="G167:G168"/>
    <mergeCell ref="H167:H168"/>
    <mergeCell ref="I167:I168"/>
    <mergeCell ref="E158:E160"/>
    <mergeCell ref="F158:F160"/>
    <mergeCell ref="G158:G159"/>
    <mergeCell ref="H158:H160"/>
    <mergeCell ref="I158:I160"/>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Y187"/>
  <sheetViews>
    <sheetView topLeftCell="A154" zoomScaleNormal="100" workbookViewId="0">
      <selection activeCell="G187" sqref="A1:XFD10485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IF(TH!A1&lt;&gt;"",TH!A1,"")</f>
        <v>Ngày thực hiện luận văn</v>
      </c>
      <c r="B1" s="822" t="str">
        <f>IF(TH!B1&lt;&gt;"",TH!B1,"")</f>
        <v>ngày 02 tháng 07 năm 2020</v>
      </c>
      <c r="C1" s="822" t="str">
        <f>IF(TH!C1&lt;&gt;"",TH!C1,"")</f>
        <v/>
      </c>
      <c r="D1" s="822" t="str">
        <f>IF(TH!D1&lt;&gt;"",TH!D1,"")</f>
        <v/>
      </c>
      <c r="E1" s="822" t="str">
        <f>IF(TH!E1&lt;&gt;"",TH!E1,"")</f>
        <v/>
      </c>
      <c r="F1" s="822" t="str">
        <f>IF(TH!F1&lt;&gt;"",TH!F1,"")</f>
        <v/>
      </c>
      <c r="G1" s="822" t="str">
        <f>IF(TH!G1&lt;&gt;"",TH!G1,"")</f>
        <v/>
      </c>
      <c r="H1" s="822" t="str">
        <f>IF(TH!H1&lt;&gt;"",TH!H1,"")</f>
        <v/>
      </c>
      <c r="I1" s="822" t="str">
        <f>IF(TH!I1&lt;&gt;"",TH!I1,"")</f>
        <v/>
      </c>
    </row>
    <row r="2" spans="1:9">
      <c r="A2" s="822" t="str">
        <f>IF(TH!A2&lt;&gt;"",TH!A2,"")</f>
        <v>Tên công trình:</v>
      </c>
      <c r="B2" s="822" t="str">
        <f>IF(TH!B2&lt;&gt;"",TH!B2,"")</f>
        <v>Trụ Sở Làm Việc Xã Tân Ân -Huyện Ngọc Hiển-Tỉnh Cà Mau</v>
      </c>
      <c r="C2" s="822" t="str">
        <f>IF(TH!C2&lt;&gt;"",TH!C2,"")</f>
        <v/>
      </c>
      <c r="D2" s="822" t="str">
        <f>IF(TH!D2&lt;&gt;"",TH!D2,"")</f>
        <v/>
      </c>
      <c r="E2" s="822" t="str">
        <f>IF(TH!E2&lt;&gt;"",TH!E2,"")</f>
        <v/>
      </c>
      <c r="F2" s="822" t="str">
        <f>IF(TH!F2&lt;&gt;"",TH!F2,"")</f>
        <v/>
      </c>
      <c r="G2" s="822" t="str">
        <f>IF(TH!G2&lt;&gt;"",TH!G2,"")</f>
        <v/>
      </c>
      <c r="H2" s="822" t="str">
        <f>IF(TH!H2&lt;&gt;"",TH!H2,"")</f>
        <v/>
      </c>
      <c r="I2" s="822" t="str">
        <f>IF(TH!I2&lt;&gt;"",TH!I2,"")</f>
        <v/>
      </c>
    </row>
    <row r="3" spans="1:9">
      <c r="A3" s="822" t="str">
        <f>IF(TH!A3&lt;&gt;"",TH!A3,"")</f>
        <v>Địa điểm:</v>
      </c>
      <c r="B3" s="822" t="str">
        <f>IF(TH!B3&lt;&gt;"",TH!B3,"")</f>
        <v>Xã Tân Ân -Huyện Ngọc Hiển-Tỉnh Cà Mau</v>
      </c>
      <c r="C3" s="822" t="str">
        <f>IF(TH!C3&lt;&gt;"",TH!C3,"")</f>
        <v/>
      </c>
      <c r="D3" s="822" t="str">
        <f>IF(TH!D3&lt;&gt;"",TH!D3,"")</f>
        <v/>
      </c>
      <c r="E3" s="822" t="str">
        <f>IF(TH!E3&lt;&gt;"",TH!E3,"")</f>
        <v/>
      </c>
      <c r="F3" s="822" t="str">
        <f>IF(TH!F3&lt;&gt;"",TH!F3,"")</f>
        <v/>
      </c>
      <c r="G3" s="822" t="str">
        <f>IF(TH!G3&lt;&gt;"",TH!G3,"")</f>
        <v/>
      </c>
      <c r="H3" s="822" t="str">
        <f>IF(TH!H3&lt;&gt;"",TH!H3,"")</f>
        <v/>
      </c>
      <c r="I3" s="822" t="str">
        <f>IF(TH!I3&lt;&gt;"",TH!I3,"")</f>
        <v/>
      </c>
    </row>
    <row r="4" spans="1:9">
      <c r="A4" s="822" t="str">
        <f>IF(TH!A4&lt;&gt;"",TH!A4,"")</f>
        <v>Đặc điểm công trình:</v>
      </c>
      <c r="B4" s="822" t="str">
        <f>IF(TH!B4&lt;&gt;"",TH!B4,"")</f>
        <v>1 tầng trệt, 2 tầng lầu</v>
      </c>
      <c r="C4" s="822" t="str">
        <f>IF(TH!C4&lt;&gt;"",TH!C4,"")</f>
        <v/>
      </c>
      <c r="D4" s="822" t="str">
        <f>IF(TH!D4&lt;&gt;"",TH!D4,"")</f>
        <v/>
      </c>
      <c r="E4" s="822" t="str">
        <f>IF(TH!E4&lt;&gt;"",TH!E4,"")</f>
        <v/>
      </c>
      <c r="F4" s="822" t="str">
        <f>IF(TH!F4&lt;&gt;"",TH!F4,"")</f>
        <v/>
      </c>
      <c r="G4" s="822" t="str">
        <f>IF(TH!G4&lt;&gt;"",TH!G4,"")</f>
        <v/>
      </c>
      <c r="H4" s="822" t="str">
        <f>IF(TH!H4&lt;&gt;"",TH!H4,"")</f>
        <v/>
      </c>
      <c r="I4" s="822" t="str">
        <f>IF(TH!I4&lt;&gt;"",TH!I4,"")</f>
        <v/>
      </c>
    </row>
    <row r="5" spans="1:9">
      <c r="A5" s="822" t="str">
        <f>IF(TH!A5&lt;&gt;"",TH!A5,"")</f>
        <v>Cấp công trình</v>
      </c>
      <c r="B5" s="822">
        <f>IF(TH!B5&lt;&gt;"",TH!B5,"")</f>
        <v>5000</v>
      </c>
      <c r="C5" s="822" t="str">
        <f>IF(TH!C5&lt;&gt;"",TH!C5,"")</f>
        <v/>
      </c>
      <c r="D5" s="822" t="str">
        <f>IF(TH!D5&lt;&gt;"",TH!D5,"")</f>
        <v/>
      </c>
      <c r="E5" s="822" t="str">
        <f>IF(TH!E5&lt;&gt;"",TH!E5,"")</f>
        <v/>
      </c>
      <c r="F5" s="822" t="str">
        <f>IF(TH!F5&lt;&gt;"",TH!F5,"")</f>
        <v/>
      </c>
      <c r="G5" s="822" t="str">
        <f>IF(TH!G5&lt;&gt;"",TH!G5,"")</f>
        <v/>
      </c>
      <c r="H5" s="822" t="str">
        <f>IF(TH!H5&lt;&gt;"",TH!H5,"")</f>
        <v/>
      </c>
      <c r="I5" s="822" t="str">
        <f>IF(TH!I5&lt;&gt;"",TH!I5,"")</f>
        <v/>
      </c>
    </row>
    <row r="6" spans="1:9">
      <c r="A6" s="822" t="str">
        <f>IF(TH!A6&lt;&gt;"",TH!A6,"")</f>
        <v>Số tầng:</v>
      </c>
      <c r="B6" s="822">
        <f>IF(TH!B6&lt;&gt;"",TH!B6,"")</f>
        <v>4</v>
      </c>
      <c r="C6" s="822" t="str">
        <f>IF(TH!C6&lt;&gt;"",TH!C6,"")</f>
        <v>tầng</v>
      </c>
      <c r="D6" s="822" t="str">
        <f>IF(TH!D6&lt;&gt;"",TH!D6,"")</f>
        <v/>
      </c>
      <c r="E6" s="822" t="str">
        <f>IF(TH!E6&lt;&gt;"",TH!E6,"")</f>
        <v/>
      </c>
      <c r="F6" s="822" t="str">
        <f>IF(TH!F6&lt;&gt;"",TH!F6,"")</f>
        <v/>
      </c>
      <c r="G6" s="822" t="str">
        <f>IF(TH!G6&lt;&gt;"",TH!G6,"")</f>
        <v/>
      </c>
      <c r="H6" s="822" t="str">
        <f>IF(TH!H6&lt;&gt;"",TH!H6,"")</f>
        <v/>
      </c>
      <c r="I6" s="822" t="str">
        <f>IF(TH!I6&lt;&gt;"",TH!I6,"")</f>
        <v/>
      </c>
    </row>
    <row r="7" spans="1:9">
      <c r="A7" s="822" t="str">
        <f>IF(TH!A7&lt;&gt;"",TH!A7,"")</f>
        <v>Diện tích xây dựng</v>
      </c>
      <c r="B7" s="822">
        <f>IF(TH!B7&lt;&gt;"",TH!B7,"")</f>
        <v>435.7</v>
      </c>
      <c r="C7" s="822" t="str">
        <f>IF(TH!C7&lt;&gt;"",TH!C7,"")</f>
        <v>m2</v>
      </c>
      <c r="D7" s="822" t="str">
        <f>IF(TH!D7&lt;&gt;"",TH!D7,"")</f>
        <v/>
      </c>
      <c r="E7" s="822" t="str">
        <f>IF(TH!E7&lt;&gt;"",TH!E7,"")</f>
        <v/>
      </c>
      <c r="F7" s="822" t="str">
        <f>IF(TH!F7&lt;&gt;"",TH!F7,"")</f>
        <v/>
      </c>
      <c r="G7" s="822" t="str">
        <f>IF(TH!G7&lt;&gt;"",TH!G7,"")</f>
        <v/>
      </c>
      <c r="H7" s="822" t="str">
        <f>IF(TH!H7&lt;&gt;"",TH!H7,"")</f>
        <v/>
      </c>
      <c r="I7" s="822" t="str">
        <f>IF(TH!I7&lt;&gt;"",TH!I7,"")</f>
        <v/>
      </c>
    </row>
    <row r="8" spans="1:9">
      <c r="A8" s="822" t="str">
        <f>IF(TH!A8&lt;&gt;"",TH!A8,"")</f>
        <v xml:space="preserve">Tổng diện tích </v>
      </c>
      <c r="B8" s="822">
        <f>IF(TH!B8&lt;&gt;"",TH!B8,"")</f>
        <v>814.3</v>
      </c>
      <c r="C8" s="822" t="str">
        <f>IF(TH!C8&lt;&gt;"",TH!C8,"")</f>
        <v>m2</v>
      </c>
      <c r="D8" s="822" t="str">
        <f>IF(TH!D8&lt;&gt;"",TH!D8,"")</f>
        <v/>
      </c>
      <c r="E8" s="822" t="str">
        <f>IF(TH!E8&lt;&gt;"",TH!E8,"")</f>
        <v/>
      </c>
      <c r="F8" s="822" t="str">
        <f>IF(TH!F8&lt;&gt;"",TH!F8,"")</f>
        <v/>
      </c>
      <c r="G8" s="822" t="str">
        <f>IF(TH!G8&lt;&gt;"",TH!G8,"")</f>
        <v/>
      </c>
      <c r="H8" s="822" t="str">
        <f>IF(TH!H8&lt;&gt;"",TH!H8,"")</f>
        <v/>
      </c>
      <c r="I8" s="822" t="str">
        <f>IF(TH!I8&lt;&gt;"",TH!I8,"")</f>
        <v/>
      </c>
    </row>
    <row r="9" spans="1:9">
      <c r="A9" s="822" t="str">
        <f>IF(TH!A9&lt;&gt;"",TH!A9,"")</f>
        <v>Trong đó:</v>
      </c>
      <c r="B9" s="822" t="str">
        <f>IF(TH!B9&lt;&gt;"",TH!B9,"")</f>
        <v>tầng trệt: S=435,7 m², lầu 1: S=378,6 m²</v>
      </c>
      <c r="C9" s="822" t="str">
        <f>IF(TH!C9&lt;&gt;"",TH!C9,"")</f>
        <v/>
      </c>
      <c r="D9" s="822" t="str">
        <f>IF(TH!D9&lt;&gt;"",TH!D9,"")</f>
        <v/>
      </c>
      <c r="E9" s="822" t="str">
        <f>IF(TH!E9&lt;&gt;"",TH!E9,"")</f>
        <v/>
      </c>
      <c r="F9" s="822" t="str">
        <f>IF(TH!F9&lt;&gt;"",TH!F9,"")</f>
        <v/>
      </c>
      <c r="G9" s="822" t="str">
        <f>IF(TH!G9&lt;&gt;"",TH!G9,"")</f>
        <v/>
      </c>
      <c r="H9" s="822" t="str">
        <f>IF(TH!H9&lt;&gt;"",TH!H9,"")</f>
        <v/>
      </c>
      <c r="I9" s="822" t="str">
        <f>IF(TH!I9&lt;&gt;"",TH!I9,"")</f>
        <v/>
      </c>
    </row>
    <row r="10" spans="1:9">
      <c r="A10" s="822" t="str">
        <f>IF(TH!A10&lt;&gt;"",TH!A10,"")</f>
        <v>Chiều cao nèn từ tầng trệt:</v>
      </c>
      <c r="B10" s="822" t="str">
        <f>IF(TH!B10&lt;&gt;"",TH!B10,"")</f>
        <v/>
      </c>
      <c r="C10" s="822" t="str">
        <f>IF(TH!C10&lt;&gt;"",TH!C10,"")</f>
        <v/>
      </c>
      <c r="D10" s="822" t="str">
        <f>IF(TH!D10&lt;&gt;"",TH!D10,"")</f>
        <v/>
      </c>
      <c r="E10" s="822" t="str">
        <f>IF(TH!E10&lt;&gt;"",TH!E10,"")</f>
        <v/>
      </c>
      <c r="F10" s="822" t="str">
        <f>IF(TH!F10&lt;&gt;"",TH!F10,"")</f>
        <v/>
      </c>
      <c r="G10" s="822" t="str">
        <f>IF(TH!G10&lt;&gt;"",TH!G10,"")</f>
        <v/>
      </c>
      <c r="H10" s="822" t="str">
        <f>IF(TH!H10&lt;&gt;"",TH!H10,"")</f>
        <v/>
      </c>
      <c r="I10" s="822" t="str">
        <f>IF(TH!I10&lt;&gt;"",TH!I10,"")</f>
        <v/>
      </c>
    </row>
    <row r="11" spans="1:9">
      <c r="A11" s="822" t="str">
        <f>IF(TH!A11&lt;&gt;"",TH!A11,"")</f>
        <v>Cao độ mỗi tầng:</v>
      </c>
      <c r="B11" s="822" t="str">
        <f>IF(TH!B11&lt;&gt;"",TH!B11,"")</f>
        <v/>
      </c>
      <c r="C11" s="822" t="str">
        <f>IF(TH!C11&lt;&gt;"",TH!C11,"")</f>
        <v/>
      </c>
      <c r="D11" s="822" t="str">
        <f>IF(TH!D11&lt;&gt;"",TH!D11,"")</f>
        <v/>
      </c>
      <c r="E11" s="822" t="str">
        <f>IF(TH!E11&lt;&gt;"",TH!E11,"")</f>
        <v/>
      </c>
      <c r="F11" s="822" t="str">
        <f>IF(TH!F11&lt;&gt;"",TH!F11,"")</f>
        <v/>
      </c>
      <c r="G11" s="822" t="str">
        <f>IF(TH!G11&lt;&gt;"",TH!G11,"")</f>
        <v/>
      </c>
      <c r="H11" s="822" t="str">
        <f>IF(TH!H11&lt;&gt;"",TH!H11,"")</f>
        <v/>
      </c>
      <c r="I11" s="822" t="str">
        <f>IF(TH!I11&lt;&gt;"",TH!I11,"")</f>
        <v/>
      </c>
    </row>
    <row r="12" spans="1:9">
      <c r="A12" s="822" t="str">
        <f>IF(TH!A12&lt;&gt;"",TH!A12,"")</f>
        <v>Tầng trệt</v>
      </c>
      <c r="B12" s="822">
        <f>IF(TH!B12&lt;&gt;"",TH!B12,"")</f>
        <v>2.85</v>
      </c>
      <c r="C12" s="822" t="str">
        <f>IF(TH!C12&lt;&gt;"",TH!C12,"")</f>
        <v>m</v>
      </c>
      <c r="D12" s="822" t="str">
        <f>IF(TH!D12&lt;&gt;"",TH!D12,"")</f>
        <v/>
      </c>
      <c r="E12" s="822" t="str">
        <f>IF(TH!E12&lt;&gt;"",TH!E12,"")</f>
        <v/>
      </c>
      <c r="F12" s="822" t="str">
        <f>IF(TH!F12&lt;&gt;"",TH!F12,"")</f>
        <v/>
      </c>
      <c r="G12" s="822" t="str">
        <f>IF(TH!G12&lt;&gt;"",TH!G12,"")</f>
        <v/>
      </c>
      <c r="H12" s="822" t="str">
        <f>IF(TH!H12&lt;&gt;"",TH!H12,"")</f>
        <v/>
      </c>
      <c r="I12" s="822" t="str">
        <f>IF(TH!I12&lt;&gt;"",TH!I12,"")</f>
        <v/>
      </c>
    </row>
    <row r="13" spans="1:9">
      <c r="A13" s="822" t="str">
        <f>IF(TH!A13&lt;&gt;"",TH!A13,"")</f>
        <v>Tầng 1</v>
      </c>
      <c r="B13" s="822">
        <f>IF(TH!B13&lt;&gt;"",TH!B13,"")</f>
        <v>3.6</v>
      </c>
      <c r="C13" s="822" t="str">
        <f>IF(TH!C13&lt;&gt;"",TH!C13,"")</f>
        <v>m</v>
      </c>
      <c r="D13" s="822" t="str">
        <f>IF(TH!D13&lt;&gt;"",TH!D13,"")</f>
        <v/>
      </c>
      <c r="E13" s="822" t="str">
        <f>IF(TH!E13&lt;&gt;"",TH!E13,"")</f>
        <v/>
      </c>
      <c r="F13" s="822" t="str">
        <f>IF(TH!F13&lt;&gt;"",TH!F13,"")</f>
        <v/>
      </c>
      <c r="G13" s="822" t="str">
        <f>IF(TH!G13&lt;&gt;"",TH!G13,"")</f>
        <v/>
      </c>
      <c r="H13" s="822" t="str">
        <f>IF(TH!H13&lt;&gt;"",TH!H13,"")</f>
        <v/>
      </c>
      <c r="I13" s="822" t="str">
        <f>IF(TH!I13&lt;&gt;"",TH!I13,"")</f>
        <v/>
      </c>
    </row>
    <row r="14" spans="1:9">
      <c r="A14" s="822" t="str">
        <f>IF(TH!A14&lt;&gt;"",TH!A14,"")</f>
        <v>Tầng 2</v>
      </c>
      <c r="B14" s="822">
        <f>IF(TH!B14&lt;&gt;"",TH!B14,"")</f>
        <v>6.45</v>
      </c>
      <c r="C14" s="822" t="str">
        <f>IF(TH!C14&lt;&gt;"",TH!C14,"")</f>
        <v>m</v>
      </c>
      <c r="D14" s="822" t="str">
        <f>IF(TH!D14&lt;&gt;"",TH!D14,"")</f>
        <v/>
      </c>
      <c r="E14" s="822" t="str">
        <f>IF(TH!E14&lt;&gt;"",TH!E14,"")</f>
        <v/>
      </c>
      <c r="F14" s="822" t="str">
        <f>IF(TH!F14&lt;&gt;"",TH!F14,"")</f>
        <v/>
      </c>
      <c r="G14" s="822" t="str">
        <f>IF(TH!G14&lt;&gt;"",TH!G14,"")</f>
        <v/>
      </c>
      <c r="H14" s="822" t="str">
        <f>IF(TH!H14&lt;&gt;"",TH!H14,"")</f>
        <v/>
      </c>
      <c r="I14" s="822" t="str">
        <f>IF(TH!I14&lt;&gt;"",TH!I14,"")</f>
        <v/>
      </c>
    </row>
    <row r="15" spans="1:9">
      <c r="A15" s="822" t="str">
        <f>IF(TH!A15&lt;&gt;"",TH!A15,"")</f>
        <v>Mái</v>
      </c>
      <c r="B15" s="822">
        <f>IF(TH!B15&lt;&gt;"",TH!B15,"")</f>
        <v>13.35</v>
      </c>
      <c r="C15" s="822" t="str">
        <f>IF(TH!C15&lt;&gt;"",TH!C15,"")</f>
        <v>m</v>
      </c>
      <c r="D15" s="822" t="str">
        <f>IF(TH!D15&lt;&gt;"",TH!D15,"")</f>
        <v/>
      </c>
      <c r="E15" s="822" t="str">
        <f>IF(TH!E15&lt;&gt;"",TH!E15,"")</f>
        <v/>
      </c>
      <c r="F15" s="822" t="str">
        <f>IF(TH!F15&lt;&gt;"",TH!F15,"")</f>
        <v/>
      </c>
      <c r="G15" s="822" t="str">
        <f>IF(TH!G15&lt;&gt;"",TH!G15,"")</f>
        <v/>
      </c>
      <c r="H15" s="822" t="str">
        <f>IF(TH!H15&lt;&gt;"",TH!H15,"")</f>
        <v/>
      </c>
      <c r="I15" s="822" t="str">
        <f>IF(TH!I15&lt;&gt;"",TH!I15,"")</f>
        <v/>
      </c>
    </row>
    <row r="16" spans="1:9">
      <c r="A16" s="822" t="str">
        <f>IF(TH!A16&lt;&gt;"",TH!A16,"")</f>
        <v>Chiều cao công trình</v>
      </c>
      <c r="B16" s="822">
        <f>IF(TH!B16&lt;&gt;"",TH!B16,"")</f>
        <v>13.35</v>
      </c>
      <c r="C16" s="822" t="str">
        <f>IF(TH!C16&lt;&gt;"",TH!C16,"")</f>
        <v>m</v>
      </c>
      <c r="D16" s="822" t="str">
        <f>IF(TH!D16&lt;&gt;"",TH!D16,"")</f>
        <v/>
      </c>
      <c r="E16" s="822" t="str">
        <f>IF(TH!E16&lt;&gt;"",TH!E16,"")</f>
        <v/>
      </c>
      <c r="F16" s="822" t="str">
        <f>IF(TH!F16&lt;&gt;"",TH!F16,"")</f>
        <v/>
      </c>
      <c r="G16" s="822" t="str">
        <f>IF(TH!G16&lt;&gt;"",TH!G16,"")</f>
        <v/>
      </c>
      <c r="H16" s="822" t="str">
        <f>IF(TH!H16&lt;&gt;"",TH!H16,"")</f>
        <v/>
      </c>
      <c r="I16" s="822" t="str">
        <f>IF(TH!I16&lt;&gt;"",TH!I16,"")</f>
        <v/>
      </c>
    </row>
    <row r="17" spans="1:9">
      <c r="A17" s="822" t="str">
        <f>IF(TH!A17&lt;&gt;"",TH!A17,"")</f>
        <v>Sàn lầu 1</v>
      </c>
      <c r="B17" s="822">
        <f>IF(TH!B17&lt;&gt;"",TH!B17,"")</f>
        <v>3.6</v>
      </c>
      <c r="C17" s="822" t="str">
        <f>IF(TH!C17&lt;&gt;"",TH!C17,"")</f>
        <v>m</v>
      </c>
      <c r="D17" s="822" t="str">
        <f>IF(TH!D17&lt;&gt;"",TH!D17,"")</f>
        <v/>
      </c>
      <c r="E17" s="822" t="str">
        <f>IF(TH!E17&lt;&gt;"",TH!E17,"")</f>
        <v/>
      </c>
      <c r="F17" s="822" t="str">
        <f>IF(TH!F17&lt;&gt;"",TH!F17,"")</f>
        <v/>
      </c>
      <c r="G17" s="822" t="str">
        <f>IF(TH!G17&lt;&gt;"",TH!G17,"")</f>
        <v/>
      </c>
      <c r="H17" s="822" t="str">
        <f>IF(TH!H17&lt;&gt;"",TH!H17,"")</f>
        <v/>
      </c>
      <c r="I17" s="822" t="str">
        <f>IF(TH!I17&lt;&gt;"",TH!I17,"")</f>
        <v/>
      </c>
    </row>
    <row r="18" spans="1:9">
      <c r="A18" s="822" t="str">
        <f>IF(TH!A18&lt;&gt;"",TH!A18,"")</f>
        <v>Trần lầu 2</v>
      </c>
      <c r="B18" s="822">
        <f>IF(TH!B18&lt;&gt;"",TH!B18,"")</f>
        <v>3.6</v>
      </c>
      <c r="C18" s="822" t="str">
        <f>IF(TH!C18&lt;&gt;"",TH!C18,"")</f>
        <v>m</v>
      </c>
      <c r="D18" s="822" t="str">
        <f>IF(TH!D18&lt;&gt;"",TH!D18,"")</f>
        <v/>
      </c>
      <c r="E18" s="822" t="str">
        <f>IF(TH!E18&lt;&gt;"",TH!E18,"")</f>
        <v/>
      </c>
      <c r="F18" s="822" t="str">
        <f>IF(TH!F18&lt;&gt;"",TH!F18,"")</f>
        <v/>
      </c>
      <c r="G18" s="822" t="str">
        <f>IF(TH!G18&lt;&gt;"",TH!G18,"")</f>
        <v/>
      </c>
      <c r="H18" s="822" t="str">
        <f>IF(TH!H18&lt;&gt;"",TH!H18,"")</f>
        <v/>
      </c>
      <c r="I18" s="822" t="str">
        <f>IF(TH!I18&lt;&gt;"",TH!I18,"")</f>
        <v/>
      </c>
    </row>
    <row r="19" spans="1:9">
      <c r="A19" s="822" t="str">
        <f>IF(TH!A19&lt;&gt;"",TH!A19,"")</f>
        <v>mái</v>
      </c>
      <c r="B19" s="822">
        <f>IF(TH!B19&lt;&gt;"",TH!B19,"")</f>
        <v>3.3</v>
      </c>
      <c r="C19" s="822" t="str">
        <f>IF(TH!C19&lt;&gt;"",TH!C19,"")</f>
        <v>m</v>
      </c>
      <c r="D19" s="822" t="str">
        <f>IF(TH!D19&lt;&gt;"",TH!D19,"")</f>
        <v/>
      </c>
      <c r="E19" s="822" t="str">
        <f>IF(TH!E19&lt;&gt;"",TH!E19,"")</f>
        <v/>
      </c>
      <c r="F19" s="822" t="str">
        <f>IF(TH!F19&lt;&gt;"",TH!F19,"")</f>
        <v/>
      </c>
      <c r="G19" s="822" t="str">
        <f>IF(TH!G19&lt;&gt;"",TH!G19,"")</f>
        <v/>
      </c>
      <c r="H19" s="822" t="str">
        <f>IF(TH!H19&lt;&gt;"",TH!H19,"")</f>
        <v/>
      </c>
      <c r="I19" s="822" t="str">
        <f>IF(TH!I19&lt;&gt;"",TH!I19,"")</f>
        <v/>
      </c>
    </row>
    <row r="20" spans="1:9">
      <c r="A20" s="822" t="str">
        <f>IF(TH!A20&lt;&gt;"",TH!A20,"")</f>
        <v>BÊ TÔNG:</v>
      </c>
      <c r="B20" s="822" t="str">
        <f>IF(TH!B20&lt;&gt;"",TH!B20,"")</f>
        <v/>
      </c>
      <c r="C20" s="822" t="str">
        <f>IF(TH!C20&lt;&gt;"",TH!C20,"")</f>
        <v/>
      </c>
      <c r="D20" s="822" t="str">
        <f>IF(TH!D20&lt;&gt;"",TH!D20,"")</f>
        <v/>
      </c>
      <c r="E20" s="822" t="str">
        <f>IF(TH!E20&lt;&gt;"",TH!E20,"")</f>
        <v/>
      </c>
      <c r="F20" s="822" t="str">
        <f>IF(TH!F20&lt;&gt;"",TH!F20,"")</f>
        <v/>
      </c>
      <c r="G20" s="822" t="str">
        <f>IF(TH!G20&lt;&gt;"",TH!G20,"")</f>
        <v/>
      </c>
      <c r="H20" s="822" t="str">
        <f>IF(TH!H20&lt;&gt;"",TH!H20,"")</f>
        <v/>
      </c>
      <c r="I20" s="822" t="str">
        <f>IF(TH!I20&lt;&gt;"",TH!I20,"")</f>
        <v/>
      </c>
    </row>
    <row r="21" spans="1:9">
      <c r="A21" s="822" t="str">
        <f>IF(TH!A21&lt;&gt;"",TH!A21,"")</f>
        <v>Cấp độ bền</v>
      </c>
      <c r="B21" s="822" t="s">
        <v>84</v>
      </c>
      <c r="C21" s="822">
        <v>25</v>
      </c>
      <c r="D21" s="822" t="str">
        <f>IF(TH!D21&lt;&gt;"",TH!D21,"")</f>
        <v/>
      </c>
      <c r="E21" s="822" t="str">
        <f>IF(TH!E21&lt;&gt;"",TH!E21,"")</f>
        <v/>
      </c>
      <c r="F21" s="822" t="str">
        <f>IF(TH!F21&lt;&gt;"",TH!F21,"")</f>
        <v/>
      </c>
      <c r="G21" s="822" t="str">
        <f>IF(TH!G21&lt;&gt;"",TH!G21,"")</f>
        <v/>
      </c>
      <c r="H21" s="822" t="str">
        <f>IF(TH!H21&lt;&gt;"",TH!H21,"")</f>
        <v/>
      </c>
      <c r="I21" s="822" t="str">
        <f>IF(TH!I21&lt;&gt;"",TH!I21,"")</f>
        <v/>
      </c>
    </row>
    <row r="22" spans="1:9">
      <c r="A22" s="822" t="str">
        <f>IF(TH!A22&lt;&gt;"",TH!A22,"")</f>
        <v>Cường độ tính toán chịu nén</v>
      </c>
      <c r="B22" s="822">
        <v>14.5</v>
      </c>
      <c r="C22" s="822" t="str">
        <f>IF(TH!C22&lt;&gt;"",TH!C22,"")</f>
        <v>Mpa</v>
      </c>
      <c r="D22" s="822">
        <f>IF(TH!D22&lt;&gt;"",TH!D22,"")</f>
        <v>850</v>
      </c>
      <c r="E22" s="822" t="str">
        <f>IF(TH!E22&lt;&gt;"",TH!E22,"")</f>
        <v/>
      </c>
      <c r="F22" s="822" t="str">
        <f>IF(TH!F22&lt;&gt;"",TH!F22,"")</f>
        <v/>
      </c>
      <c r="G22" s="822" t="str">
        <f>IF(TH!G22&lt;&gt;"",TH!G22,"")</f>
        <v/>
      </c>
      <c r="H22" s="822">
        <f>B22*100</f>
        <v>1450</v>
      </c>
      <c r="I22" s="822" t="str">
        <f>IF(TH!I22&lt;&gt;"",TH!I22,"")</f>
        <v>T/m2</v>
      </c>
    </row>
    <row r="23" spans="1:9">
      <c r="A23" s="822" t="str">
        <f>IF(TH!A23&lt;&gt;"",TH!A23,"")</f>
        <v>Cường độ tính toán chịu kéo</v>
      </c>
      <c r="B23" s="822">
        <f>IF(TH!B23&lt;&gt;"",TH!B23,"")</f>
        <v>0.75</v>
      </c>
      <c r="C23" s="822" t="str">
        <f>IF(TH!C23&lt;&gt;"",TH!C23,"")</f>
        <v>Mpa</v>
      </c>
      <c r="D23" s="822">
        <f>IF(TH!D23&lt;&gt;"",TH!D23,"")</f>
        <v>75</v>
      </c>
      <c r="E23" s="822" t="str">
        <f>IF(TH!E23&lt;&gt;"",TH!E23,"")</f>
        <v/>
      </c>
      <c r="F23" s="822" t="str">
        <f>IF(TH!F23&lt;&gt;"",TH!F23,"")</f>
        <v/>
      </c>
      <c r="G23" s="822" t="str">
        <f>IF(TH!G23&lt;&gt;"",TH!G23,"")</f>
        <v/>
      </c>
      <c r="H23" s="822">
        <f t="shared" ref="H23:H24" si="0">B23*100</f>
        <v>75</v>
      </c>
      <c r="I23" s="822" t="str">
        <f>IF(TH!I23&lt;&gt;"",TH!I23,"")</f>
        <v>T/m2</v>
      </c>
    </row>
    <row r="24" spans="1:9">
      <c r="A24" s="822" t="str">
        <f>IF(TH!A24&lt;&gt;"",TH!A24,"")</f>
        <v>Modul đàn hồi</v>
      </c>
      <c r="B24" s="822">
        <f>IF(TH!B24&lt;&gt;"",TH!B24,"")</f>
        <v>23000</v>
      </c>
      <c r="C24" s="822" t="str">
        <f>IF(TH!C24&lt;&gt;"",TH!C24,"")</f>
        <v>Mpa</v>
      </c>
      <c r="D24" s="822">
        <f>IF(TH!D24&lt;&gt;"",TH!D24,"")</f>
        <v>2300000</v>
      </c>
      <c r="E24" s="822" t="str">
        <f>IF(TH!E24&lt;&gt;"",TH!E24,"")</f>
        <v/>
      </c>
      <c r="F24" s="822" t="str">
        <f>IF(TH!F24&lt;&gt;"",TH!F24,"")</f>
        <v/>
      </c>
      <c r="G24" s="822" t="str">
        <f>IF(TH!G24&lt;&gt;"",TH!G24,"")</f>
        <v/>
      </c>
      <c r="H24" s="822">
        <f t="shared" si="0"/>
        <v>2300000</v>
      </c>
      <c r="I24" s="822" t="str">
        <f>IF(TH!I24&lt;&gt;"",TH!I24,"")</f>
        <v>T/m2</v>
      </c>
    </row>
    <row r="25" spans="1:9">
      <c r="A25" s="822" t="str">
        <f>IF(TH!A25&lt;&gt;"",TH!A25,"")</f>
        <v>Cốt thép</v>
      </c>
      <c r="B25" s="822" t="str">
        <f>IF(TH!B25&lt;&gt;"",TH!B25,"")</f>
        <v/>
      </c>
      <c r="C25" s="822" t="str">
        <f>IF(TH!C25&lt;&gt;"",TH!C25,"")</f>
        <v/>
      </c>
      <c r="D25" s="822" t="str">
        <f>IF(TH!D25&lt;&gt;"",TH!D25,"")</f>
        <v/>
      </c>
      <c r="E25" s="822" t="str">
        <f>IF(TH!E25&lt;&gt;"",TH!E25,"")</f>
        <v/>
      </c>
      <c r="F25" s="822" t="str">
        <f>IF(TH!F25&lt;&gt;"",TH!F25,"")</f>
        <v/>
      </c>
      <c r="G25" s="822" t="str">
        <f>IF(TH!G25&lt;&gt;"",TH!G25,"")</f>
        <v/>
      </c>
      <c r="H25" s="822" t="str">
        <f>IF(TH!H25&lt;&gt;"",TH!H25,"")</f>
        <v/>
      </c>
      <c r="I25" s="822" t="str">
        <f>IF(TH!I25&lt;&gt;"",TH!I25,"")</f>
        <v/>
      </c>
    </row>
    <row r="26" spans="1:9">
      <c r="A26" s="822" t="str">
        <f>IF(TH!A26&lt;&gt;"",TH!A26,"")</f>
        <v>Loại thép</v>
      </c>
      <c r="B26" s="822" t="str">
        <f>IF(TH!B26&lt;&gt;"",TH!B26,"")</f>
        <v>CI (AI)</v>
      </c>
      <c r="C26" s="822" t="str">
        <f>IF(TH!C26&lt;&gt;"",TH!C26,"")</f>
        <v/>
      </c>
      <c r="D26" s="822" t="str">
        <f>IF(TH!D26&lt;&gt;"",TH!D26,"")</f>
        <v/>
      </c>
      <c r="E26" s="822" t="str">
        <f>IF(TH!E26&lt;&gt;"",TH!E26,"")</f>
        <v/>
      </c>
      <c r="F26" s="822" t="str">
        <f>IF(TH!F26&lt;&gt;"",TH!F26,"")</f>
        <v xml:space="preserve">CB300-T </v>
      </c>
      <c r="G26" s="822" t="str">
        <f>IF(TH!G26&lt;&gt;"",TH!G26,"")</f>
        <v/>
      </c>
      <c r="H26" s="822" t="str">
        <f>IF(TH!H26&lt;&gt;"",TH!H26,"")</f>
        <v/>
      </c>
      <c r="I26" s="822" t="str">
        <f>IF(TH!I26&lt;&gt;"",TH!I26,"")</f>
        <v/>
      </c>
    </row>
    <row r="27" spans="1:9">
      <c r="A27" s="822" t="str">
        <f>IF(TH!A27&lt;&gt;"",TH!A27,"")</f>
        <v>Cường độ tính toán chịu nén, kéo</v>
      </c>
      <c r="B27" s="822">
        <f>IF(TH!B27&lt;&gt;"",TH!B27,"")</f>
        <v>225</v>
      </c>
      <c r="C27" s="822" t="str">
        <f>IF(TH!C27&lt;&gt;"",TH!C27,"")</f>
        <v>Mpa</v>
      </c>
      <c r="D27" s="822">
        <f>IF(TH!D27&lt;&gt;"",TH!D27,"")</f>
        <v>2250</v>
      </c>
      <c r="E27" s="822" t="str">
        <f>IF(TH!E27&lt;&gt;"",TH!E27,"")</f>
        <v/>
      </c>
      <c r="F27" s="822">
        <f>IF(TH!F27&lt;&gt;"",TH!F27,"")</f>
        <v>260</v>
      </c>
      <c r="G27" s="822" t="str">
        <f>IF(TH!G27&lt;&gt;"",TH!G27,"")</f>
        <v>Mpa</v>
      </c>
      <c r="H27" s="822">
        <f>IF(TH!H27&lt;&gt;"",TH!H27,"")</f>
        <v>22500</v>
      </c>
      <c r="I27" s="822" t="str">
        <f>IF(TH!I27&lt;&gt;"",TH!I27,"")</f>
        <v>T/m2</v>
      </c>
    </row>
    <row r="28" spans="1:9">
      <c r="A28" s="822" t="str">
        <f>IF(TH!A28&lt;&gt;"",TH!A28,"")</f>
        <v>Cường độ tính toán chịu kéo cho cốt đai</v>
      </c>
      <c r="B28" s="822">
        <f>IF(TH!B28&lt;&gt;"",TH!B28,"")</f>
        <v>175</v>
      </c>
      <c r="C28" s="822" t="str">
        <f>IF(TH!C28&lt;&gt;"",TH!C28,"")</f>
        <v>Mpa</v>
      </c>
      <c r="D28" s="822">
        <f>IF(TH!D28&lt;&gt;"",TH!D28,"")</f>
        <v>1750</v>
      </c>
      <c r="E28" s="822" t="str">
        <f>IF(TH!E28&lt;&gt;"",TH!E28,"")</f>
        <v/>
      </c>
      <c r="F28" s="822">
        <f>IF(TH!F28&lt;&gt;"",TH!F28,"")</f>
        <v>210</v>
      </c>
      <c r="G28" s="822" t="str">
        <f>IF(TH!G28&lt;&gt;"",TH!G28,"")</f>
        <v>Mpa</v>
      </c>
      <c r="H28" s="822">
        <f>IF(TH!H28&lt;&gt;"",TH!H28,"")</f>
        <v>17500</v>
      </c>
      <c r="I28" s="822" t="str">
        <f>IF(TH!I28&lt;&gt;"",TH!I28,"")</f>
        <v>T/m2</v>
      </c>
    </row>
    <row r="29" spans="1:9">
      <c r="A29" s="822" t="str">
        <f>IF(TH!A29&lt;&gt;"",TH!A29,"")</f>
        <v>Modul đàn hồi</v>
      </c>
      <c r="B29" s="822">
        <f>IF(TH!B29&lt;&gt;"",TH!B29,"")</f>
        <v>210000</v>
      </c>
      <c r="C29" s="822" t="str">
        <f>IF(TH!C29&lt;&gt;"",TH!C29,"")</f>
        <v>Mpa</v>
      </c>
      <c r="D29" s="822" t="str">
        <f>IF(TH!D29&lt;&gt;"",TH!D29,"")</f>
        <v/>
      </c>
      <c r="E29" s="822" t="str">
        <f>IF(TH!E29&lt;&gt;"",TH!E29,"")</f>
        <v/>
      </c>
      <c r="F29" s="822">
        <f>IF(TH!F29&lt;&gt;"",TH!F29,"")</f>
        <v>200000</v>
      </c>
      <c r="G29" s="822" t="str">
        <f>IF(TH!G29&lt;&gt;"",TH!G29,"")</f>
        <v>Mpa</v>
      </c>
      <c r="H29" s="822">
        <f>IF(TH!H29&lt;&gt;"",TH!H29,"")</f>
        <v>21000000</v>
      </c>
      <c r="I29" s="822" t="str">
        <f>IF(TH!I29&lt;&gt;"",TH!I29,"")</f>
        <v>T/m2</v>
      </c>
    </row>
    <row r="30" spans="1:9">
      <c r="A30" s="822" t="str">
        <f>IF(TH!A30&lt;&gt;"",TH!A30,"")</f>
        <v>Loại thép</v>
      </c>
      <c r="B30" s="822" t="str">
        <f>IF(TH!B30&lt;&gt;"",TH!B30,"")</f>
        <v>CII(AII)</v>
      </c>
      <c r="C30" s="822" t="str">
        <f>IF(TH!C30&lt;&gt;"",TH!C30,"")</f>
        <v/>
      </c>
      <c r="D30" s="822" t="str">
        <f>IF(TH!D30&lt;&gt;"",TH!D30,"")</f>
        <v/>
      </c>
      <c r="E30" s="822" t="str">
        <f>IF(TH!E30&lt;&gt;"",TH!E30,"")</f>
        <v/>
      </c>
      <c r="F30" s="822" t="str">
        <f>IF(TH!F30&lt;&gt;"",TH!F30,"")</f>
        <v xml:space="preserve">CB300-V </v>
      </c>
      <c r="G30" s="822" t="str">
        <f>IF(TH!G30&lt;&gt;"",TH!G30,"")</f>
        <v/>
      </c>
      <c r="H30" s="822" t="str">
        <f>IF(TH!H30&lt;&gt;"",TH!H30,"")</f>
        <v/>
      </c>
      <c r="I30" s="822" t="str">
        <f>IF(TH!I30&lt;&gt;"",TH!I30,"")</f>
        <v/>
      </c>
    </row>
    <row r="31" spans="1:9">
      <c r="A31" s="822" t="str">
        <f>IF(TH!A31&lt;&gt;"",TH!A31,"")</f>
        <v>Cường độ tính toán chịu nén, kéo</v>
      </c>
      <c r="B31" s="822">
        <f>IF(TH!B31&lt;&gt;"",TH!B31,"")</f>
        <v>280</v>
      </c>
      <c r="C31" s="822" t="str">
        <f>IF(TH!C31&lt;&gt;"",TH!C31,"")</f>
        <v>Mpa</v>
      </c>
      <c r="D31" s="822">
        <f>IF(TH!D31&lt;&gt;"",TH!D31,"")</f>
        <v>2800</v>
      </c>
      <c r="E31" s="822" t="str">
        <f>IF(TH!E31&lt;&gt;"",TH!E31,"")</f>
        <v/>
      </c>
      <c r="F31" s="822">
        <f>IF(TH!F31&lt;&gt;"",TH!F31,"")</f>
        <v>260</v>
      </c>
      <c r="G31" s="822" t="str">
        <f>IF(TH!G31&lt;&gt;"",TH!G31,"")</f>
        <v>Mpa</v>
      </c>
      <c r="H31" s="822">
        <f>IF(TH!H31&lt;&gt;"",TH!H31,"")</f>
        <v>28000</v>
      </c>
      <c r="I31" s="822" t="str">
        <f>IF(TH!I31&lt;&gt;"",TH!I31,"")</f>
        <v>T/m2</v>
      </c>
    </row>
    <row r="32" spans="1:9">
      <c r="A32" s="822" t="str">
        <f>IF(TH!A32&lt;&gt;"",TH!A32,"")</f>
        <v>Cường độ tính toán chịu kéo cho cốt đai</v>
      </c>
      <c r="B32" s="822">
        <f>IF(TH!B32&lt;&gt;"",TH!B32,"")</f>
        <v>225</v>
      </c>
      <c r="C32" s="822" t="str">
        <f>IF(TH!C32&lt;&gt;"",TH!C32,"")</f>
        <v>Mpa</v>
      </c>
      <c r="D32" s="822" t="str">
        <f>IF(TH!D32&lt;&gt;"",TH!D32,"")</f>
        <v/>
      </c>
      <c r="E32" s="822" t="str">
        <f>IF(TH!E32&lt;&gt;"",TH!E32,"")</f>
        <v/>
      </c>
      <c r="F32" s="822">
        <f>IF(TH!F32&lt;&gt;"",TH!F32,"")</f>
        <v>210</v>
      </c>
      <c r="G32" s="822" t="str">
        <f>IF(TH!G32&lt;&gt;"",TH!G32,"")</f>
        <v>Mpa</v>
      </c>
      <c r="H32" s="822">
        <f>IF(TH!H32&lt;&gt;"",TH!H32,"")</f>
        <v>22500</v>
      </c>
      <c r="I32" s="822" t="str">
        <f>IF(TH!I32&lt;&gt;"",TH!I32,"")</f>
        <v>T/m2</v>
      </c>
    </row>
    <row r="33" spans="1:16">
      <c r="A33" s="822" t="str">
        <f>IF(TH!A33&lt;&gt;"",TH!A33,"")</f>
        <v>Modul đàn hồi</v>
      </c>
      <c r="B33" s="822">
        <f>IF(TH!B33&lt;&gt;"",TH!B33,"")</f>
        <v>210000</v>
      </c>
      <c r="C33" s="822" t="str">
        <f>IF(TH!C33&lt;&gt;"",TH!C33,"")</f>
        <v>Mpa</v>
      </c>
      <c r="D33" s="822" t="str">
        <f>IF(TH!D33&lt;&gt;"",TH!D33,"")</f>
        <v/>
      </c>
      <c r="E33" s="822" t="str">
        <f>IF(TH!E33&lt;&gt;"",TH!E33,"")</f>
        <v/>
      </c>
      <c r="F33" s="822">
        <f>IF(TH!F33&lt;&gt;"",TH!F33,"")</f>
        <v>200000</v>
      </c>
      <c r="G33" s="822" t="str">
        <f>IF(TH!G33&lt;&gt;"",TH!G33,"")</f>
        <v>Mpa</v>
      </c>
      <c r="H33" s="822">
        <f>IF(TH!H33&lt;&gt;"",TH!H33,"")</f>
        <v>21000000</v>
      </c>
      <c r="I33" s="822" t="str">
        <f>IF(TH!I33&lt;&gt;"",TH!I33,"")</f>
        <v>T/m2</v>
      </c>
    </row>
    <row r="34" spans="1:16">
      <c r="A34" s="822" t="str">
        <f>IF(TH!A34&lt;&gt;"",TH!A34,"")</f>
        <v>Loại thép</v>
      </c>
      <c r="B34" s="822" t="str">
        <f>IF(TH!B34&lt;&gt;"",TH!B34,"")</f>
        <v>CIII(AIII)</v>
      </c>
      <c r="C34" s="822" t="str">
        <f>IF(TH!C34&lt;&gt;"",TH!C34,"")</f>
        <v/>
      </c>
      <c r="D34" s="822" t="str">
        <f>IF(TH!D34&lt;&gt;"",TH!D34,"")</f>
        <v/>
      </c>
      <c r="E34" s="822" t="str">
        <f>IF(TH!E34&lt;&gt;"",TH!E34,"")</f>
        <v/>
      </c>
      <c r="F34" s="822" t="str">
        <f>IF(TH!F34&lt;&gt;"",TH!F34,"")</f>
        <v xml:space="preserve">CB400-V </v>
      </c>
      <c r="G34" s="822" t="str">
        <f>IF(TH!G34&lt;&gt;"",TH!G34,"")</f>
        <v/>
      </c>
      <c r="H34" s="822" t="str">
        <f>IF(TH!H34&lt;&gt;"",TH!H34,"")</f>
        <v/>
      </c>
      <c r="I34" s="822" t="str">
        <f>IF(TH!I34&lt;&gt;"",TH!I34,"")</f>
        <v/>
      </c>
    </row>
    <row r="35" spans="1:16">
      <c r="A35" s="822" t="str">
        <f>IF(TH!A35&lt;&gt;"",TH!A35,"")</f>
        <v>Cường độ tính toán chịu nén, kéo</v>
      </c>
      <c r="B35" s="822">
        <f>IF(TH!B35&lt;&gt;"",TH!B35,"")</f>
        <v>365</v>
      </c>
      <c r="C35" s="822" t="str">
        <f>IF(TH!C35&lt;&gt;"",TH!C35,"")</f>
        <v>Mpa</v>
      </c>
      <c r="D35" s="822" t="str">
        <f>IF(TH!D35&lt;&gt;"",TH!D35,"")</f>
        <v/>
      </c>
      <c r="E35" s="822" t="str">
        <f>IF(TH!E35&lt;&gt;"",TH!E35,"")</f>
        <v/>
      </c>
      <c r="F35" s="822">
        <f>IF(TH!F35&lt;&gt;"",TH!F35,"")</f>
        <v>350</v>
      </c>
      <c r="G35" s="822" t="str">
        <f>IF(TH!G35&lt;&gt;"",TH!G35,"")</f>
        <v>Mpa</v>
      </c>
      <c r="H35" s="822">
        <f>IF(TH!H35&lt;&gt;"",TH!H35,"")</f>
        <v>36500</v>
      </c>
      <c r="I35" s="822" t="str">
        <f>IF(TH!I35&lt;&gt;"",TH!I35,"")</f>
        <v>T/m2</v>
      </c>
    </row>
    <row r="36" spans="1:16">
      <c r="A36" s="822" t="str">
        <f>IF(TH!A36&lt;&gt;"",TH!A36,"")</f>
        <v>Cường độ tính toán chịu kéo cho cốt đai</v>
      </c>
      <c r="B36" s="822">
        <f>IF(TH!B36&lt;&gt;"",TH!B36,"")</f>
        <v>290</v>
      </c>
      <c r="C36" s="822" t="str">
        <f>IF(TH!C36&lt;&gt;"",TH!C36,"")</f>
        <v>Mpa</v>
      </c>
      <c r="D36" s="822" t="str">
        <f>IF(TH!D36&lt;&gt;"",TH!D36,"")</f>
        <v/>
      </c>
      <c r="E36" s="822" t="str">
        <f>IF(TH!E36&lt;&gt;"",TH!E36,"")</f>
        <v/>
      </c>
      <c r="F36" s="822">
        <f>IF(TH!F36&lt;&gt;"",TH!F36,"")</f>
        <v>280</v>
      </c>
      <c r="G36" s="822" t="str">
        <f>IF(TH!G36&lt;&gt;"",TH!G36,"")</f>
        <v>Mpa</v>
      </c>
      <c r="H36" s="822">
        <f>IF(TH!H36&lt;&gt;"",TH!H36,"")</f>
        <v>29000</v>
      </c>
      <c r="I36" s="822" t="str">
        <f>IF(TH!I36&lt;&gt;"",TH!I36,"")</f>
        <v>T/m2</v>
      </c>
    </row>
    <row r="37" spans="1:16">
      <c r="A37" s="822" t="str">
        <f>IF(TH!A37&lt;&gt;"",TH!A37,"")</f>
        <v>Modul đàn hồi</v>
      </c>
      <c r="B37" s="822">
        <f>IF(TH!B37&lt;&gt;"",TH!B37,"")</f>
        <v>210000</v>
      </c>
      <c r="C37" s="822" t="str">
        <f>IF(TH!C37&lt;&gt;"",TH!C37,"")</f>
        <v>Mpa</v>
      </c>
      <c r="D37" s="822" t="str">
        <f>IF(TH!D37&lt;&gt;"",TH!D37,"")</f>
        <v/>
      </c>
      <c r="E37" s="822" t="str">
        <f>IF(TH!E37&lt;&gt;"",TH!E37,"")</f>
        <v/>
      </c>
      <c r="F37" s="822">
        <f>IF(TH!F37&lt;&gt;"",TH!F37,"")</f>
        <v>200000</v>
      </c>
      <c r="G37" s="822" t="str">
        <f>IF(TH!G37&lt;&gt;"",TH!G37,"")</f>
        <v>Mpa</v>
      </c>
      <c r="H37" s="822">
        <f>IF(TH!H37&lt;&gt;"",TH!H37,"")</f>
        <v>21000000</v>
      </c>
      <c r="I37" s="822" t="str">
        <f>IF(TH!I37&lt;&gt;"",TH!I37,"")</f>
        <v>T/m2</v>
      </c>
    </row>
    <row r="38" spans="1:16" ht="14.5" thickBot="1">
      <c r="A38" s="823" t="s">
        <v>1200</v>
      </c>
    </row>
    <row r="39" spans="1:16">
      <c r="A39" s="822" t="s">
        <v>242</v>
      </c>
      <c r="B39" s="822">
        <v>30</v>
      </c>
      <c r="C39" s="822" t="s">
        <v>633</v>
      </c>
      <c r="D39" s="822">
        <f>B39*0.01</f>
        <v>0.3</v>
      </c>
      <c r="E39" s="999" t="s">
        <v>1246</v>
      </c>
      <c r="F39" s="999" t="s">
        <v>1206</v>
      </c>
      <c r="G39" s="999" t="s">
        <v>1207</v>
      </c>
      <c r="H39" s="999" t="s">
        <v>1208</v>
      </c>
      <c r="I39" s="999" t="s">
        <v>1209</v>
      </c>
      <c r="J39" s="1002"/>
      <c r="K39" s="999" t="s">
        <v>1211</v>
      </c>
      <c r="L39" s="999" t="s">
        <v>1212</v>
      </c>
      <c r="M39" s="999" t="s">
        <v>1213</v>
      </c>
    </row>
    <row r="40" spans="1:16">
      <c r="A40" s="822" t="s">
        <v>958</v>
      </c>
      <c r="B40" s="822">
        <v>30</v>
      </c>
      <c r="C40" s="822" t="s">
        <v>633</v>
      </c>
      <c r="D40" s="822">
        <f>B40*0.01</f>
        <v>0.3</v>
      </c>
      <c r="E40" s="1000"/>
      <c r="F40" s="1000"/>
      <c r="G40" s="1000"/>
      <c r="H40" s="1000"/>
      <c r="I40" s="1000"/>
      <c r="J40" s="1003"/>
      <c r="K40" s="1000"/>
      <c r="L40" s="1000"/>
      <c r="M40" s="1000"/>
    </row>
    <row r="41" spans="1:16">
      <c r="A41" s="822" t="s">
        <v>254</v>
      </c>
      <c r="B41" s="822">
        <v>4</v>
      </c>
      <c r="C41" s="822" t="s">
        <v>1201</v>
      </c>
      <c r="D41" s="822">
        <v>16</v>
      </c>
      <c r="E41" s="1000"/>
      <c r="F41" s="1000"/>
      <c r="G41" s="1000"/>
      <c r="H41" s="1000"/>
      <c r="I41" s="1000"/>
      <c r="J41" s="1003"/>
      <c r="K41" s="1000"/>
      <c r="L41" s="1000"/>
      <c r="M41" s="1000"/>
    </row>
    <row r="42" spans="1:16" ht="14.25" customHeight="1" thickBot="1">
      <c r="C42" s="823" t="s">
        <v>1244</v>
      </c>
      <c r="D42" s="823" t="s">
        <v>1245</v>
      </c>
      <c r="E42" s="1001" t="s">
        <v>1246</v>
      </c>
      <c r="F42" s="1001"/>
      <c r="G42" s="1001"/>
      <c r="H42" s="1001"/>
      <c r="I42" s="1001"/>
      <c r="J42" s="1004"/>
      <c r="K42" s="1001"/>
      <c r="L42" s="1001"/>
      <c r="M42" s="1001"/>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E133</f>
        <v>0.54999999999999993</v>
      </c>
      <c r="C45" s="822" t="s">
        <v>6</v>
      </c>
      <c r="E45" s="823" t="s">
        <v>1328</v>
      </c>
    </row>
    <row r="46" spans="1:16">
      <c r="A46" s="822" t="s">
        <v>1247</v>
      </c>
      <c r="B46" s="822">
        <v>-1.5</v>
      </c>
      <c r="C46" s="822" t="s">
        <v>6</v>
      </c>
      <c r="D46" s="822">
        <f>ABS(B46)</f>
        <v>1.5</v>
      </c>
    </row>
    <row r="47" spans="1:16">
      <c r="A47" s="822" t="s">
        <v>1249</v>
      </c>
      <c r="B47" s="822">
        <f>E43</f>
        <v>10.4</v>
      </c>
      <c r="C47" s="822" t="s">
        <v>6</v>
      </c>
    </row>
    <row r="48" spans="1:16">
      <c r="A48" s="822" t="s">
        <v>1251</v>
      </c>
      <c r="B48" s="822">
        <f>-15.9</f>
        <v>-15.9</v>
      </c>
      <c r="C48" s="822" t="s">
        <v>6</v>
      </c>
    </row>
    <row r="49" spans="1:18">
      <c r="A49" s="822" t="s">
        <v>1250</v>
      </c>
      <c r="B49" s="959">
        <v>4</v>
      </c>
      <c r="C49" s="822" t="s">
        <v>6</v>
      </c>
    </row>
    <row r="50" spans="1:18">
      <c r="A50" s="822" t="s">
        <v>1261</v>
      </c>
      <c r="B50" s="822">
        <v>0.1</v>
      </c>
      <c r="C50" s="822" t="s">
        <v>6</v>
      </c>
      <c r="D50" s="822" t="s">
        <v>1329</v>
      </c>
      <c r="G50" s="822">
        <f>ABS(B46)+ABS(B48)+B49</f>
        <v>21.4</v>
      </c>
      <c r="H50" s="822">
        <f>+G50-B45</f>
        <v>20.849999999999998</v>
      </c>
    </row>
    <row r="51" spans="1:18">
      <c r="A51" s="822" t="s">
        <v>1260</v>
      </c>
      <c r="B51" s="822">
        <f>B49+ABS(B48)</f>
        <v>19.899999999999999</v>
      </c>
      <c r="C51" s="822" t="s">
        <v>6</v>
      </c>
    </row>
    <row r="52" spans="1:18">
      <c r="A52" s="822" t="s">
        <v>1262</v>
      </c>
      <c r="B52" s="822">
        <f>B51+B50</f>
        <v>20</v>
      </c>
    </row>
    <row r="53" spans="1:18">
      <c r="A53" s="822" t="s">
        <v>1252</v>
      </c>
      <c r="B53" s="822">
        <v>2</v>
      </c>
      <c r="C53" s="822" t="s">
        <v>1254</v>
      </c>
    </row>
    <row r="54" spans="1:18">
      <c r="A54" s="822" t="s">
        <v>1253</v>
      </c>
      <c r="B54" s="822">
        <f>B52/B53</f>
        <v>10</v>
      </c>
      <c r="C54" s="822" t="s">
        <v>6</v>
      </c>
    </row>
    <row r="55" spans="1:18">
      <c r="A55" s="823" t="s">
        <v>1256</v>
      </c>
    </row>
    <row r="56" spans="1:18">
      <c r="A56" s="823" t="s">
        <v>1257</v>
      </c>
    </row>
    <row r="57" spans="1:18" ht="17" thickBot="1">
      <c r="A57" s="889" t="s">
        <v>1258</v>
      </c>
      <c r="B57" s="822">
        <f>ROUND(1.028-0.0000288*B58^2-0.0016*B58,3)</f>
        <v>0.30299999999999999</v>
      </c>
    </row>
    <row r="58" spans="1:18" ht="20" customHeight="1" thickBot="1">
      <c r="A58" s="822" t="s">
        <v>1259</v>
      </c>
      <c r="B58" s="822">
        <f>ROUND(B60/D39,3)</f>
        <v>133.333</v>
      </c>
      <c r="K58" s="1016" t="s">
        <v>1340</v>
      </c>
      <c r="L58" s="1016" t="s">
        <v>1339</v>
      </c>
      <c r="M58" s="1016" t="s">
        <v>1338</v>
      </c>
      <c r="N58" s="865" t="s">
        <v>1287</v>
      </c>
      <c r="O58" s="865" t="s">
        <v>1288</v>
      </c>
      <c r="P58" s="1016" t="s">
        <v>1289</v>
      </c>
      <c r="Q58" s="866" t="s">
        <v>1290</v>
      </c>
      <c r="R58" s="865" t="s">
        <v>1291</v>
      </c>
    </row>
    <row r="59" spans="1:18" ht="19.5" thickBot="1">
      <c r="A59" s="822" t="s">
        <v>1263</v>
      </c>
      <c r="B59" s="822">
        <v>2</v>
      </c>
      <c r="D59" s="822" t="s">
        <v>1345</v>
      </c>
      <c r="K59" s="1018"/>
      <c r="L59" s="1018"/>
      <c r="M59" s="1018"/>
      <c r="N59" s="867" t="s">
        <v>6</v>
      </c>
      <c r="O59" s="867" t="s">
        <v>6</v>
      </c>
      <c r="P59" s="1018"/>
      <c r="Q59" s="868" t="s">
        <v>1337</v>
      </c>
      <c r="R59" s="867" t="s">
        <v>845</v>
      </c>
    </row>
    <row r="60" spans="1:18" ht="17" thickBot="1">
      <c r="A60" s="822" t="s">
        <v>468</v>
      </c>
      <c r="B60" s="822">
        <f>B59*B52</f>
        <v>40</v>
      </c>
      <c r="C60" s="822" t="s">
        <v>6</v>
      </c>
      <c r="K60" s="869" t="s">
        <v>1332</v>
      </c>
      <c r="L60" s="252" t="s">
        <v>696</v>
      </c>
      <c r="M60" s="252" t="s">
        <v>696</v>
      </c>
      <c r="N60" s="252">
        <v>0</v>
      </c>
      <c r="O60" s="252" t="s">
        <v>696</v>
      </c>
      <c r="P60" s="252" t="s">
        <v>696</v>
      </c>
      <c r="Q60" s="252" t="s">
        <v>696</v>
      </c>
      <c r="R60" s="252" t="s">
        <v>696</v>
      </c>
    </row>
    <row r="61" spans="1:18" ht="20" thickBot="1">
      <c r="A61" s="822" t="s">
        <v>1264</v>
      </c>
      <c r="B61" s="822">
        <f>D39*D40</f>
        <v>0.09</v>
      </c>
      <c r="C61" s="822" t="s">
        <v>3</v>
      </c>
      <c r="K61" s="890" t="s">
        <v>1333</v>
      </c>
      <c r="L61" s="252" t="s">
        <v>1294</v>
      </c>
      <c r="M61" s="252" t="s">
        <v>1295</v>
      </c>
      <c r="N61" s="252">
        <f>+O61/2+N60</f>
        <v>5</v>
      </c>
      <c r="O61" s="252">
        <v>10</v>
      </c>
      <c r="P61" s="252">
        <v>1</v>
      </c>
      <c r="Q61" s="252">
        <v>0.8</v>
      </c>
      <c r="R61" s="891">
        <f>Q61*P61*O61</f>
        <v>8</v>
      </c>
    </row>
    <row r="62" spans="1:1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2">Q62*P62*O62</f>
        <v>9.1079999999999988</v>
      </c>
    </row>
    <row r="63" spans="1:18" ht="33.5" thickBot="1">
      <c r="A63" s="822" t="s">
        <v>1265</v>
      </c>
      <c r="B63" s="886">
        <f>ROUND(B57*(H22*B61+H31*D62),0)</f>
        <v>46</v>
      </c>
      <c r="C63" s="822" t="s">
        <v>672</v>
      </c>
      <c r="K63" s="890" t="s">
        <v>1335</v>
      </c>
      <c r="L63" s="870" t="s">
        <v>1297</v>
      </c>
      <c r="M63" s="252" t="s">
        <v>1298</v>
      </c>
      <c r="N63" s="252">
        <f t="shared" ref="N63:N64" si="3">+N62+O63/2+O62/2</f>
        <v>15.25</v>
      </c>
      <c r="O63" s="252">
        <v>1.3</v>
      </c>
      <c r="P63" s="252">
        <v>1</v>
      </c>
      <c r="Q63" s="252">
        <v>5.25</v>
      </c>
      <c r="R63" s="891">
        <f t="shared" si="2"/>
        <v>6.8250000000000002</v>
      </c>
    </row>
    <row r="64" spans="1:18" ht="20" thickBot="1">
      <c r="A64" s="823" t="s">
        <v>1267</v>
      </c>
      <c r="K64" s="890" t="s">
        <v>1336</v>
      </c>
      <c r="L64" s="870" t="s">
        <v>1299</v>
      </c>
      <c r="M64" s="252" t="s">
        <v>1300</v>
      </c>
      <c r="N64" s="252">
        <f t="shared" si="3"/>
        <v>17.899999999999999</v>
      </c>
      <c r="O64" s="252">
        <f>B49</f>
        <v>4</v>
      </c>
      <c r="P64" s="252">
        <v>1</v>
      </c>
      <c r="Q64" s="252">
        <v>3.1</v>
      </c>
      <c r="R64" s="891">
        <f t="shared" si="2"/>
        <v>12.4</v>
      </c>
    </row>
    <row r="65" spans="1:18" ht="17" thickBot="1">
      <c r="A65" s="822" t="s">
        <v>1268</v>
      </c>
      <c r="B65" s="822">
        <v>1</v>
      </c>
      <c r="D65" s="822" t="s">
        <v>1330</v>
      </c>
      <c r="K65" s="890"/>
      <c r="L65" s="870"/>
      <c r="M65" s="252"/>
      <c r="N65" s="252"/>
      <c r="O65" s="252">
        <f>SUM(O61:O64)</f>
        <v>19.899999999999999</v>
      </c>
      <c r="P65" s="252"/>
      <c r="Q65" s="252"/>
      <c r="R65" s="891"/>
    </row>
    <row r="66" spans="1:18" ht="20" thickBot="1">
      <c r="A66" s="7" t="s">
        <v>1269</v>
      </c>
      <c r="B66" s="822">
        <v>0.9</v>
      </c>
      <c r="K66" s="890"/>
      <c r="L66" s="870"/>
      <c r="M66" s="252"/>
      <c r="N66" s="252"/>
      <c r="O66" s="252"/>
      <c r="P66" s="252"/>
      <c r="Q66" s="252"/>
      <c r="R66" s="891"/>
    </row>
    <row r="67" spans="1:18" ht="17" thickBot="1">
      <c r="A67" s="822" t="s">
        <v>1270</v>
      </c>
      <c r="B67" s="822">
        <v>0.9</v>
      </c>
      <c r="K67" s="528"/>
      <c r="L67" s="528"/>
      <c r="M67" s="528"/>
      <c r="N67" s="528"/>
      <c r="O67" s="528"/>
      <c r="P67" s="528"/>
      <c r="Q67" s="939" t="s">
        <v>659</v>
      </c>
      <c r="R67" s="891">
        <f>SUM(R61:R66)</f>
        <v>36.332999999999998</v>
      </c>
    </row>
    <row r="68" spans="1:18">
      <c r="A68" s="822" t="s">
        <v>1271</v>
      </c>
      <c r="B68" s="822">
        <f>(B39+B40)*2</f>
        <v>120</v>
      </c>
      <c r="C68" s="822" t="s">
        <v>633</v>
      </c>
      <c r="D68" s="822">
        <f>B68/100</f>
        <v>1.2</v>
      </c>
      <c r="E68" s="822" t="s">
        <v>6</v>
      </c>
    </row>
    <row r="69" spans="1:18">
      <c r="A69" s="822" t="s">
        <v>1272</v>
      </c>
      <c r="B69" s="822">
        <f>N70</f>
        <v>184.2</v>
      </c>
      <c r="C69" s="822" t="s">
        <v>733</v>
      </c>
      <c r="D69" s="822">
        <f>B69*B61*B66</f>
        <v>14.920199999999999</v>
      </c>
      <c r="E69" s="822" t="s">
        <v>672</v>
      </c>
      <c r="F69" s="822">
        <f>8.8/0.9/B61</f>
        <v>108.64197530864199</v>
      </c>
      <c r="K69" s="822">
        <v>0.5</v>
      </c>
    </row>
    <row r="70" spans="1:18">
      <c r="A70" s="822" t="s">
        <v>1273</v>
      </c>
      <c r="C70" s="822">
        <v>0.5</v>
      </c>
      <c r="J70" s="822">
        <v>15</v>
      </c>
      <c r="K70" s="822">
        <v>165</v>
      </c>
      <c r="M70" s="822">
        <f>G50</f>
        <v>21.4</v>
      </c>
      <c r="N70" s="822">
        <f>(K71-K70)/(J71-J70)*(M70-J70)+K70</f>
        <v>184.2</v>
      </c>
    </row>
    <row r="71" spans="1:18">
      <c r="A71" s="822" t="s">
        <v>1274</v>
      </c>
      <c r="J71" s="822">
        <v>20</v>
      </c>
      <c r="K71" s="822">
        <v>180</v>
      </c>
    </row>
    <row r="72" spans="1:18" ht="19.5">
      <c r="A72" s="7" t="s">
        <v>1331</v>
      </c>
      <c r="B72" s="822">
        <f>D39*D40</f>
        <v>0.09</v>
      </c>
      <c r="C72" s="822" t="s">
        <v>3</v>
      </c>
    </row>
    <row r="73" spans="1:18">
      <c r="A73" s="822" t="s">
        <v>1341</v>
      </c>
      <c r="B73" s="892">
        <f>B65*(B66*B69*B72+D68*E74)</f>
        <v>58.519799999999996</v>
      </c>
    </row>
    <row r="74" spans="1:18">
      <c r="A74" s="822" t="s">
        <v>1342</v>
      </c>
      <c r="B74" s="892">
        <v>1.55</v>
      </c>
      <c r="D74" s="822" t="s">
        <v>1309</v>
      </c>
      <c r="E74" s="892">
        <f>R67</f>
        <v>36.332999999999998</v>
      </c>
      <c r="F74" s="822" t="s">
        <v>672</v>
      </c>
    </row>
    <row r="75" spans="1:18">
      <c r="A75" s="822" t="s">
        <v>1343</v>
      </c>
      <c r="B75" s="892">
        <f>B73/B74</f>
        <v>37.754709677419349</v>
      </c>
    </row>
    <row r="76" spans="1:18">
      <c r="A76" s="823" t="s">
        <v>1344</v>
      </c>
      <c r="B76" s="936" t="e">
        <f>[2]Locsolieu!#REF!</f>
        <v>#REF!</v>
      </c>
      <c r="C76" s="822" t="s">
        <v>446</v>
      </c>
    </row>
    <row r="77" spans="1:18" ht="16.5">
      <c r="A77" s="893" t="s">
        <v>1350</v>
      </c>
      <c r="J77" s="822">
        <v>6.7750000000000004</v>
      </c>
      <c r="K77" s="822">
        <f>+J77+1.5</f>
        <v>8.2750000000000004</v>
      </c>
      <c r="L77" s="822">
        <f>10-K77</f>
        <v>1.7249999999999996</v>
      </c>
    </row>
    <row r="78" spans="1:18">
      <c r="A78" s="822" t="s">
        <v>178</v>
      </c>
      <c r="B78" s="822">
        <v>300</v>
      </c>
      <c r="L78" s="822">
        <f>10-J77</f>
        <v>3.2249999999999996</v>
      </c>
    </row>
    <row r="79" spans="1:18">
      <c r="A79" s="822" t="s">
        <v>630</v>
      </c>
      <c r="B79" s="822">
        <f>I43</f>
        <v>16</v>
      </c>
      <c r="L79" s="822">
        <f>1.5+10/2</f>
        <v>6.5</v>
      </c>
    </row>
    <row r="83" spans="1:13">
      <c r="M83" s="908"/>
    </row>
    <row r="86" spans="1:13">
      <c r="A86" s="822" t="s">
        <v>1351</v>
      </c>
      <c r="B86" s="907">
        <f>MIN(B75,B63)</f>
        <v>37.754709677419349</v>
      </c>
      <c r="C86" s="822" t="s">
        <v>672</v>
      </c>
    </row>
    <row r="87" spans="1:13">
      <c r="A87" s="822" t="s">
        <v>1352</v>
      </c>
      <c r="B87" s="822">
        <f>+B72*B52*2.5</f>
        <v>4.5</v>
      </c>
    </row>
    <row r="88" spans="1:13" ht="14.5" thickBot="1">
      <c r="A88" s="822" t="s">
        <v>1353</v>
      </c>
      <c r="B88" s="909">
        <f>B86-B87</f>
        <v>33.254709677419349</v>
      </c>
    </row>
    <row r="89" spans="1:13" ht="14.5" thickBot="1">
      <c r="A89" s="823" t="s">
        <v>1366</v>
      </c>
      <c r="E89" s="910" t="s">
        <v>1354</v>
      </c>
      <c r="F89" s="911" t="s">
        <v>1355</v>
      </c>
      <c r="G89" s="911" t="s">
        <v>630</v>
      </c>
      <c r="H89" s="911" t="s">
        <v>524</v>
      </c>
      <c r="I89" s="911" t="s">
        <v>523</v>
      </c>
      <c r="J89" s="911" t="s">
        <v>1445</v>
      </c>
      <c r="K89" s="911" t="s">
        <v>1446</v>
      </c>
      <c r="L89" s="822" t="s">
        <v>1378</v>
      </c>
      <c r="M89" s="822" t="s">
        <v>1379</v>
      </c>
    </row>
    <row r="90" spans="1:13" ht="26.5" thickBot="1">
      <c r="A90" s="889" t="s">
        <v>242</v>
      </c>
      <c r="B90" s="822">
        <v>1.2</v>
      </c>
      <c r="C90" s="822">
        <v>1.6</v>
      </c>
      <c r="E90" s="935" t="e">
        <f>[2]Locsolieu!#REF!</f>
        <v>#REF!</v>
      </c>
      <c r="F90" s="912" t="s">
        <v>1361</v>
      </c>
      <c r="G90" s="937" t="e">
        <f>[2]Locsolieu!#REF!</f>
        <v>#REF!</v>
      </c>
      <c r="H90" s="937" t="e">
        <f>[2]Locsolieu!#REF!</f>
        <v>#REF!</v>
      </c>
      <c r="I90" s="937" t="e">
        <f>[2]Locsolieu!#REF!</f>
        <v>#REF!</v>
      </c>
      <c r="J90" s="937" t="e">
        <f>[2]Locsolieu!#REF!</f>
        <v>#REF!</v>
      </c>
      <c r="K90" s="937" t="e">
        <f>[2]Locsolieu!#REF!</f>
        <v>#REF!</v>
      </c>
      <c r="L90" s="822" t="e">
        <f>I90+J90*$B$45</f>
        <v>#REF!</v>
      </c>
      <c r="M90" s="822" t="e">
        <f>H90+K90*$B$45</f>
        <v>#REF!</v>
      </c>
    </row>
    <row r="91" spans="1:13" ht="39.5" thickBot="1">
      <c r="A91" s="822" t="s">
        <v>1367</v>
      </c>
      <c r="B91" s="913" t="e">
        <f>B90*G90/$B$88</f>
        <v>#REF!</v>
      </c>
      <c r="C91" s="913" t="e">
        <f>C90*G90/$B$88</f>
        <v>#REF!</v>
      </c>
      <c r="E91" s="935" t="e">
        <f>[2]Locsolieu!#REF!</f>
        <v>#REF!</v>
      </c>
      <c r="F91" s="912" t="s">
        <v>1362</v>
      </c>
      <c r="G91" s="937" t="e">
        <f>[2]Locsolieu!#REF!</f>
        <v>#REF!</v>
      </c>
      <c r="H91" s="937" t="e">
        <f>[2]Locsolieu!#REF!</f>
        <v>#REF!</v>
      </c>
      <c r="I91" s="937" t="e">
        <f>[2]Locsolieu!#REF!</f>
        <v>#REF!</v>
      </c>
      <c r="J91" s="937" t="e">
        <f>[2]Locsolieu!#REF!</f>
        <v>#REF!</v>
      </c>
      <c r="K91" s="937" t="e">
        <f>[2]Locsolieu!#REF!</f>
        <v>#REF!</v>
      </c>
      <c r="L91" s="822" t="e">
        <f>I91+J91*$B$45</f>
        <v>#REF!</v>
      </c>
      <c r="M91" s="822" t="e">
        <f>H91+K91*$B$45</f>
        <v>#REF!</v>
      </c>
    </row>
    <row r="92" spans="1:13" ht="26.5" thickBot="1">
      <c r="A92" s="822" t="s">
        <v>249</v>
      </c>
      <c r="B92" s="822">
        <v>3</v>
      </c>
      <c r="E92" s="935" t="e">
        <f>[2]Locsolieu!#REF!</f>
        <v>#REF!</v>
      </c>
      <c r="F92" s="912" t="s">
        <v>1363</v>
      </c>
      <c r="G92" s="937" t="e">
        <f>[2]Locsolieu!#REF!</f>
        <v>#REF!</v>
      </c>
      <c r="H92" s="937" t="e">
        <f>[2]Locsolieu!#REF!</f>
        <v>#REF!</v>
      </c>
      <c r="I92" s="937" t="e">
        <f>[2]Locsolieu!#REF!</f>
        <v>#REF!</v>
      </c>
      <c r="J92" s="937" t="e">
        <f>[2]Locsolieu!#REF!</f>
        <v>#REF!</v>
      </c>
      <c r="K92" s="937" t="e">
        <f>[2]Locsolieu!#REF!</f>
        <v>#REF!</v>
      </c>
      <c r="L92" s="822" t="e">
        <f t="shared" ref="L92:L94" si="4">I92+J92*$B$45</f>
        <v>#REF!</v>
      </c>
      <c r="M92" s="822" t="e">
        <f t="shared" ref="M92:M94" si="5">H92+K92*$B$45</f>
        <v>#REF!</v>
      </c>
    </row>
    <row r="93" spans="1:13" ht="26.5" thickBot="1">
      <c r="A93" s="822" t="s">
        <v>1368</v>
      </c>
      <c r="B93" s="822">
        <f>3*D39</f>
        <v>0.89999999999999991</v>
      </c>
      <c r="E93" s="935" t="e">
        <f>[2]Locsolieu!#REF!</f>
        <v>#REF!</v>
      </c>
      <c r="F93" s="912" t="s">
        <v>1364</v>
      </c>
      <c r="G93" s="937" t="e">
        <f>[2]Locsolieu!#REF!</f>
        <v>#REF!</v>
      </c>
      <c r="H93" s="937" t="e">
        <f>[2]Locsolieu!#REF!</f>
        <v>#REF!</v>
      </c>
      <c r="I93" s="937" t="e">
        <f>[2]Locsolieu!#REF!</f>
        <v>#REF!</v>
      </c>
      <c r="J93" s="937" t="e">
        <f>[2]Locsolieu!#REF!</f>
        <v>#REF!</v>
      </c>
      <c r="K93" s="937" t="e">
        <f>[2]Locsolieu!#REF!</f>
        <v>#REF!</v>
      </c>
      <c r="L93" s="822" t="e">
        <f t="shared" si="4"/>
        <v>#REF!</v>
      </c>
      <c r="M93" s="822" t="e">
        <f t="shared" si="5"/>
        <v>#REF!</v>
      </c>
    </row>
    <row r="94" spans="1:13" ht="26.5" thickBot="1">
      <c r="A94" s="822" t="s">
        <v>1369</v>
      </c>
      <c r="B94" s="822">
        <f>3*D39</f>
        <v>0.89999999999999991</v>
      </c>
      <c r="E94" s="935" t="e">
        <f>[2]Locsolieu!#REF!</f>
        <v>#REF!</v>
      </c>
      <c r="F94" s="912" t="s">
        <v>1365</v>
      </c>
      <c r="G94" s="937" t="e">
        <f>[2]Locsolieu!#REF!</f>
        <v>#REF!</v>
      </c>
      <c r="H94" s="937" t="e">
        <f>[2]Locsolieu!#REF!</f>
        <v>#REF!</v>
      </c>
      <c r="I94" s="937" t="e">
        <f>[2]Locsolieu!#REF!</f>
        <v>#REF!</v>
      </c>
      <c r="J94" s="937" t="e">
        <f>[2]Locsolieu!#REF!</f>
        <v>#REF!</v>
      </c>
      <c r="K94" s="937" t="e">
        <f>[2]Locsolieu!#REF!</f>
        <v>#REF!</v>
      </c>
      <c r="L94" s="822" t="e">
        <f t="shared" si="4"/>
        <v>#REF!</v>
      </c>
      <c r="M94" s="822" t="e">
        <f t="shared" si="5"/>
        <v>#REF!</v>
      </c>
    </row>
    <row r="95" spans="1:13">
      <c r="A95" s="822" t="s">
        <v>1370</v>
      </c>
      <c r="B95" s="822">
        <f>D39/2</f>
        <v>0.15</v>
      </c>
    </row>
    <row r="96" spans="1:13">
      <c r="A96" s="822" t="s">
        <v>623</v>
      </c>
      <c r="B96" s="822">
        <v>1.5</v>
      </c>
      <c r="C96" s="822" t="s">
        <v>6</v>
      </c>
    </row>
    <row r="97" spans="1:25">
      <c r="A97" s="822" t="s">
        <v>229</v>
      </c>
      <c r="B97" s="822">
        <f>B94+D39+B95*2</f>
        <v>1.5</v>
      </c>
      <c r="C97" s="822" t="s">
        <v>6</v>
      </c>
    </row>
    <row r="98" spans="1:25">
      <c r="A98" s="822" t="s">
        <v>1375</v>
      </c>
      <c r="B98" s="822">
        <f>B96*B97</f>
        <v>2.25</v>
      </c>
      <c r="C98" s="822" t="s">
        <v>3</v>
      </c>
      <c r="Q98" s="929"/>
      <c r="R98" s="929"/>
      <c r="S98" s="929"/>
      <c r="T98" s="929"/>
      <c r="U98" s="929"/>
      <c r="V98" s="929"/>
    </row>
    <row r="100" spans="1:25" ht="17.5">
      <c r="A100" s="823" t="s">
        <v>1371</v>
      </c>
      <c r="E100" s="914" t="s">
        <v>1380</v>
      </c>
      <c r="F100" s="914" t="s">
        <v>1381</v>
      </c>
      <c r="G100" s="914" t="s">
        <v>1382</v>
      </c>
      <c r="H100" s="914" t="s">
        <v>1383</v>
      </c>
      <c r="I100" s="914" t="s">
        <v>1384</v>
      </c>
      <c r="J100" s="914" t="s">
        <v>1387</v>
      </c>
      <c r="K100" s="914" t="s">
        <v>1385</v>
      </c>
      <c r="L100" s="914" t="s">
        <v>1386</v>
      </c>
      <c r="Q100" s="929" t="str">
        <f>E100</f>
        <v>Tên cọc</v>
      </c>
      <c r="R100" s="929" t="s">
        <v>1460</v>
      </c>
      <c r="S100" s="929" t="s">
        <v>1461</v>
      </c>
      <c r="T100" s="929" t="s">
        <v>1462</v>
      </c>
      <c r="U100" s="929" t="s">
        <v>1463</v>
      </c>
      <c r="V100" s="929" t="s">
        <v>1464</v>
      </c>
    </row>
    <row r="101" spans="1:25" ht="19.5">
      <c r="A101" s="7" t="s">
        <v>1372</v>
      </c>
      <c r="B101" s="955">
        <v>1.1499999999999999</v>
      </c>
      <c r="E101" s="914">
        <v>1</v>
      </c>
      <c r="F101" s="914">
        <f>-B93/2</f>
        <v>-0.44999999999999996</v>
      </c>
      <c r="G101" s="914">
        <v>0.45</v>
      </c>
      <c r="H101" s="915">
        <f t="shared" ref="H101:I103" si="6">F101^2</f>
        <v>0.20249999999999996</v>
      </c>
      <c r="I101" s="915">
        <f t="shared" si="6"/>
        <v>0.20250000000000001</v>
      </c>
      <c r="J101" s="916"/>
      <c r="K101" s="914"/>
      <c r="L101" s="917" t="e">
        <f>$B$105/$B$92+$L$90*G101/$I$104+$M$90*F101/$H$104</f>
        <v>#REF!</v>
      </c>
      <c r="Q101" s="930">
        <f t="shared" ref="Q101:U103" si="7">E101</f>
        <v>1</v>
      </c>
      <c r="R101" s="945">
        <f t="shared" si="7"/>
        <v>-0.44999999999999996</v>
      </c>
      <c r="S101" s="945">
        <f t="shared" si="7"/>
        <v>0.45</v>
      </c>
      <c r="T101" s="945">
        <f t="shared" si="7"/>
        <v>0.20249999999999996</v>
      </c>
      <c r="U101" s="945">
        <f t="shared" si="7"/>
        <v>0.20250000000000001</v>
      </c>
      <c r="V101" s="945" t="e">
        <f>L101</f>
        <v>#REF!</v>
      </c>
    </row>
    <row r="102" spans="1:25">
      <c r="A102" s="822" t="s">
        <v>1373</v>
      </c>
      <c r="B102" s="955">
        <v>2.5</v>
      </c>
      <c r="C102" s="822" t="s">
        <v>672</v>
      </c>
      <c r="E102" s="914">
        <v>2</v>
      </c>
      <c r="F102" s="914">
        <f>+B93/2</f>
        <v>0.44999999999999996</v>
      </c>
      <c r="G102" s="914">
        <v>0</v>
      </c>
      <c r="H102" s="915">
        <f t="shared" si="6"/>
        <v>0.20249999999999996</v>
      </c>
      <c r="I102" s="915">
        <f t="shared" si="6"/>
        <v>0</v>
      </c>
      <c r="J102" s="914"/>
      <c r="K102" s="914"/>
      <c r="L102" s="917" t="e">
        <f>$B$105/$B$92+$L$90*G102/$I$104+$M$90*F102/$H$104</f>
        <v>#REF!</v>
      </c>
      <c r="Q102" s="930">
        <f t="shared" si="7"/>
        <v>2</v>
      </c>
      <c r="R102" s="945">
        <f t="shared" si="7"/>
        <v>0.44999999999999996</v>
      </c>
      <c r="S102" s="945">
        <f t="shared" si="7"/>
        <v>0</v>
      </c>
      <c r="T102" s="945">
        <f t="shared" si="7"/>
        <v>0.20249999999999996</v>
      </c>
      <c r="U102" s="945">
        <f t="shared" si="7"/>
        <v>0</v>
      </c>
      <c r="V102" s="945" t="e">
        <f t="shared" ref="V102:V103" si="8">L102</f>
        <v>#REF!</v>
      </c>
    </row>
    <row r="103" spans="1:25">
      <c r="A103" s="822" t="s">
        <v>1374</v>
      </c>
      <c r="B103" s="955">
        <v>1.1499999999999999</v>
      </c>
      <c r="E103" s="914">
        <v>3</v>
      </c>
      <c r="F103" s="914">
        <v>-0.45</v>
      </c>
      <c r="G103" s="914">
        <v>-0.45</v>
      </c>
      <c r="H103" s="915">
        <f t="shared" si="6"/>
        <v>0.20250000000000001</v>
      </c>
      <c r="I103" s="915">
        <f t="shared" si="6"/>
        <v>0.20250000000000001</v>
      </c>
      <c r="J103" s="914"/>
      <c r="K103" s="914"/>
      <c r="L103" s="917" t="e">
        <f>$B$105/$B$92+$L$90*G103/$I$104+$M$90*F103/$H$104</f>
        <v>#REF!</v>
      </c>
      <c r="Q103" s="930">
        <v>3</v>
      </c>
      <c r="R103" s="945">
        <f t="shared" si="7"/>
        <v>-0.45</v>
      </c>
      <c r="S103" s="945">
        <f t="shared" si="7"/>
        <v>-0.45</v>
      </c>
      <c r="T103" s="945">
        <f t="shared" si="7"/>
        <v>0.20250000000000001</v>
      </c>
      <c r="U103" s="945">
        <f t="shared" si="7"/>
        <v>0.20250000000000001</v>
      </c>
      <c r="V103" s="945" t="e">
        <f t="shared" si="8"/>
        <v>#REF!</v>
      </c>
    </row>
    <row r="104" spans="1:25">
      <c r="A104" s="822" t="s">
        <v>1376</v>
      </c>
      <c r="B104" s="955">
        <f>B102*B98*B45*B101</f>
        <v>3.5578124999999994</v>
      </c>
      <c r="C104" s="822" t="s">
        <v>672</v>
      </c>
      <c r="H104" s="907">
        <f>SUM(H101:H103)</f>
        <v>0.60749999999999993</v>
      </c>
      <c r="I104" s="907">
        <f>SUM(I101:I103)</f>
        <v>0.40500000000000003</v>
      </c>
      <c r="K104" s="822" t="s">
        <v>1388</v>
      </c>
      <c r="L104" s="892" t="e">
        <f>MAX(L101:L103)</f>
        <v>#REF!</v>
      </c>
    </row>
    <row r="105" spans="1:25">
      <c r="A105" s="822" t="s">
        <v>1377</v>
      </c>
      <c r="B105" s="955" t="e">
        <f>B104+G90</f>
        <v>#REF!</v>
      </c>
      <c r="C105" s="822" t="s">
        <v>672</v>
      </c>
      <c r="K105" s="822" t="s">
        <v>1390</v>
      </c>
      <c r="L105" s="892" t="e">
        <f>MIN(L101:L103)</f>
        <v>#REF!</v>
      </c>
    </row>
    <row r="106" spans="1:25">
      <c r="A106" s="822" t="s">
        <v>1389</v>
      </c>
      <c r="B106" s="955">
        <f>B101/B103*B88</f>
        <v>33.254709677419349</v>
      </c>
      <c r="K106" s="822">
        <f>1.2*1.2</f>
        <v>1.44</v>
      </c>
    </row>
    <row r="107" spans="1:25" ht="16">
      <c r="Q107" s="993" t="str">
        <f>E108</f>
        <v>Tên cọc</v>
      </c>
      <c r="R107" s="993" t="s">
        <v>1460</v>
      </c>
      <c r="S107" s="993" t="s">
        <v>1461</v>
      </c>
      <c r="T107" s="993" t="s">
        <v>1462</v>
      </c>
      <c r="U107" s="993" t="s">
        <v>1463</v>
      </c>
      <c r="V107" s="995" t="s">
        <v>1464</v>
      </c>
      <c r="W107" s="995"/>
      <c r="X107" s="995"/>
      <c r="Y107" s="995"/>
    </row>
    <row r="108" spans="1:25" ht="16">
      <c r="E108" s="914" t="s">
        <v>1380</v>
      </c>
      <c r="F108" s="914" t="s">
        <v>1381</v>
      </c>
      <c r="G108" s="914" t="s">
        <v>1382</v>
      </c>
      <c r="H108" s="914" t="s">
        <v>1383</v>
      </c>
      <c r="I108" s="914" t="s">
        <v>1384</v>
      </c>
      <c r="J108" s="914" t="s">
        <v>1387</v>
      </c>
      <c r="K108" s="914" t="s">
        <v>1385</v>
      </c>
      <c r="L108" s="914" t="s">
        <v>1391</v>
      </c>
      <c r="M108" s="822" t="s">
        <v>1392</v>
      </c>
      <c r="N108" s="822" t="s">
        <v>1393</v>
      </c>
      <c r="O108" s="822" t="s">
        <v>1394</v>
      </c>
      <c r="Q108" s="994"/>
      <c r="R108" s="994"/>
      <c r="S108" s="994"/>
      <c r="T108" s="994"/>
      <c r="U108" s="994"/>
      <c r="V108" s="931" t="s">
        <v>1465</v>
      </c>
      <c r="W108" s="931" t="s">
        <v>1466</v>
      </c>
      <c r="X108" s="931" t="s">
        <v>1467</v>
      </c>
      <c r="Y108" s="931" t="s">
        <v>1468</v>
      </c>
    </row>
    <row r="109" spans="1:25">
      <c r="E109" s="914">
        <f>E101</f>
        <v>1</v>
      </c>
      <c r="F109" s="914">
        <f t="shared" ref="F109:K109" si="9">F101</f>
        <v>-0.44999999999999996</v>
      </c>
      <c r="G109" s="914">
        <f t="shared" si="9"/>
        <v>0.45</v>
      </c>
      <c r="H109" s="914">
        <f t="shared" si="9"/>
        <v>0.20249999999999996</v>
      </c>
      <c r="I109" s="914">
        <f t="shared" si="9"/>
        <v>0.20250000000000001</v>
      </c>
      <c r="J109" s="914">
        <f t="shared" si="9"/>
        <v>0</v>
      </c>
      <c r="K109" s="914">
        <f t="shared" si="9"/>
        <v>0</v>
      </c>
      <c r="L109" s="915" t="e">
        <f>$B$105/$B$92+$L$91*G101/$I$104+$M$91*F101/$H$104</f>
        <v>#REF!</v>
      </c>
      <c r="M109" s="915" t="e">
        <f>$B$105/$B$92+$L$92*H101/$I$104+$M$92*G101/$H$104</f>
        <v>#REF!</v>
      </c>
      <c r="N109" s="915" t="e">
        <f>$B$105/$B$92+$L$93*I101/$I$104+$M$93*H101/$H$104</f>
        <v>#REF!</v>
      </c>
      <c r="O109" s="915" t="e">
        <f>$B$105/$B$92+$L$94*J101/$I$104+$M$94*I101/$H$104</f>
        <v>#REF!</v>
      </c>
      <c r="Q109" s="930">
        <f t="shared" ref="Q109:S111" si="10">E109</f>
        <v>1</v>
      </c>
      <c r="R109" s="944">
        <f t="shared" si="10"/>
        <v>-0.44999999999999996</v>
      </c>
      <c r="S109" s="944">
        <f t="shared" si="10"/>
        <v>0.45</v>
      </c>
      <c r="T109" s="944">
        <f>ROUND(H109,2)</f>
        <v>0.2</v>
      </c>
      <c r="U109" s="944">
        <f>ROUND(I109,2)</f>
        <v>0.2</v>
      </c>
      <c r="V109" s="944" t="e">
        <f>L109</f>
        <v>#REF!</v>
      </c>
      <c r="W109" s="944" t="e">
        <f t="shared" ref="W109:Y111" si="11">M109</f>
        <v>#REF!</v>
      </c>
      <c r="X109" s="944" t="e">
        <f t="shared" si="11"/>
        <v>#REF!</v>
      </c>
      <c r="Y109" s="944" t="e">
        <f t="shared" si="11"/>
        <v>#REF!</v>
      </c>
    </row>
    <row r="110" spans="1:25">
      <c r="E110" s="914">
        <f t="shared" ref="E110:K111" si="12">E102</f>
        <v>2</v>
      </c>
      <c r="F110" s="914">
        <f t="shared" si="12"/>
        <v>0.44999999999999996</v>
      </c>
      <c r="G110" s="914">
        <f t="shared" si="12"/>
        <v>0</v>
      </c>
      <c r="H110" s="914">
        <f t="shared" si="12"/>
        <v>0.20249999999999996</v>
      </c>
      <c r="I110" s="914">
        <f t="shared" si="12"/>
        <v>0</v>
      </c>
      <c r="J110" s="914">
        <f t="shared" si="12"/>
        <v>0</v>
      </c>
      <c r="K110" s="914">
        <f t="shared" si="12"/>
        <v>0</v>
      </c>
      <c r="L110" s="915" t="e">
        <f>$B$105/$B$92+$L$91*G102/$I$104+$M$91*F102/$H$104</f>
        <v>#REF!</v>
      </c>
      <c r="M110" s="915" t="e">
        <f>$B$105/$B$92+$L$92*H102/$I$104+$M$92*G102/$H$104</f>
        <v>#REF!</v>
      </c>
      <c r="N110" s="915" t="e">
        <f>$B$105/$B$92+$L$93*I102/$I$104+$M$93*H102/$H$104</f>
        <v>#REF!</v>
      </c>
      <c r="O110" s="915" t="e">
        <f>$B$105/$B$92+$L$94*J102/$I$104+$M$94*I102/$H$104</f>
        <v>#REF!</v>
      </c>
      <c r="Q110" s="930">
        <f t="shared" si="10"/>
        <v>2</v>
      </c>
      <c r="R110" s="944">
        <f t="shared" si="10"/>
        <v>0.44999999999999996</v>
      </c>
      <c r="S110" s="944">
        <f t="shared" si="10"/>
        <v>0</v>
      </c>
      <c r="T110" s="944">
        <f t="shared" ref="T110:U111" si="13">ROUND(H110,2)</f>
        <v>0.2</v>
      </c>
      <c r="U110" s="944">
        <f t="shared" si="13"/>
        <v>0</v>
      </c>
      <c r="V110" s="944" t="e">
        <f t="shared" ref="V110:V111" si="14">L110</f>
        <v>#REF!</v>
      </c>
      <c r="W110" s="944" t="e">
        <f t="shared" si="11"/>
        <v>#REF!</v>
      </c>
      <c r="X110" s="944" t="e">
        <f t="shared" si="11"/>
        <v>#REF!</v>
      </c>
      <c r="Y110" s="944" t="e">
        <f t="shared" si="11"/>
        <v>#REF!</v>
      </c>
    </row>
    <row r="111" spans="1:25">
      <c r="E111" s="914">
        <f t="shared" si="12"/>
        <v>3</v>
      </c>
      <c r="F111" s="914">
        <f t="shared" si="12"/>
        <v>-0.45</v>
      </c>
      <c r="G111" s="914">
        <f t="shared" si="12"/>
        <v>-0.45</v>
      </c>
      <c r="H111" s="914">
        <f t="shared" si="12"/>
        <v>0.20250000000000001</v>
      </c>
      <c r="I111" s="914">
        <f t="shared" si="12"/>
        <v>0.20250000000000001</v>
      </c>
      <c r="J111" s="914">
        <f t="shared" si="12"/>
        <v>0</v>
      </c>
      <c r="K111" s="914">
        <f t="shared" si="12"/>
        <v>0</v>
      </c>
      <c r="L111" s="915" t="e">
        <f>$B$105/$B$92+$L$91*G103/$I$104+$M$91*F103/$H$104</f>
        <v>#REF!</v>
      </c>
      <c r="M111" s="915" t="e">
        <f>$B$105/$B$92+$L$92*H103/$I$104+$M$92*G103/$H$104</f>
        <v>#REF!</v>
      </c>
      <c r="N111" s="915" t="e">
        <f>$B$105/$B$92+$L$93*I103/$I$104+$M$93*H103/$H$104</f>
        <v>#REF!</v>
      </c>
      <c r="O111" s="915" t="e">
        <f>$B$105/$B$92+$L$94*J103/$I$104+$M$94*I103/$H$104</f>
        <v>#REF!</v>
      </c>
      <c r="Q111" s="930">
        <f t="shared" si="10"/>
        <v>3</v>
      </c>
      <c r="R111" s="944">
        <f t="shared" si="10"/>
        <v>-0.45</v>
      </c>
      <c r="S111" s="944">
        <f t="shared" si="10"/>
        <v>-0.45</v>
      </c>
      <c r="T111" s="944">
        <f t="shared" si="13"/>
        <v>0.2</v>
      </c>
      <c r="U111" s="944">
        <f t="shared" si="13"/>
        <v>0.2</v>
      </c>
      <c r="V111" s="944" t="e">
        <f t="shared" si="14"/>
        <v>#REF!</v>
      </c>
      <c r="W111" s="944" t="e">
        <f t="shared" si="11"/>
        <v>#REF!</v>
      </c>
      <c r="X111" s="944" t="e">
        <f t="shared" si="11"/>
        <v>#REF!</v>
      </c>
      <c r="Y111" s="944" t="e">
        <f t="shared" si="11"/>
        <v>#REF!</v>
      </c>
    </row>
    <row r="112" spans="1:25">
      <c r="A112" s="823" t="s">
        <v>1395</v>
      </c>
      <c r="L112" s="915"/>
    </row>
    <row r="113" spans="1:11">
      <c r="A113"/>
      <c r="B113" s="892">
        <f>'Co Ly dat'!W15</f>
        <v>2.251633165829146</v>
      </c>
      <c r="C113" s="954">
        <f>ROUNDDOWN(B113,0)</f>
        <v>2</v>
      </c>
      <c r="D113" s="918">
        <f>+(B113-C113)*60</f>
        <v>15.097989949748758</v>
      </c>
      <c r="F113" s="6">
        <f>'Co Ly dat'!V15</f>
        <v>9.0065326633165839</v>
      </c>
      <c r="G113" s="907">
        <f>ROUNDDOWN(F113,0)</f>
        <v>9</v>
      </c>
      <c r="H113" s="918">
        <f>+(F113-G113)*60</f>
        <v>0.39195979899503186</v>
      </c>
    </row>
    <row r="114" spans="1:11">
      <c r="A114" s="822" t="s">
        <v>1396</v>
      </c>
      <c r="B114" s="822">
        <f>B51</f>
        <v>19.899999999999999</v>
      </c>
    </row>
    <row r="115" spans="1:11">
      <c r="A115" s="822" t="s">
        <v>1397</v>
      </c>
      <c r="B115" s="892">
        <f>D115+2*B114*TAN(RADIANS(B113))</f>
        <v>2.7648824754781272</v>
      </c>
      <c r="D115" s="822">
        <f>B96-B95*2</f>
        <v>1.2</v>
      </c>
      <c r="E115" s="822">
        <f>B97-B95*2</f>
        <v>1.2</v>
      </c>
    </row>
    <row r="116" spans="1:11">
      <c r="A116" s="822" t="s">
        <v>1398</v>
      </c>
      <c r="B116" s="892">
        <f>E115+2*B114*TAN(RADIANS(B113))</f>
        <v>2.7648824754781272</v>
      </c>
      <c r="C116" s="961"/>
      <c r="F116" s="822">
        <f>TAN(PI()*RADIANS(B113))</f>
        <v>0.12409071984357102</v>
      </c>
    </row>
    <row r="117" spans="1:11">
      <c r="A117" s="822" t="s">
        <v>1399</v>
      </c>
      <c r="B117" s="892">
        <f>B115*B116</f>
        <v>7.6445751032060567</v>
      </c>
      <c r="C117" s="822" t="s">
        <v>3</v>
      </c>
    </row>
    <row r="118" spans="1:11">
      <c r="A118" s="822" t="s">
        <v>1400</v>
      </c>
      <c r="B118" s="822">
        <v>2</v>
      </c>
      <c r="I118" s="822">
        <f>SIN(J118*PI()/180)</f>
        <v>3.925981575906861E-2</v>
      </c>
      <c r="J118" s="907">
        <v>2.25</v>
      </c>
      <c r="K118" s="909">
        <f>(J118*PI()/180)</f>
        <v>3.9269908169872414E-2</v>
      </c>
    </row>
    <row r="119" spans="1:11">
      <c r="A119" s="822" t="s">
        <v>1401</v>
      </c>
      <c r="B119" s="955">
        <f>B117*D46*B118</f>
        <v>22.933725309618168</v>
      </c>
      <c r="C119" s="822" t="s">
        <v>672</v>
      </c>
      <c r="I119" s="822">
        <f>SIN((K119))</f>
        <v>3.925981575906861E-2</v>
      </c>
      <c r="K119" s="822">
        <f>RADIANS(J118)</f>
        <v>3.9269908169872414E-2</v>
      </c>
    </row>
    <row r="120" spans="1:11">
      <c r="A120" s="822" t="s">
        <v>1402</v>
      </c>
      <c r="B120" s="955">
        <f>B92*B72*B51*2.5</f>
        <v>13.432500000000001</v>
      </c>
      <c r="C120" s="822" t="s">
        <v>672</v>
      </c>
    </row>
    <row r="121" spans="1:11">
      <c r="A121" s="822" t="s">
        <v>1403</v>
      </c>
      <c r="B121" s="956">
        <f>'Co Ly dat'!N16</f>
        <v>37.548000000000002</v>
      </c>
      <c r="C121" s="822" t="s">
        <v>672</v>
      </c>
    </row>
    <row r="122" spans="1:11">
      <c r="A122" s="822" t="s">
        <v>1404</v>
      </c>
      <c r="B122" s="956">
        <f>(B117-B92*B61)*B121*1</f>
        <v>276.90054597518105</v>
      </c>
      <c r="C122" s="822" t="s">
        <v>672</v>
      </c>
      <c r="D122" s="909">
        <f>(B117-B92*B61)*B121*1</f>
        <v>276.90054597518105</v>
      </c>
    </row>
    <row r="123" spans="1:11">
      <c r="A123" s="822" t="s">
        <v>1405</v>
      </c>
      <c r="B123" s="956">
        <f>B119+B120+B122</f>
        <v>313.26677128479923</v>
      </c>
      <c r="C123" s="822" t="s">
        <v>672</v>
      </c>
    </row>
    <row r="124" spans="1:11">
      <c r="A124" s="823" t="s">
        <v>1406</v>
      </c>
    </row>
    <row r="125" spans="1:11">
      <c r="A125" s="822" t="s">
        <v>1407</v>
      </c>
      <c r="B125" s="892" t="e">
        <f>B123+G90</f>
        <v>#REF!</v>
      </c>
      <c r="C125" s="822" t="s">
        <v>672</v>
      </c>
    </row>
    <row r="126" spans="1:11">
      <c r="A126" s="822" t="s">
        <v>1408</v>
      </c>
      <c r="B126" s="892" t="e">
        <f>L90/B101</f>
        <v>#REF!</v>
      </c>
      <c r="C126" s="822" t="s">
        <v>672</v>
      </c>
    </row>
    <row r="127" spans="1:11">
      <c r="A127" s="822" t="s">
        <v>1409</v>
      </c>
      <c r="B127" s="892" t="e">
        <f>M90/B101</f>
        <v>#REF!</v>
      </c>
      <c r="C127" s="822" t="s">
        <v>672</v>
      </c>
    </row>
    <row r="128" spans="1:11">
      <c r="A128" s="822" t="s">
        <v>1410</v>
      </c>
      <c r="B128" s="892">
        <f>B115^2*B116/6</f>
        <v>3.5227252892218037</v>
      </c>
    </row>
    <row r="129" spans="1:11">
      <c r="A129" s="822" t="s">
        <v>1411</v>
      </c>
      <c r="B129" s="892">
        <f>B115*B116^2/6</f>
        <v>3.5227252892218037</v>
      </c>
    </row>
    <row r="130" spans="1:11">
      <c r="A130" s="892"/>
      <c r="C130" s="823" t="s">
        <v>1444</v>
      </c>
    </row>
    <row r="131" spans="1:11">
      <c r="A131" s="822" t="s">
        <v>1412</v>
      </c>
      <c r="B131" s="822">
        <v>1.1000000000000001</v>
      </c>
      <c r="D131" s="822" t="str">
        <f>TinhMong!D131</f>
        <v>Bd</v>
      </c>
      <c r="E131" s="822">
        <f>TinhMong!E131</f>
        <v>1.5</v>
      </c>
      <c r="F131" s="822" t="str">
        <f ca="1">TinhMong!F131</f>
        <v>bc</v>
      </c>
      <c r="G131" s="822">
        <f>TinhMong!G131</f>
        <v>0.3</v>
      </c>
      <c r="H131" s="822" t="str">
        <f>TinhMong!H131</f>
        <v>h2b</v>
      </c>
      <c r="I131" s="822">
        <f>TinhMong!I131</f>
        <v>0.44999999999999996</v>
      </c>
      <c r="J131" s="822">
        <f ca="1">TinhMong!J131</f>
        <v>0</v>
      </c>
    </row>
    <row r="132" spans="1:11">
      <c r="A132" s="822" t="s">
        <v>430</v>
      </c>
      <c r="B132" s="822">
        <v>1.4</v>
      </c>
      <c r="D132" s="822" t="str">
        <f>TinhMong!D132</f>
        <v>Ld</v>
      </c>
      <c r="E132" s="822">
        <f>TinhMong!E132</f>
        <v>1.5</v>
      </c>
      <c r="F132" s="822" t="str">
        <f ca="1">TinhMong!F132</f>
        <v>hc</v>
      </c>
      <c r="G132" s="822">
        <f>TinhMong!G132</f>
        <v>0.3</v>
      </c>
      <c r="H132" s="822" t="str">
        <f>TinhMong!H132</f>
        <v>h2l</v>
      </c>
      <c r="I132" s="822">
        <f>TinhMong!I132</f>
        <v>0.44999999999999996</v>
      </c>
      <c r="J132" s="822">
        <f ca="1">TinhMong!J132</f>
        <v>0</v>
      </c>
    </row>
    <row r="133" spans="1:11">
      <c r="A133" s="822" t="s">
        <v>3</v>
      </c>
      <c r="B133" s="822">
        <v>1</v>
      </c>
      <c r="D133" s="822" t="str">
        <f>TinhMong!D133</f>
        <v>Hđ chọn</v>
      </c>
      <c r="E133" s="932">
        <f>TinhMong!E133</f>
        <v>0.54999999999999993</v>
      </c>
      <c r="F133" s="822" t="str">
        <f ca="1">TinhMong!F133</f>
        <v>m</v>
      </c>
      <c r="G133" s="822" t="str">
        <f>TinhMong!G133</f>
        <v>ngàm đài</v>
      </c>
      <c r="H133" s="822">
        <f>TinhMong!H133</f>
        <v>0.1</v>
      </c>
      <c r="I133" s="822" t="str">
        <f>TinhMong!I133</f>
        <v>m</v>
      </c>
      <c r="J133" s="822">
        <f>TinhMong!J133</f>
        <v>0.44999999999999996</v>
      </c>
    </row>
    <row r="134" spans="1:11">
      <c r="A134" s="822" t="s">
        <v>1413</v>
      </c>
      <c r="B134" s="822">
        <f>'Co Ly dat'!O11</f>
        <v>1.01</v>
      </c>
      <c r="H134" s="822">
        <f>0.9-0.6</f>
        <v>0.30000000000000004</v>
      </c>
    </row>
    <row r="135" spans="1:11">
      <c r="A135" s="822" t="s">
        <v>1414</v>
      </c>
      <c r="B135" s="956">
        <f>'Co Ly dat'!M16</f>
        <v>0.87085427135678373</v>
      </c>
      <c r="H135" s="822">
        <f>+H134/2+0.2</f>
        <v>0.35000000000000003</v>
      </c>
      <c r="I135" s="822">
        <f>1.2-0.3</f>
        <v>0.89999999999999991</v>
      </c>
      <c r="J135" s="822">
        <f>1.2-0.3</f>
        <v>0.89999999999999991</v>
      </c>
    </row>
    <row r="136" spans="1:11">
      <c r="A136" s="822" t="s">
        <v>1415</v>
      </c>
      <c r="B136" s="822">
        <f>'TinhMongM2 (2)'!K43</f>
        <v>2.75</v>
      </c>
      <c r="J136" s="822">
        <f>514.4*3*0.9</f>
        <v>1388.8799999999999</v>
      </c>
    </row>
    <row r="137" spans="1:11">
      <c r="A137" s="822" t="s">
        <v>516</v>
      </c>
      <c r="B137" s="822">
        <v>0</v>
      </c>
    </row>
    <row r="138" spans="1:11" ht="19">
      <c r="A138" s="889" t="s">
        <v>1416</v>
      </c>
      <c r="B138" s="822">
        <f>'Co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9">
        <f>B132*B133/B131*(B139*B115*B134+B140*B51*B135+B141*B136)</f>
        <v>52.450020408595826</v>
      </c>
      <c r="J142" s="822">
        <f>+J140/1.2</f>
        <v>385.8055555555556</v>
      </c>
    </row>
    <row r="143" spans="1:11">
      <c r="A143" s="822" t="s">
        <v>1418</v>
      </c>
      <c r="H143" s="822">
        <f>650.76*4</f>
        <v>2603.04</v>
      </c>
    </row>
    <row r="144" spans="1:11">
      <c r="A144" s="822" t="s">
        <v>1419</v>
      </c>
      <c r="B144" s="958" t="e">
        <f>B125/B117</f>
        <v>#REF!</v>
      </c>
      <c r="H144" s="822">
        <f>548.03*4</f>
        <v>2192.12</v>
      </c>
    </row>
    <row r="145" spans="1:13">
      <c r="A145" s="822" t="s">
        <v>1420</v>
      </c>
      <c r="B145" s="892" t="e">
        <f>B125/B117+B126/B128+B127/B129</f>
        <v>#REF!</v>
      </c>
      <c r="K145" s="822">
        <f>514.4*3</f>
        <v>1543.1999999999998</v>
      </c>
      <c r="L145" s="822">
        <f>+K145*1.2</f>
        <v>1851.8399999999997</v>
      </c>
    </row>
    <row r="146" spans="1:13">
      <c r="A146" s="822" t="s">
        <v>1421</v>
      </c>
      <c r="B146" s="892" t="e">
        <f>B125/B117-B126/B128-B127/B129</f>
        <v>#REF!</v>
      </c>
    </row>
    <row r="147" spans="1:13">
      <c r="A147" s="822" t="s">
        <v>1422</v>
      </c>
      <c r="B147" s="892">
        <f>1.2*B142</f>
        <v>62.94002449031499</v>
      </c>
    </row>
    <row r="148" spans="1:13" ht="14.5" thickBot="1"/>
    <row r="149" spans="1:13" ht="101" thickBot="1">
      <c r="A149" s="823" t="s">
        <v>1423</v>
      </c>
      <c r="E149" s="1005" t="s">
        <v>1340</v>
      </c>
      <c r="F149" s="950" t="s">
        <v>1470</v>
      </c>
      <c r="G149" s="951" t="s">
        <v>1469</v>
      </c>
      <c r="H149" s="952" t="s">
        <v>1424</v>
      </c>
    </row>
    <row r="150" spans="1:13" ht="19" thickBot="1">
      <c r="A150"/>
      <c r="B150" s="957" t="e">
        <f>B144-H155</f>
        <v>#REF!</v>
      </c>
      <c r="C150" s="822" t="s">
        <v>672</v>
      </c>
      <c r="E150" s="1006"/>
      <c r="F150" s="953" t="s">
        <v>6</v>
      </c>
      <c r="G150" s="953" t="s">
        <v>1426</v>
      </c>
      <c r="H150" s="953" t="s">
        <v>1349</v>
      </c>
    </row>
    <row r="151" spans="1:13" ht="17" thickBot="1">
      <c r="E151" s="890">
        <v>1</v>
      </c>
      <c r="F151" s="252">
        <v>10</v>
      </c>
      <c r="G151" s="252">
        <v>1.74</v>
      </c>
      <c r="H151" s="891">
        <f>G151*F151</f>
        <v>17.399999999999999</v>
      </c>
    </row>
    <row r="152" spans="1:13" ht="17" thickBot="1">
      <c r="A152" s="823" t="s">
        <v>1435</v>
      </c>
      <c r="E152" s="890">
        <v>2</v>
      </c>
      <c r="F152" s="252">
        <v>4.5999999999999996</v>
      </c>
      <c r="G152" s="252">
        <v>2.0499999999999998</v>
      </c>
      <c r="H152" s="891">
        <f>G152*F152</f>
        <v>9.4299999999999979</v>
      </c>
    </row>
    <row r="153" spans="1:13" ht="17" thickBot="1">
      <c r="A153" s="822" t="s">
        <v>1436</v>
      </c>
      <c r="B153" s="822">
        <f>TH!B199</f>
        <v>30</v>
      </c>
      <c r="C153" s="822">
        <f>B153/100</f>
        <v>0.3</v>
      </c>
      <c r="D153" s="822" t="s">
        <v>6</v>
      </c>
      <c r="E153" s="890">
        <v>3</v>
      </c>
      <c r="F153" s="252">
        <v>1.3</v>
      </c>
      <c r="G153" s="252">
        <v>2.06</v>
      </c>
      <c r="H153" s="891">
        <f t="shared" ref="H153:H154" si="15">G153*F153</f>
        <v>2.6780000000000004</v>
      </c>
    </row>
    <row r="154" spans="1:13" ht="17" thickBot="1">
      <c r="A154" s="822" t="s">
        <v>1437</v>
      </c>
      <c r="B154" s="822">
        <f>TH!B200</f>
        <v>30</v>
      </c>
      <c r="C154" s="822">
        <f>B154/100</f>
        <v>0.3</v>
      </c>
      <c r="D154" s="822" t="s">
        <v>6</v>
      </c>
      <c r="E154" s="890">
        <v>4</v>
      </c>
      <c r="F154" s="252">
        <f>B49</f>
        <v>4</v>
      </c>
      <c r="G154" s="252">
        <v>2.0099999999999998</v>
      </c>
      <c r="H154" s="891">
        <f t="shared" si="15"/>
        <v>8.0399999999999991</v>
      </c>
    </row>
    <row r="155" spans="1:13" ht="17" thickBot="1">
      <c r="A155" s="822" t="s">
        <v>515</v>
      </c>
      <c r="B155" s="822">
        <v>10</v>
      </c>
      <c r="C155" s="822">
        <f>B155/100</f>
        <v>0.1</v>
      </c>
      <c r="D155" s="822" t="s">
        <v>6</v>
      </c>
      <c r="E155" s="1007" t="s">
        <v>1425</v>
      </c>
      <c r="F155" s="1008"/>
      <c r="G155" s="1009"/>
      <c r="H155" s="919">
        <f>SUM(H151:H154)</f>
        <v>37.548000000000002</v>
      </c>
    </row>
    <row r="156" spans="1:13">
      <c r="A156" s="822" t="s">
        <v>516</v>
      </c>
      <c r="B156" s="822">
        <f>E133-C155</f>
        <v>0.44999999999999996</v>
      </c>
      <c r="C156" s="822" t="s">
        <v>6</v>
      </c>
    </row>
    <row r="157" spans="1:13" ht="14.5" thickBot="1">
      <c r="A157" s="822" t="s">
        <v>1438</v>
      </c>
      <c r="B157" s="822">
        <f>C153+2*B156</f>
        <v>1.2</v>
      </c>
      <c r="C157" s="822" t="s">
        <v>6</v>
      </c>
    </row>
    <row r="158" spans="1:13">
      <c r="A158" s="822" t="s">
        <v>1439</v>
      </c>
      <c r="B158" s="822">
        <f>C154+2*B156</f>
        <v>1.2</v>
      </c>
      <c r="C158" s="822" t="s">
        <v>6</v>
      </c>
      <c r="E158" s="1010" t="s">
        <v>1284</v>
      </c>
      <c r="F158" s="1010" t="s">
        <v>1427</v>
      </c>
      <c r="G158" s="1010" t="s">
        <v>1428</v>
      </c>
      <c r="H158" s="1016" t="s">
        <v>1429</v>
      </c>
      <c r="I158" s="1016" t="s">
        <v>1430</v>
      </c>
      <c r="J158" s="1010" t="s">
        <v>1431</v>
      </c>
      <c r="K158" s="1010"/>
      <c r="L158" s="1010"/>
      <c r="M158" s="1010"/>
    </row>
    <row r="159" spans="1:13" ht="14.5" thickBot="1">
      <c r="A159" s="822" t="s">
        <v>1440</v>
      </c>
      <c r="B159" s="822">
        <f>(2*(C153+C154)+2*(B157+B158))/2</f>
        <v>3</v>
      </c>
      <c r="C159" s="822" t="s">
        <v>6</v>
      </c>
      <c r="E159" s="1011"/>
      <c r="F159" s="1011"/>
      <c r="G159" s="1012"/>
      <c r="H159" s="1017"/>
      <c r="I159" s="1017"/>
      <c r="J159" s="1011"/>
      <c r="K159" s="1012"/>
      <c r="L159" s="1012"/>
      <c r="M159" s="1011"/>
    </row>
    <row r="160" spans="1:13" ht="19" thickBot="1">
      <c r="A160"/>
      <c r="B160" s="822">
        <f>1*H23*B159*B156</f>
        <v>101.24999999999999</v>
      </c>
      <c r="C160" s="822" t="s">
        <v>672</v>
      </c>
      <c r="E160" s="1012"/>
      <c r="F160" s="1012"/>
      <c r="G160" s="867" t="s">
        <v>6</v>
      </c>
      <c r="H160" s="1018"/>
      <c r="I160" s="1019"/>
      <c r="J160" s="1012"/>
      <c r="K160" s="867" t="s">
        <v>1349</v>
      </c>
      <c r="L160" s="867" t="s">
        <v>1349</v>
      </c>
      <c r="M160" s="1012"/>
    </row>
    <row r="161" spans="1:14" ht="17" thickBot="1">
      <c r="A161" s="822" t="s">
        <v>1471</v>
      </c>
      <c r="B161" s="909">
        <f>B115/4</f>
        <v>0.69122061886953179</v>
      </c>
      <c r="C161" s="822" t="s">
        <v>6</v>
      </c>
      <c r="E161" s="869">
        <v>4</v>
      </c>
      <c r="F161" s="252">
        <v>1</v>
      </c>
      <c r="G161" s="252">
        <v>0</v>
      </c>
      <c r="H161" s="891">
        <f>$B$116/$B$115</f>
        <v>1</v>
      </c>
      <c r="I161" s="920">
        <f>G161/H161</f>
        <v>0</v>
      </c>
      <c r="J161" s="252">
        <v>1</v>
      </c>
      <c r="K161" s="921" t="e">
        <f>J161*$B$150</f>
        <v>#REF!</v>
      </c>
      <c r="L161" s="922">
        <f>H155</f>
        <v>37.548000000000002</v>
      </c>
      <c r="M161" s="921" t="e">
        <f>K161/L161</f>
        <v>#REF!</v>
      </c>
      <c r="N161" s="909" t="e">
        <f>M161-0.2</f>
        <v>#REF!</v>
      </c>
    </row>
    <row r="162" spans="1:14" ht="17" thickBot="1">
      <c r="A162" s="823" t="s">
        <v>1441</v>
      </c>
      <c r="E162" s="869">
        <v>4</v>
      </c>
      <c r="F162" s="252">
        <v>2</v>
      </c>
      <c r="G162" s="252">
        <v>1.5</v>
      </c>
      <c r="H162" s="891">
        <f t="shared" ref="H162:H164" si="16">$B$116/$B$115</f>
        <v>1</v>
      </c>
      <c r="I162" s="920">
        <f t="shared" ref="I162:I164" si="17">G162/H162</f>
        <v>1.5</v>
      </c>
      <c r="J162" s="252">
        <v>0.89</v>
      </c>
      <c r="K162" s="921" t="e">
        <f>J162*$B$150</f>
        <v>#REF!</v>
      </c>
      <c r="L162" s="922">
        <f>L161+$G$154*G162</f>
        <v>40.563000000000002</v>
      </c>
      <c r="M162" s="921" t="e">
        <f t="shared" ref="M162:M164" si="18">K162/L162</f>
        <v>#REF!</v>
      </c>
      <c r="N162" s="909" t="e">
        <f>M162-0.2</f>
        <v>#REF!</v>
      </c>
    </row>
    <row r="163" spans="1:14" ht="17" thickBot="1">
      <c r="A163" s="822" t="s">
        <v>1442</v>
      </c>
      <c r="B163" s="822">
        <v>1</v>
      </c>
      <c r="E163" s="869">
        <v>4</v>
      </c>
      <c r="F163" s="252">
        <v>3</v>
      </c>
      <c r="G163" s="252">
        <v>3</v>
      </c>
      <c r="H163" s="891">
        <f t="shared" si="16"/>
        <v>1</v>
      </c>
      <c r="I163" s="920">
        <f t="shared" si="17"/>
        <v>3</v>
      </c>
      <c r="J163" s="252">
        <v>0.7</v>
      </c>
      <c r="K163" s="921" t="e">
        <f t="shared" ref="K163:K164" si="19">J163*$B$150</f>
        <v>#REF!</v>
      </c>
      <c r="L163" s="922">
        <f t="shared" ref="L163:L164" si="20">L162+$G$154*G163</f>
        <v>46.593000000000004</v>
      </c>
      <c r="M163" s="921" t="e">
        <f t="shared" si="18"/>
        <v>#REF!</v>
      </c>
      <c r="N163" s="909" t="e">
        <f>M163-0.2</f>
        <v>#REF!</v>
      </c>
    </row>
    <row r="164" spans="1:14" ht="17" thickBot="1">
      <c r="A164" s="822" t="s">
        <v>524</v>
      </c>
      <c r="B164" s="892" t="e">
        <f>B163*$L$104*B165</f>
        <v>#REF!</v>
      </c>
      <c r="C164" s="822" t="s">
        <v>674</v>
      </c>
      <c r="E164" s="869">
        <v>4</v>
      </c>
      <c r="F164" s="252">
        <v>4</v>
      </c>
      <c r="G164" s="252">
        <v>4.5</v>
      </c>
      <c r="H164" s="891">
        <f t="shared" si="16"/>
        <v>1</v>
      </c>
      <c r="I164" s="920">
        <f t="shared" si="17"/>
        <v>4.5</v>
      </c>
      <c r="J164" s="252">
        <v>0.51</v>
      </c>
      <c r="K164" s="921" t="e">
        <f t="shared" si="19"/>
        <v>#REF!</v>
      </c>
      <c r="L164" s="922">
        <f t="shared" si="20"/>
        <v>55.638000000000005</v>
      </c>
      <c r="M164" s="921" t="e">
        <f t="shared" si="18"/>
        <v>#REF!</v>
      </c>
    </row>
    <row r="165" spans="1:14">
      <c r="A165" s="822" t="s">
        <v>100</v>
      </c>
      <c r="B165" s="822">
        <f>0.9/2-$D$39/2</f>
        <v>0.30000000000000004</v>
      </c>
      <c r="C165" s="822" t="s">
        <v>6</v>
      </c>
    </row>
    <row r="166" spans="1:14" ht="14.5" thickBot="1">
      <c r="A166"/>
      <c r="B166" s="926" t="e">
        <f>B164/(0.9*$H$22*$B$167*$B$156^2)</f>
        <v>#REF!</v>
      </c>
      <c r="D166" s="892"/>
    </row>
    <row r="167" spans="1:14">
      <c r="A167" s="822" t="s">
        <v>1443</v>
      </c>
      <c r="B167" s="822">
        <v>1.5</v>
      </c>
      <c r="E167" s="1013" t="s">
        <v>1203</v>
      </c>
      <c r="F167" s="1013" t="s">
        <v>1432</v>
      </c>
      <c r="G167" s="1013"/>
      <c r="H167" s="1013"/>
      <c r="I167" s="1013"/>
      <c r="J167" s="1013" t="s">
        <v>1433</v>
      </c>
      <c r="K167" s="1013" t="s">
        <v>112</v>
      </c>
    </row>
    <row r="168" spans="1:14" ht="14.5" thickBot="1">
      <c r="A168"/>
      <c r="B168" s="927" t="e">
        <f>(1-SQRT(1-2*B166))</f>
        <v>#REF!</v>
      </c>
      <c r="E168" s="1014"/>
      <c r="F168" s="1014"/>
      <c r="G168" s="1015"/>
      <c r="H168" s="1015"/>
      <c r="I168" s="1015"/>
      <c r="J168" s="1015"/>
      <c r="K168" s="1015"/>
    </row>
    <row r="169" spans="1:14" ht="19" thickBot="1">
      <c r="A169" s="822" t="s">
        <v>259</v>
      </c>
      <c r="B169" s="928" t="e">
        <f>B168*0.9*$H$22*$B$167*$B$156/$H$31</f>
        <v>#REF!</v>
      </c>
      <c r="C169" s="892" t="e">
        <f>B169*10^4</f>
        <v>#REF!</v>
      </c>
      <c r="D169" s="822" t="s">
        <v>536</v>
      </c>
      <c r="E169" s="1015"/>
      <c r="F169" s="1015"/>
      <c r="G169" s="923" t="s">
        <v>1349</v>
      </c>
      <c r="H169" s="923" t="s">
        <v>1349</v>
      </c>
      <c r="I169" s="923"/>
      <c r="J169" s="923" t="s">
        <v>1349</v>
      </c>
      <c r="K169" s="923" t="s">
        <v>633</v>
      </c>
    </row>
    <row r="170" spans="1:14" ht="17" thickBot="1">
      <c r="B170" s="822">
        <v>8</v>
      </c>
      <c r="C170" s="822">
        <v>12</v>
      </c>
      <c r="D170" s="822">
        <f>(B167-0.1)/(B170-1)*1000</f>
        <v>199.99999999999997</v>
      </c>
      <c r="E170" s="938">
        <v>4</v>
      </c>
      <c r="F170" s="923">
        <v>1</v>
      </c>
      <c r="G170" s="924" t="e">
        <f>K161</f>
        <v>#REF!</v>
      </c>
      <c r="H170" s="1023" t="e">
        <f>G170+G171</f>
        <v>#REF!</v>
      </c>
      <c r="I170" s="1013">
        <v>0.8</v>
      </c>
      <c r="J170" s="1013">
        <f>$M$43</f>
        <v>544.67999999999995</v>
      </c>
      <c r="K170" s="1023" t="e">
        <f>I170/J170*H170*1.5*100</f>
        <v>#REF!</v>
      </c>
      <c r="M170" s="822">
        <f>0.8/11420*336.99*1.5</f>
        <v>3.5410507880910685E-2</v>
      </c>
      <c r="N170" s="822">
        <f>+M170*100</f>
        <v>3.5410507880910687</v>
      </c>
    </row>
    <row r="171" spans="1:14" ht="17" thickBot="1">
      <c r="C171" s="892">
        <f>B170*(C170/10)^2/4*3.14</f>
        <v>9.0432000000000006</v>
      </c>
      <c r="D171" s="822" t="s">
        <v>536</v>
      </c>
      <c r="E171" s="938">
        <v>4</v>
      </c>
      <c r="F171" s="923">
        <v>2</v>
      </c>
      <c r="G171" s="925" t="e">
        <f>K162</f>
        <v>#REF!</v>
      </c>
      <c r="H171" s="1015"/>
      <c r="I171" s="1015"/>
      <c r="J171" s="1015"/>
      <c r="K171" s="1015"/>
    </row>
    <row r="172" spans="1:14" ht="17" thickBot="1">
      <c r="B172" s="909" t="e">
        <f>B164/(0.9*B167*B156)</f>
        <v>#REF!</v>
      </c>
      <c r="C172" s="822">
        <v>1.2999999999999999E-2</v>
      </c>
      <c r="E172" s="938">
        <v>4</v>
      </c>
      <c r="F172" s="923">
        <v>2</v>
      </c>
      <c r="G172" s="925" t="e">
        <f>G171</f>
        <v>#REF!</v>
      </c>
      <c r="H172" s="1023" t="e">
        <f>G172+G173</f>
        <v>#REF!</v>
      </c>
      <c r="I172" s="1013">
        <v>0.8</v>
      </c>
      <c r="J172" s="1013">
        <f t="shared" ref="J172" si="21">$M$43</f>
        <v>544.67999999999995</v>
      </c>
      <c r="K172" s="1023" t="e">
        <f t="shared" ref="K172" si="22">I172/J172*H172*1.5*100</f>
        <v>#REF!</v>
      </c>
    </row>
    <row r="173" spans="1:14" ht="17" thickBot="1">
      <c r="C173" s="822">
        <f>(1-SQRT(1-2*C172))/2</f>
        <v>6.5428083409869164E-3</v>
      </c>
      <c r="E173" s="938">
        <v>4</v>
      </c>
      <c r="F173" s="923">
        <v>3</v>
      </c>
      <c r="G173" s="925" t="e">
        <f>K163</f>
        <v>#REF!</v>
      </c>
      <c r="H173" s="1015"/>
      <c r="I173" s="1015"/>
      <c r="J173" s="1015"/>
      <c r="K173" s="1015"/>
    </row>
    <row r="174" spans="1:14" ht="17" thickBot="1">
      <c r="E174" s="938">
        <v>4</v>
      </c>
      <c r="F174" s="923">
        <v>3</v>
      </c>
      <c r="G174" s="925" t="e">
        <f>G173</f>
        <v>#REF!</v>
      </c>
      <c r="H174" s="1023" t="e">
        <f>G174+G175</f>
        <v>#REF!</v>
      </c>
      <c r="I174" s="1013">
        <v>0.8</v>
      </c>
      <c r="J174" s="1013">
        <f t="shared" ref="J174" si="23">$M$43</f>
        <v>544.67999999999995</v>
      </c>
      <c r="K174" s="1023" t="e">
        <f t="shared" ref="K174" si="24">I174/J174*H174*1.5*100</f>
        <v>#REF!</v>
      </c>
    </row>
    <row r="175" spans="1:14" ht="17" thickBot="1">
      <c r="E175" s="938">
        <v>4</v>
      </c>
      <c r="F175" s="923">
        <v>4</v>
      </c>
      <c r="G175" s="924" t="e">
        <f>K164</f>
        <v>#REF!</v>
      </c>
      <c r="H175" s="1015"/>
      <c r="I175" s="1015"/>
      <c r="J175" s="1015"/>
      <c r="K175" s="1015"/>
    </row>
    <row r="176" spans="1:14" ht="17" thickBot="1">
      <c r="A176" s="823" t="s">
        <v>1447</v>
      </c>
      <c r="E176" s="1020" t="s">
        <v>1434</v>
      </c>
      <c r="F176" s="1021"/>
      <c r="G176" s="1021"/>
      <c r="H176" s="1021"/>
      <c r="I176" s="1021"/>
      <c r="J176" s="1022"/>
      <c r="K176" s="924" t="e">
        <f>SUM(K170:K175)</f>
        <v>#REF!</v>
      </c>
    </row>
    <row r="177" spans="1:5">
      <c r="A177" s="822" t="s">
        <v>1442</v>
      </c>
      <c r="B177" s="822">
        <v>2</v>
      </c>
    </row>
    <row r="178" spans="1:5">
      <c r="A178" s="822" t="s">
        <v>524</v>
      </c>
      <c r="B178" s="892" t="e">
        <f>B177*$L$104*B179</f>
        <v>#REF!</v>
      </c>
      <c r="C178" s="822" t="s">
        <v>674</v>
      </c>
    </row>
    <row r="179" spans="1:5">
      <c r="A179" s="822" t="s">
        <v>100</v>
      </c>
      <c r="B179" s="822">
        <f>0.9/2-$D$39/2</f>
        <v>0.30000000000000004</v>
      </c>
      <c r="C179" s="822" t="s">
        <v>6</v>
      </c>
    </row>
    <row r="180" spans="1:5">
      <c r="B180" s="926" t="e">
        <f>B178/(0.9*$H$22*$B$167*$B$156^2)</f>
        <v>#REF!</v>
      </c>
      <c r="D180" s="892"/>
    </row>
    <row r="181" spans="1:5">
      <c r="A181" s="822" t="s">
        <v>1443</v>
      </c>
      <c r="B181" s="822">
        <v>1.5</v>
      </c>
      <c r="E181" s="822">
        <v>7.0000000000000007E-2</v>
      </c>
    </row>
    <row r="182" spans="1:5">
      <c r="B182" s="927" t="e">
        <f>(1-SQRT(1-2*B180))</f>
        <v>#REF!</v>
      </c>
      <c r="E182" s="822">
        <f>1-SQRT(1-2*E181)</f>
        <v>7.263815045042965E-2</v>
      </c>
    </row>
    <row r="183" spans="1:5">
      <c r="A183" s="822" t="s">
        <v>259</v>
      </c>
      <c r="B183" s="928" t="e">
        <f>B182*0.9*$H$22*$B$167*$B$156/$H$31</f>
        <v>#REF!</v>
      </c>
      <c r="C183" s="892" t="e">
        <f>B183*10^4</f>
        <v>#REF!</v>
      </c>
      <c r="D183" s="822" t="s">
        <v>536</v>
      </c>
      <c r="E183" s="822">
        <f>+E182*0.9*1.45*320*140/36.5</f>
        <v>116.34840624476492</v>
      </c>
    </row>
    <row r="184" spans="1:5">
      <c r="B184" s="822">
        <v>11</v>
      </c>
      <c r="C184" s="822">
        <v>12</v>
      </c>
      <c r="D184" s="822">
        <f>(B181-0.1)/(B184-1)*1000</f>
        <v>139.99999999999997</v>
      </c>
    </row>
    <row r="185" spans="1:5">
      <c r="C185" s="892">
        <f>B184*(C184/10)^2/4*3.14</f>
        <v>12.4344</v>
      </c>
      <c r="D185" s="822" t="s">
        <v>536</v>
      </c>
    </row>
    <row r="186" spans="1:5">
      <c r="B186" s="909" t="e">
        <f>B178/(0.9*B181*B170)</f>
        <v>#REF!</v>
      </c>
      <c r="C186" s="822">
        <v>1.2999999999999999E-2</v>
      </c>
    </row>
    <row r="187" spans="1:5">
      <c r="C187" s="822">
        <f>(1-SQRT(1-2*C186))/2</f>
        <v>6.5428083409869164E-3</v>
      </c>
    </row>
  </sheetData>
  <mergeCells count="50">
    <mergeCell ref="E176:J176"/>
    <mergeCell ref="H172:H173"/>
    <mergeCell ref="I172:I173"/>
    <mergeCell ref="J172:J173"/>
    <mergeCell ref="K172:K173"/>
    <mergeCell ref="H174:H175"/>
    <mergeCell ref="I174:I175"/>
    <mergeCell ref="J174:J175"/>
    <mergeCell ref="K174:K175"/>
    <mergeCell ref="J167:J168"/>
    <mergeCell ref="K167:K168"/>
    <mergeCell ref="H170:H171"/>
    <mergeCell ref="I170:I171"/>
    <mergeCell ref="J170:J171"/>
    <mergeCell ref="K170:K171"/>
    <mergeCell ref="E167:E169"/>
    <mergeCell ref="F167:F169"/>
    <mergeCell ref="G167:G168"/>
    <mergeCell ref="H167:H168"/>
    <mergeCell ref="I167:I168"/>
    <mergeCell ref="V107:Y107"/>
    <mergeCell ref="E149:E150"/>
    <mergeCell ref="E155:G155"/>
    <mergeCell ref="E158:E160"/>
    <mergeCell ref="F158:F160"/>
    <mergeCell ref="G158:G159"/>
    <mergeCell ref="H158:H160"/>
    <mergeCell ref="I158:I160"/>
    <mergeCell ref="J158:J160"/>
    <mergeCell ref="K158:K159"/>
    <mergeCell ref="U107:U108"/>
    <mergeCell ref="L158:L159"/>
    <mergeCell ref="M158:M160"/>
    <mergeCell ref="P58:P59"/>
    <mergeCell ref="Q107:Q108"/>
    <mergeCell ref="R107:R108"/>
    <mergeCell ref="S107:S108"/>
    <mergeCell ref="T107:T108"/>
    <mergeCell ref="K39:K42"/>
    <mergeCell ref="L39:L42"/>
    <mergeCell ref="M39:M42"/>
    <mergeCell ref="K58:K59"/>
    <mergeCell ref="L58:L59"/>
    <mergeCell ref="M58:M59"/>
    <mergeCell ref="J39:J42"/>
    <mergeCell ref="E39:E42"/>
    <mergeCell ref="F39:F42"/>
    <mergeCell ref="G39:G42"/>
    <mergeCell ref="H39:H42"/>
    <mergeCell ref="I39:I4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4" customWidth="1"/>
    <col min="2" max="2" width="10.25" style="804" customWidth="1"/>
    <col min="3" max="17" width="8.75" style="804" customWidth="1"/>
    <col min="18" max="21" width="8.75" style="804" hidden="1" customWidth="1"/>
    <col min="22" max="25" width="8.75" style="804" customWidth="1"/>
    <col min="26" max="26" width="16.08203125" style="804" bestFit="1" customWidth="1"/>
    <col min="27" max="16384" width="9.08203125" style="804"/>
  </cols>
  <sheetData>
    <row r="1" spans="1:32" ht="13.25" customHeight="1">
      <c r="A1" s="999" t="s">
        <v>1203</v>
      </c>
      <c r="B1" s="999" t="s">
        <v>1204</v>
      </c>
      <c r="C1" s="999" t="s">
        <v>1205</v>
      </c>
      <c r="D1" s="999" t="s">
        <v>1206</v>
      </c>
      <c r="E1" s="999" t="s">
        <v>1207</v>
      </c>
      <c r="F1" s="999" t="s">
        <v>1208</v>
      </c>
      <c r="G1" s="999" t="s">
        <v>1209</v>
      </c>
      <c r="H1" s="999" t="s">
        <v>1210</v>
      </c>
      <c r="I1" s="999" t="s">
        <v>1211</v>
      </c>
      <c r="J1" s="999" t="s">
        <v>1212</v>
      </c>
      <c r="K1" s="999" t="s">
        <v>1213</v>
      </c>
      <c r="L1" s="802"/>
      <c r="M1" s="1026" t="s">
        <v>1205</v>
      </c>
      <c r="N1" s="999" t="s">
        <v>1206</v>
      </c>
      <c r="O1" s="999" t="s">
        <v>1207</v>
      </c>
      <c r="P1" s="999" t="s">
        <v>1208</v>
      </c>
      <c r="Q1" s="999" t="s">
        <v>1209</v>
      </c>
      <c r="R1" s="1037" t="s">
        <v>1210</v>
      </c>
      <c r="S1" s="1038"/>
      <c r="T1" s="1038"/>
      <c r="U1" s="1038"/>
      <c r="V1" s="1002"/>
      <c r="W1" s="999" t="s">
        <v>1211</v>
      </c>
      <c r="X1" s="999" t="s">
        <v>1212</v>
      </c>
      <c r="Y1" s="999" t="s">
        <v>1213</v>
      </c>
      <c r="Z1" s="803"/>
      <c r="AA1" s="803" t="s">
        <v>1214</v>
      </c>
      <c r="AB1" s="803">
        <v>9.81</v>
      </c>
    </row>
    <row r="2" spans="1:32" ht="13.25" customHeight="1">
      <c r="A2" s="1000"/>
      <c r="B2" s="1000"/>
      <c r="C2" s="1000"/>
      <c r="D2" s="1000"/>
      <c r="E2" s="1000"/>
      <c r="F2" s="1000"/>
      <c r="G2" s="1000"/>
      <c r="H2" s="1000"/>
      <c r="I2" s="1000"/>
      <c r="J2" s="1000"/>
      <c r="K2" s="1000"/>
      <c r="L2" s="805"/>
      <c r="M2" s="1027"/>
      <c r="N2" s="1000"/>
      <c r="O2" s="1000"/>
      <c r="P2" s="1000"/>
      <c r="Q2" s="1000"/>
      <c r="R2" s="1039"/>
      <c r="S2" s="1040"/>
      <c r="T2" s="1040"/>
      <c r="U2" s="1040"/>
      <c r="V2" s="1003"/>
      <c r="W2" s="1000"/>
      <c r="X2" s="1000"/>
      <c r="Y2" s="1000"/>
      <c r="Z2" s="803"/>
      <c r="AA2" s="803" t="s">
        <v>1215</v>
      </c>
      <c r="AB2" s="803">
        <f>ROUND(1/AB1,3)</f>
        <v>0.10199999999999999</v>
      </c>
    </row>
    <row r="3" spans="1:32" ht="13.25" customHeight="1">
      <c r="A3" s="1000"/>
      <c r="B3" s="1000"/>
      <c r="C3" s="1000"/>
      <c r="D3" s="1000"/>
      <c r="E3" s="1000"/>
      <c r="F3" s="1000"/>
      <c r="G3" s="1000"/>
      <c r="H3" s="1000"/>
      <c r="I3" s="1000"/>
      <c r="J3" s="1000"/>
      <c r="K3" s="1000"/>
      <c r="L3" s="805"/>
      <c r="M3" s="1027"/>
      <c r="N3" s="1000"/>
      <c r="O3" s="1000"/>
      <c r="P3" s="1000"/>
      <c r="Q3" s="1000"/>
      <c r="R3" s="1039"/>
      <c r="S3" s="1040"/>
      <c r="T3" s="1040"/>
      <c r="U3" s="1040"/>
      <c r="V3" s="1003"/>
      <c r="W3" s="1000"/>
      <c r="X3" s="1000"/>
      <c r="Y3" s="1000"/>
      <c r="Z3" s="803"/>
      <c r="AA3" s="803"/>
      <c r="AB3" s="803"/>
    </row>
    <row r="4" spans="1:32" ht="13.25" customHeight="1" thickBot="1">
      <c r="A4" s="1000"/>
      <c r="B4" s="1000"/>
      <c r="C4" s="1001"/>
      <c r="D4" s="1001"/>
      <c r="E4" s="1001"/>
      <c r="F4" s="1001"/>
      <c r="G4" s="1001"/>
      <c r="H4" s="1001"/>
      <c r="I4" s="1001"/>
      <c r="J4" s="1001"/>
      <c r="K4" s="1001"/>
      <c r="L4" s="806"/>
      <c r="M4" s="1028"/>
      <c r="N4" s="1001"/>
      <c r="O4" s="1001"/>
      <c r="P4" s="1001"/>
      <c r="Q4" s="1001"/>
      <c r="R4" s="1041"/>
      <c r="S4" s="1042"/>
      <c r="T4" s="1042"/>
      <c r="U4" s="1042"/>
      <c r="V4" s="1004"/>
      <c r="W4" s="1001"/>
      <c r="X4" s="1001"/>
      <c r="Y4" s="1001"/>
      <c r="Z4" s="803" t="str">
        <f>"Chiều sâu đặt đài " &amp;TinhMong!B46</f>
        <v>Chiều sâu đặt đài -1,5</v>
      </c>
      <c r="AA4" s="803" t="s">
        <v>1306</v>
      </c>
      <c r="AB4" s="803">
        <f>TinhMong!B51</f>
        <v>19.899999999999999</v>
      </c>
      <c r="AC4" s="804" t="s">
        <v>6</v>
      </c>
    </row>
    <row r="5" spans="1:32" ht="13.25" customHeight="1" thickBot="1">
      <c r="A5" s="1000"/>
      <c r="B5" s="1000"/>
      <c r="C5" s="807" t="s">
        <v>1216</v>
      </c>
      <c r="D5" s="807" t="s">
        <v>1217</v>
      </c>
      <c r="E5" s="807" t="s">
        <v>1218</v>
      </c>
      <c r="F5" s="807" t="s">
        <v>1219</v>
      </c>
      <c r="G5" s="999" t="s">
        <v>1220</v>
      </c>
      <c r="H5" s="808" t="s">
        <v>1221</v>
      </c>
      <c r="I5" s="807" t="s">
        <v>377</v>
      </c>
      <c r="J5" s="999" t="s">
        <v>1222</v>
      </c>
      <c r="K5" s="807" t="s">
        <v>1223</v>
      </c>
      <c r="L5" s="807" t="s">
        <v>1224</v>
      </c>
      <c r="M5" s="809" t="s">
        <v>1216</v>
      </c>
      <c r="N5" s="807" t="s">
        <v>1217</v>
      </c>
      <c r="O5" s="807" t="s">
        <v>1218</v>
      </c>
      <c r="P5" s="807" t="s">
        <v>1219</v>
      </c>
      <c r="Q5" s="999" t="s">
        <v>1220</v>
      </c>
      <c r="R5" s="1031" t="s">
        <v>1221</v>
      </c>
      <c r="S5" s="1032"/>
      <c r="T5" s="1032"/>
      <c r="U5" s="1032"/>
      <c r="V5" s="1033"/>
      <c r="W5" s="807" t="s">
        <v>377</v>
      </c>
      <c r="X5" s="999" t="s">
        <v>1222</v>
      </c>
      <c r="Y5" s="807" t="s">
        <v>1223</v>
      </c>
      <c r="Z5" s="804" t="s">
        <v>1248</v>
      </c>
      <c r="AB5" s="803" t="s">
        <v>1287</v>
      </c>
      <c r="AC5" s="804" t="s">
        <v>1305</v>
      </c>
      <c r="AE5" s="804" t="s">
        <v>1308</v>
      </c>
      <c r="AF5" s="804" t="s">
        <v>1309</v>
      </c>
    </row>
    <row r="6" spans="1:32" ht="13.25" customHeight="1" thickBot="1">
      <c r="A6" s="1001"/>
      <c r="B6" s="1001"/>
      <c r="C6" s="807" t="s">
        <v>58</v>
      </c>
      <c r="D6" s="807" t="s">
        <v>1225</v>
      </c>
      <c r="E6" s="807" t="s">
        <v>1225</v>
      </c>
      <c r="F6" s="807" t="s">
        <v>700</v>
      </c>
      <c r="G6" s="1001"/>
      <c r="H6" s="807" t="s">
        <v>1226</v>
      </c>
      <c r="I6" s="807" t="s">
        <v>1227</v>
      </c>
      <c r="J6" s="1001"/>
      <c r="K6" s="807" t="s">
        <v>1227</v>
      </c>
      <c r="L6" s="807">
        <v>-0.5</v>
      </c>
      <c r="M6" s="809" t="s">
        <v>58</v>
      </c>
      <c r="N6" s="807" t="s">
        <v>734</v>
      </c>
      <c r="O6" s="807" t="s">
        <v>734</v>
      </c>
      <c r="P6" s="807" t="s">
        <v>700</v>
      </c>
      <c r="Q6" s="1001"/>
      <c r="R6" s="1034" t="s">
        <v>1226</v>
      </c>
      <c r="S6" s="1035"/>
      <c r="T6" s="1035"/>
      <c r="U6" s="1035"/>
      <c r="V6" s="1036"/>
      <c r="W6" s="807" t="s">
        <v>733</v>
      </c>
      <c r="X6" s="1001"/>
      <c r="Y6" s="807" t="s">
        <v>733</v>
      </c>
    </row>
    <row r="7" spans="1:32" ht="13.25" customHeight="1" thickBot="1">
      <c r="A7" s="810" t="s">
        <v>1228</v>
      </c>
      <c r="B7" s="811" t="s">
        <v>1229</v>
      </c>
      <c r="C7" s="812">
        <v>1</v>
      </c>
      <c r="D7" s="812" t="s">
        <v>696</v>
      </c>
      <c r="E7" s="812" t="s">
        <v>696</v>
      </c>
      <c r="F7" s="812" t="s">
        <v>696</v>
      </c>
      <c r="G7" s="812" t="s">
        <v>696</v>
      </c>
      <c r="H7" s="812" t="s">
        <v>696</v>
      </c>
      <c r="I7" s="812" t="s">
        <v>696</v>
      </c>
      <c r="J7" s="812" t="s">
        <v>696</v>
      </c>
      <c r="K7" s="812" t="s">
        <v>696</v>
      </c>
      <c r="L7" s="812">
        <f>+L6-M7</f>
        <v>-1.5</v>
      </c>
      <c r="M7" s="813">
        <f>C7</f>
        <v>1</v>
      </c>
      <c r="N7" s="812" t="str">
        <f t="shared" ref="N7:O7" si="0">D7</f>
        <v>-</v>
      </c>
      <c r="O7" s="812" t="str">
        <f t="shared" si="0"/>
        <v>-</v>
      </c>
      <c r="P7" s="812" t="str">
        <f>F7</f>
        <v>-</v>
      </c>
      <c r="Q7" s="812" t="str">
        <f t="shared" ref="Q7:R14" si="1">G7</f>
        <v>-</v>
      </c>
      <c r="R7" s="812" t="str">
        <f t="shared" si="1"/>
        <v>-</v>
      </c>
      <c r="S7" s="812"/>
      <c r="T7" s="812"/>
      <c r="U7" s="812"/>
      <c r="V7" s="812"/>
      <c r="W7" s="812" t="str">
        <f>I7</f>
        <v>-</v>
      </c>
      <c r="X7" s="812" t="str">
        <f>J7</f>
        <v>-</v>
      </c>
      <c r="Y7" s="812" t="str">
        <f>K7</f>
        <v>-</v>
      </c>
      <c r="Z7" s="803">
        <f>ABS(TinhMong!B46)</f>
        <v>1.5</v>
      </c>
      <c r="AA7" s="803">
        <f t="shared" ref="AA7:AA16" si="2">ABS(Z7)</f>
        <v>1.5</v>
      </c>
      <c r="AB7" s="803">
        <f>(L6)/2</f>
        <v>-0.25</v>
      </c>
      <c r="AC7" s="804">
        <v>0</v>
      </c>
      <c r="AE7" s="804">
        <v>0</v>
      </c>
      <c r="AF7" s="804">
        <f>+AE7*M7</f>
        <v>0</v>
      </c>
    </row>
    <row r="8" spans="1:32" ht="13.25" customHeight="1" thickBot="1">
      <c r="A8" s="814">
        <v>1</v>
      </c>
      <c r="B8" s="815" t="s">
        <v>1230</v>
      </c>
      <c r="C8" s="812">
        <v>10</v>
      </c>
      <c r="D8" s="812">
        <v>17.100000000000001</v>
      </c>
      <c r="E8" s="812">
        <v>7.1</v>
      </c>
      <c r="F8" s="812">
        <v>73.3</v>
      </c>
      <c r="G8" s="812">
        <v>2</v>
      </c>
      <c r="H8" s="812" t="s">
        <v>1231</v>
      </c>
      <c r="I8" s="812">
        <v>5.8</v>
      </c>
      <c r="J8" s="812">
        <v>0.8</v>
      </c>
      <c r="K8" s="812">
        <v>860</v>
      </c>
      <c r="L8" s="812">
        <f t="shared" ref="L8:L14" si="3">+L7-M8</f>
        <v>-11.5</v>
      </c>
      <c r="M8" s="813">
        <f>C8</f>
        <v>10</v>
      </c>
      <c r="N8" s="812">
        <f>ROUND(D8*$AB$2,2)</f>
        <v>1.74</v>
      </c>
      <c r="O8" s="812">
        <f>ROUND(E8*$AB$2,2)</f>
        <v>0.72</v>
      </c>
      <c r="P8" s="812">
        <f>F8</f>
        <v>73.3</v>
      </c>
      <c r="Q8" s="812">
        <f t="shared" si="1"/>
        <v>2</v>
      </c>
      <c r="R8" s="812" t="str">
        <f t="shared" si="1"/>
        <v>6o30'</v>
      </c>
      <c r="S8" s="812">
        <v>6</v>
      </c>
      <c r="T8" s="812">
        <v>30</v>
      </c>
      <c r="U8" s="812" t="str">
        <f>S8&amp;"º"&amp;T8&amp;"'"</f>
        <v>6º30'</v>
      </c>
      <c r="V8" s="812">
        <f>ROUND(S8+T8/60,2)</f>
        <v>6.5</v>
      </c>
      <c r="W8" s="812">
        <f>ROUND(I8*$AB$2,2)</f>
        <v>0.59</v>
      </c>
      <c r="X8" s="812">
        <f>J8</f>
        <v>0.8</v>
      </c>
      <c r="Y8" s="812">
        <f>ROUND(K8*$AB$2,2)</f>
        <v>87.72</v>
      </c>
      <c r="Z8" s="803">
        <f>L6+Z7</f>
        <v>1</v>
      </c>
      <c r="AA8" s="803">
        <f t="shared" si="2"/>
        <v>1</v>
      </c>
      <c r="AB8" s="803">
        <f t="shared" ref="AB8:AB16" si="4">AB7-M7/2</f>
        <v>-0.75</v>
      </c>
      <c r="AC8" s="804">
        <v>0</v>
      </c>
      <c r="AD8" s="804">
        <f>AB4</f>
        <v>19.899999999999999</v>
      </c>
      <c r="AE8" s="804">
        <v>0</v>
      </c>
      <c r="AF8" s="804">
        <f>AE8*M7</f>
        <v>0</v>
      </c>
    </row>
    <row r="9" spans="1:32" ht="13.25" customHeight="1" thickBot="1">
      <c r="A9" s="814">
        <v>2</v>
      </c>
      <c r="B9" s="816" t="s">
        <v>1232</v>
      </c>
      <c r="C9" s="812">
        <v>4.5999999999999996</v>
      </c>
      <c r="D9" s="812">
        <v>20.100000000000001</v>
      </c>
      <c r="E9" s="812">
        <v>10.1</v>
      </c>
      <c r="F9" s="812">
        <v>24.1</v>
      </c>
      <c r="G9" s="812">
        <v>9</v>
      </c>
      <c r="H9" s="812" t="s">
        <v>1233</v>
      </c>
      <c r="I9" s="812">
        <v>17.3</v>
      </c>
      <c r="J9" s="812">
        <v>0.53</v>
      </c>
      <c r="K9" s="812">
        <v>8230</v>
      </c>
      <c r="L9" s="812">
        <f t="shared" si="3"/>
        <v>-16.100000000000001</v>
      </c>
      <c r="M9" s="813">
        <f t="shared" ref="M9:M14" si="5">C9</f>
        <v>4.5999999999999996</v>
      </c>
      <c r="N9" s="812">
        <f t="shared" ref="N9:O14" si="6">ROUND(D9*$AB$2,2)</f>
        <v>2.0499999999999998</v>
      </c>
      <c r="O9" s="812">
        <f t="shared" si="6"/>
        <v>1.03</v>
      </c>
      <c r="P9" s="812">
        <f t="shared" ref="P9:P14" si="7">F9</f>
        <v>24.1</v>
      </c>
      <c r="Q9" s="812">
        <f t="shared" si="1"/>
        <v>9</v>
      </c>
      <c r="R9" s="812" t="str">
        <f t="shared" si="1"/>
        <v>9o30’</v>
      </c>
      <c r="S9" s="812">
        <v>9</v>
      </c>
      <c r="T9" s="812">
        <v>30</v>
      </c>
      <c r="U9" s="812" t="str">
        <f t="shared" ref="U9:U14" si="8">S9&amp;"º"&amp;T9&amp;"'"</f>
        <v>9º30'</v>
      </c>
      <c r="V9" s="812">
        <f t="shared" ref="V9:V14" si="9">ROUND(S9+T9/60,2)</f>
        <v>9.5</v>
      </c>
      <c r="W9" s="812">
        <f t="shared" ref="W9:W14" si="10">ROUND(I9*$AB$2,2)</f>
        <v>1.76</v>
      </c>
      <c r="X9" s="812">
        <f t="shared" ref="X9:X14" si="11">J9</f>
        <v>0.53</v>
      </c>
      <c r="Y9" s="812">
        <f t="shared" ref="Y9:Y14" si="12">ROUND(K9*$AB$2,2)</f>
        <v>839.46</v>
      </c>
      <c r="Z9" s="803">
        <f>-Z8+M7</f>
        <v>0</v>
      </c>
      <c r="AA9" s="803">
        <f t="shared" si="2"/>
        <v>0</v>
      </c>
      <c r="AB9" s="803">
        <f t="shared" si="4"/>
        <v>-5.75</v>
      </c>
      <c r="AC9" s="804">
        <f t="shared" ref="AC9:AC16" si="13">IF(AD9&gt;0,M8,M8+AD9)</f>
        <v>10</v>
      </c>
      <c r="AD9" s="804">
        <f t="shared" ref="AD9:AD16" si="14">AD8-M8</f>
        <v>9.8999999999999986</v>
      </c>
      <c r="AE9" s="804">
        <v>0.45</v>
      </c>
      <c r="AF9" s="804">
        <f>AE9*M8</f>
        <v>4.5</v>
      </c>
    </row>
    <row r="10" spans="1:32" ht="13.25" customHeight="1" thickBot="1">
      <c r="A10" s="814">
        <v>3</v>
      </c>
      <c r="B10" s="817" t="s">
        <v>1234</v>
      </c>
      <c r="C10" s="812">
        <v>1.3</v>
      </c>
      <c r="D10" s="812">
        <v>20.2</v>
      </c>
      <c r="E10" s="812">
        <v>10.199999999999999</v>
      </c>
      <c r="F10" s="812">
        <v>17.600000000000001</v>
      </c>
      <c r="G10" s="812">
        <v>19</v>
      </c>
      <c r="H10" s="812" t="s">
        <v>1235</v>
      </c>
      <c r="I10" s="812">
        <v>3.3</v>
      </c>
      <c r="J10" s="812" t="s">
        <v>696</v>
      </c>
      <c r="K10" s="812">
        <v>10340</v>
      </c>
      <c r="L10" s="812">
        <f t="shared" si="3"/>
        <v>-17.400000000000002</v>
      </c>
      <c r="M10" s="813">
        <f t="shared" si="5"/>
        <v>1.3</v>
      </c>
      <c r="N10" s="812">
        <f t="shared" si="6"/>
        <v>2.06</v>
      </c>
      <c r="O10" s="812">
        <f t="shared" si="6"/>
        <v>1.04</v>
      </c>
      <c r="P10" s="812">
        <f t="shared" si="7"/>
        <v>17.600000000000001</v>
      </c>
      <c r="Q10" s="812">
        <f t="shared" si="1"/>
        <v>19</v>
      </c>
      <c r="R10" s="812" t="str">
        <f t="shared" si="1"/>
        <v>24o30’</v>
      </c>
      <c r="S10" s="812">
        <v>24</v>
      </c>
      <c r="T10" s="812">
        <v>30</v>
      </c>
      <c r="U10" s="812" t="str">
        <f t="shared" si="8"/>
        <v>24º30'</v>
      </c>
      <c r="V10" s="812">
        <f t="shared" si="9"/>
        <v>24.5</v>
      </c>
      <c r="W10" s="812">
        <f t="shared" si="10"/>
        <v>0.34</v>
      </c>
      <c r="X10" s="812" t="str">
        <f t="shared" si="11"/>
        <v>-</v>
      </c>
      <c r="Y10" s="812">
        <f t="shared" si="12"/>
        <v>1054.68</v>
      </c>
      <c r="Z10" s="803">
        <f t="shared" ref="Z10:Z16" si="15">Z9-M8</f>
        <v>-10</v>
      </c>
      <c r="AA10" s="803">
        <f t="shared" si="2"/>
        <v>10</v>
      </c>
      <c r="AB10" s="803">
        <f t="shared" si="4"/>
        <v>-8.0500000000000007</v>
      </c>
      <c r="AC10" s="804">
        <f t="shared" si="13"/>
        <v>4.5999999999999996</v>
      </c>
      <c r="AD10" s="804">
        <f t="shared" si="14"/>
        <v>5.2999999999999989</v>
      </c>
      <c r="AE10" s="804">
        <v>1.2</v>
      </c>
      <c r="AF10" s="804">
        <f>AE10*M9</f>
        <v>5.52</v>
      </c>
    </row>
    <row r="11" spans="1:32" s="877" customFormat="1" ht="13.25" customHeight="1" thickBot="1">
      <c r="A11" s="872">
        <v>4</v>
      </c>
      <c r="B11" s="873" t="s">
        <v>1236</v>
      </c>
      <c r="C11" s="874">
        <v>10.4</v>
      </c>
      <c r="D11" s="874">
        <v>19.7</v>
      </c>
      <c r="E11" s="874">
        <v>9.9</v>
      </c>
      <c r="F11" s="874">
        <v>22.5</v>
      </c>
      <c r="G11" s="874">
        <v>16</v>
      </c>
      <c r="H11" s="874" t="s">
        <v>1237</v>
      </c>
      <c r="I11" s="875">
        <v>27</v>
      </c>
      <c r="J11" s="874">
        <v>0.5</v>
      </c>
      <c r="K11" s="874">
        <v>5340</v>
      </c>
      <c r="L11" s="875">
        <f t="shared" si="3"/>
        <v>-27.800000000000004</v>
      </c>
      <c r="M11" s="875">
        <f t="shared" si="5"/>
        <v>10.4</v>
      </c>
      <c r="N11" s="875">
        <f t="shared" si="6"/>
        <v>2.0099999999999998</v>
      </c>
      <c r="O11" s="875">
        <f t="shared" si="6"/>
        <v>1.01</v>
      </c>
      <c r="P11" s="875">
        <f t="shared" si="7"/>
        <v>22.5</v>
      </c>
      <c r="Q11" s="875">
        <f t="shared" si="1"/>
        <v>16</v>
      </c>
      <c r="R11" s="875" t="str">
        <f t="shared" si="1"/>
        <v>9o40’</v>
      </c>
      <c r="S11" s="875">
        <v>9</v>
      </c>
      <c r="T11" s="875">
        <v>40</v>
      </c>
      <c r="U11" s="875" t="str">
        <f t="shared" si="8"/>
        <v>9º40'</v>
      </c>
      <c r="V11" s="875">
        <f t="shared" si="9"/>
        <v>9.67</v>
      </c>
      <c r="W11" s="875">
        <f t="shared" si="10"/>
        <v>2.75</v>
      </c>
      <c r="X11" s="875">
        <f t="shared" si="11"/>
        <v>0.5</v>
      </c>
      <c r="Y11" s="875">
        <f t="shared" si="12"/>
        <v>544.67999999999995</v>
      </c>
      <c r="Z11" s="803">
        <f t="shared" si="15"/>
        <v>-14.6</v>
      </c>
      <c r="AA11" s="803">
        <f t="shared" si="2"/>
        <v>14.6</v>
      </c>
      <c r="AB11" s="803">
        <f t="shared" si="4"/>
        <v>-8.7000000000000011</v>
      </c>
      <c r="AC11" s="804">
        <f t="shared" si="13"/>
        <v>1.3</v>
      </c>
      <c r="AD11" s="804">
        <f t="shared" si="14"/>
        <v>3.9999999999999991</v>
      </c>
      <c r="AE11" s="804">
        <v>4.8</v>
      </c>
      <c r="AF11" s="804">
        <f>AE11*M10</f>
        <v>6.24</v>
      </c>
    </row>
    <row r="12" spans="1:32" ht="13.25" customHeight="1" thickBot="1">
      <c r="A12" s="819">
        <v>5</v>
      </c>
      <c r="B12" s="817" t="s">
        <v>1238</v>
      </c>
      <c r="C12" s="820">
        <v>5.8</v>
      </c>
      <c r="D12" s="820">
        <v>20</v>
      </c>
      <c r="E12" s="820">
        <v>10.1</v>
      </c>
      <c r="F12" s="820">
        <v>23.8</v>
      </c>
      <c r="G12" s="820">
        <v>21</v>
      </c>
      <c r="H12" s="820" t="s">
        <v>1239</v>
      </c>
      <c r="I12" s="812">
        <v>23.8</v>
      </c>
      <c r="J12" s="820">
        <v>0.2</v>
      </c>
      <c r="K12" s="820">
        <v>8500</v>
      </c>
      <c r="L12" s="812">
        <f t="shared" si="3"/>
        <v>-33.6</v>
      </c>
      <c r="M12" s="813">
        <f t="shared" si="5"/>
        <v>5.8</v>
      </c>
      <c r="N12" s="812">
        <f t="shared" si="6"/>
        <v>2.04</v>
      </c>
      <c r="O12" s="812">
        <f t="shared" si="6"/>
        <v>1.03</v>
      </c>
      <c r="P12" s="812">
        <f t="shared" si="7"/>
        <v>23.8</v>
      </c>
      <c r="Q12" s="812">
        <f t="shared" si="1"/>
        <v>21</v>
      </c>
      <c r="R12" s="812" t="str">
        <f t="shared" si="1"/>
        <v>15o20’</v>
      </c>
      <c r="S12" s="812">
        <v>15</v>
      </c>
      <c r="T12" s="812">
        <v>20</v>
      </c>
      <c r="U12" s="812" t="str">
        <f t="shared" si="8"/>
        <v>15º20'</v>
      </c>
      <c r="V12" s="812">
        <f t="shared" si="9"/>
        <v>15.33</v>
      </c>
      <c r="W12" s="812">
        <f t="shared" si="10"/>
        <v>2.4300000000000002</v>
      </c>
      <c r="X12" s="812">
        <f t="shared" si="11"/>
        <v>0.2</v>
      </c>
      <c r="Y12" s="812">
        <f t="shared" si="12"/>
        <v>867</v>
      </c>
      <c r="Z12" s="876">
        <f t="shared" si="15"/>
        <v>-15.9</v>
      </c>
      <c r="AA12" s="876">
        <f t="shared" si="2"/>
        <v>15.9</v>
      </c>
      <c r="AB12" s="803">
        <f t="shared" si="4"/>
        <v>-13.900000000000002</v>
      </c>
      <c r="AC12" s="804">
        <f t="shared" si="13"/>
        <v>3.9999999999999991</v>
      </c>
      <c r="AD12" s="804">
        <f t="shared" si="14"/>
        <v>-6.4000000000000012</v>
      </c>
      <c r="AE12" s="804">
        <v>2.65</v>
      </c>
      <c r="AF12" s="804">
        <f>AE12*M11</f>
        <v>27.56</v>
      </c>
    </row>
    <row r="13" spans="1:32" ht="13.25" customHeight="1" thickBot="1">
      <c r="A13" s="814">
        <v>6</v>
      </c>
      <c r="B13" s="817" t="s">
        <v>1240</v>
      </c>
      <c r="C13" s="812">
        <v>14.9</v>
      </c>
      <c r="D13" s="812">
        <v>20.100000000000001</v>
      </c>
      <c r="E13" s="812">
        <v>10.199999999999999</v>
      </c>
      <c r="F13" s="812">
        <v>21.3</v>
      </c>
      <c r="G13" s="812">
        <v>27</v>
      </c>
      <c r="H13" s="812" t="s">
        <v>1241</v>
      </c>
      <c r="I13" s="812">
        <v>7.4</v>
      </c>
      <c r="J13" s="812" t="s">
        <v>696</v>
      </c>
      <c r="K13" s="812">
        <v>11420</v>
      </c>
      <c r="L13" s="812">
        <f t="shared" si="3"/>
        <v>-48.5</v>
      </c>
      <c r="M13" s="813">
        <f t="shared" si="5"/>
        <v>14.9</v>
      </c>
      <c r="N13" s="812">
        <f t="shared" si="6"/>
        <v>2.0499999999999998</v>
      </c>
      <c r="O13" s="812">
        <f t="shared" si="6"/>
        <v>1.04</v>
      </c>
      <c r="P13" s="812">
        <f t="shared" si="7"/>
        <v>21.3</v>
      </c>
      <c r="Q13" s="812">
        <f t="shared" si="1"/>
        <v>27</v>
      </c>
      <c r="R13" s="812" t="str">
        <f t="shared" si="1"/>
        <v>21o30’</v>
      </c>
      <c r="S13" s="812">
        <v>21</v>
      </c>
      <c r="T13" s="812">
        <v>30</v>
      </c>
      <c r="U13" s="812" t="str">
        <f t="shared" si="8"/>
        <v>21º30'</v>
      </c>
      <c r="V13" s="812">
        <f t="shared" si="9"/>
        <v>21.5</v>
      </c>
      <c r="W13" s="812">
        <f t="shared" si="10"/>
        <v>0.75</v>
      </c>
      <c r="X13" s="812" t="str">
        <f t="shared" si="11"/>
        <v>-</v>
      </c>
      <c r="Y13" s="812">
        <f t="shared" si="12"/>
        <v>1164.8399999999999</v>
      </c>
      <c r="Z13" s="803">
        <f t="shared" si="15"/>
        <v>-26.3</v>
      </c>
      <c r="AA13" s="803">
        <f t="shared" si="2"/>
        <v>26.3</v>
      </c>
      <c r="AB13" s="803">
        <f t="shared" si="4"/>
        <v>-16.8</v>
      </c>
      <c r="AC13" s="804">
        <f t="shared" si="13"/>
        <v>-6.4000000000000012</v>
      </c>
      <c r="AD13" s="804">
        <f t="shared" si="14"/>
        <v>-12.200000000000001</v>
      </c>
    </row>
    <row r="14" spans="1:32" ht="13.25" customHeight="1" thickBot="1">
      <c r="A14" s="810">
        <v>7</v>
      </c>
      <c r="B14" s="818" t="s">
        <v>1242</v>
      </c>
      <c r="C14" s="812">
        <v>20.9</v>
      </c>
      <c r="D14" s="812">
        <v>20.2</v>
      </c>
      <c r="E14" s="812">
        <v>10.3</v>
      </c>
      <c r="F14" s="812">
        <v>18.7</v>
      </c>
      <c r="G14" s="812">
        <v>30</v>
      </c>
      <c r="H14" s="821" t="s">
        <v>1243</v>
      </c>
      <c r="I14" s="812">
        <v>3.1</v>
      </c>
      <c r="J14" s="812" t="s">
        <v>696</v>
      </c>
      <c r="K14" s="812">
        <v>14562</v>
      </c>
      <c r="L14" s="812">
        <f t="shared" si="3"/>
        <v>-69.400000000000006</v>
      </c>
      <c r="M14" s="813">
        <f t="shared" si="5"/>
        <v>20.9</v>
      </c>
      <c r="N14" s="812">
        <f t="shared" si="6"/>
        <v>2.06</v>
      </c>
      <c r="O14" s="812">
        <f t="shared" si="6"/>
        <v>1.05</v>
      </c>
      <c r="P14" s="812">
        <f t="shared" si="7"/>
        <v>18.7</v>
      </c>
      <c r="Q14" s="812">
        <f t="shared" si="1"/>
        <v>30</v>
      </c>
      <c r="R14" s="812" t="str">
        <f t="shared" si="1"/>
        <v>27o00’</v>
      </c>
      <c r="S14" s="812">
        <v>27</v>
      </c>
      <c r="T14" s="812">
        <v>0</v>
      </c>
      <c r="U14" s="812" t="str">
        <f t="shared" si="8"/>
        <v>27º0'</v>
      </c>
      <c r="V14" s="812">
        <f t="shared" si="9"/>
        <v>27</v>
      </c>
      <c r="W14" s="812">
        <f t="shared" si="10"/>
        <v>0.32</v>
      </c>
      <c r="X14" s="812" t="str">
        <f t="shared" si="11"/>
        <v>-</v>
      </c>
      <c r="Y14" s="812">
        <f t="shared" si="12"/>
        <v>1485.32</v>
      </c>
      <c r="Z14" s="803">
        <f t="shared" si="15"/>
        <v>-32.1</v>
      </c>
      <c r="AA14" s="803">
        <f t="shared" si="2"/>
        <v>32.1</v>
      </c>
      <c r="AB14" s="803">
        <f t="shared" si="4"/>
        <v>-24.25</v>
      </c>
      <c r="AC14" s="804">
        <f t="shared" si="13"/>
        <v>-12.200000000000001</v>
      </c>
      <c r="AD14" s="804">
        <f t="shared" si="14"/>
        <v>-27.1</v>
      </c>
    </row>
    <row r="15" spans="1:32" ht="13.25" customHeight="1">
      <c r="Q15"/>
      <c r="V15" s="804">
        <f>(M8*V8+V9*M9+M10*V10+V11*TinhMong!B49)/(M8+M9+M10+TinhMong!B49)</f>
        <v>9.0065326633165839</v>
      </c>
      <c r="W15" s="885">
        <f>+V15/4</f>
        <v>2.251633165829146</v>
      </c>
      <c r="Z15" s="803">
        <f t="shared" si="15"/>
        <v>-47</v>
      </c>
      <c r="AA15" s="803">
        <f t="shared" si="2"/>
        <v>47</v>
      </c>
      <c r="AB15" s="803">
        <f t="shared" si="4"/>
        <v>-34.700000000000003</v>
      </c>
      <c r="AC15" s="804">
        <f t="shared" si="13"/>
        <v>-27.1</v>
      </c>
      <c r="AD15" s="804">
        <f t="shared" si="14"/>
        <v>-48</v>
      </c>
    </row>
    <row r="16" spans="1:32" ht="13.25" customHeight="1">
      <c r="M16" s="804">
        <f>(O8*M8+O9*M9+O10*M10+O11*TinhMong!B49)/(TinhMong!B49+M8+M9+M10)</f>
        <v>0.87085427135678373</v>
      </c>
      <c r="N16" s="804">
        <f>(M8*N8+N9*M9+N10*M10+TinhMong!B49*'Co Ly dat'!N11)</f>
        <v>37.548000000000002</v>
      </c>
      <c r="Z16" s="803">
        <f t="shared" si="15"/>
        <v>-67.900000000000006</v>
      </c>
      <c r="AA16" s="803">
        <f t="shared" si="2"/>
        <v>67.900000000000006</v>
      </c>
      <c r="AB16" s="803">
        <f t="shared" si="4"/>
        <v>-34.700000000000003</v>
      </c>
      <c r="AC16" s="804">
        <f t="shared" si="13"/>
        <v>-48</v>
      </c>
      <c r="AD16" s="804">
        <f t="shared" si="14"/>
        <v>-48</v>
      </c>
    </row>
    <row r="17" spans="1:34" ht="13.25" customHeight="1">
      <c r="Z17" s="1029" t="s">
        <v>1307</v>
      </c>
      <c r="AA17" s="1030"/>
      <c r="AB17" s="879" t="e">
        <f>IF(AF17=#REF!," ",AF17-#REF!)</f>
        <v>#REF!</v>
      </c>
      <c r="AC17" s="880">
        <v>2</v>
      </c>
      <c r="AD17" s="881" t="s">
        <v>1276</v>
      </c>
      <c r="AE17" s="882" t="e">
        <f>#REF!</f>
        <v>#REF!</v>
      </c>
      <c r="AF17" s="883" t="e">
        <f>ABS(#REF!+#REF!+#REF!-#REF!-#REF!-#REF!)</f>
        <v>#REF!</v>
      </c>
      <c r="AG17" s="884">
        <v>0</v>
      </c>
      <c r="AH17" s="878"/>
    </row>
    <row r="19" spans="1:34" ht="13.25" customHeight="1">
      <c r="F19" s="804" t="s">
        <v>1219</v>
      </c>
      <c r="G19" s="804" t="s">
        <v>1314</v>
      </c>
      <c r="H19" s="804" t="s">
        <v>1315</v>
      </c>
      <c r="I19" s="804" t="s">
        <v>623</v>
      </c>
      <c r="N19" s="804" t="s">
        <v>1224</v>
      </c>
    </row>
    <row r="20" spans="1:34" ht="13.25" customHeight="1">
      <c r="A20" s="804">
        <v>1</v>
      </c>
      <c r="B20" s="804" t="s">
        <v>1310</v>
      </c>
      <c r="C20" s="804">
        <v>2.4</v>
      </c>
      <c r="D20" s="804">
        <v>17.899999999999999</v>
      </c>
      <c r="F20" s="804">
        <v>36</v>
      </c>
      <c r="G20" s="804">
        <v>41</v>
      </c>
      <c r="H20" s="804">
        <v>24.5</v>
      </c>
      <c r="I20" s="885">
        <f>(F20-H20)/(G20-H20)</f>
        <v>0.69696969696969702</v>
      </c>
      <c r="J20" s="804">
        <v>17</v>
      </c>
      <c r="K20" s="804">
        <v>20</v>
      </c>
      <c r="M20" s="804">
        <v>6800</v>
      </c>
      <c r="N20" s="804">
        <f>C20</f>
        <v>2.4</v>
      </c>
    </row>
    <row r="21" spans="1:34" ht="13.25" customHeight="1">
      <c r="A21" s="804">
        <v>2</v>
      </c>
      <c r="B21" s="804" t="s">
        <v>1310</v>
      </c>
      <c r="C21" s="804">
        <v>6.8</v>
      </c>
      <c r="D21" s="804">
        <v>17.600000000000001</v>
      </c>
      <c r="F21" s="804">
        <v>40</v>
      </c>
      <c r="G21" s="804">
        <v>46</v>
      </c>
      <c r="H21" s="804">
        <v>28</v>
      </c>
      <c r="I21" s="885">
        <f t="shared" ref="I21:I22" si="16">(F21-H21)/(G21-H21)</f>
        <v>0.66666666666666663</v>
      </c>
      <c r="J21" s="804">
        <v>16</v>
      </c>
      <c r="K21" s="804">
        <v>25</v>
      </c>
      <c r="M21" s="804">
        <v>6300</v>
      </c>
      <c r="N21" s="804">
        <f>+N20+C21</f>
        <v>9.1999999999999993</v>
      </c>
    </row>
    <row r="22" spans="1:34" ht="13.25" customHeight="1">
      <c r="A22" s="804">
        <v>3</v>
      </c>
      <c r="B22" s="804" t="s">
        <v>1311</v>
      </c>
      <c r="C22" s="804">
        <v>8.6999999999999993</v>
      </c>
      <c r="D22" s="804">
        <v>18.100000000000001</v>
      </c>
      <c r="F22" s="804">
        <v>28</v>
      </c>
      <c r="G22" s="804">
        <v>30</v>
      </c>
      <c r="H22" s="804">
        <v>24</v>
      </c>
      <c r="I22" s="885">
        <f t="shared" si="16"/>
        <v>0.66666666666666663</v>
      </c>
      <c r="J22" s="804">
        <v>21</v>
      </c>
      <c r="K22" s="804">
        <v>7</v>
      </c>
      <c r="M22" s="804">
        <v>6500</v>
      </c>
      <c r="N22" s="804">
        <f t="shared" ref="N22:N24" si="17">+N21+C22</f>
        <v>17.899999999999999</v>
      </c>
    </row>
    <row r="23" spans="1:34" ht="13.25" customHeight="1">
      <c r="A23" s="804">
        <v>4</v>
      </c>
      <c r="B23" s="804" t="s">
        <v>1312</v>
      </c>
      <c r="C23" s="804">
        <v>6</v>
      </c>
      <c r="D23" s="804">
        <v>18.5</v>
      </c>
      <c r="F23" s="804">
        <v>24</v>
      </c>
      <c r="G23" s="804">
        <v>0</v>
      </c>
      <c r="J23" s="804">
        <v>30</v>
      </c>
      <c r="M23" s="804">
        <v>12000</v>
      </c>
      <c r="N23" s="804">
        <f t="shared" si="17"/>
        <v>23.9</v>
      </c>
    </row>
    <row r="24" spans="1:34" ht="13.25" customHeight="1">
      <c r="A24" s="804">
        <v>5</v>
      </c>
      <c r="B24" s="804" t="s">
        <v>1313</v>
      </c>
      <c r="C24" s="804">
        <v>10</v>
      </c>
      <c r="D24" s="804">
        <v>18</v>
      </c>
      <c r="F24" s="804">
        <v>18</v>
      </c>
      <c r="G24" s="804">
        <v>0</v>
      </c>
      <c r="J24" s="804">
        <v>35</v>
      </c>
      <c r="M24" s="804">
        <v>25000</v>
      </c>
      <c r="N24" s="804">
        <f t="shared" si="17"/>
        <v>33.9</v>
      </c>
    </row>
    <row r="25" spans="1:34" ht="13.25" customHeight="1">
      <c r="P25" s="804">
        <v>16.899999999999999</v>
      </c>
      <c r="Q25" s="804">
        <f>+P25-1.5+3</f>
        <v>18.399999999999999</v>
      </c>
      <c r="V25" s="804">
        <v>18</v>
      </c>
    </row>
    <row r="26" spans="1:34" ht="13.25" customHeight="1">
      <c r="V26" s="804">
        <f>+V25-1.5-0.2</f>
        <v>16.3</v>
      </c>
    </row>
    <row r="32" spans="1:34" ht="13.25" customHeight="1">
      <c r="AC32" s="804">
        <f>(165+150)/2</f>
        <v>157.5</v>
      </c>
    </row>
  </sheetData>
  <mergeCells count="27">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 ref="H1:H4"/>
    <mergeCell ref="I1:I4"/>
    <mergeCell ref="J1:J4"/>
    <mergeCell ref="K1:K4"/>
    <mergeCell ref="M1:M4"/>
    <mergeCell ref="F1:F4"/>
    <mergeCell ref="A1:A6"/>
    <mergeCell ref="B1:B6"/>
    <mergeCell ref="C1:C4"/>
    <mergeCell ref="D1:D4"/>
    <mergeCell ref="E1:E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43" t="s">
        <v>1340</v>
      </c>
      <c r="B1" s="1043" t="s">
        <v>1339</v>
      </c>
      <c r="C1" s="1043" t="s">
        <v>1338</v>
      </c>
      <c r="D1" s="901" t="s">
        <v>1346</v>
      </c>
      <c r="E1" s="901" t="s">
        <v>1287</v>
      </c>
      <c r="F1" s="902" t="s">
        <v>1347</v>
      </c>
      <c r="G1" s="901" t="s">
        <v>1348</v>
      </c>
    </row>
    <row r="2" spans="1:14" ht="19" thickBot="1">
      <c r="A2" s="1044"/>
      <c r="B2" s="1044"/>
      <c r="C2" s="1044"/>
      <c r="D2" s="903" t="s">
        <v>6</v>
      </c>
      <c r="E2" s="903" t="s">
        <v>6</v>
      </c>
      <c r="F2" s="904" t="s">
        <v>1349</v>
      </c>
      <c r="G2" s="903" t="s">
        <v>845</v>
      </c>
    </row>
    <row r="3" spans="1:14" ht="17" thickBot="1">
      <c r="A3" s="895" t="s">
        <v>1332</v>
      </c>
      <c r="B3" s="896" t="s">
        <v>696</v>
      </c>
      <c r="C3" s="896" t="s">
        <v>696</v>
      </c>
      <c r="D3" s="894">
        <v>1.5</v>
      </c>
      <c r="E3" s="894">
        <v>0.75</v>
      </c>
      <c r="F3" s="896" t="s">
        <v>696</v>
      </c>
      <c r="G3" s="896" t="s">
        <v>696</v>
      </c>
    </row>
    <row r="4" spans="1:14" ht="20" customHeight="1" thickBot="1">
      <c r="A4" s="1048" t="s">
        <v>1333</v>
      </c>
      <c r="B4" s="1048" t="s">
        <v>1294</v>
      </c>
      <c r="C4" s="1045" t="s">
        <v>1295</v>
      </c>
      <c r="D4" s="894">
        <v>2</v>
      </c>
      <c r="E4" s="894">
        <v>2.5</v>
      </c>
      <c r="F4" s="894">
        <v>0.6</v>
      </c>
      <c r="G4" s="897">
        <f>F4*D4</f>
        <v>1.2</v>
      </c>
      <c r="H4" s="9">
        <f>+G4+H3</f>
        <v>1.2</v>
      </c>
      <c r="I4">
        <f>E3+D3/2+D4/2</f>
        <v>2.5</v>
      </c>
    </row>
    <row r="5" spans="1:14" ht="17" thickBot="1">
      <c r="A5" s="1049"/>
      <c r="B5" s="1049"/>
      <c r="C5" s="1046"/>
      <c r="D5" s="894">
        <v>2</v>
      </c>
      <c r="E5" s="894">
        <v>4.5</v>
      </c>
      <c r="F5" s="894">
        <v>0.8</v>
      </c>
      <c r="G5" s="897">
        <f t="shared" ref="G5:G14" si="0">F5*D5</f>
        <v>1.6</v>
      </c>
      <c r="H5" s="9">
        <f t="shared" ref="H5:H14" si="1">+G5+H4</f>
        <v>2.8</v>
      </c>
    </row>
    <row r="6" spans="1:14" ht="17" thickBot="1">
      <c r="A6" s="1049"/>
      <c r="B6" s="1049"/>
      <c r="C6" s="1046"/>
      <c r="D6" s="894">
        <v>2</v>
      </c>
      <c r="E6" s="894">
        <v>6.5</v>
      </c>
      <c r="F6" s="894">
        <v>0.8</v>
      </c>
      <c r="G6" s="897">
        <f t="shared" si="0"/>
        <v>1.6</v>
      </c>
      <c r="H6" s="9">
        <f t="shared" si="1"/>
        <v>4.4000000000000004</v>
      </c>
    </row>
    <row r="7" spans="1:14" ht="17" thickBot="1">
      <c r="A7" s="1049"/>
      <c r="B7" s="1049"/>
      <c r="C7" s="1046"/>
      <c r="D7" s="894">
        <v>2</v>
      </c>
      <c r="E7" s="894">
        <v>8.5</v>
      </c>
      <c r="F7" s="894">
        <v>0.8</v>
      </c>
      <c r="G7" s="897">
        <f t="shared" si="0"/>
        <v>1.6</v>
      </c>
      <c r="H7" s="9">
        <f t="shared" si="1"/>
        <v>6</v>
      </c>
    </row>
    <row r="8" spans="1:14" ht="17" thickBot="1">
      <c r="A8" s="1050"/>
      <c r="B8" s="1050"/>
      <c r="C8" s="1047"/>
      <c r="D8" s="894">
        <v>2</v>
      </c>
      <c r="E8" s="894">
        <v>10.5</v>
      </c>
      <c r="F8" s="894">
        <v>0.8</v>
      </c>
      <c r="G8" s="897">
        <f t="shared" si="0"/>
        <v>1.6</v>
      </c>
      <c r="H8" s="9">
        <f t="shared" si="1"/>
        <v>7.6</v>
      </c>
      <c r="N8">
        <f>1.2*7.3</f>
        <v>8.76</v>
      </c>
    </row>
    <row r="9" spans="1:14" ht="17" customHeight="1" thickBot="1">
      <c r="A9" s="1048" t="s">
        <v>1334</v>
      </c>
      <c r="B9" s="1048" t="s">
        <v>1294</v>
      </c>
      <c r="C9" s="1045" t="s">
        <v>1296</v>
      </c>
      <c r="D9" s="894">
        <v>2</v>
      </c>
      <c r="E9" s="894">
        <v>12.5</v>
      </c>
      <c r="F9" s="894">
        <v>2.5099999999999998</v>
      </c>
      <c r="G9" s="897">
        <f t="shared" si="0"/>
        <v>5.0199999999999996</v>
      </c>
      <c r="H9" s="9">
        <f t="shared" si="1"/>
        <v>12.62</v>
      </c>
      <c r="N9">
        <f>1.2*2.3</f>
        <v>2.76</v>
      </c>
    </row>
    <row r="10" spans="1:14" ht="17" thickBot="1">
      <c r="A10" s="1049"/>
      <c r="B10" s="1049"/>
      <c r="C10" s="1046"/>
      <c r="D10" s="894">
        <v>2</v>
      </c>
      <c r="E10" s="894">
        <v>14.5</v>
      </c>
      <c r="F10" s="894">
        <v>2.5499999999999998</v>
      </c>
      <c r="G10" s="897">
        <f t="shared" si="0"/>
        <v>5.0999999999999996</v>
      </c>
      <c r="H10" s="9">
        <f t="shared" si="1"/>
        <v>17.72</v>
      </c>
    </row>
    <row r="11" spans="1:14" ht="17" thickBot="1">
      <c r="A11" s="1050"/>
      <c r="B11" s="1050"/>
      <c r="C11" s="1047"/>
      <c r="D11" s="894">
        <v>0.6</v>
      </c>
      <c r="E11" s="894">
        <v>15.8</v>
      </c>
      <c r="F11" s="894">
        <v>2.5823999999999998</v>
      </c>
      <c r="G11" s="897">
        <f t="shared" si="0"/>
        <v>1.5494399999999999</v>
      </c>
      <c r="H11" s="9">
        <f t="shared" si="1"/>
        <v>19.269439999999999</v>
      </c>
    </row>
    <row r="12" spans="1:14" ht="17" thickBot="1">
      <c r="A12" s="898" t="s">
        <v>1335</v>
      </c>
      <c r="B12" s="896" t="s">
        <v>1297</v>
      </c>
      <c r="C12" s="899" t="s">
        <v>1298</v>
      </c>
      <c r="D12" s="894">
        <v>1.3</v>
      </c>
      <c r="E12" s="894">
        <v>16.75</v>
      </c>
      <c r="F12" s="894">
        <v>7.4450000000000003</v>
      </c>
      <c r="G12" s="897">
        <f t="shared" si="0"/>
        <v>9.6785000000000014</v>
      </c>
      <c r="H12" s="9">
        <f t="shared" si="1"/>
        <v>28.947940000000003</v>
      </c>
    </row>
    <row r="13" spans="1:14" ht="17" thickBot="1">
      <c r="A13" s="1048" t="s">
        <v>1336</v>
      </c>
      <c r="B13" s="1048" t="s">
        <v>1299</v>
      </c>
      <c r="C13" s="1045" t="s">
        <v>1300</v>
      </c>
      <c r="D13" s="894">
        <v>2</v>
      </c>
      <c r="E13" s="894">
        <v>18.399999999999999</v>
      </c>
      <c r="F13" s="894">
        <v>2.9359999999999999</v>
      </c>
      <c r="G13" s="897">
        <f t="shared" si="0"/>
        <v>5.8719999999999999</v>
      </c>
      <c r="H13" s="9">
        <f t="shared" si="1"/>
        <v>34.819940000000003</v>
      </c>
    </row>
    <row r="14" spans="1:14" ht="17" thickBot="1">
      <c r="A14" s="1050"/>
      <c r="B14" s="1050"/>
      <c r="C14" s="1047"/>
      <c r="D14" s="894">
        <v>1.5</v>
      </c>
      <c r="E14" s="894">
        <v>20.149999999999999</v>
      </c>
      <c r="F14" s="894">
        <v>3.0059999999999998</v>
      </c>
      <c r="G14" s="897">
        <f t="shared" si="0"/>
        <v>4.5089999999999995</v>
      </c>
      <c r="H14" s="9">
        <f t="shared" si="1"/>
        <v>39.328940000000003</v>
      </c>
    </row>
    <row r="15" spans="1:14" ht="17" thickBot="1">
      <c r="A15" s="900"/>
      <c r="B15" s="900"/>
      <c r="C15" s="900"/>
      <c r="D15" s="900"/>
      <c r="E15" s="900"/>
      <c r="F15" s="905" t="s">
        <v>659</v>
      </c>
      <c r="G15" s="906">
        <f>SUM(G4:G14)</f>
        <v>39.328940000000003</v>
      </c>
      <c r="H15" s="9"/>
    </row>
  </sheetData>
  <mergeCells count="12">
    <mergeCell ref="A13:A14"/>
    <mergeCell ref="B13:B14"/>
    <mergeCell ref="C13:C14"/>
    <mergeCell ref="A9:A11"/>
    <mergeCell ref="B9:B11"/>
    <mergeCell ref="C9:C11"/>
    <mergeCell ref="A1:A2"/>
    <mergeCell ref="B1:B2"/>
    <mergeCell ref="C1:C2"/>
    <mergeCell ref="C4:C8"/>
    <mergeCell ref="A4:A8"/>
    <mergeCell ref="B4:B8"/>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51" t="s">
        <v>1304</v>
      </c>
      <c r="B1" s="1051"/>
      <c r="C1" s="1051"/>
      <c r="D1" s="1051"/>
      <c r="E1" s="1051"/>
      <c r="F1" s="1051"/>
      <c r="G1" s="1051"/>
      <c r="H1" s="1051"/>
    </row>
    <row r="2" spans="1:8" ht="20" thickBot="1">
      <c r="A2" s="1016" t="s">
        <v>1284</v>
      </c>
      <c r="B2" s="1016" t="s">
        <v>1285</v>
      </c>
      <c r="C2" s="1016" t="s">
        <v>1286</v>
      </c>
      <c r="D2" s="865" t="s">
        <v>1287</v>
      </c>
      <c r="E2" s="865" t="s">
        <v>1288</v>
      </c>
      <c r="F2" s="1016" t="s">
        <v>1289</v>
      </c>
      <c r="G2" s="866" t="s">
        <v>1290</v>
      </c>
      <c r="H2" s="865" t="s">
        <v>1291</v>
      </c>
    </row>
    <row r="3" spans="1:8" ht="19.5" thickBot="1">
      <c r="A3" s="1018"/>
      <c r="B3" s="1018"/>
      <c r="C3" s="1018"/>
      <c r="D3" s="867" t="s">
        <v>6</v>
      </c>
      <c r="E3" s="867" t="s">
        <v>6</v>
      </c>
      <c r="F3" s="1018"/>
      <c r="G3" s="868" t="s">
        <v>1292</v>
      </c>
      <c r="H3" s="867" t="s">
        <v>1293</v>
      </c>
    </row>
    <row r="4" spans="1:8" ht="17" thickBot="1">
      <c r="A4" s="869" t="s">
        <v>1228</v>
      </c>
      <c r="B4" s="252" t="s">
        <v>696</v>
      </c>
      <c r="C4" s="252" t="s">
        <v>696</v>
      </c>
      <c r="D4" s="252" t="s">
        <v>696</v>
      </c>
      <c r="E4" s="252" t="s">
        <v>696</v>
      </c>
      <c r="F4" s="252" t="s">
        <v>696</v>
      </c>
      <c r="G4" s="252" t="s">
        <v>696</v>
      </c>
      <c r="H4" s="252" t="s">
        <v>696</v>
      </c>
    </row>
    <row r="5" spans="1:8" ht="20" thickBot="1">
      <c r="A5" s="869">
        <v>1</v>
      </c>
      <c r="B5" s="252" t="s">
        <v>1294</v>
      </c>
      <c r="C5" s="252" t="s">
        <v>1295</v>
      </c>
      <c r="D5" s="252">
        <v>6.7750000000000004</v>
      </c>
      <c r="E5" s="252">
        <v>6.45</v>
      </c>
      <c r="F5" s="252">
        <v>1</v>
      </c>
      <c r="G5" s="252">
        <v>8</v>
      </c>
      <c r="H5" s="252">
        <v>51.6</v>
      </c>
    </row>
    <row r="6" spans="1:8" ht="20" thickBot="1">
      <c r="A6" s="869">
        <v>2</v>
      </c>
      <c r="B6" s="252" t="s">
        <v>1294</v>
      </c>
      <c r="C6" s="252" t="s">
        <v>1296</v>
      </c>
      <c r="D6" s="252">
        <v>12.3</v>
      </c>
      <c r="E6" s="252">
        <v>4.5999999999999996</v>
      </c>
      <c r="F6" s="252">
        <v>1</v>
      </c>
      <c r="G6" s="252">
        <v>27</v>
      </c>
      <c r="H6" s="252">
        <v>124.2</v>
      </c>
    </row>
    <row r="7" spans="1:8" ht="17" thickBot="1">
      <c r="A7" s="869">
        <v>3</v>
      </c>
      <c r="B7" s="870" t="s">
        <v>1297</v>
      </c>
      <c r="C7" s="252" t="s">
        <v>1298</v>
      </c>
      <c r="D7" s="252">
        <v>15.25</v>
      </c>
      <c r="E7" s="252">
        <v>1.3</v>
      </c>
      <c r="F7" s="252">
        <v>1</v>
      </c>
      <c r="G7" s="252">
        <v>51</v>
      </c>
      <c r="H7" s="252">
        <v>66.3</v>
      </c>
    </row>
    <row r="8" spans="1:8" ht="20" thickBot="1">
      <c r="A8" s="869">
        <v>4</v>
      </c>
      <c r="B8" s="870" t="s">
        <v>1299</v>
      </c>
      <c r="C8" s="252" t="s">
        <v>1300</v>
      </c>
      <c r="D8" s="252">
        <v>21.1</v>
      </c>
      <c r="E8" s="252">
        <v>10.4</v>
      </c>
      <c r="F8" s="252">
        <v>1</v>
      </c>
      <c r="G8" s="252">
        <v>30</v>
      </c>
      <c r="H8" s="252">
        <v>312</v>
      </c>
    </row>
    <row r="9" spans="1:8" ht="20" thickBot="1">
      <c r="A9" s="869">
        <v>5</v>
      </c>
      <c r="B9" s="870" t="s">
        <v>1301</v>
      </c>
      <c r="C9" s="252" t="s">
        <v>1302</v>
      </c>
      <c r="D9" s="252">
        <v>29.2</v>
      </c>
      <c r="E9" s="252">
        <v>5.8</v>
      </c>
      <c r="F9" s="252">
        <v>1</v>
      </c>
      <c r="G9" s="252">
        <v>93</v>
      </c>
      <c r="H9" s="252">
        <v>539.4</v>
      </c>
    </row>
    <row r="10" spans="1:8" ht="17" thickBot="1">
      <c r="A10" s="869">
        <v>6</v>
      </c>
      <c r="B10" s="870" t="s">
        <v>1297</v>
      </c>
      <c r="C10" s="252" t="s">
        <v>1303</v>
      </c>
      <c r="D10" s="252">
        <v>34.024999999999999</v>
      </c>
      <c r="E10" s="252">
        <v>3.85</v>
      </c>
      <c r="F10" s="252">
        <v>0.8</v>
      </c>
      <c r="G10" s="252">
        <v>50</v>
      </c>
      <c r="H10" s="252">
        <v>154</v>
      </c>
    </row>
    <row r="11" spans="1:8" ht="17" thickBot="1">
      <c r="A11" s="528"/>
      <c r="B11" s="528"/>
      <c r="C11" s="528"/>
      <c r="D11" s="528"/>
      <c r="E11" s="528"/>
      <c r="F11" s="528"/>
      <c r="G11" s="871" t="s">
        <v>659</v>
      </c>
      <c r="H11" s="252">
        <v>1247.5</v>
      </c>
    </row>
  </sheetData>
  <mergeCells count="5">
    <mergeCell ref="A2:A3"/>
    <mergeCell ref="B2:B3"/>
    <mergeCell ref="C2:C3"/>
    <mergeCell ref="F2:F3"/>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6"/>
      <c r="B1" s="824"/>
      <c r="C1" s="825"/>
      <c r="D1" s="826"/>
      <c r="E1" s="827" t="s">
        <v>1275</v>
      </c>
      <c r="F1" s="825"/>
      <c r="G1" s="825"/>
      <c r="H1" s="828"/>
      <c r="I1" s="825"/>
      <c r="J1" s="825"/>
    </row>
    <row r="2" spans="1:19">
      <c r="A2" s="857"/>
      <c r="B2" s="829"/>
      <c r="C2" s="830"/>
      <c r="D2" s="830"/>
      <c r="E2" s="830"/>
      <c r="F2" s="830"/>
      <c r="G2" s="830"/>
      <c r="H2" s="830"/>
      <c r="I2" s="830"/>
      <c r="J2" s="831"/>
    </row>
    <row r="3" spans="1:19">
      <c r="A3" s="858" t="s">
        <v>1277</v>
      </c>
      <c r="B3" s="832"/>
      <c r="C3" s="824"/>
      <c r="D3" s="833"/>
      <c r="E3" s="824"/>
      <c r="F3" s="824" t="s">
        <v>1316</v>
      </c>
      <c r="G3" s="824"/>
      <c r="H3" s="824"/>
      <c r="I3" s="824"/>
      <c r="J3" s="834"/>
    </row>
    <row r="4" spans="1:19">
      <c r="A4" s="859" t="s">
        <v>1278</v>
      </c>
      <c r="B4" s="835"/>
      <c r="C4" s="836"/>
      <c r="D4" s="837"/>
      <c r="E4" s="833"/>
      <c r="F4" s="836"/>
      <c r="G4" s="836"/>
      <c r="H4" s="824"/>
      <c r="I4" s="824"/>
      <c r="J4" s="834"/>
    </row>
    <row r="5" spans="1:19">
      <c r="A5" s="859" t="s">
        <v>1279</v>
      </c>
      <c r="B5" s="838"/>
      <c r="C5" s="839"/>
      <c r="D5" s="833"/>
      <c r="E5" s="839"/>
      <c r="F5" s="839" t="s">
        <v>1317</v>
      </c>
      <c r="G5" s="839"/>
      <c r="H5" s="839"/>
      <c r="I5" s="839"/>
      <c r="J5" s="840"/>
    </row>
    <row r="6" spans="1:19">
      <c r="A6" s="859" t="s">
        <v>1280</v>
      </c>
      <c r="B6" s="1054" t="s">
        <v>1318</v>
      </c>
      <c r="C6" s="1055" t="s">
        <v>1319</v>
      </c>
      <c r="D6" s="1055" t="s">
        <v>1320</v>
      </c>
      <c r="E6" s="1052" t="s">
        <v>696</v>
      </c>
      <c r="F6" s="1052" t="s">
        <v>696</v>
      </c>
      <c r="G6" s="1052" t="s">
        <v>696</v>
      </c>
      <c r="H6" s="1052" t="s">
        <v>696</v>
      </c>
      <c r="I6" s="1052" t="s">
        <v>696</v>
      </c>
      <c r="J6" s="1052" t="s">
        <v>696</v>
      </c>
    </row>
    <row r="7" spans="1:19">
      <c r="A7" s="858" t="s">
        <v>1281</v>
      </c>
      <c r="B7" s="1054"/>
      <c r="C7" s="1056"/>
      <c r="D7" s="1056"/>
      <c r="E7" s="1053"/>
      <c r="F7" s="1053"/>
      <c r="G7" s="1053"/>
      <c r="H7" s="1053"/>
      <c r="I7" s="1053"/>
      <c r="J7" s="1053"/>
    </row>
    <row r="8" spans="1:19">
      <c r="A8" s="859" t="s">
        <v>1282</v>
      </c>
      <c r="B8" s="841"/>
      <c r="C8" s="839"/>
      <c r="D8" s="833"/>
      <c r="E8" s="839"/>
      <c r="F8" s="839" t="s">
        <v>1321</v>
      </c>
      <c r="G8" s="839"/>
      <c r="H8" s="836"/>
      <c r="I8" s="836"/>
      <c r="J8" s="842"/>
      <c r="L8" t="s">
        <v>1323</v>
      </c>
      <c r="M8" t="s">
        <v>1322</v>
      </c>
      <c r="N8" t="s">
        <v>1324</v>
      </c>
      <c r="O8" t="s">
        <v>1325</v>
      </c>
      <c r="Q8" t="s">
        <v>1326</v>
      </c>
      <c r="R8" t="s">
        <v>1327</v>
      </c>
    </row>
    <row r="9" spans="1:19" ht="16" thickBot="1">
      <c r="A9" s="860" t="s">
        <v>1283</v>
      </c>
      <c r="B9" s="843">
        <v>0.2</v>
      </c>
      <c r="C9" s="844">
        <v>0.3</v>
      </c>
      <c r="D9" s="845">
        <v>0.4</v>
      </c>
      <c r="E9" s="845">
        <v>0.5</v>
      </c>
      <c r="F9" s="845">
        <v>0.6</v>
      </c>
      <c r="G9" s="845">
        <v>0.7</v>
      </c>
      <c r="H9" s="845">
        <v>0.8</v>
      </c>
      <c r="I9" s="845">
        <v>0.9</v>
      </c>
      <c r="J9" s="845">
        <v>1</v>
      </c>
      <c r="L9" s="888">
        <v>1.2</v>
      </c>
      <c r="M9" s="887">
        <v>0.22</v>
      </c>
      <c r="N9">
        <f>ROUNDDOWN(L9,0)</f>
        <v>1</v>
      </c>
      <c r="O9">
        <f>ROUNDUP(L9,0)</f>
        <v>2</v>
      </c>
      <c r="Q9">
        <f>ROUNDDOWN(M9,1)</f>
        <v>0.2</v>
      </c>
      <c r="R9">
        <f>ROUNDUP(M9,1)</f>
        <v>0.30000000000000004</v>
      </c>
      <c r="S9">
        <f>HLOOKUP(Q9,$B$9:$J$78,2,FALSE)</f>
        <v>3.5</v>
      </c>
    </row>
    <row r="10" spans="1:19" ht="14.5" thickTop="1">
      <c r="A10" s="861">
        <v>1</v>
      </c>
      <c r="B10" s="846">
        <v>3.5</v>
      </c>
      <c r="C10" s="846">
        <v>2.2999999999999998</v>
      </c>
      <c r="D10" s="847">
        <v>1.5</v>
      </c>
      <c r="E10" s="847">
        <v>1.2</v>
      </c>
      <c r="F10" s="847">
        <v>0.8</v>
      </c>
      <c r="G10" s="847">
        <v>0.4</v>
      </c>
      <c r="H10" s="847">
        <v>0.4</v>
      </c>
      <c r="I10" s="848">
        <v>0.3</v>
      </c>
      <c r="J10" s="848">
        <v>0.2</v>
      </c>
      <c r="K10" s="847">
        <v>1</v>
      </c>
    </row>
    <row r="11" spans="1:19">
      <c r="A11" s="862">
        <f>(A10+A12)/2</f>
        <v>1.5</v>
      </c>
      <c r="B11" s="849">
        <f>(B10+B12)/2</f>
        <v>3.85</v>
      </c>
      <c r="C11" s="849">
        <f t="shared" ref="C11:J11" si="0">(C10+C12)/2</f>
        <v>2.65</v>
      </c>
      <c r="D11" s="849">
        <f t="shared" si="0"/>
        <v>1.8</v>
      </c>
      <c r="E11" s="849">
        <f t="shared" si="0"/>
        <v>1.45</v>
      </c>
      <c r="F11" s="849">
        <f t="shared" si="0"/>
        <v>1</v>
      </c>
      <c r="G11" s="849">
        <f t="shared" si="0"/>
        <v>0.55000000000000004</v>
      </c>
      <c r="H11" s="849">
        <f t="shared" si="0"/>
        <v>0.45</v>
      </c>
      <c r="I11" s="849">
        <f t="shared" si="0"/>
        <v>0.35</v>
      </c>
      <c r="J11" s="849">
        <f t="shared" si="0"/>
        <v>0.30000000000000004</v>
      </c>
      <c r="K11" s="385">
        <v>2</v>
      </c>
    </row>
    <row r="12" spans="1:19">
      <c r="A12" s="863">
        <v>2</v>
      </c>
      <c r="B12" s="846">
        <v>4.2</v>
      </c>
      <c r="C12" s="846">
        <v>3</v>
      </c>
      <c r="D12" s="847">
        <v>2.1</v>
      </c>
      <c r="E12" s="847">
        <v>1.7</v>
      </c>
      <c r="F12" s="847">
        <v>1.2</v>
      </c>
      <c r="G12" s="847">
        <v>0.7</v>
      </c>
      <c r="H12" s="847">
        <v>0.5</v>
      </c>
      <c r="I12" s="848">
        <v>0.4</v>
      </c>
      <c r="J12" s="848">
        <v>0.4</v>
      </c>
      <c r="K12" s="847">
        <v>3</v>
      </c>
    </row>
    <row r="13" spans="1:19">
      <c r="A13" s="862">
        <f>(A12+A14)/2</f>
        <v>2.5</v>
      </c>
      <c r="B13" s="849">
        <f>(B12+B14)/2</f>
        <v>4.5</v>
      </c>
      <c r="C13" s="849">
        <f t="shared" ref="C13:J13" si="1">(C12+C14)/2</f>
        <v>3.25</v>
      </c>
      <c r="D13" s="849">
        <f t="shared" si="1"/>
        <v>2.2999999999999998</v>
      </c>
      <c r="E13" s="849">
        <f t="shared" si="1"/>
        <v>1.85</v>
      </c>
      <c r="F13" s="849">
        <f t="shared" si="1"/>
        <v>1.2999999999999998</v>
      </c>
      <c r="G13" s="849">
        <f t="shared" si="1"/>
        <v>0.75</v>
      </c>
      <c r="H13" s="849">
        <f t="shared" si="1"/>
        <v>0.6</v>
      </c>
      <c r="I13" s="849">
        <f t="shared" si="1"/>
        <v>0.5</v>
      </c>
      <c r="J13" s="849">
        <f t="shared" si="1"/>
        <v>0.45</v>
      </c>
      <c r="K13" s="385">
        <v>4</v>
      </c>
    </row>
    <row r="14" spans="1:19">
      <c r="A14" s="863">
        <v>3</v>
      </c>
      <c r="B14" s="846">
        <v>4.8</v>
      </c>
      <c r="C14" s="846">
        <v>3.5</v>
      </c>
      <c r="D14" s="847">
        <v>2.5</v>
      </c>
      <c r="E14" s="847">
        <v>2</v>
      </c>
      <c r="F14" s="847">
        <v>1.4</v>
      </c>
      <c r="G14" s="847">
        <v>0.8</v>
      </c>
      <c r="H14" s="847">
        <v>0.7</v>
      </c>
      <c r="I14" s="848">
        <v>0.6</v>
      </c>
      <c r="J14" s="848">
        <v>0.5</v>
      </c>
      <c r="K14" s="847">
        <v>5</v>
      </c>
    </row>
    <row r="15" spans="1:19">
      <c r="A15" s="862">
        <f>(A14+A16)/2</f>
        <v>3.5</v>
      </c>
      <c r="B15" s="849">
        <f>(B14+B16)/2</f>
        <v>5.05</v>
      </c>
      <c r="C15" s="849">
        <f t="shared" ref="C15:J15" si="2">(C14+C16)/2</f>
        <v>3.65</v>
      </c>
      <c r="D15" s="849">
        <f t="shared" si="2"/>
        <v>2.6</v>
      </c>
      <c r="E15" s="849">
        <f t="shared" si="2"/>
        <v>2.1</v>
      </c>
      <c r="F15" s="849">
        <f t="shared" si="2"/>
        <v>1.5</v>
      </c>
      <c r="G15" s="849">
        <f t="shared" si="2"/>
        <v>0.85000000000000009</v>
      </c>
      <c r="H15" s="849">
        <f t="shared" si="2"/>
        <v>0.75</v>
      </c>
      <c r="I15" s="849">
        <f t="shared" si="2"/>
        <v>0.64999999999999991</v>
      </c>
      <c r="J15" s="849">
        <f t="shared" si="2"/>
        <v>0.5</v>
      </c>
      <c r="K15" s="385">
        <v>6</v>
      </c>
    </row>
    <row r="16" spans="1:19">
      <c r="A16" s="863">
        <v>4</v>
      </c>
      <c r="B16" s="846">
        <v>5.3</v>
      </c>
      <c r="C16" s="846">
        <v>3.8</v>
      </c>
      <c r="D16" s="847">
        <v>2.7</v>
      </c>
      <c r="E16" s="847">
        <v>2.2000000000000002</v>
      </c>
      <c r="F16" s="847">
        <v>1.6</v>
      </c>
      <c r="G16" s="847">
        <v>0.9</v>
      </c>
      <c r="H16" s="847">
        <v>0.8</v>
      </c>
      <c r="I16" s="848">
        <v>0.7</v>
      </c>
      <c r="J16" s="848">
        <v>0.5</v>
      </c>
      <c r="K16" s="847">
        <v>7</v>
      </c>
    </row>
    <row r="17" spans="1:11">
      <c r="A17" s="862">
        <f>(A16+A18)/2</f>
        <v>4.5</v>
      </c>
      <c r="B17" s="849">
        <f>(B16+B18)/2</f>
        <v>5.4499999999999993</v>
      </c>
      <c r="C17" s="849">
        <f t="shared" ref="C17:J17" si="3">(C16+C18)/2</f>
        <v>3.9</v>
      </c>
      <c r="D17" s="849">
        <f t="shared" si="3"/>
        <v>2.8</v>
      </c>
      <c r="E17" s="849">
        <f t="shared" si="3"/>
        <v>2.2999999999999998</v>
      </c>
      <c r="F17" s="849">
        <f t="shared" si="3"/>
        <v>1.65</v>
      </c>
      <c r="G17" s="849">
        <f t="shared" si="3"/>
        <v>0.95</v>
      </c>
      <c r="H17" s="849">
        <f t="shared" si="3"/>
        <v>0.8</v>
      </c>
      <c r="I17" s="849">
        <f t="shared" si="3"/>
        <v>0.7</v>
      </c>
      <c r="J17" s="849">
        <f t="shared" si="3"/>
        <v>0.55000000000000004</v>
      </c>
      <c r="K17" s="385">
        <v>8</v>
      </c>
    </row>
    <row r="18" spans="1:11">
      <c r="A18" s="863">
        <v>5</v>
      </c>
      <c r="B18" s="846">
        <v>5.6</v>
      </c>
      <c r="C18" s="846">
        <v>4</v>
      </c>
      <c r="D18" s="847">
        <v>2.9</v>
      </c>
      <c r="E18" s="847">
        <v>2.4</v>
      </c>
      <c r="F18" s="847">
        <v>1.7</v>
      </c>
      <c r="G18" s="847">
        <v>1</v>
      </c>
      <c r="H18" s="847">
        <v>0.8</v>
      </c>
      <c r="I18" s="848">
        <v>0.7</v>
      </c>
      <c r="J18" s="848">
        <v>0.6</v>
      </c>
      <c r="K18" s="847">
        <v>9</v>
      </c>
    </row>
    <row r="19" spans="1:11">
      <c r="A19" s="862">
        <f>(A18+A20)/2</f>
        <v>5.5</v>
      </c>
      <c r="B19" s="849">
        <f>(B18+B20)/2</f>
        <v>5.6999999999999993</v>
      </c>
      <c r="C19" s="849">
        <f t="shared" ref="C19:J19" si="4">(C18+C20)/2</f>
        <v>4.0999999999999996</v>
      </c>
      <c r="D19" s="849">
        <f t="shared" si="4"/>
        <v>3</v>
      </c>
      <c r="E19" s="849">
        <f t="shared" si="4"/>
        <v>2.4500000000000002</v>
      </c>
      <c r="F19" s="849">
        <f t="shared" si="4"/>
        <v>1.75</v>
      </c>
      <c r="G19" s="849">
        <f t="shared" si="4"/>
        <v>1</v>
      </c>
      <c r="H19" s="849">
        <f t="shared" si="4"/>
        <v>0.8</v>
      </c>
      <c r="I19" s="849">
        <f t="shared" si="4"/>
        <v>0.7</v>
      </c>
      <c r="J19" s="849">
        <f t="shared" si="4"/>
        <v>0.6</v>
      </c>
      <c r="K19" s="385">
        <v>10</v>
      </c>
    </row>
    <row r="20" spans="1:11">
      <c r="A20" s="863">
        <v>6</v>
      </c>
      <c r="B20" s="846">
        <v>5.8</v>
      </c>
      <c r="C20" s="846">
        <v>4.2</v>
      </c>
      <c r="D20" s="847">
        <v>3.1</v>
      </c>
      <c r="E20" s="847">
        <v>2.5</v>
      </c>
      <c r="F20" s="847">
        <v>1.8</v>
      </c>
      <c r="G20" s="847">
        <v>1</v>
      </c>
      <c r="H20" s="847">
        <v>0.8</v>
      </c>
      <c r="I20" s="848">
        <v>0.7</v>
      </c>
      <c r="J20" s="848">
        <v>0.6</v>
      </c>
      <c r="K20" s="847">
        <v>11</v>
      </c>
    </row>
    <row r="21" spans="1:11">
      <c r="A21" s="862">
        <f>(A20+A22)/2</f>
        <v>6.5</v>
      </c>
      <c r="B21" s="850">
        <f t="shared" ref="B21:G21" si="5">((A20-A21)*B24-(A24-A21)*B20)/((A20-A21)-(A24-A21))</f>
        <v>5.8999999999999995</v>
      </c>
      <c r="C21" s="850">
        <f t="shared" si="5"/>
        <v>4.25</v>
      </c>
      <c r="D21" s="850">
        <f t="shared" si="5"/>
        <v>3.15</v>
      </c>
      <c r="E21" s="850">
        <f t="shared" si="5"/>
        <v>2.5249999999999999</v>
      </c>
      <c r="F21" s="850">
        <f t="shared" si="5"/>
        <v>1.8249999999999997</v>
      </c>
      <c r="G21" s="850">
        <f t="shared" si="5"/>
        <v>1</v>
      </c>
      <c r="H21" s="851">
        <v>0.8</v>
      </c>
      <c r="I21" s="851">
        <v>0.7</v>
      </c>
      <c r="J21" s="851">
        <v>0.6</v>
      </c>
      <c r="K21" s="385">
        <v>12</v>
      </c>
    </row>
    <row r="22" spans="1:11">
      <c r="A22" s="862">
        <f>(A20+A24)/2</f>
        <v>7</v>
      </c>
      <c r="B22" s="850">
        <f t="shared" ref="B22:G22" si="6">((A20-A22)*B24-(A24-A22)*B20)/((A20-A22)-(A24-A22))</f>
        <v>6</v>
      </c>
      <c r="C22" s="850">
        <f t="shared" si="6"/>
        <v>4.3</v>
      </c>
      <c r="D22" s="850">
        <f t="shared" si="6"/>
        <v>3.1999999999999993</v>
      </c>
      <c r="E22" s="850">
        <f t="shared" si="6"/>
        <v>2.5500000000000003</v>
      </c>
      <c r="F22" s="850">
        <f t="shared" si="6"/>
        <v>1.85</v>
      </c>
      <c r="G22" s="850">
        <f t="shared" si="6"/>
        <v>1</v>
      </c>
      <c r="H22" s="851">
        <v>0.8</v>
      </c>
      <c r="I22" s="851">
        <v>0.7</v>
      </c>
      <c r="J22" s="851">
        <v>0.6</v>
      </c>
      <c r="K22" s="847">
        <v>13</v>
      </c>
    </row>
    <row r="23" spans="1:11">
      <c r="A23" s="862">
        <f>(A22+A24)/2</f>
        <v>7.5</v>
      </c>
      <c r="B23" s="850">
        <f t="shared" ref="B23:G23" si="7">((A20-A23)*B24-(A24-A23)*B20)/((A20-A23)-(A24-A23))</f>
        <v>6.1000000000000005</v>
      </c>
      <c r="C23" s="850">
        <f t="shared" si="7"/>
        <v>4.3500000000000005</v>
      </c>
      <c r="D23" s="850">
        <f t="shared" si="7"/>
        <v>3.25</v>
      </c>
      <c r="E23" s="850">
        <f t="shared" si="7"/>
        <v>2.5750000000000002</v>
      </c>
      <c r="F23" s="850">
        <f t="shared" si="7"/>
        <v>1.875</v>
      </c>
      <c r="G23" s="850">
        <f t="shared" si="7"/>
        <v>1</v>
      </c>
      <c r="H23" s="851">
        <v>0.8</v>
      </c>
      <c r="I23" s="851">
        <v>0.7</v>
      </c>
      <c r="J23" s="851">
        <v>0.6</v>
      </c>
      <c r="K23" s="385">
        <v>14</v>
      </c>
    </row>
    <row r="24" spans="1:11">
      <c r="A24" s="863">
        <v>8</v>
      </c>
      <c r="B24" s="846">
        <v>6.2</v>
      </c>
      <c r="C24" s="846">
        <v>4.4000000000000004</v>
      </c>
      <c r="D24" s="847">
        <v>3.3</v>
      </c>
      <c r="E24" s="847">
        <v>2.6</v>
      </c>
      <c r="F24" s="847">
        <v>1.9</v>
      </c>
      <c r="G24" s="847">
        <v>1</v>
      </c>
      <c r="H24" s="847">
        <v>0.8</v>
      </c>
      <c r="I24" s="848">
        <v>0.7</v>
      </c>
      <c r="J24" s="848">
        <v>0.6</v>
      </c>
      <c r="K24" s="847">
        <v>15</v>
      </c>
    </row>
    <row r="25" spans="1:11">
      <c r="A25" s="862">
        <f>(A24+A26)/2</f>
        <v>8.5</v>
      </c>
      <c r="B25" s="850">
        <f>((A24-A25)*B28-(A28-A25)*B24)/((A24-A25)-(A28-A25))</f>
        <v>6.2750000000000004</v>
      </c>
      <c r="C25" s="850">
        <f>((B24-B25)*C28-(B28-B25)*C24)/((B24-B25)-(B28-B25))</f>
        <v>4.45</v>
      </c>
      <c r="D25" s="850">
        <f>((C24-C25)*D28-(C28-C25)*D24)/((C24-C25)-(C28-C25))</f>
        <v>3.3249999999999997</v>
      </c>
      <c r="E25" s="850">
        <f>((D24-D25)*E28-(D28-D25)*E24)/((D24-D25)-(D28-D25))</f>
        <v>2.625</v>
      </c>
      <c r="F25" s="850">
        <f>((E24-E25)*F28-(E28-E25)*F24)/((E24-E25)-(E28-E25))</f>
        <v>1.8999999999999997</v>
      </c>
      <c r="G25" s="851">
        <v>1</v>
      </c>
      <c r="H25" s="851">
        <v>0.8</v>
      </c>
      <c r="I25" s="851">
        <v>0.7</v>
      </c>
      <c r="J25" s="851">
        <v>0.6</v>
      </c>
      <c r="K25" s="385">
        <v>16</v>
      </c>
    </row>
    <row r="26" spans="1:11">
      <c r="A26" s="862">
        <f>(A24+A28)/2</f>
        <v>9</v>
      </c>
      <c r="B26" s="850">
        <f>((A24-A26)*B28-(A28-A26)*B24)/((A24-A26)-(A28-A26))</f>
        <v>6.35</v>
      </c>
      <c r="C26" s="850">
        <f>((B24-B26)*C28-(B28-B26)*C24)/((B24-B26)-(B28-B26))</f>
        <v>4.5</v>
      </c>
      <c r="D26" s="850">
        <f>((C24-C26)*D28-(C28-C26)*D24)/((C24-C26)-(C28-C26))</f>
        <v>3.35</v>
      </c>
      <c r="E26" s="850">
        <f>((D24-D26)*E28-(D28-D26)*E24)/((D24-D26)-(D28-D26))</f>
        <v>2.65</v>
      </c>
      <c r="F26" s="850">
        <f>((E24-E26)*F28-(E28-E26)*F24)/((E24-E26)-(E28-E26))</f>
        <v>1.9</v>
      </c>
      <c r="G26" s="851">
        <v>1</v>
      </c>
      <c r="H26" s="851">
        <v>0.8</v>
      </c>
      <c r="I26" s="851">
        <v>0.7</v>
      </c>
      <c r="J26" s="851">
        <v>0.6</v>
      </c>
      <c r="K26" s="847">
        <v>17</v>
      </c>
    </row>
    <row r="27" spans="1:11">
      <c r="A27" s="862">
        <f>(A26+A28)/2</f>
        <v>9.5</v>
      </c>
      <c r="B27" s="850">
        <f>((A24-A27)*B28-(A28-A27)*B24)/((A24-A27)-(A28-A27))</f>
        <v>6.4249999999999998</v>
      </c>
      <c r="C27" s="850">
        <f>((B24-B27)*C28-(B28-B27)*C24)/((B24-B27)-(B28-B27))</f>
        <v>4.55</v>
      </c>
      <c r="D27" s="850">
        <f>((C24-C27)*D28-(C28-C27)*D24)/((C24-C27)-(C28-C27))</f>
        <v>3.3749999999999996</v>
      </c>
      <c r="E27" s="850">
        <f>((D24-D27)*E28-(D28-D27)*E24)/((D24-D27)-(D28-D27))</f>
        <v>2.6749999999999998</v>
      </c>
      <c r="F27" s="850">
        <f>((E24-E27)*F28-(E28-E27)*F24)/((E24-E27)-(E28-E27))</f>
        <v>1.9</v>
      </c>
      <c r="G27" s="851">
        <v>1</v>
      </c>
      <c r="H27" s="851">
        <v>0.8</v>
      </c>
      <c r="I27" s="851">
        <v>0.7</v>
      </c>
      <c r="J27" s="851">
        <v>0.6</v>
      </c>
      <c r="K27" s="385">
        <v>18</v>
      </c>
    </row>
    <row r="28" spans="1:11">
      <c r="A28" s="863">
        <v>10</v>
      </c>
      <c r="B28" s="846">
        <v>6.5</v>
      </c>
      <c r="C28" s="846">
        <v>4.5999999999999996</v>
      </c>
      <c r="D28" s="847">
        <v>3.4</v>
      </c>
      <c r="E28" s="847">
        <v>2.7</v>
      </c>
      <c r="F28" s="847">
        <v>1.9</v>
      </c>
      <c r="G28" s="847">
        <v>1</v>
      </c>
      <c r="H28" s="847">
        <v>0.8</v>
      </c>
      <c r="I28" s="848">
        <v>0.7</v>
      </c>
      <c r="J28" s="848">
        <v>0.6</v>
      </c>
      <c r="K28" s="847">
        <v>19</v>
      </c>
    </row>
    <row r="29" spans="1:11">
      <c r="A29" s="862">
        <f>(A28+A30)/2</f>
        <v>10.5</v>
      </c>
      <c r="B29" s="850">
        <f>((A28-A29)*B38-(A38-A29)*B28)/((A28-A29)-(A38-A29))</f>
        <v>6.57</v>
      </c>
      <c r="C29" s="850">
        <f t="shared" ref="C29:H29" si="8">((B28-B29)*C38-(B38-B29)*C28)/((B28-B29)-(B38-B29))</f>
        <v>4.6500000000000004</v>
      </c>
      <c r="D29" s="850">
        <f t="shared" si="8"/>
        <v>3.4400000000000004</v>
      </c>
      <c r="E29" s="850">
        <f t="shared" si="8"/>
        <v>2.7100000000000004</v>
      </c>
      <c r="F29" s="850">
        <f t="shared" si="8"/>
        <v>1.9100000000000001</v>
      </c>
      <c r="G29" s="850">
        <f t="shared" si="8"/>
        <v>1.0100000000000002</v>
      </c>
      <c r="H29" s="850">
        <f t="shared" si="8"/>
        <v>0.8</v>
      </c>
      <c r="I29" s="851">
        <v>0.7</v>
      </c>
      <c r="J29" s="851">
        <v>0.6</v>
      </c>
      <c r="K29" s="385">
        <v>20</v>
      </c>
    </row>
    <row r="30" spans="1:11">
      <c r="A30" s="862">
        <v>11</v>
      </c>
      <c r="B30" s="850">
        <f>((A28-A30)*B38-(A38-A30)*B28)/((A28-A30)-(A38-A30))</f>
        <v>6.6400000000000006</v>
      </c>
      <c r="C30" s="850">
        <f t="shared" ref="C30:H30" si="9">((B28-B30)*C38-(B38-B30)*C28)/((B28-B30)-(B38-B30))</f>
        <v>4.7</v>
      </c>
      <c r="D30" s="850">
        <f t="shared" si="9"/>
        <v>3.4800000000000004</v>
      </c>
      <c r="E30" s="850">
        <f t="shared" si="9"/>
        <v>2.72</v>
      </c>
      <c r="F30" s="850">
        <f t="shared" si="9"/>
        <v>1.92</v>
      </c>
      <c r="G30" s="850">
        <f t="shared" si="9"/>
        <v>1.02</v>
      </c>
      <c r="H30" s="850">
        <f t="shared" si="9"/>
        <v>0.8</v>
      </c>
      <c r="I30" s="851">
        <v>0.7</v>
      </c>
      <c r="J30" s="851">
        <v>0.6</v>
      </c>
      <c r="K30" s="847">
        <v>21</v>
      </c>
    </row>
    <row r="31" spans="1:11">
      <c r="A31" s="862">
        <f>(A30+A32)/2</f>
        <v>11.5</v>
      </c>
      <c r="B31" s="850">
        <f>((A28-A31)*B38-(A38-A31)*B28)/((A28-A31)-(A38-A31))</f>
        <v>6.7099999999999991</v>
      </c>
      <c r="C31" s="850">
        <f t="shared" ref="C31:H31" si="10">((B28-B31)*C38-(B38-B31)*C28)/((B28-B31)-(B38-B31))</f>
        <v>4.7499999999999991</v>
      </c>
      <c r="D31" s="850">
        <f t="shared" si="10"/>
        <v>3.5199999999999996</v>
      </c>
      <c r="E31" s="850">
        <f t="shared" si="10"/>
        <v>2.7299999999999995</v>
      </c>
      <c r="F31" s="850">
        <f t="shared" si="10"/>
        <v>1.9299999999999995</v>
      </c>
      <c r="G31" s="850">
        <f t="shared" si="10"/>
        <v>1.0299999999999996</v>
      </c>
      <c r="H31" s="850">
        <f t="shared" si="10"/>
        <v>0.8</v>
      </c>
      <c r="I31" s="851">
        <v>0.7</v>
      </c>
      <c r="J31" s="851">
        <v>0.6</v>
      </c>
      <c r="K31" s="385">
        <v>22</v>
      </c>
    </row>
    <row r="32" spans="1:11">
      <c r="A32" s="862">
        <v>12</v>
      </c>
      <c r="B32" s="850">
        <f>((A28-A32)*B38-(A38-A32)*B28)/((A28-A32)-(A38-A32))</f>
        <v>6.7799999999999994</v>
      </c>
      <c r="C32" s="850">
        <f t="shared" ref="C32:H32" si="11">((B28-B32)*C38-(B38-B32)*C28)/((B28-B32)-(B38-B32))</f>
        <v>4.7999999999999989</v>
      </c>
      <c r="D32" s="850">
        <f t="shared" si="11"/>
        <v>3.5599999999999996</v>
      </c>
      <c r="E32" s="850">
        <f t="shared" si="11"/>
        <v>2.7399999999999998</v>
      </c>
      <c r="F32" s="850">
        <f t="shared" si="11"/>
        <v>1.9399999999999997</v>
      </c>
      <c r="G32" s="850">
        <f t="shared" si="11"/>
        <v>1.0399999999999998</v>
      </c>
      <c r="H32" s="850">
        <f t="shared" si="11"/>
        <v>0.8</v>
      </c>
      <c r="I32" s="851">
        <v>0.7</v>
      </c>
      <c r="J32" s="851">
        <v>0.6</v>
      </c>
      <c r="K32" s="847">
        <v>23</v>
      </c>
    </row>
    <row r="33" spans="1:11">
      <c r="A33" s="862">
        <f>(A32+A34)/2</f>
        <v>12.5</v>
      </c>
      <c r="B33" s="850">
        <f>((A28-A33)*B38-(A38-A33)*B28)/((A28-A33)-(A38-A33))</f>
        <v>6.85</v>
      </c>
      <c r="C33" s="850">
        <f t="shared" ref="C33:H33" si="12">((B28-B33)*C38-(B38-B33)*C28)/((B28-B33)-(B38-B33))</f>
        <v>4.8499999999999996</v>
      </c>
      <c r="D33" s="850">
        <f t="shared" si="12"/>
        <v>3.5999999999999996</v>
      </c>
      <c r="E33" s="850">
        <f t="shared" si="12"/>
        <v>2.7499999999999996</v>
      </c>
      <c r="F33" s="850">
        <f t="shared" si="12"/>
        <v>1.9499999999999995</v>
      </c>
      <c r="G33" s="850">
        <f t="shared" si="12"/>
        <v>1.0499999999999996</v>
      </c>
      <c r="H33" s="850">
        <f t="shared" si="12"/>
        <v>0.8</v>
      </c>
      <c r="I33" s="851">
        <v>0.7</v>
      </c>
      <c r="J33" s="851">
        <v>0.6</v>
      </c>
      <c r="K33" s="385">
        <v>24</v>
      </c>
    </row>
    <row r="34" spans="1:11">
      <c r="A34" s="862">
        <v>13</v>
      </c>
      <c r="B34" s="850">
        <f>((A28-A34)*B38-(A38-A34)*B28)/((A28-A34)-(A38-A34))</f>
        <v>6.92</v>
      </c>
      <c r="C34" s="850">
        <f t="shared" ref="C34:H34" si="13">((B28-B34)*C38-(B38-B34)*C28)/((B28-B34)-(B38-B34))</f>
        <v>4.8999999999999995</v>
      </c>
      <c r="D34" s="850">
        <f t="shared" si="13"/>
        <v>3.6399999999999997</v>
      </c>
      <c r="E34" s="850">
        <f t="shared" si="13"/>
        <v>2.76</v>
      </c>
      <c r="F34" s="850">
        <f t="shared" si="13"/>
        <v>1.9599999999999997</v>
      </c>
      <c r="G34" s="850">
        <f t="shared" si="13"/>
        <v>1.0599999999999998</v>
      </c>
      <c r="H34" s="850">
        <f t="shared" si="13"/>
        <v>0.8</v>
      </c>
      <c r="I34" s="851">
        <v>0.7</v>
      </c>
      <c r="J34" s="851">
        <v>0.6</v>
      </c>
      <c r="K34" s="847">
        <v>25</v>
      </c>
    </row>
    <row r="35" spans="1:11">
      <c r="A35" s="862">
        <f>(A34+A36)/2</f>
        <v>13.5</v>
      </c>
      <c r="B35" s="850">
        <f>((A28-A35)*B38-(A38-A35)*B28)/((A28-A35)-(A38-A35))</f>
        <v>6.99</v>
      </c>
      <c r="C35" s="850">
        <f t="shared" ref="C35:H35" si="14">((B28-B35)*C38-(B38-B35)*C28)/((B28-B35)-(B38-B35))</f>
        <v>4.95</v>
      </c>
      <c r="D35" s="850">
        <f t="shared" si="14"/>
        <v>3.6800000000000006</v>
      </c>
      <c r="E35" s="850">
        <f t="shared" si="14"/>
        <v>2.7700000000000005</v>
      </c>
      <c r="F35" s="850">
        <f t="shared" si="14"/>
        <v>1.9700000000000004</v>
      </c>
      <c r="G35" s="850">
        <f t="shared" si="14"/>
        <v>1.0700000000000005</v>
      </c>
      <c r="H35" s="850">
        <f t="shared" si="14"/>
        <v>0.8</v>
      </c>
      <c r="I35" s="851">
        <v>0.7</v>
      </c>
      <c r="J35" s="851">
        <v>0.6</v>
      </c>
      <c r="K35" s="385">
        <v>26</v>
      </c>
    </row>
    <row r="36" spans="1:11">
      <c r="A36" s="862">
        <v>14</v>
      </c>
      <c r="B36" s="850">
        <f>((A28-A36)*B38-(A38-A36)*B28)/((A28-A36)-(A38-A36))</f>
        <v>7.06</v>
      </c>
      <c r="C36" s="850">
        <f t="shared" ref="C36:H36" si="15">((B28-B36)*C38-(B38-B36)*C28)/((B28-B36)-(B38-B36))</f>
        <v>4.9999999999999991</v>
      </c>
      <c r="D36" s="850">
        <f t="shared" si="15"/>
        <v>3.7199999999999993</v>
      </c>
      <c r="E36" s="850">
        <f t="shared" si="15"/>
        <v>2.78</v>
      </c>
      <c r="F36" s="850">
        <f t="shared" si="15"/>
        <v>1.98</v>
      </c>
      <c r="G36" s="850">
        <f t="shared" si="15"/>
        <v>1.08</v>
      </c>
      <c r="H36" s="850">
        <f t="shared" si="15"/>
        <v>0.8</v>
      </c>
      <c r="I36" s="851">
        <v>0.7</v>
      </c>
      <c r="J36" s="851">
        <v>0.6</v>
      </c>
      <c r="K36" s="847">
        <v>27</v>
      </c>
    </row>
    <row r="37" spans="1:11">
      <c r="A37" s="862">
        <f>(A36+A38)/2</f>
        <v>14.5</v>
      </c>
      <c r="B37" s="850">
        <f>((A28-A37)*B38-(A38-A37)*B28)/((A28-A37)-(A38-A37))</f>
        <v>7.13</v>
      </c>
      <c r="C37" s="850">
        <f t="shared" ref="C37:H37" si="16">((B28-B37)*C38-(B38-B37)*C28)/((B28-B37)-(B38-B37))</f>
        <v>5.05</v>
      </c>
      <c r="D37" s="850">
        <f t="shared" si="16"/>
        <v>3.7600000000000002</v>
      </c>
      <c r="E37" s="850">
        <f t="shared" si="16"/>
        <v>2.7900000000000005</v>
      </c>
      <c r="F37" s="850">
        <f t="shared" si="16"/>
        <v>1.9900000000000004</v>
      </c>
      <c r="G37" s="850">
        <f t="shared" si="16"/>
        <v>1.0900000000000005</v>
      </c>
      <c r="H37" s="850">
        <f t="shared" si="16"/>
        <v>0.8</v>
      </c>
      <c r="I37" s="851">
        <v>0.7</v>
      </c>
      <c r="J37" s="851">
        <v>0.6</v>
      </c>
      <c r="K37" s="385">
        <v>28</v>
      </c>
    </row>
    <row r="38" spans="1:11">
      <c r="A38" s="863">
        <v>15</v>
      </c>
      <c r="B38" s="846">
        <v>7.2</v>
      </c>
      <c r="C38" s="846">
        <v>5.0999999999999996</v>
      </c>
      <c r="D38" s="847">
        <v>3.8</v>
      </c>
      <c r="E38" s="847">
        <v>2.8</v>
      </c>
      <c r="F38" s="847">
        <v>2</v>
      </c>
      <c r="G38" s="847">
        <v>1.1000000000000001</v>
      </c>
      <c r="H38" s="847">
        <v>0.8</v>
      </c>
      <c r="I38" s="848">
        <v>0.7</v>
      </c>
      <c r="J38" s="848">
        <v>0.6</v>
      </c>
      <c r="K38" s="847">
        <v>29</v>
      </c>
    </row>
    <row r="39" spans="1:11">
      <c r="A39" s="862">
        <f>(A38+A40)/2</f>
        <v>15.5</v>
      </c>
      <c r="B39" s="850">
        <f>((A38-A39)*B48-(A48-A39)*B38)/((A38-A39)-(A48-A39))</f>
        <v>7.2700000000000005</v>
      </c>
      <c r="C39" s="850">
        <f>((B38-B39)*C48-(B48-B39)*C38)/((B38-B39)-(B48-B39))</f>
        <v>5.15</v>
      </c>
      <c r="D39" s="850">
        <f>((C38-C39)*D48-(C48-C39)*D38)/((C38-C39)-(C48-C39))</f>
        <v>3.8300000000000005</v>
      </c>
      <c r="E39" s="850">
        <f>((D38-D39)*E48-(D48-D39)*E38)/((D38-D39)-(D48-D39))</f>
        <v>2.8200000000000003</v>
      </c>
      <c r="F39" s="850">
        <f>((E38-E39)*F48-(E48-E39)*F38)/((E38-E39)-(E48-E39))</f>
        <v>2</v>
      </c>
      <c r="G39" s="851">
        <v>1.1100000000000001</v>
      </c>
      <c r="H39" s="851">
        <v>0.8</v>
      </c>
      <c r="I39" s="851">
        <v>0.7</v>
      </c>
      <c r="J39" s="851">
        <v>0.6</v>
      </c>
      <c r="K39" s="385">
        <v>30</v>
      </c>
    </row>
    <row r="40" spans="1:11">
      <c r="A40" s="862">
        <v>16</v>
      </c>
      <c r="B40" s="850">
        <f>((A38-A40)*B48-(A48-A40)*B38)/((A38-A40)-(A48-A40))</f>
        <v>7.3400000000000007</v>
      </c>
      <c r="C40" s="850">
        <f>((B38-B40)*C48-(B48-B40)*C38)/((B38-B40)-(B48-B40))</f>
        <v>5.1999999999999993</v>
      </c>
      <c r="D40" s="850">
        <f>((C38-C40)*D48-(C48-C40)*D38)/((C38-C40)-(C48-C40))</f>
        <v>3.86</v>
      </c>
      <c r="E40" s="850">
        <f>((D38-D40)*E48-(D48-D40)*E38)/((D38-D40)-(D48-D40))</f>
        <v>2.84</v>
      </c>
      <c r="F40" s="850">
        <f>((E38-E40)*F48-(E48-E40)*F38)/((E38-E40)-(E48-E40))</f>
        <v>2</v>
      </c>
      <c r="G40" s="851">
        <v>1.1200000000000001</v>
      </c>
      <c r="H40" s="851">
        <v>0.8</v>
      </c>
      <c r="I40" s="851">
        <v>0.7</v>
      </c>
      <c r="J40" s="851">
        <v>0.6</v>
      </c>
      <c r="K40" s="847">
        <v>31</v>
      </c>
    </row>
    <row r="41" spans="1:11">
      <c r="A41" s="862">
        <f>(A40+A42)/2</f>
        <v>16.5</v>
      </c>
      <c r="B41" s="850">
        <f>((A38-A41)*B48-(A48-A41)*B38)/((A38-A41)-(A48-A41))</f>
        <v>7.4099999999999993</v>
      </c>
      <c r="C41" s="850">
        <f>((B38-B41)*C48-(B48-B41)*C38)/((B38-B41)-(B48-B41))</f>
        <v>5.2499999999999991</v>
      </c>
      <c r="D41" s="850">
        <f>((C38-C41)*D48-(C48-C41)*D38)/((C38-C41)-(C48-C41))</f>
        <v>3.8899999999999997</v>
      </c>
      <c r="E41" s="850">
        <f>((D38-D41)*E48-(D48-D41)*E38)/((D38-D41)-(D48-D41))</f>
        <v>2.86</v>
      </c>
      <c r="F41" s="850">
        <f>((E38-E41)*F48-(E48-E41)*F38)/((E38-E41)-(E48-E41))</f>
        <v>2</v>
      </c>
      <c r="G41" s="851">
        <v>1.1299999999999999</v>
      </c>
      <c r="H41" s="851">
        <v>0.8</v>
      </c>
      <c r="I41" s="851">
        <v>0.7</v>
      </c>
      <c r="J41" s="851">
        <v>0.6</v>
      </c>
      <c r="K41" s="385">
        <v>32</v>
      </c>
    </row>
    <row r="42" spans="1:11">
      <c r="A42" s="862">
        <v>17</v>
      </c>
      <c r="B42" s="850">
        <f>((A38-A42)*B48-(A48-A42)*B38)/((A38-A42)-(A48-A42))</f>
        <v>7.4800000000000013</v>
      </c>
      <c r="C42" s="850">
        <f>((B38-B42)*C48-(B48-B42)*C38)/((B38-B42)-(B48-B42))</f>
        <v>5.3000000000000007</v>
      </c>
      <c r="D42" s="850">
        <f>((C38-C42)*D48-(C48-C42)*D38)/((C38-C42)-(C48-C42))</f>
        <v>3.9200000000000004</v>
      </c>
      <c r="E42" s="850">
        <f>((D38-D42)*E48-(D48-D42)*E38)/((D38-D42)-(D48-D42))</f>
        <v>2.8800000000000003</v>
      </c>
      <c r="F42" s="850">
        <f>((E38-E42)*F48-(E48-E42)*F38)/((E38-E42)-(E48-E42))</f>
        <v>2</v>
      </c>
      <c r="G42" s="851">
        <v>1.1399999999999999</v>
      </c>
      <c r="H42" s="851">
        <v>0.8</v>
      </c>
      <c r="I42" s="851">
        <v>0.7</v>
      </c>
      <c r="J42" s="851">
        <v>0.6</v>
      </c>
      <c r="K42" s="847">
        <v>33</v>
      </c>
    </row>
    <row r="43" spans="1:11">
      <c r="A43" s="862">
        <f>(A42+A44)/2</f>
        <v>17.5</v>
      </c>
      <c r="B43" s="850">
        <f>((A38-A43)*B48-(A48-A43)*B38)/((A38-A43)-(A48-A43))</f>
        <v>7.55</v>
      </c>
      <c r="C43" s="850">
        <f>((B38-B43)*C48-(B48-B43)*C38)/((B38-B43)-(B48-B43))</f>
        <v>5.35</v>
      </c>
      <c r="D43" s="850">
        <f>((C38-C43)*D48-(C48-C43)*D38)/((C38-C43)-(C48-C43))</f>
        <v>3.9499999999999997</v>
      </c>
      <c r="E43" s="850">
        <f>((D38-D43)*E48-(D48-D43)*E38)/((D38-D43)-(D48-D43))</f>
        <v>2.9</v>
      </c>
      <c r="F43" s="850">
        <f>((E38-E43)*F48-(E48-E43)*F38)/((E38-E43)-(E48-E43))</f>
        <v>2</v>
      </c>
      <c r="G43" s="851">
        <v>1.1499999999999999</v>
      </c>
      <c r="H43" s="851">
        <v>0.8</v>
      </c>
      <c r="I43" s="851">
        <v>0.7</v>
      </c>
      <c r="J43" s="851">
        <v>0.6</v>
      </c>
      <c r="K43" s="385">
        <v>34</v>
      </c>
    </row>
    <row r="44" spans="1:11">
      <c r="A44" s="862">
        <v>18</v>
      </c>
      <c r="B44" s="850">
        <f>((A38-A44)*B48-(A48-A44)*B38)/((A38-A44)-(A48-A44))</f>
        <v>7.62</v>
      </c>
      <c r="C44" s="850">
        <f>((B38-B44)*C48-(B48-B44)*C38)/((B38-B44)-(B48-B44))</f>
        <v>5.3999999999999995</v>
      </c>
      <c r="D44" s="850">
        <f>((C38-C44)*D48-(C48-C44)*D38)/((C38-C44)-(C48-C44))</f>
        <v>3.9799999999999995</v>
      </c>
      <c r="E44" s="850">
        <f>((D38-D44)*E48-(D48-D44)*E38)/((D38-D44)-(D48-D44))</f>
        <v>2.92</v>
      </c>
      <c r="F44" s="850">
        <f>((E38-E44)*F48-(E48-E44)*F38)/((E38-E44)-(E48-E44))</f>
        <v>2</v>
      </c>
      <c r="G44" s="851">
        <v>1.1599999999999999</v>
      </c>
      <c r="H44" s="851">
        <v>0.8</v>
      </c>
      <c r="I44" s="851">
        <v>0.7</v>
      </c>
      <c r="J44" s="851">
        <v>0.6</v>
      </c>
      <c r="K44" s="847">
        <v>35</v>
      </c>
    </row>
    <row r="45" spans="1:11">
      <c r="A45" s="862">
        <f>(A44+A46)/2</f>
        <v>18.5</v>
      </c>
      <c r="B45" s="850">
        <f>((A38-A45)*B48-(A48-A45)*B38)/((A38-A45)-(A48-A45))</f>
        <v>7.69</v>
      </c>
      <c r="C45" s="850">
        <f>((B38-B45)*C48-(B48-B45)*C38)/((B38-B45)-(B48-B45))</f>
        <v>5.45</v>
      </c>
      <c r="D45" s="850">
        <f>((C38-C45)*D48-(C48-C45)*D38)/((C38-C45)-(C48-C45))</f>
        <v>4.01</v>
      </c>
      <c r="E45" s="850">
        <f>((D38-D45)*E48-(D48-D45)*E38)/((D38-D45)-(D48-D45))</f>
        <v>2.94</v>
      </c>
      <c r="F45" s="850">
        <f>((E38-E45)*F48-(E48-E45)*F38)/((E38-E45)-(E48-E45))</f>
        <v>2</v>
      </c>
      <c r="G45" s="851">
        <v>1.17</v>
      </c>
      <c r="H45" s="851">
        <v>0.8</v>
      </c>
      <c r="I45" s="851">
        <v>0.7</v>
      </c>
      <c r="J45" s="851">
        <v>0.6</v>
      </c>
      <c r="K45" s="385">
        <v>36</v>
      </c>
    </row>
    <row r="46" spans="1:11">
      <c r="A46" s="862">
        <v>19</v>
      </c>
      <c r="B46" s="850">
        <f>((A38-A46)*B48-(A48-A46)*B38)/((A38-A46)-(A48-A46))</f>
        <v>7.7600000000000007</v>
      </c>
      <c r="C46" s="850">
        <f>((B38-B46)*C48-(B48-B46)*C38)/((B38-B46)-(B48-B46))</f>
        <v>5.5</v>
      </c>
      <c r="D46" s="850">
        <f>((C38-C46)*D48-(C48-C46)*D38)/((C38-C46)-(C48-C46))</f>
        <v>4.04</v>
      </c>
      <c r="E46" s="850">
        <f>((D38-D46)*E48-(D48-D46)*E38)/((D38-D46)-(D48-D46))</f>
        <v>2.9600000000000004</v>
      </c>
      <c r="F46" s="850">
        <f>((E38-E46)*F48-(E48-E46)*F38)/((E38-E46)-(E48-E46))</f>
        <v>2</v>
      </c>
      <c r="G46" s="851">
        <v>1.18</v>
      </c>
      <c r="H46" s="851">
        <v>0.8</v>
      </c>
      <c r="I46" s="851">
        <v>0.7</v>
      </c>
      <c r="J46" s="851">
        <v>0.6</v>
      </c>
      <c r="K46" s="847">
        <v>37</v>
      </c>
    </row>
    <row r="47" spans="1:11">
      <c r="A47" s="862">
        <f>(A46+A48)/2</f>
        <v>19.5</v>
      </c>
      <c r="B47" s="850">
        <f>((A38-A47)*B48-(A48-A47)*B38)/((A38-A47)-(A48-A47))</f>
        <v>7.830000000000001</v>
      </c>
      <c r="C47" s="850">
        <f>((B38-B47)*C48-(B48-B47)*C38)/((B38-B47)-(B48-B47))</f>
        <v>5.55</v>
      </c>
      <c r="D47" s="850">
        <f>((C38-C47)*D48-(C48-C47)*D38)/((C38-C47)-(C48-C47))</f>
        <v>4.07</v>
      </c>
      <c r="E47" s="850">
        <f>((D38-D47)*E48-(D48-D47)*E38)/((D38-D47)-(D48-D47))</f>
        <v>2.9800000000000004</v>
      </c>
      <c r="F47" s="850">
        <f>((E38-E47)*F48-(E48-E47)*F38)/((E38-E47)-(E48-E47))</f>
        <v>2</v>
      </c>
      <c r="G47" s="851">
        <v>1.19</v>
      </c>
      <c r="H47" s="851">
        <v>0.8</v>
      </c>
      <c r="I47" s="851">
        <v>0.7</v>
      </c>
      <c r="J47" s="851">
        <v>0.6</v>
      </c>
      <c r="K47" s="385">
        <v>38</v>
      </c>
    </row>
    <row r="48" spans="1:11">
      <c r="A48" s="863">
        <v>20</v>
      </c>
      <c r="B48" s="846">
        <v>7.9</v>
      </c>
      <c r="C48" s="846">
        <v>5.6</v>
      </c>
      <c r="D48" s="847">
        <v>4.0999999999999996</v>
      </c>
      <c r="E48" s="847">
        <v>3</v>
      </c>
      <c r="F48" s="847">
        <v>2</v>
      </c>
      <c r="G48" s="847">
        <v>1.2</v>
      </c>
      <c r="H48" s="847">
        <v>0.8</v>
      </c>
      <c r="I48" s="848">
        <v>0.7</v>
      </c>
      <c r="J48" s="848">
        <v>0.6</v>
      </c>
      <c r="K48" s="847">
        <v>39</v>
      </c>
    </row>
    <row r="49" spans="1:11">
      <c r="A49" s="862">
        <f>(A48+A50)/2</f>
        <v>20.5</v>
      </c>
      <c r="B49" s="850">
        <f>((A48-A49)*B58-(A58-A49)*B48)/((A48-A49)-(A58-A49))</f>
        <v>7.9700000000000006</v>
      </c>
      <c r="C49" s="850">
        <f>((B48-B49)*C58-(B58-B49)*C48)/((B48-B49)-(B58-B49))</f>
        <v>5.65</v>
      </c>
      <c r="D49" s="850">
        <f>((C48-C49)*D58-(C58-C49)*D48)/((C48-C49)-(C58-C49))</f>
        <v>4.13</v>
      </c>
      <c r="E49" s="850">
        <f>((D48-D49)*E58-(D58-D49)*E48)/((D48-D49)-(D58-D49))</f>
        <v>3.02</v>
      </c>
      <c r="F49" s="850">
        <f>((E48-E49)*F58-(E58-E49)*F48)/((E48-E49)-(E58-E49))</f>
        <v>2</v>
      </c>
      <c r="G49" s="851">
        <v>1.2</v>
      </c>
      <c r="H49" s="851">
        <v>0.8</v>
      </c>
      <c r="I49" s="851">
        <v>0.7</v>
      </c>
      <c r="J49" s="851">
        <v>0.6</v>
      </c>
      <c r="K49" s="385">
        <v>40</v>
      </c>
    </row>
    <row r="50" spans="1:11">
      <c r="A50" s="862">
        <v>21</v>
      </c>
      <c r="B50" s="850">
        <f>((A48-A50)*B58-(A58-A50)*B48)/((A48-A50)-(A58-A50))</f>
        <v>8.0400000000000009</v>
      </c>
      <c r="C50" s="850">
        <f>((B48-B50)*C58-(B58-B50)*C48)/((B48-B50)-(B58-B50))</f>
        <v>5.7</v>
      </c>
      <c r="D50" s="850">
        <f>((C48-C50)*D58-(C58-C50)*D48)/((C48-C50)-(C58-C50))</f>
        <v>4.16</v>
      </c>
      <c r="E50" s="850">
        <f>((D48-D50)*E58-(D58-D50)*E48)/((D48-D50)-(D58-D50))</f>
        <v>3.0400000000000005</v>
      </c>
      <c r="F50" s="850">
        <f>((E48-E50)*F58-(E58-E50)*F48)/((E48-E50)-(E58-E50))</f>
        <v>2</v>
      </c>
      <c r="G50" s="851">
        <v>1.2</v>
      </c>
      <c r="H50" s="851">
        <v>0.8</v>
      </c>
      <c r="I50" s="851">
        <v>0.7</v>
      </c>
      <c r="J50" s="851">
        <v>0.6</v>
      </c>
      <c r="K50" s="847">
        <v>41</v>
      </c>
    </row>
    <row r="51" spans="1:11">
      <c r="A51" s="862">
        <f>(A50+A52)/2</f>
        <v>21.5</v>
      </c>
      <c r="B51" s="850">
        <f>((A48-A51)*B58-(A58-A51)*B48)/((A48-A51)-(A58-A51))</f>
        <v>8.11</v>
      </c>
      <c r="C51" s="850">
        <f>((B48-B51)*C58-(B58-B51)*C48)/((B48-B51)-(B58-B51))</f>
        <v>5.7499999999999991</v>
      </c>
      <c r="D51" s="850">
        <f>((C48-C51)*D58-(C58-C51)*D48)/((C48-C51)-(C58-C51))</f>
        <v>4.1899999999999995</v>
      </c>
      <c r="E51" s="850">
        <f>((D48-D51)*E58-(D58-D51)*E48)/((D48-D51)-(D58-D51))</f>
        <v>3.06</v>
      </c>
      <c r="F51" s="850">
        <f>((E48-E51)*F58-(E58-E51)*F48)/((E48-E51)-(E58-E51))</f>
        <v>2</v>
      </c>
      <c r="G51" s="851">
        <v>1.2</v>
      </c>
      <c r="H51" s="851">
        <v>0.8</v>
      </c>
      <c r="I51" s="851">
        <v>0.7</v>
      </c>
      <c r="J51" s="851">
        <v>0.6</v>
      </c>
      <c r="K51" s="385">
        <v>42</v>
      </c>
    </row>
    <row r="52" spans="1:11">
      <c r="A52" s="862">
        <v>22</v>
      </c>
      <c r="B52" s="850">
        <f>((A48-A52)*B58-(A58-A52)*B48)/((A48-A52)-(A58-A52))</f>
        <v>8.1800000000000015</v>
      </c>
      <c r="C52" s="850">
        <f>((B48-B52)*C58-(B58-B52)*C48)/((B48-B52)-(B58-B52))</f>
        <v>5.8000000000000016</v>
      </c>
      <c r="D52" s="850">
        <f>((C48-C52)*D58-(C58-C52)*D48)/((C48-C52)-(C58-C52))</f>
        <v>4.2200000000000015</v>
      </c>
      <c r="E52" s="850">
        <f>((D48-D52)*E58-(D58-D52)*E48)/((D48-D52)-(D58-D52))</f>
        <v>3.0800000000000014</v>
      </c>
      <c r="F52" s="850">
        <f>((E48-E52)*F58-(E58-E52)*F48)/((E48-E52)-(E58-E52))</f>
        <v>2</v>
      </c>
      <c r="G52" s="851">
        <v>1.2</v>
      </c>
      <c r="H52" s="851">
        <v>0.8</v>
      </c>
      <c r="I52" s="851">
        <v>0.7</v>
      </c>
      <c r="J52" s="851">
        <v>0.6</v>
      </c>
      <c r="K52" s="847">
        <v>43</v>
      </c>
    </row>
    <row r="53" spans="1:11">
      <c r="A53" s="862">
        <f>(A52+A54)/2</f>
        <v>22.5</v>
      </c>
      <c r="B53" s="850">
        <f>((A48-A53)*B58-(A58-A53)*B48)/((A48-A53)-(A58-A53))</f>
        <v>8.25</v>
      </c>
      <c r="C53" s="850">
        <f>((B48-B53)*C58-(B58-B53)*C48)/((B48-B53)-(B58-B53))</f>
        <v>5.85</v>
      </c>
      <c r="D53" s="850">
        <f>((C48-C53)*D58-(C58-C53)*D48)/((C48-C53)-(C58-C53))</f>
        <v>4.25</v>
      </c>
      <c r="E53" s="850">
        <f>((D48-D53)*E58-(D58-D53)*E48)/((D48-D53)-(D58-D53))</f>
        <v>3.0999999999999996</v>
      </c>
      <c r="F53" s="850">
        <f>((E48-E53)*F58-(E58-E53)*F48)/((E48-E53)-(E58-E53))</f>
        <v>2</v>
      </c>
      <c r="G53" s="851">
        <v>1.2</v>
      </c>
      <c r="H53" s="851">
        <v>0.8</v>
      </c>
      <c r="I53" s="851">
        <v>0.7</v>
      </c>
      <c r="J53" s="851">
        <v>0.6</v>
      </c>
      <c r="K53" s="385">
        <v>44</v>
      </c>
    </row>
    <row r="54" spans="1:11">
      <c r="A54" s="862">
        <v>23</v>
      </c>
      <c r="B54" s="850">
        <f>((A48-A54)*B58-(A58-A54)*B48)/((A48-A54)-(A58-A54))</f>
        <v>8.3199999999999985</v>
      </c>
      <c r="C54" s="850">
        <f>((B48-B54)*C58-(B58-B54)*C48)/((B48-B54)-(B58-B54))</f>
        <v>5.8999999999999995</v>
      </c>
      <c r="D54" s="850">
        <f>((C48-C54)*D58-(C58-C54)*D48)/((C48-C54)-(C58-C54))</f>
        <v>4.28</v>
      </c>
      <c r="E54" s="850">
        <f>((D48-D54)*E58-(D58-D54)*E48)/((D48-D54)-(D58-D54))</f>
        <v>3.12</v>
      </c>
      <c r="F54" s="850">
        <f>((E48-E54)*F58-(E58-E54)*F48)/((E48-E54)-(E58-E54))</f>
        <v>2</v>
      </c>
      <c r="G54" s="851">
        <v>1.2</v>
      </c>
      <c r="H54" s="851">
        <v>0.8</v>
      </c>
      <c r="I54" s="851">
        <v>0.7</v>
      </c>
      <c r="J54" s="851">
        <v>0.6</v>
      </c>
      <c r="K54" s="847">
        <v>45</v>
      </c>
    </row>
    <row r="55" spans="1:11">
      <c r="A55" s="862">
        <f>(A54+A56)/2</f>
        <v>23.5</v>
      </c>
      <c r="B55" s="850">
        <f>((A48-A55)*B58-(A58-A55)*B48)/((A48-A55)-(A58-A55))</f>
        <v>8.39</v>
      </c>
      <c r="C55" s="850">
        <f>((B48-B55)*C58-(B58-B55)*C48)/((B48-B55)-(B58-B55))</f>
        <v>5.95</v>
      </c>
      <c r="D55" s="850">
        <f>((C48-C55)*D58-(C58-C55)*D48)/((C48-C55)-(C58-C55))</f>
        <v>4.3100000000000005</v>
      </c>
      <c r="E55" s="850">
        <f>((D48-D55)*E58-(D58-D55)*E48)/((D48-D55)-(D58-D55))</f>
        <v>3.1400000000000006</v>
      </c>
      <c r="F55" s="850">
        <f>((E48-E55)*F58-(E58-E55)*F48)/((E48-E55)-(E58-E55))</f>
        <v>2</v>
      </c>
      <c r="G55" s="851">
        <v>1.2</v>
      </c>
      <c r="H55" s="851">
        <v>0.8</v>
      </c>
      <c r="I55" s="851">
        <v>0.7</v>
      </c>
      <c r="J55" s="851">
        <v>0.6</v>
      </c>
      <c r="K55" s="385">
        <v>46</v>
      </c>
    </row>
    <row r="56" spans="1:11">
      <c r="A56" s="862">
        <v>24</v>
      </c>
      <c r="B56" s="850">
        <f>((A48-A56)*B58-(A58-A56)*B48)/((A48-A56)-(A58-A56))</f>
        <v>8.4599999999999991</v>
      </c>
      <c r="C56" s="850">
        <f>((B48-B56)*C58-(B58-B56)*C48)/((B48-B56)-(B58-B56))</f>
        <v>5.9999999999999991</v>
      </c>
      <c r="D56" s="850">
        <f>((C48-C56)*D58-(C58-C56)*D48)/((C48-C56)-(C58-C56))</f>
        <v>4.34</v>
      </c>
      <c r="E56" s="850">
        <f>((D48-D56)*E58-(D58-D56)*E48)/((D48-D56)-(D58-D56))</f>
        <v>3.1599999999999997</v>
      </c>
      <c r="F56" s="850">
        <f>((E48-E56)*F58-(E58-E56)*F48)/((E48-E56)-(E58-E56))</f>
        <v>2</v>
      </c>
      <c r="G56" s="851">
        <v>1.2</v>
      </c>
      <c r="H56" s="851">
        <v>0.8</v>
      </c>
      <c r="I56" s="851">
        <v>0.7</v>
      </c>
      <c r="J56" s="851">
        <v>0.6</v>
      </c>
      <c r="K56" s="847">
        <v>47</v>
      </c>
    </row>
    <row r="57" spans="1:11">
      <c r="A57" s="862">
        <f>(A56+A58)/2</f>
        <v>24.5</v>
      </c>
      <c r="B57" s="850">
        <f>((A48-A57)*B58-(A58-A57)*B48)/((A48-A57)-(A58-A57))</f>
        <v>8.5299999999999994</v>
      </c>
      <c r="C57" s="850">
        <f>((B48-B57)*C58-(B58-B57)*C48)/((B48-B57)-(B58-B57))</f>
        <v>6.0499999999999989</v>
      </c>
      <c r="D57" s="850">
        <f>((C48-C57)*D58-(C58-C57)*D48)/((C48-C57)-(C58-C57))</f>
        <v>4.37</v>
      </c>
      <c r="E57" s="850">
        <f>((D48-D57)*E58-(D58-D57)*E48)/((D48-D57)-(D58-D57))</f>
        <v>3.18</v>
      </c>
      <c r="F57" s="850">
        <f>((E48-E57)*F58-(E58-E57)*F48)/((E48-E57)-(E58-E57))</f>
        <v>2</v>
      </c>
      <c r="G57" s="851">
        <v>1.2</v>
      </c>
      <c r="H57" s="851">
        <v>0.8</v>
      </c>
      <c r="I57" s="851">
        <v>0.7</v>
      </c>
      <c r="J57" s="851">
        <v>0.6</v>
      </c>
      <c r="K57" s="385">
        <v>48</v>
      </c>
    </row>
    <row r="58" spans="1:11">
      <c r="A58" s="863">
        <v>25</v>
      </c>
      <c r="B58" s="846">
        <v>8.6</v>
      </c>
      <c r="C58" s="846">
        <v>6.1</v>
      </c>
      <c r="D58" s="847">
        <v>4.4000000000000004</v>
      </c>
      <c r="E58" s="847">
        <v>3.2</v>
      </c>
      <c r="F58" s="847">
        <v>2</v>
      </c>
      <c r="G58" s="847">
        <v>1.2</v>
      </c>
      <c r="H58" s="847">
        <v>0.8</v>
      </c>
      <c r="I58" s="848">
        <v>0.7</v>
      </c>
      <c r="J58" s="848">
        <v>0.6</v>
      </c>
      <c r="K58" s="847">
        <v>49</v>
      </c>
    </row>
    <row r="59" spans="1:11">
      <c r="A59" s="862">
        <f>(A58+A60)/2</f>
        <v>25.5</v>
      </c>
      <c r="B59" s="850">
        <f t="shared" ref="B59:G59" si="17">((A58-A59)*B68-(A68-A59)*B58)/((A58-A59)-(A68-A59))</f>
        <v>8.6699999999999982</v>
      </c>
      <c r="C59" s="850">
        <f t="shared" si="17"/>
        <v>6.1499999999999995</v>
      </c>
      <c r="D59" s="850">
        <f t="shared" si="17"/>
        <v>4.43</v>
      </c>
      <c r="E59" s="850">
        <f t="shared" si="17"/>
        <v>3.2199999999999998</v>
      </c>
      <c r="F59" s="850">
        <f t="shared" si="17"/>
        <v>2.0099999999999998</v>
      </c>
      <c r="G59" s="850">
        <f t="shared" si="17"/>
        <v>1.2</v>
      </c>
      <c r="H59" s="851">
        <v>0.81</v>
      </c>
      <c r="I59" s="851">
        <v>0.71</v>
      </c>
      <c r="J59" s="851">
        <v>0.61</v>
      </c>
      <c r="K59" s="385">
        <v>50</v>
      </c>
    </row>
    <row r="60" spans="1:11">
      <c r="A60" s="862">
        <v>26</v>
      </c>
      <c r="B60" s="850">
        <f t="shared" ref="B60:G60" si="18">((A58-A60)*B68-(A68-A60)*B58)/((A58-A60)-(A68-A60))</f>
        <v>8.74</v>
      </c>
      <c r="C60" s="850">
        <f t="shared" si="18"/>
        <v>6.2</v>
      </c>
      <c r="D60" s="850">
        <f t="shared" si="18"/>
        <v>4.4600000000000009</v>
      </c>
      <c r="E60" s="850">
        <f t="shared" si="18"/>
        <v>3.24</v>
      </c>
      <c r="F60" s="850">
        <f t="shared" si="18"/>
        <v>2.02</v>
      </c>
      <c r="G60" s="850">
        <f t="shared" si="18"/>
        <v>1.2</v>
      </c>
      <c r="H60" s="851">
        <v>0.82</v>
      </c>
      <c r="I60" s="851">
        <v>0.72</v>
      </c>
      <c r="J60" s="851">
        <v>0.62</v>
      </c>
      <c r="K60" s="847">
        <v>51</v>
      </c>
    </row>
    <row r="61" spans="1:11">
      <c r="A61" s="862">
        <f>(A60+A62)/2</f>
        <v>26.5</v>
      </c>
      <c r="B61" s="850">
        <f t="shared" ref="B61:G61" si="19">((A58-A61)*B68-(A68-A61)*B58)/((A58-A61)-(A68-A61))</f>
        <v>8.8099999999999987</v>
      </c>
      <c r="C61" s="850">
        <f t="shared" si="19"/>
        <v>6.2499999999999982</v>
      </c>
      <c r="D61" s="850">
        <f t="shared" si="19"/>
        <v>4.4899999999999993</v>
      </c>
      <c r="E61" s="850">
        <f t="shared" si="19"/>
        <v>3.26</v>
      </c>
      <c r="F61" s="850">
        <f t="shared" si="19"/>
        <v>2.0300000000000002</v>
      </c>
      <c r="G61" s="850">
        <f t="shared" si="19"/>
        <v>1.2</v>
      </c>
      <c r="H61" s="851">
        <v>0.83</v>
      </c>
      <c r="I61" s="851">
        <v>0.73</v>
      </c>
      <c r="J61" s="851">
        <v>0.63</v>
      </c>
      <c r="K61" s="385">
        <v>52</v>
      </c>
    </row>
    <row r="62" spans="1:11">
      <c r="A62" s="862">
        <v>27</v>
      </c>
      <c r="B62" s="850">
        <f t="shared" ref="B62:G62" si="20">((A58-A62)*B68-(A68-A62)*B58)/((A58-A62)-(A68-A62))</f>
        <v>8.879999999999999</v>
      </c>
      <c r="C62" s="850">
        <f t="shared" si="20"/>
        <v>6.299999999999998</v>
      </c>
      <c r="D62" s="850">
        <f t="shared" si="20"/>
        <v>4.5199999999999996</v>
      </c>
      <c r="E62" s="850">
        <f t="shared" si="20"/>
        <v>3.28</v>
      </c>
      <c r="F62" s="850">
        <f t="shared" si="20"/>
        <v>2.04</v>
      </c>
      <c r="G62" s="850">
        <f t="shared" si="20"/>
        <v>1.2</v>
      </c>
      <c r="H62" s="851">
        <v>0.84</v>
      </c>
      <c r="I62" s="851">
        <v>0.74</v>
      </c>
      <c r="J62" s="851">
        <v>0.64</v>
      </c>
      <c r="K62" s="847">
        <v>53</v>
      </c>
    </row>
    <row r="63" spans="1:11">
      <c r="A63" s="862">
        <f>(A62+A64)/2</f>
        <v>27.5</v>
      </c>
      <c r="B63" s="850">
        <f t="shared" ref="B63:G63" si="21">((A58-A63)*B68-(A68-A63)*B58)/((A58-A63)-(A68-A63))</f>
        <v>8.9499999999999993</v>
      </c>
      <c r="C63" s="850">
        <f t="shared" si="21"/>
        <v>6.3499999999999988</v>
      </c>
      <c r="D63" s="850">
        <f t="shared" si="21"/>
        <v>4.55</v>
      </c>
      <c r="E63" s="850">
        <f t="shared" si="21"/>
        <v>3.3</v>
      </c>
      <c r="F63" s="850">
        <f t="shared" si="21"/>
        <v>2.0500000000000003</v>
      </c>
      <c r="G63" s="850">
        <f t="shared" si="21"/>
        <v>1.2</v>
      </c>
      <c r="H63" s="851">
        <v>0.85</v>
      </c>
      <c r="I63" s="851">
        <v>0.75</v>
      </c>
      <c r="J63" s="851">
        <v>0.65</v>
      </c>
      <c r="K63" s="385">
        <v>54</v>
      </c>
    </row>
    <row r="64" spans="1:11">
      <c r="A64" s="862">
        <v>28</v>
      </c>
      <c r="B64" s="850">
        <f t="shared" ref="B64:G64" si="22">((A58-A64)*B68-(A68-A64)*B58)/((A58-A64)-(A68-A64))</f>
        <v>9.02</v>
      </c>
      <c r="C64" s="850">
        <f t="shared" si="22"/>
        <v>6.3999999999999986</v>
      </c>
      <c r="D64" s="850">
        <f t="shared" si="22"/>
        <v>4.58</v>
      </c>
      <c r="E64" s="850">
        <f t="shared" si="22"/>
        <v>3.32</v>
      </c>
      <c r="F64" s="850">
        <f t="shared" si="22"/>
        <v>2.06</v>
      </c>
      <c r="G64" s="850">
        <f t="shared" si="22"/>
        <v>1.2</v>
      </c>
      <c r="H64" s="851">
        <v>0.86</v>
      </c>
      <c r="I64" s="851">
        <v>0.76</v>
      </c>
      <c r="J64" s="851">
        <v>0.66</v>
      </c>
      <c r="K64" s="847">
        <v>55</v>
      </c>
    </row>
    <row r="65" spans="1:11">
      <c r="A65" s="862">
        <f>(A64+A66)/2</f>
        <v>28.5</v>
      </c>
      <c r="B65" s="850">
        <f t="shared" ref="B65:G65" si="23">((A58-A65)*B68-(A68-A65)*B58)/((A58-A65)-(A68-A65))</f>
        <v>9.09</v>
      </c>
      <c r="C65" s="850">
        <f t="shared" si="23"/>
        <v>6.4499999999999984</v>
      </c>
      <c r="D65" s="850">
        <f t="shared" si="23"/>
        <v>4.6099999999999994</v>
      </c>
      <c r="E65" s="850">
        <f t="shared" si="23"/>
        <v>3.34</v>
      </c>
      <c r="F65" s="850">
        <f t="shared" si="23"/>
        <v>2.0699999999999998</v>
      </c>
      <c r="G65" s="850">
        <f t="shared" si="23"/>
        <v>1.2</v>
      </c>
      <c r="H65" s="851">
        <v>0.87</v>
      </c>
      <c r="I65" s="851">
        <v>0.77</v>
      </c>
      <c r="J65" s="851">
        <v>0.67</v>
      </c>
      <c r="K65" s="385">
        <v>56</v>
      </c>
    </row>
    <row r="66" spans="1:11">
      <c r="A66" s="862">
        <v>29</v>
      </c>
      <c r="B66" s="850">
        <f t="shared" ref="B66:G66" si="24">((A58-A66)*B68-(A68-A66)*B58)/((A58-A66)-(A68-A66))</f>
        <v>9.16</v>
      </c>
      <c r="C66" s="850">
        <f t="shared" si="24"/>
        <v>6.5</v>
      </c>
      <c r="D66" s="850">
        <f t="shared" si="24"/>
        <v>4.6400000000000006</v>
      </c>
      <c r="E66" s="850">
        <f t="shared" si="24"/>
        <v>3.3600000000000003</v>
      </c>
      <c r="F66" s="850">
        <f t="shared" si="24"/>
        <v>2.08</v>
      </c>
      <c r="G66" s="850">
        <f t="shared" si="24"/>
        <v>1.2</v>
      </c>
      <c r="H66" s="851">
        <v>0.88</v>
      </c>
      <c r="I66" s="851">
        <v>0.78</v>
      </c>
      <c r="J66" s="851">
        <v>0.68</v>
      </c>
      <c r="K66" s="847">
        <v>57</v>
      </c>
    </row>
    <row r="67" spans="1:11">
      <c r="A67" s="862">
        <f>(A66+A68)/2</f>
        <v>29.5</v>
      </c>
      <c r="B67" s="850">
        <f t="shared" ref="B67:G67" si="25">((A58-A67)*B68-(A68-A67)*B58)/((A58-A67)-(A68-A67))</f>
        <v>9.23</v>
      </c>
      <c r="C67" s="850">
        <f t="shared" si="25"/>
        <v>6.5499999999999989</v>
      </c>
      <c r="D67" s="850">
        <f t="shared" si="25"/>
        <v>4.67</v>
      </c>
      <c r="E67" s="850">
        <f t="shared" si="25"/>
        <v>3.38</v>
      </c>
      <c r="F67" s="850">
        <f t="shared" si="25"/>
        <v>2.09</v>
      </c>
      <c r="G67" s="850">
        <f t="shared" si="25"/>
        <v>1.2</v>
      </c>
      <c r="H67" s="851">
        <v>0.89</v>
      </c>
      <c r="I67" s="851">
        <v>0.79</v>
      </c>
      <c r="J67" s="851">
        <v>0.69</v>
      </c>
      <c r="K67" s="385">
        <v>58</v>
      </c>
    </row>
    <row r="68" spans="1:11">
      <c r="A68" s="863">
        <v>30</v>
      </c>
      <c r="B68" s="846">
        <v>9.3000000000000007</v>
      </c>
      <c r="C68" s="846">
        <v>6.6</v>
      </c>
      <c r="D68" s="847">
        <v>4.7</v>
      </c>
      <c r="E68" s="847">
        <v>3.4</v>
      </c>
      <c r="F68" s="847">
        <v>2.1</v>
      </c>
      <c r="G68" s="847">
        <v>1.2</v>
      </c>
      <c r="H68" s="847">
        <v>0.9</v>
      </c>
      <c r="I68" s="848">
        <v>0.8</v>
      </c>
      <c r="J68" s="848">
        <v>0.7</v>
      </c>
      <c r="K68" s="847">
        <v>59</v>
      </c>
    </row>
    <row r="69" spans="1:11">
      <c r="A69" s="862">
        <f>(A68+A70)/2</f>
        <v>30.5</v>
      </c>
      <c r="B69" s="850">
        <f>((A68-A69)*B78-(A78-A69)*B68)/((A68-A69)-(A78-A69))</f>
        <v>9.370000000000001</v>
      </c>
      <c r="C69" s="850">
        <f t="shared" ref="C69:H69" si="26">((B68-B69)*C78-(B78-B69)*C68)/((B68-B69)-(B78-B69))</f>
        <v>6.64</v>
      </c>
      <c r="D69" s="850">
        <f t="shared" si="26"/>
        <v>4.7300000000000004</v>
      </c>
      <c r="E69" s="850">
        <f t="shared" si="26"/>
        <v>3.42</v>
      </c>
      <c r="F69" s="850">
        <f t="shared" si="26"/>
        <v>2.11</v>
      </c>
      <c r="G69" s="850">
        <f t="shared" si="26"/>
        <v>1.2099999999999997</v>
      </c>
      <c r="H69" s="850">
        <f t="shared" si="26"/>
        <v>0.90000000000000013</v>
      </c>
      <c r="I69" s="851">
        <v>0.8</v>
      </c>
      <c r="J69" s="851">
        <v>0.7</v>
      </c>
      <c r="K69" s="385">
        <v>60</v>
      </c>
    </row>
    <row r="70" spans="1:11">
      <c r="A70" s="862">
        <v>31</v>
      </c>
      <c r="B70" s="850">
        <f>((A68-A70)*B78-(A78-A70)*B68)/((A68-A70)-(A78-A70))</f>
        <v>9.4400000000000013</v>
      </c>
      <c r="C70" s="850">
        <f t="shared" ref="C70:H70" si="27">((B68-B70)*C78-(B78-B70)*C68)/((B68-B70)-(B78-B70))</f>
        <v>6.68</v>
      </c>
      <c r="D70" s="850">
        <f t="shared" si="27"/>
        <v>4.76</v>
      </c>
      <c r="E70" s="850">
        <f t="shared" si="27"/>
        <v>3.44</v>
      </c>
      <c r="F70" s="850">
        <f t="shared" si="27"/>
        <v>2.12</v>
      </c>
      <c r="G70" s="850">
        <f t="shared" si="27"/>
        <v>1.22</v>
      </c>
      <c r="H70" s="850">
        <f t="shared" si="27"/>
        <v>0.9</v>
      </c>
      <c r="I70" s="851">
        <v>0.8</v>
      </c>
      <c r="J70" s="851">
        <v>0.7</v>
      </c>
      <c r="K70" s="847">
        <v>61</v>
      </c>
    </row>
    <row r="71" spans="1:11">
      <c r="A71" s="862">
        <f>(A70+A72)/2</f>
        <v>31.5</v>
      </c>
      <c r="B71" s="850">
        <f>((A68-A71)*B78-(A78-A71)*B68)/((A68-A71)-(A78-A71))</f>
        <v>9.5100000000000016</v>
      </c>
      <c r="C71" s="850">
        <f t="shared" ref="C71:H71" si="28">((B68-B71)*C78-(B78-B71)*C68)/((B68-B71)-(B78-B71))</f>
        <v>6.72</v>
      </c>
      <c r="D71" s="850">
        <f t="shared" si="28"/>
        <v>4.79</v>
      </c>
      <c r="E71" s="850">
        <f t="shared" si="28"/>
        <v>3.46</v>
      </c>
      <c r="F71" s="850">
        <f t="shared" si="28"/>
        <v>2.13</v>
      </c>
      <c r="G71" s="850">
        <f t="shared" si="28"/>
        <v>1.2299999999999998</v>
      </c>
      <c r="H71" s="850">
        <f t="shared" si="28"/>
        <v>0.90000000000000013</v>
      </c>
      <c r="I71" s="851">
        <v>0.8</v>
      </c>
      <c r="J71" s="851">
        <v>0.7</v>
      </c>
      <c r="K71" s="385">
        <v>62</v>
      </c>
    </row>
    <row r="72" spans="1:11">
      <c r="A72" s="862">
        <v>32</v>
      </c>
      <c r="B72" s="850">
        <f>((A68-A72)*B78-(A78-A72)*B68)/((A68-A72)-(A78-A72))</f>
        <v>9.5800000000000018</v>
      </c>
      <c r="C72" s="850">
        <f t="shared" ref="C72:H72" si="29">((B68-B72)*C78-(B78-B72)*C68)/((B68-B72)-(B78-B72))</f>
        <v>6.7600000000000007</v>
      </c>
      <c r="D72" s="850">
        <f t="shared" si="29"/>
        <v>4.82</v>
      </c>
      <c r="E72" s="850">
        <f t="shared" si="29"/>
        <v>3.48</v>
      </c>
      <c r="F72" s="850">
        <f t="shared" si="29"/>
        <v>2.14</v>
      </c>
      <c r="G72" s="850">
        <f t="shared" si="29"/>
        <v>1.24</v>
      </c>
      <c r="H72" s="850">
        <f t="shared" si="29"/>
        <v>0.9</v>
      </c>
      <c r="I72" s="851">
        <v>0.8</v>
      </c>
      <c r="J72" s="851">
        <v>0.7</v>
      </c>
      <c r="K72" s="847">
        <v>63</v>
      </c>
    </row>
    <row r="73" spans="1:11">
      <c r="A73" s="862">
        <f>(A72+A74)/2</f>
        <v>32.5</v>
      </c>
      <c r="B73" s="850">
        <f>((A68-A73)*B78-(A78-A73)*B68)/((A68-A73)-(A78-A73))</f>
        <v>9.65</v>
      </c>
      <c r="C73" s="850">
        <f t="shared" ref="C73:H73" si="30">((B68-B73)*C78-(B78-B73)*C68)/((B68-B73)-(B78-B73))</f>
        <v>6.7999999999999989</v>
      </c>
      <c r="D73" s="850">
        <f t="shared" si="30"/>
        <v>4.8499999999999996</v>
      </c>
      <c r="E73" s="850">
        <f t="shared" si="30"/>
        <v>3.5</v>
      </c>
      <c r="F73" s="850">
        <f t="shared" si="30"/>
        <v>2.15</v>
      </c>
      <c r="G73" s="850">
        <f t="shared" si="30"/>
        <v>1.2499999999999998</v>
      </c>
      <c r="H73" s="850">
        <f t="shared" si="30"/>
        <v>0.9</v>
      </c>
      <c r="I73" s="851">
        <v>0.8</v>
      </c>
      <c r="J73" s="851">
        <v>0.7</v>
      </c>
      <c r="K73" s="385">
        <v>64</v>
      </c>
    </row>
    <row r="74" spans="1:11">
      <c r="A74" s="862">
        <v>33</v>
      </c>
      <c r="B74" s="850">
        <f>((A68-A74)*B78-(A78-A74)*B68)/((A68-A74)-(A78-A74))</f>
        <v>9.7200000000000006</v>
      </c>
      <c r="C74" s="850">
        <f t="shared" ref="C74:H74" si="31">((B68-B74)*C78-(B78-B74)*C68)/((B68-B74)-(B78-B74))</f>
        <v>6.84</v>
      </c>
      <c r="D74" s="850">
        <f t="shared" si="31"/>
        <v>4.88</v>
      </c>
      <c r="E74" s="850">
        <f t="shared" si="31"/>
        <v>3.52</v>
      </c>
      <c r="F74" s="850">
        <f t="shared" si="31"/>
        <v>2.16</v>
      </c>
      <c r="G74" s="850">
        <f t="shared" si="31"/>
        <v>1.26</v>
      </c>
      <c r="H74" s="850">
        <f t="shared" si="31"/>
        <v>0.9</v>
      </c>
      <c r="I74" s="851">
        <v>0.8</v>
      </c>
      <c r="J74" s="851">
        <v>0.7</v>
      </c>
      <c r="K74" s="847">
        <v>65</v>
      </c>
    </row>
    <row r="75" spans="1:11">
      <c r="A75" s="862">
        <f>(A74+A76)/2</f>
        <v>33.5</v>
      </c>
      <c r="B75" s="850">
        <f>((A68-A75)*B78-(A78-A75)*B68)/((A68-A75)-(A78-A75))</f>
        <v>9.7900000000000009</v>
      </c>
      <c r="C75" s="850">
        <f t="shared" ref="C75:H75" si="32">((B68-B75)*C78-(B78-B75)*C68)/((B68-B75)-(B78-B75))</f>
        <v>6.8800000000000008</v>
      </c>
      <c r="D75" s="850">
        <f t="shared" si="32"/>
        <v>4.910000000000001</v>
      </c>
      <c r="E75" s="850">
        <f t="shared" si="32"/>
        <v>3.5400000000000009</v>
      </c>
      <c r="F75" s="850">
        <f t="shared" si="32"/>
        <v>2.1700000000000004</v>
      </c>
      <c r="G75" s="850">
        <f t="shared" si="32"/>
        <v>1.2700000000000002</v>
      </c>
      <c r="H75" s="850">
        <f t="shared" si="32"/>
        <v>0.90000000000000013</v>
      </c>
      <c r="I75" s="851">
        <v>0.8</v>
      </c>
      <c r="J75" s="851">
        <v>0.7</v>
      </c>
      <c r="K75" s="385">
        <v>66</v>
      </c>
    </row>
    <row r="76" spans="1:11">
      <c r="A76" s="862">
        <v>34</v>
      </c>
      <c r="B76" s="850">
        <f>((A68-A76)*B78-(A78-A76)*B68)/((A68-A76)-(A78-A76))</f>
        <v>9.86</v>
      </c>
      <c r="C76" s="850">
        <f t="shared" ref="C76:H76" si="33">((B68-B76)*C78-(B78-B76)*C68)/((B68-B76)-(B78-B76))</f>
        <v>6.92</v>
      </c>
      <c r="D76" s="850">
        <f t="shared" si="33"/>
        <v>4.9400000000000004</v>
      </c>
      <c r="E76" s="850">
        <f t="shared" si="33"/>
        <v>3.56</v>
      </c>
      <c r="F76" s="850">
        <f t="shared" si="33"/>
        <v>2.1800000000000002</v>
      </c>
      <c r="G76" s="850">
        <f t="shared" si="33"/>
        <v>1.28</v>
      </c>
      <c r="H76" s="850">
        <f t="shared" si="33"/>
        <v>0.9</v>
      </c>
      <c r="I76" s="851">
        <v>0.8</v>
      </c>
      <c r="J76" s="851">
        <v>0.7</v>
      </c>
      <c r="K76" s="847">
        <v>67</v>
      </c>
    </row>
    <row r="77" spans="1:11">
      <c r="A77" s="862">
        <f>(A76+A78)/2</f>
        <v>34.5</v>
      </c>
      <c r="B77" s="850">
        <f>((A68-A77)*B78-(A78-A77)*B68)/((A68-A77)-(A78-A77))</f>
        <v>9.93</v>
      </c>
      <c r="C77" s="850">
        <f t="shared" ref="C77:H77" si="34">((B68-B77)*C78-(B78-B77)*C68)/((B68-B77)-(B78-B77))</f>
        <v>6.9599999999999991</v>
      </c>
      <c r="D77" s="850">
        <f t="shared" si="34"/>
        <v>4.97</v>
      </c>
      <c r="E77" s="850">
        <f t="shared" si="34"/>
        <v>3.58</v>
      </c>
      <c r="F77" s="850">
        <f t="shared" si="34"/>
        <v>2.1900000000000004</v>
      </c>
      <c r="G77" s="850">
        <f t="shared" si="34"/>
        <v>1.2900000000000003</v>
      </c>
      <c r="H77" s="850">
        <f t="shared" si="34"/>
        <v>0.90000000000000013</v>
      </c>
      <c r="I77" s="851">
        <v>0.8</v>
      </c>
      <c r="J77" s="851">
        <v>0.7</v>
      </c>
      <c r="K77" s="385">
        <v>68</v>
      </c>
    </row>
    <row r="78" spans="1:11">
      <c r="A78" s="864">
        <v>35</v>
      </c>
      <c r="B78" s="852">
        <v>10</v>
      </c>
      <c r="C78" s="853">
        <v>7</v>
      </c>
      <c r="D78" s="854">
        <v>5</v>
      </c>
      <c r="E78" s="855">
        <v>3.6</v>
      </c>
      <c r="F78" s="854">
        <v>2.2000000000000002</v>
      </c>
      <c r="G78" s="854">
        <v>1.3</v>
      </c>
      <c r="H78" s="854">
        <v>0.9</v>
      </c>
      <c r="I78" s="854">
        <v>0.8</v>
      </c>
      <c r="J78" s="854">
        <v>0.7</v>
      </c>
      <c r="K78" s="847">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26"/>
  <sheetViews>
    <sheetView tabSelected="1" zoomScaleNormal="100" workbookViewId="0">
      <selection activeCell="AO37" sqref="AO37"/>
    </sheetView>
  </sheetViews>
  <sheetFormatPr defaultRowHeight="14"/>
  <cols>
    <col min="5" max="5" width="11.6640625" bestFit="1" customWidth="1"/>
    <col min="11" max="14" width="0" hidden="1" customWidth="1"/>
    <col min="15" max="15" width="9.6640625" hidden="1" customWidth="1"/>
    <col min="16" max="29" width="0" hidden="1" customWidth="1"/>
  </cols>
  <sheetData>
    <row r="1" spans="1:68" ht="25.5">
      <c r="A1" s="1071" t="s">
        <v>1174</v>
      </c>
      <c r="B1" s="1070"/>
      <c r="C1" s="1070"/>
      <c r="D1" s="1070"/>
      <c r="E1" s="1070"/>
      <c r="F1" s="1070"/>
      <c r="G1" s="1070"/>
      <c r="H1" s="1070"/>
      <c r="I1" s="732"/>
      <c r="J1" s="732"/>
      <c r="K1" s="733"/>
      <c r="L1" s="733"/>
      <c r="M1" s="734"/>
      <c r="N1" s="735"/>
      <c r="O1" s="735"/>
      <c r="P1" s="734"/>
      <c r="Q1" s="734"/>
      <c r="R1" s="736"/>
      <c r="S1" s="736"/>
      <c r="T1" s="737"/>
      <c r="U1" s="737"/>
      <c r="V1" s="738"/>
      <c r="W1" s="738"/>
      <c r="X1" s="739"/>
      <c r="Y1" s="739" t="s">
        <v>630</v>
      </c>
      <c r="Z1" s="739" t="s">
        <v>682</v>
      </c>
      <c r="AA1" s="739" t="s">
        <v>513</v>
      </c>
      <c r="AB1" s="739" t="s">
        <v>516</v>
      </c>
      <c r="AC1" s="739" t="s">
        <v>1175</v>
      </c>
      <c r="AD1" s="739" t="s">
        <v>1119</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1176</v>
      </c>
      <c r="B2" s="734"/>
      <c r="C2" s="778">
        <f>TH!C21</f>
        <v>15</v>
      </c>
      <c r="D2" s="742" t="s">
        <v>1177</v>
      </c>
      <c r="E2" s="743">
        <f>TH!B22</f>
        <v>8.5</v>
      </c>
      <c r="F2" s="744" t="s">
        <v>237</v>
      </c>
      <c r="G2" s="745" t="s">
        <v>1178</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1179</v>
      </c>
      <c r="B3" s="750"/>
      <c r="C3" s="751" t="s">
        <v>382</v>
      </c>
      <c r="D3" s="752" t="s">
        <v>1180</v>
      </c>
      <c r="E3" s="753">
        <f>TH!B31</f>
        <v>280</v>
      </c>
      <c r="F3" s="744" t="s">
        <v>237</v>
      </c>
      <c r="G3" s="1072" t="s">
        <v>1181</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1182</v>
      </c>
      <c r="B4" s="750"/>
      <c r="C4" s="751">
        <v>1</v>
      </c>
      <c r="D4" s="763" t="s">
        <v>1183</v>
      </c>
      <c r="E4" s="794">
        <f>TH!B24</f>
        <v>23000</v>
      </c>
      <c r="F4" s="764" t="s">
        <v>237</v>
      </c>
      <c r="G4" s="1070"/>
      <c r="H4" s="765">
        <f>E5/E4</f>
        <v>9.1304347826086953</v>
      </c>
      <c r="I4" s="750"/>
      <c r="J4" s="750"/>
      <c r="K4" s="750"/>
      <c r="L4" s="750"/>
      <c r="M4" s="750"/>
      <c r="N4" s="750"/>
      <c r="O4" s="750"/>
      <c r="P4" s="755"/>
      <c r="Q4" s="755"/>
      <c r="R4" s="750"/>
      <c r="S4" s="750"/>
      <c r="T4" s="756"/>
      <c r="U4" s="756"/>
      <c r="V4" s="1073" t="s">
        <v>1184</v>
      </c>
      <c r="W4" s="1070"/>
      <c r="X4" s="750"/>
      <c r="Y4" s="766">
        <v>122.4</v>
      </c>
      <c r="Z4" s="766">
        <v>205.40291959999999</v>
      </c>
      <c r="AA4" s="766">
        <v>86.346465191581217</v>
      </c>
      <c r="AB4" s="766">
        <v>260</v>
      </c>
      <c r="AC4" s="766">
        <v>2800</v>
      </c>
      <c r="AD4" s="1069" t="s">
        <v>1185</v>
      </c>
      <c r="AE4" s="1070"/>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1186</v>
      </c>
      <c r="E5" s="794">
        <f>TH!B33</f>
        <v>210000</v>
      </c>
      <c r="F5" s="764" t="s">
        <v>237</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1187</v>
      </c>
      <c r="B6" s="772"/>
      <c r="C6" s="772"/>
      <c r="D6" s="773"/>
      <c r="E6" s="771" t="s">
        <v>1188</v>
      </c>
      <c r="F6" s="774"/>
      <c r="G6" s="774"/>
      <c r="H6" s="774"/>
      <c r="I6" s="774"/>
      <c r="J6" s="774"/>
      <c r="K6" s="774"/>
      <c r="L6" s="774"/>
      <c r="M6" s="774" t="s">
        <v>1124</v>
      </c>
      <c r="N6" s="774" t="s">
        <v>1189</v>
      </c>
      <c r="O6" s="774" t="s">
        <v>1127</v>
      </c>
      <c r="Q6" s="774"/>
      <c r="R6" s="775"/>
      <c r="S6" s="775"/>
      <c r="T6" s="776"/>
      <c r="U6" s="774"/>
      <c r="V6" s="774" t="s">
        <v>682</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77" t="s">
        <v>1129</v>
      </c>
      <c r="B7" s="1058" t="s">
        <v>1130</v>
      </c>
      <c r="C7" s="1058"/>
      <c r="D7" s="1058"/>
      <c r="E7" s="1059"/>
      <c r="F7" s="1060" t="s">
        <v>1131</v>
      </c>
      <c r="G7" s="1063" t="s">
        <v>242</v>
      </c>
      <c r="H7" s="1063" t="s">
        <v>958</v>
      </c>
      <c r="I7" s="1063" t="s">
        <v>1132</v>
      </c>
      <c r="J7" s="1065" t="s">
        <v>1133</v>
      </c>
      <c r="K7" s="1063" t="s">
        <v>1134</v>
      </c>
      <c r="L7" s="1063" t="s">
        <v>1135</v>
      </c>
      <c r="M7" s="1067" t="s">
        <v>1136</v>
      </c>
      <c r="N7" s="1067" t="s">
        <v>1137</v>
      </c>
      <c r="O7" s="1067" t="s">
        <v>1138</v>
      </c>
      <c r="P7" s="1060" t="s">
        <v>1139</v>
      </c>
      <c r="Q7" s="1060" t="s">
        <v>1140</v>
      </c>
      <c r="R7" s="1060" t="s">
        <v>1141</v>
      </c>
      <c r="S7" s="1060" t="s">
        <v>1142</v>
      </c>
      <c r="T7" s="1074" t="s">
        <v>1143</v>
      </c>
      <c r="U7" s="1074" t="s">
        <v>1144</v>
      </c>
      <c r="V7" s="1060" t="s">
        <v>1145</v>
      </c>
      <c r="W7" s="1060" t="s">
        <v>1146</v>
      </c>
      <c r="X7" s="1060" t="s">
        <v>1147</v>
      </c>
      <c r="Y7" s="1060" t="s">
        <v>1148</v>
      </c>
      <c r="Z7" s="1060" t="s">
        <v>1149</v>
      </c>
      <c r="AA7" s="1060" t="s">
        <v>1150</v>
      </c>
      <c r="AB7" s="1060" t="s">
        <v>1151</v>
      </c>
      <c r="AC7" s="1060" t="s">
        <v>1152</v>
      </c>
      <c r="AD7" s="1057" t="s">
        <v>1153</v>
      </c>
      <c r="AE7" s="1059"/>
      <c r="AF7" s="1057" t="s">
        <v>1154</v>
      </c>
      <c r="AG7" s="1058"/>
      <c r="AH7" s="1058"/>
      <c r="AI7" s="1059"/>
      <c r="AJ7" s="1057" t="s">
        <v>1155</v>
      </c>
      <c r="AK7" s="1058"/>
      <c r="AL7" s="1058"/>
      <c r="AM7" s="1058"/>
      <c r="AN7" s="1058"/>
      <c r="AO7" s="1058"/>
      <c r="AP7" s="1059"/>
    </row>
    <row r="8" spans="1:68" ht="16.5" customHeight="1" thickBot="1">
      <c r="A8" s="1078"/>
      <c r="B8" s="716" t="s">
        <v>1156</v>
      </c>
      <c r="C8" s="716" t="s">
        <v>1157</v>
      </c>
      <c r="D8" s="716" t="s">
        <v>1158</v>
      </c>
      <c r="E8" s="716" t="s">
        <v>1159</v>
      </c>
      <c r="F8" s="1061"/>
      <c r="G8" s="1064"/>
      <c r="H8" s="1064"/>
      <c r="I8" s="1064"/>
      <c r="J8" s="1066"/>
      <c r="K8" s="1064"/>
      <c r="L8" s="1064"/>
      <c r="M8" s="1068"/>
      <c r="N8" s="1068"/>
      <c r="O8" s="1068"/>
      <c r="P8" s="1061"/>
      <c r="Q8" s="1061"/>
      <c r="R8" s="1061"/>
      <c r="S8" s="1061"/>
      <c r="T8" s="1075"/>
      <c r="U8" s="1075"/>
      <c r="V8" s="1061"/>
      <c r="W8" s="1061"/>
      <c r="X8" s="1061"/>
      <c r="Y8" s="1061"/>
      <c r="Z8" s="1061"/>
      <c r="AA8" s="1061"/>
      <c r="AB8" s="1061"/>
      <c r="AC8" s="1061"/>
      <c r="AD8" s="1060" t="s">
        <v>1160</v>
      </c>
      <c r="AE8" s="1060" t="s">
        <v>1161</v>
      </c>
      <c r="AF8" s="1057" t="s">
        <v>1162</v>
      </c>
      <c r="AG8" s="1059"/>
      <c r="AH8" s="1057" t="s">
        <v>1163</v>
      </c>
      <c r="AI8" s="1059"/>
      <c r="AJ8" s="716" t="s">
        <v>1164</v>
      </c>
      <c r="AK8" s="1057" t="s">
        <v>1165</v>
      </c>
      <c r="AL8" s="1058"/>
      <c r="AM8" s="1058"/>
      <c r="AN8" s="1059"/>
      <c r="AO8" s="716" t="s">
        <v>1166</v>
      </c>
      <c r="AP8" s="717" t="s">
        <v>1167</v>
      </c>
    </row>
    <row r="9" spans="1:68" ht="19" thickBot="1">
      <c r="A9" s="1079"/>
      <c r="B9" s="718" t="s">
        <v>1168</v>
      </c>
      <c r="C9" s="718" t="s">
        <v>1169</v>
      </c>
      <c r="D9" s="718" t="s">
        <v>1169</v>
      </c>
      <c r="E9" s="718" t="s">
        <v>1168</v>
      </c>
      <c r="F9" s="718" t="s">
        <v>633</v>
      </c>
      <c r="G9" s="719" t="s">
        <v>633</v>
      </c>
      <c r="H9" s="719" t="s">
        <v>633</v>
      </c>
      <c r="I9" s="719" t="s">
        <v>633</v>
      </c>
      <c r="J9" s="720" t="s">
        <v>633</v>
      </c>
      <c r="K9" s="721" t="s">
        <v>633</v>
      </c>
      <c r="L9" s="721" t="s">
        <v>633</v>
      </c>
      <c r="M9" s="721" t="s">
        <v>1170</v>
      </c>
      <c r="N9" s="721" t="s">
        <v>1170</v>
      </c>
      <c r="O9" s="721" t="s">
        <v>1170</v>
      </c>
      <c r="P9" s="1062"/>
      <c r="Q9" s="1062"/>
      <c r="R9" s="1062"/>
      <c r="S9" s="1062"/>
      <c r="T9" s="1076"/>
      <c r="U9" s="1076"/>
      <c r="V9" s="1062"/>
      <c r="W9" s="1062"/>
      <c r="X9" s="1062"/>
      <c r="Y9" s="1062"/>
      <c r="Z9" s="1062"/>
      <c r="AA9" s="1062"/>
      <c r="AB9" s="1062"/>
      <c r="AC9" s="1062"/>
      <c r="AD9" s="1062"/>
      <c r="AE9" s="1062"/>
      <c r="AF9" s="722" t="s">
        <v>1171</v>
      </c>
      <c r="AG9" s="722" t="s">
        <v>1172</v>
      </c>
      <c r="AH9" s="722" t="s">
        <v>1171</v>
      </c>
      <c r="AI9" s="722" t="s">
        <v>1172</v>
      </c>
      <c r="AJ9" s="723" t="s">
        <v>1173</v>
      </c>
      <c r="AK9" s="724" t="s">
        <v>14</v>
      </c>
      <c r="AL9" s="722" t="s">
        <v>251</v>
      </c>
      <c r="AM9" s="725" t="s">
        <v>14</v>
      </c>
      <c r="AN9" s="722" t="s">
        <v>251</v>
      </c>
      <c r="AO9" s="723" t="s">
        <v>1173</v>
      </c>
      <c r="AP9" s="723" t="s">
        <v>700</v>
      </c>
      <c r="AQ9" s="779" t="s">
        <v>468</v>
      </c>
      <c r="BB9" t="s">
        <v>1119</v>
      </c>
      <c r="BC9" t="s">
        <v>1190</v>
      </c>
      <c r="BG9" t="s">
        <v>1191</v>
      </c>
      <c r="BH9" t="s">
        <v>1192</v>
      </c>
      <c r="BI9" t="s">
        <v>1193</v>
      </c>
      <c r="BJ9" t="s">
        <v>958</v>
      </c>
      <c r="BK9" t="s">
        <v>516</v>
      </c>
      <c r="BL9" t="s">
        <v>1194</v>
      </c>
      <c r="BM9" t="s">
        <v>1195</v>
      </c>
      <c r="BN9" t="s">
        <v>1196</v>
      </c>
      <c r="BO9" t="s">
        <v>1197</v>
      </c>
      <c r="BP9" t="s">
        <v>1198</v>
      </c>
    </row>
    <row r="10" spans="1:68" ht="14.5" thickBot="1">
      <c r="A10" s="726" t="s">
        <v>1128</v>
      </c>
      <c r="B10" s="727">
        <v>12.24</v>
      </c>
      <c r="C10" s="728">
        <v>1.0952200000000001</v>
      </c>
      <c r="D10" s="728">
        <v>1.11069</v>
      </c>
      <c r="E10" s="729">
        <v>7.2899000000000003</v>
      </c>
      <c r="F10" s="730">
        <v>360</v>
      </c>
      <c r="G10" s="731">
        <v>30</v>
      </c>
      <c r="H10" s="731">
        <v>30</v>
      </c>
      <c r="I10" s="731">
        <v>4</v>
      </c>
      <c r="J10" s="731">
        <f>H10-I10</f>
        <v>26</v>
      </c>
      <c r="K10" s="781">
        <f>IF(RIGHT($C$9,2)="-m",MAX((C10/B10)*100,MAX(H10/30,F10/600)),"!!!")</f>
        <v>8.9478758169934647</v>
      </c>
      <c r="L10" s="782">
        <f>IF(RIGHT($C$9,2)="-m",MAX((D10/E10)*100,MAX(H10/30,F10/600)),"!!!")</f>
        <v>15.236011467921371</v>
      </c>
      <c r="M10" s="783">
        <f>ABS((AG10/100)*G10*J10*((H10/2)-I10)^2)</f>
        <v>1415.6999999999998</v>
      </c>
      <c r="N10" s="783">
        <f>ABS((AI10/100)*$G10*$J10*(($H10/2)-I10)^2)</f>
        <v>1415.6999999999998</v>
      </c>
      <c r="O10" s="795">
        <f>(G10*H10*H10*H10)/12</f>
        <v>67500</v>
      </c>
      <c r="P10" s="781">
        <f>0.1+0.11/(0.1+MAX((K10/$H10),(0.5-(0.01*(0.7*$F10/$H10))-0.01*$E$2)))</f>
        <v>0.35522041763341061</v>
      </c>
      <c r="Q10" s="781">
        <f>0.1+0.11/(0.1+MAX((L10/$H10),(0.5-(0.01*(0.7*$F10/$H10))-0.01*$E$2)))</f>
        <v>0.28096062320452964</v>
      </c>
      <c r="R10" s="784">
        <f>(6.4*$E$4*10*((P10*O10/2)+($H$4*M10))/(0.7*F10)^2)/1000</f>
        <v>577.51257161797434</v>
      </c>
      <c r="S10" s="784">
        <f>(6.4*$E$4*10*((Q10*O10/2)+($H$4*N10))/(0.7*$F10)^2)/1000</f>
        <v>519.41817461578853</v>
      </c>
      <c r="T10" s="785">
        <f>IF($B$9="Kgf",1/((1-(B10*0.001/R10))),IF($B$9="Ton",1/((1-(B10/R10))),"!!!"))</f>
        <v>1.0216532706778352</v>
      </c>
      <c r="U10" s="785">
        <f>IF($B$9="Kgf",1/((1-(E10*0.001/S10))),IF($B$9="Ton",1/((1-(E10/S10))),"!!!"))</f>
        <v>1.0142345196727696</v>
      </c>
      <c r="V10" s="786">
        <f>IF(T10*K10&gt;=((0.5*$H10)-$I10),((T10*K10)-(0.5*$H10)+$I10),(0.5*$H10)-(T10*K10)-$I10)</f>
        <v>1.8583734059495196</v>
      </c>
      <c r="W10" s="786">
        <f>IF(U10*L10&gt;=((0.5*$H10)-$I10),((U10*L10)-(0.5*$H10)+$I10),(0.5*$H10)-(U10*L10)-$I10)</f>
        <v>4.4528887728960402</v>
      </c>
      <c r="X10" s="782">
        <f>(T10*K10)+(0.5*$H10)-$I10</f>
        <v>20.141626594050479</v>
      </c>
      <c r="Y10" s="782">
        <f>(U10*L10)+(0.5*$H10)-$I10</f>
        <v>26.452888772896038</v>
      </c>
      <c r="Z10" s="786">
        <f>IF($B$9="Kgf",B10/(0.85*$E$2*9.81*$G10),B10*1000/(0.85*$E$2*9.81*$G10))</f>
        <v>5.7564310127720812</v>
      </c>
      <c r="AA10" s="786">
        <f>IF($B$9="Kgf",E10/(0.85*$E$2*9.81*$G10),E10*1000/(0.85*$E$2*9.81*$G10))</f>
        <v>3.4284155588241174</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-0.60363021914189408</v>
      </c>
      <c r="AE10" s="786">
        <f>IF($B$9="Kgf",IF(AA10&lt;=($H$2*$J10),E10*(Y10-$J10+0.5*AA10)/($E$3*9.81*($J10-$I10)),((E10*Y10)-($E$2*0.85*9.81*G10*AC10)*($J10-0.5*AC10))/($E$3*9.81*($J10-$I10))),IF(AA10&lt;=($H$2*$J10),E10*1000*(Y10-$J10+0.5*AA10)/($E$3*9.81*($J10-$I10)),((E10*1000*Y10)-($E$2*0.85*9.81*G10*AC10)*($J10-0.5*AC10))/($E$3*9.81*($J10-$I10))))</f>
        <v>0.26142680336574786</v>
      </c>
      <c r="AF10" s="787">
        <f>2*AD10*100/(G10*J10)</f>
        <v>-0.15477697926715234</v>
      </c>
      <c r="AG10" s="793">
        <v>1.5</v>
      </c>
      <c r="AH10" s="788">
        <f>2*AE10*100/(G10*J10)</f>
        <v>6.7032513683525086E-2</v>
      </c>
      <c r="AI10" s="789">
        <v>1.5</v>
      </c>
      <c r="AJ10" s="790">
        <f>MAX(AD10,AE10)</f>
        <v>0.26142680336574786</v>
      </c>
      <c r="AK10" s="792">
        <v>2</v>
      </c>
      <c r="AL10" s="792">
        <v>16</v>
      </c>
      <c r="AM10" s="792"/>
      <c r="AN10" s="791"/>
      <c r="AO10" s="790">
        <f>(3.1415*AL10^2)*AK10/(4*100)+(3.1415*AN10^2)*AM10/(4*100)</f>
        <v>4.0211199999999998</v>
      </c>
      <c r="AP10" s="790">
        <f>2*AO10*100/(G10*J10)</f>
        <v>1.0310564102564101</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6.70325136835251E-2</v>
      </c>
      <c r="BH10">
        <v>25</v>
      </c>
      <c r="BI10">
        <f>BH10+AL10/2</f>
        <v>33</v>
      </c>
      <c r="BJ10">
        <f>H10*10</f>
        <v>300</v>
      </c>
      <c r="BK10">
        <f>BJ10-BI10</f>
        <v>267</v>
      </c>
      <c r="BL10">
        <f>BB10*10</f>
        <v>220</v>
      </c>
      <c r="BM10">
        <f>G10*10</f>
        <v>300</v>
      </c>
      <c r="BN10">
        <f>(BM10-2*BH10-AK10*AL10)/2</f>
        <v>109</v>
      </c>
      <c r="BO10">
        <f>15*AL10</f>
        <v>240</v>
      </c>
      <c r="BP10">
        <v>200</v>
      </c>
    </row>
    <row r="11" spans="1:68" ht="14.5" thickBot="1">
      <c r="A11" s="798" t="s">
        <v>1199</v>
      </c>
      <c r="B11" s="799">
        <v>36.751800000000003</v>
      </c>
      <c r="C11" s="800">
        <v>0.64197000000000004</v>
      </c>
      <c r="D11" s="800">
        <v>0.65054000000000001</v>
      </c>
      <c r="E11" s="799">
        <v>17.222100000000001</v>
      </c>
      <c r="F11" s="801">
        <v>270</v>
      </c>
      <c r="G11" s="801">
        <v>30</v>
      </c>
      <c r="H11" s="801">
        <v>30</v>
      </c>
      <c r="I11" s="801">
        <v>4</v>
      </c>
      <c r="J11" s="731">
        <f>H11-I11</f>
        <v>26</v>
      </c>
      <c r="K11" s="781">
        <f>IF(RIGHT($C$9,2)="-m",MAX((C11/B11)*100,MAX(H11/30,F11/600)),"!!!")</f>
        <v>1.7467715866977942</v>
      </c>
      <c r="L11" s="782">
        <f>IF(RIGHT($C$9,2)="-m",MAX((D11/E11)*100,MAX(H11/30,F11/600)),"!!!")</f>
        <v>3.7773558392995046</v>
      </c>
      <c r="M11" s="783">
        <f>ABS((AG11/100)*G11*J11*((H11/2)-I11)^2)</f>
        <v>2359.5</v>
      </c>
      <c r="N11" s="783">
        <f>ABS((AI11/100)*$G11*$J11*(($H11/2)-I11)^2)</f>
        <v>1415.6999999999998</v>
      </c>
      <c r="O11" s="795">
        <f>(G11*H11*H11*H11)/12</f>
        <v>67500</v>
      </c>
      <c r="P11" s="781">
        <f>0.1+0.11/(0.1+MAX((K11/$H11),(0.5-(0.01*(0.7*$F11/$H11))-0.01*$E$2)))</f>
        <v>0.3433628318584071</v>
      </c>
      <c r="Q11" s="781">
        <f>0.1+0.11/(0.1+MAX((L11/$H11),(0.5-(0.01*(0.7*$F11/$H11))-0.01*$E$2)))</f>
        <v>0.3433628318584071</v>
      </c>
      <c r="R11" s="784">
        <f>(6.4*$E$4*10*((P11*O11/2)+($H$4*M11))/(0.7*F11)^2)/1000</f>
        <v>1365.3017968905031</v>
      </c>
      <c r="S11" s="784">
        <f>(6.4*$E$4*10*((Q11*O11/2)+($H$4*N11))/(0.7*$F11)^2)/1000</f>
        <v>1010.1977404531133</v>
      </c>
      <c r="T11" s="785">
        <f>IF($B$9="Kgf",1/((1-(B11*0.001/R11))),IF($B$9="Ton",1/((1-(B11/R11))),"!!!"))</f>
        <v>1.027663091404929</v>
      </c>
      <c r="U11" s="785">
        <f>IF($B$9="Kgf",1/((1-(E11*0.001/S11))),IF($B$9="Ton",1/((1-(E11/S11))),"!!!"))</f>
        <v>1.017343930000278</v>
      </c>
      <c r="V11" s="786">
        <f>IF(T11*K11&gt;=((0.5*$H11)-$I11),((T11*K11)-(0.5*$H11)+$I11),(0.5*$H11)-(T11*K11)-$I11)</f>
        <v>9.2049073112358517</v>
      </c>
      <c r="W11" s="786">
        <f>IF(U11*L11&gt;=((0.5*$H11)-$I11),((U11*L11)-(0.5*$H11)+$I11),(0.5*$H11)-(U11*L11)-$I11)</f>
        <v>7.1571299654375444</v>
      </c>
      <c r="X11" s="782">
        <f>(T11*K11)+(0.5*$H11)-$I11</f>
        <v>12.795092688764147</v>
      </c>
      <c r="Y11" s="782">
        <f>(U11*L11)+(0.5*$H11)-$I11</f>
        <v>14.842870034562456</v>
      </c>
      <c r="Z11" s="786">
        <f>IF($B$9="Kgf",B11/(0.85*$E$2*9.81*$G11),B11*1000/(0.85*$E$2*9.81*$G11))</f>
        <v>17.284248471829819</v>
      </c>
      <c r="AA11" s="786">
        <f>IF($B$9="Kgf",E11/(0.85*$E$2*9.81*$G11),E11*1000/(0.85*$E$2*9.81*$G11))</f>
        <v>8.0994959595638942</v>
      </c>
      <c r="AB11" s="786">
        <f>($H$2+((1-$H$2)/(1+50*(K11/$H11)^2)))*$J11</f>
        <v>24.681025052953366</v>
      </c>
      <c r="AC11" s="786">
        <f>($H$2+((1-$H$2)/(1+50*(L11/$H11)^2)))*$J11</f>
        <v>21.976170898192429</v>
      </c>
      <c r="AD11" s="786">
        <f>IF($B$9="Kgf",IF(Z11&lt;=($H$2*$J11),B11*(X11-$J11+0.5*Z11)/($E$3*9.81*($J11-$I11)),((B11*X11)-($E$2*0.85*9.81*G11*AB11)*($J11-0.5*AB11))/($E$3*9.81*($J11-$I11))),IF(Z11&lt;=($H$2*$J11),B11*1000*(X11-$J11+0.5*Z11)/($E$3*9.81*($J11-$I11)),((B11*1000*X11)-($E$2*0.85*9.81*G11*AB11)*($J11-0.5*AB11))/($E$3*9.81*($J11-$I11))))</f>
        <v>-4.0808321692380058</v>
      </c>
      <c r="AE11" s="786">
        <f>IF($B$9="Kgf",IF(AA11&lt;=($H$2*$J11),E11*(Y11-$J11+0.5*AA11)/($E$3*9.81*($J11-$I11)),((E11*Y11)-($E$2*0.85*9.81*G11*AC11)*($J11-0.5*AC11))/($E$3*9.81*($J11-$I11))),IF(AA11&lt;=($H$2*$J11),E11*1000*(Y11-$J11+0.5*AA11)/($E$3*9.81*($J11-$I11)),((E11*1000*Y11)-($E$2*0.85*9.81*G11*AC11)*($J11-0.5*AC11))/($E$3*9.81*($J11-$I11))))</f>
        <v>-2.0255643475243801</v>
      </c>
      <c r="AF11" s="787">
        <f>2*AD11*100/(G11*J11)</f>
        <v>-1.0463672228815399</v>
      </c>
      <c r="AG11" s="793">
        <v>2.5</v>
      </c>
      <c r="AH11" s="788">
        <f>2*AE11*100/(G11*J11)</f>
        <v>-0.51937547372420001</v>
      </c>
      <c r="AI11" s="789">
        <v>1.5</v>
      </c>
      <c r="AJ11" s="790">
        <f>MAX(AD11,AE11)</f>
        <v>-2.0255643475243801</v>
      </c>
      <c r="AK11" s="792">
        <v>2</v>
      </c>
      <c r="AL11" s="792">
        <v>16</v>
      </c>
      <c r="AM11" s="792"/>
      <c r="AN11" s="791"/>
      <c r="AO11" s="790">
        <f>(3.1415*AL11^2)*AK11/(4*100)+(3.1415*AN11^2)*AM11/(4*100)</f>
        <v>4.0211199999999998</v>
      </c>
      <c r="AP11" s="790">
        <f>2*AO11*100/(G11*J11)</f>
        <v>1.0310564102564101</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16.900000000000002</v>
      </c>
      <c r="BA11">
        <f>2*I11</f>
        <v>8</v>
      </c>
      <c r="BB11">
        <f>J11-I11</f>
        <v>22</v>
      </c>
      <c r="BC11" s="6">
        <f>D11/E11*100</f>
        <v>3.7773558392995046</v>
      </c>
      <c r="BD11" s="780">
        <f>0.5-(0.01*(0.7*$F11/$H11))-0.01*$E$2</f>
        <v>0.35199999999999998</v>
      </c>
      <c r="BE11" s="780">
        <f>L11/H11</f>
        <v>0.1259118613099835</v>
      </c>
      <c r="BF11" s="796">
        <f>MAX(BD11,BE11)</f>
        <v>0.35199999999999998</v>
      </c>
      <c r="BG11" s="6">
        <f>2*AJ11/(G11*J11)*100</f>
        <v>-0.51937547372420001</v>
      </c>
      <c r="BH11">
        <v>25</v>
      </c>
      <c r="BI11">
        <f>BH11+AL11/2</f>
        <v>33</v>
      </c>
      <c r="BJ11">
        <f>H11*10</f>
        <v>300</v>
      </c>
      <c r="BK11">
        <f>BJ11-BI11</f>
        <v>267</v>
      </c>
      <c r="BL11">
        <f>BB11*10</f>
        <v>220</v>
      </c>
      <c r="BM11">
        <f>G11*10</f>
        <v>300</v>
      </c>
      <c r="BN11">
        <f>(BM11-2*BH11-AK11*AL11)/2</f>
        <v>109</v>
      </c>
      <c r="BO11">
        <f>15*AL11</f>
        <v>240</v>
      </c>
      <c r="BP11">
        <v>200</v>
      </c>
    </row>
    <row r="12" spans="1:68" ht="14.5" thickBot="1">
      <c r="B12" s="1258">
        <v>23.557600000000001</v>
      </c>
      <c r="C12" s="1258">
        <v>4.7489999999999997E-2</v>
      </c>
      <c r="D12" s="1258">
        <v>1.41967</v>
      </c>
      <c r="E12" s="1258">
        <v>23.557600000000001</v>
      </c>
      <c r="F12" s="801">
        <v>270</v>
      </c>
      <c r="G12" s="801">
        <v>20</v>
      </c>
      <c r="H12" s="801">
        <v>20</v>
      </c>
      <c r="I12" s="801">
        <v>4</v>
      </c>
      <c r="J12" s="731">
        <f t="shared" ref="J12:J26" si="0">H12-I12</f>
        <v>16</v>
      </c>
      <c r="K12" s="781">
        <f t="shared" ref="K12:K26" si="1">IF(RIGHT($C$9,2)="-m",MAX((C12/B12)*100,MAX(H12/30,F12/600)),"!!!")</f>
        <v>0.66666666666666663</v>
      </c>
      <c r="L12" s="782">
        <f t="shared" ref="L12:L26" si="2">IF(RIGHT($C$9,2)="-m",MAX((D12/E12)*100,MAX(H12/30,F12/600)),"!!!")</f>
        <v>6.0263778992766666</v>
      </c>
      <c r="M12" s="783">
        <f t="shared" ref="M12:M26" si="3">ABS((AG12/100)*G12*J12*((H12/2)-I12)^2)</f>
        <v>403.20000000000005</v>
      </c>
      <c r="N12" s="783">
        <f t="shared" ref="N12:N26" si="4">ABS((AI12/100)*$G12*$J12*(($H12/2)-I12)^2)</f>
        <v>288</v>
      </c>
      <c r="O12" s="795">
        <f t="shared" ref="O12:O26" si="5">(G12*H12*H12*H12)/12</f>
        <v>13333.333333333334</v>
      </c>
      <c r="P12" s="781">
        <f t="shared" ref="P12:P26" si="6">0.1+0.11/(0.1+MAX((K12/$H12),(0.5-(0.01*(0.7*$F12/$H12))-0.01*$E$2)))</f>
        <v>0.36159334126040432</v>
      </c>
      <c r="Q12" s="781">
        <f t="shared" ref="Q12:Q26" si="7">0.1+0.11/(0.1+MAX((L12/$H12),(0.5-(0.01*(0.7*$F12/$H12))-0.01*$E$2)))</f>
        <v>0.36159334126040432</v>
      </c>
      <c r="R12" s="784">
        <f t="shared" ref="R12:R26" si="8">(6.4*$E$4*10*((P12*O12/2)+($H$4*M12))/(0.7*F12)^2)/1000</f>
        <v>251.04123593690275</v>
      </c>
      <c r="S12" s="784">
        <f t="shared" ref="S12:S26" si="9">(6.4*$E$4*10*((Q12*O12/2)+($H$4*N12))/(0.7*$F12)^2)/1000</f>
        <v>207.69732059298732</v>
      </c>
      <c r="T12" s="785">
        <f t="shared" ref="T12:T26" si="10">IF($B$9="Kgf",1/((1-(B12*0.001/R12))),IF($B$9="Ton",1/((1-(B12/R12))),"!!!"))</f>
        <v>1.1035573389838651</v>
      </c>
      <c r="U12" s="785">
        <f t="shared" ref="U12:U26" si="11">IF($B$9="Kgf",1/((1-(E12*0.001/S12))),IF($B$9="Ton",1/((1-(E12/S12))),"!!!"))</f>
        <v>1.1279332885057998</v>
      </c>
      <c r="V12" s="786">
        <f t="shared" ref="V12:V26" si="12">IF(T12*K12&gt;=((0.5*$H12)-$I12),((T12*K12)-(0.5*$H12)+$I12),(0.5*$H12)-(T12*K12)-$I12)</f>
        <v>5.2642951073440898</v>
      </c>
      <c r="W12" s="786">
        <f t="shared" ref="W12:W26" si="13">IF(U12*L12&gt;=((0.5*$H12)-$I12),((U12*L12)-(0.5*$H12)+$I12),(0.5*$H12)-(U12*L12)-$I12)</f>
        <v>0.79735224170980423</v>
      </c>
      <c r="X12" s="782">
        <f t="shared" ref="X12:X26" si="14">(T12*K12)+(0.5*$H12)-$I12</f>
        <v>6.7357048926559102</v>
      </c>
      <c r="Y12" s="782">
        <f t="shared" ref="Y12:Y26" si="15">(U12*L12)+(0.5*$H12)-$I12</f>
        <v>12.797352241709802</v>
      </c>
      <c r="Z12" s="786">
        <f t="shared" ref="Z12:Z26" si="16">IF($B$9="Kgf",B12/(0.85*$E$2*9.81*$G12),B12*1000/(0.85*$E$2*9.81*$G12))</f>
        <v>16.618590591480341</v>
      </c>
      <c r="AA12" s="786">
        <f t="shared" ref="AA12:AA26" si="17">IF($B$9="Kgf",E12/(0.85*$E$2*9.81*$G12),E12*1000/(0.85*$E$2*9.81*$G12))</f>
        <v>16.618590591480341</v>
      </c>
      <c r="AB12" s="786">
        <f t="shared" ref="AB12:AB26" si="18">($H$2+((1-$H$2)/(1+50*(K12/$H12)^2)))*$J12</f>
        <v>15.705263157894738</v>
      </c>
      <c r="AC12" s="786">
        <f t="shared" ref="AC12:AC26" si="19">($H$2+((1-$H$2)/(1+50*(L12/$H12)^2)))*$J12</f>
        <v>11.41089349241228</v>
      </c>
      <c r="AD12" s="786">
        <f t="shared" ref="AD12:AD26" si="20">IF($B$9="Kgf",IF(Z12&lt;=($H$2*$J12),B12*(X12-$J12+0.5*Z12)/($E$3*9.81*($J12-$I12)),((B12*X12)-($E$2*0.85*9.81*G12*AB12)*($J12-0.5*AB12))/($E$3*9.81*($J12-$I12))),IF(Z12&lt;=($H$2*$J12),B12*1000*(X12-$J12+0.5*Z12)/($E$3*9.81*($J12-$I12)),((B12*1000*X12)-($E$2*0.85*9.81*G12*AB12)*($J12-0.5*AB12))/($E$3*9.81*($J12-$I12))))</f>
        <v>-0.68889700412386623</v>
      </c>
      <c r="AE12" s="786">
        <f t="shared" ref="AE12:AE26" si="21">IF($B$9="Kgf",IF(AA12&lt;=($H$2*$J12),E12*(Y12-$J12+0.5*AA12)/($E$3*9.81*($J12-$I12)),((E12*Y12)-($E$2*0.85*9.81*G12*AC12)*($J12-0.5*AC12))/($E$3*9.81*($J12-$I12))),IF(AA12&lt;=($H$2*$J12),E12*1000*(Y12-$J12+0.5*AA12)/($E$3*9.81*($J12-$I12)),((E12*1000*Y12)-($E$2*0.85*9.81*G12*AC12)*($J12-0.5*AC12))/($E$3*9.81*($J12-$I12))))</f>
        <v>4.0943346835656058</v>
      </c>
      <c r="AF12" s="787">
        <f t="shared" ref="AF12:AF26" si="22">2*AD12*100/(G12*J12)</f>
        <v>-0.43056062757741637</v>
      </c>
      <c r="AG12" s="793">
        <v>3.5</v>
      </c>
      <c r="AH12" s="788">
        <f t="shared" ref="AH12:AH26" si="23">2*AE12*100/(G12*J12)</f>
        <v>2.5589591772285036</v>
      </c>
      <c r="AI12" s="789">
        <v>2.5</v>
      </c>
      <c r="AJ12" s="790">
        <f t="shared" ref="AJ12:AJ26" si="24">MAX(AD12,AE12)</f>
        <v>4.0943346835656058</v>
      </c>
      <c r="AK12" s="792">
        <v>2</v>
      </c>
      <c r="AL12" s="792">
        <v>16</v>
      </c>
      <c r="AM12" s="792"/>
      <c r="AN12" s="791"/>
      <c r="AO12" s="790">
        <f t="shared" ref="AO12:AO26" si="25">(3.1415*AL12^2)*AK12/(4*100)+(3.1415*AN12^2)*AM12/(4*100)</f>
        <v>4.0211199999999998</v>
      </c>
      <c r="AP12" s="790">
        <f t="shared" ref="AP12:AP26" si="26">2*AO12*100/(G12*J12)</f>
        <v>2.5131999999999999</v>
      </c>
    </row>
    <row r="13" spans="1:68" ht="14.5" thickBot="1">
      <c r="B13" s="1258">
        <v>36.751800000000003</v>
      </c>
      <c r="C13" s="1258">
        <v>0.64197000000000004</v>
      </c>
      <c r="D13" s="1258">
        <v>0.65054000000000001</v>
      </c>
      <c r="E13" s="1258">
        <v>17.222100000000001</v>
      </c>
      <c r="F13" s="801">
        <v>270</v>
      </c>
      <c r="G13" s="801">
        <v>30</v>
      </c>
      <c r="H13" s="801">
        <v>30</v>
      </c>
      <c r="I13" s="801">
        <v>4</v>
      </c>
      <c r="J13" s="731">
        <f t="shared" si="0"/>
        <v>26</v>
      </c>
      <c r="K13" s="781">
        <f t="shared" si="1"/>
        <v>1.7467715866977942</v>
      </c>
      <c r="L13" s="782">
        <f t="shared" si="2"/>
        <v>3.7773558392995046</v>
      </c>
      <c r="M13" s="783">
        <f t="shared" si="3"/>
        <v>4247.0999999999995</v>
      </c>
      <c r="N13" s="783">
        <f t="shared" si="4"/>
        <v>3303.3</v>
      </c>
      <c r="O13" s="795">
        <f t="shared" si="5"/>
        <v>67500</v>
      </c>
      <c r="P13" s="781">
        <f t="shared" si="6"/>
        <v>0.3433628318584071</v>
      </c>
      <c r="Q13" s="781">
        <f t="shared" si="7"/>
        <v>0.3433628318584071</v>
      </c>
      <c r="R13" s="784">
        <f t="shared" si="8"/>
        <v>2075.5099097652828</v>
      </c>
      <c r="S13" s="784">
        <f t="shared" si="9"/>
        <v>1720.4058533278933</v>
      </c>
      <c r="T13" s="785">
        <f t="shared" si="10"/>
        <v>1.0180265622606064</v>
      </c>
      <c r="U13" s="785">
        <f t="shared" si="11"/>
        <v>1.0101117098882308</v>
      </c>
      <c r="V13" s="786">
        <f t="shared" si="12"/>
        <v>9.2217401265395402</v>
      </c>
      <c r="W13" s="786">
        <f t="shared" si="13"/>
        <v>7.1844486343088843</v>
      </c>
      <c r="X13" s="782">
        <f t="shared" si="14"/>
        <v>12.77825987346046</v>
      </c>
      <c r="Y13" s="782">
        <f t="shared" si="15"/>
        <v>14.815551365691114</v>
      </c>
      <c r="Z13" s="786">
        <f t="shared" si="16"/>
        <v>17.284248471829819</v>
      </c>
      <c r="AA13" s="786">
        <f t="shared" si="17"/>
        <v>8.0994959595638942</v>
      </c>
      <c r="AB13" s="786">
        <f t="shared" si="18"/>
        <v>24.681025052953366</v>
      </c>
      <c r="AC13" s="786">
        <f t="shared" si="19"/>
        <v>21.976170898192429</v>
      </c>
      <c r="AD13" s="786">
        <f t="shared" si="20"/>
        <v>-4.0910694744903653</v>
      </c>
      <c r="AE13" s="786">
        <f t="shared" si="21"/>
        <v>-2.0333500162557487</v>
      </c>
      <c r="AF13" s="787">
        <f t="shared" si="22"/>
        <v>-1.0489921729462475</v>
      </c>
      <c r="AG13" s="793">
        <v>4.5</v>
      </c>
      <c r="AH13" s="788">
        <f t="shared" si="23"/>
        <v>-0.52137179903993558</v>
      </c>
      <c r="AI13" s="789">
        <v>3.5</v>
      </c>
      <c r="AJ13" s="790">
        <f t="shared" si="24"/>
        <v>-2.0333500162557487</v>
      </c>
      <c r="AK13" s="792">
        <v>2</v>
      </c>
      <c r="AL13" s="792">
        <v>16</v>
      </c>
      <c r="AM13" s="792"/>
      <c r="AN13" s="791"/>
      <c r="AO13" s="790">
        <f t="shared" si="25"/>
        <v>4.0211199999999998</v>
      </c>
      <c r="AP13" s="790">
        <f t="shared" si="26"/>
        <v>1.0310564102564101</v>
      </c>
    </row>
    <row r="14" spans="1:68" ht="14.5" thickBot="1">
      <c r="B14" s="1258">
        <v>27.771899999999999</v>
      </c>
      <c r="C14" s="1258">
        <v>0.55564999999999998</v>
      </c>
      <c r="D14" s="1258">
        <v>0.91454000000000002</v>
      </c>
      <c r="E14" s="1258">
        <v>27.771899999999999</v>
      </c>
      <c r="F14" s="801">
        <v>270</v>
      </c>
      <c r="G14" s="801">
        <v>30</v>
      </c>
      <c r="H14" s="801">
        <v>30</v>
      </c>
      <c r="I14" s="801">
        <v>4</v>
      </c>
      <c r="J14" s="731">
        <f t="shared" si="0"/>
        <v>26</v>
      </c>
      <c r="K14" s="781">
        <f t="shared" si="1"/>
        <v>2.0007633615272993</v>
      </c>
      <c r="L14" s="782">
        <f t="shared" si="2"/>
        <v>3.2930408074348536</v>
      </c>
      <c r="M14" s="783">
        <f t="shared" si="3"/>
        <v>5190.8999999999996</v>
      </c>
      <c r="N14" s="783">
        <f t="shared" si="4"/>
        <v>4247.0999999999995</v>
      </c>
      <c r="O14" s="795">
        <f t="shared" si="5"/>
        <v>67500</v>
      </c>
      <c r="P14" s="781">
        <f t="shared" si="6"/>
        <v>0.3433628318584071</v>
      </c>
      <c r="Q14" s="781">
        <f t="shared" si="7"/>
        <v>0.3433628318584071</v>
      </c>
      <c r="R14" s="784">
        <f t="shared" si="8"/>
        <v>2430.6139662026726</v>
      </c>
      <c r="S14" s="784">
        <f t="shared" si="9"/>
        <v>2075.5099097652828</v>
      </c>
      <c r="T14" s="785">
        <f t="shared" si="10"/>
        <v>1.0115579381560809</v>
      </c>
      <c r="U14" s="785">
        <f t="shared" si="11"/>
        <v>1.0135622329944363</v>
      </c>
      <c r="V14" s="786">
        <f t="shared" si="12"/>
        <v>8.9761119392752153</v>
      </c>
      <c r="W14" s="786">
        <f t="shared" si="13"/>
        <v>7.6622982058745279</v>
      </c>
      <c r="X14" s="782">
        <f t="shared" si="14"/>
        <v>13.023888060724783</v>
      </c>
      <c r="Y14" s="782">
        <f t="shared" si="15"/>
        <v>14.337701794125472</v>
      </c>
      <c r="Z14" s="786">
        <f t="shared" si="16"/>
        <v>13.061031572189947</v>
      </c>
      <c r="AA14" s="786">
        <f t="shared" si="17"/>
        <v>13.061031572189947</v>
      </c>
      <c r="AB14" s="786">
        <f t="shared" si="18"/>
        <v>24.34442111469513</v>
      </c>
      <c r="AC14" s="786">
        <f t="shared" si="19"/>
        <v>22.578800834407289</v>
      </c>
      <c r="AD14" s="786">
        <f t="shared" si="20"/>
        <v>-2.9622312874238186</v>
      </c>
      <c r="AE14" s="786">
        <f t="shared" si="21"/>
        <v>-2.3584360674880487</v>
      </c>
      <c r="AF14" s="787">
        <f t="shared" si="22"/>
        <v>-0.75954648395482527</v>
      </c>
      <c r="AG14" s="793">
        <v>5.5</v>
      </c>
      <c r="AH14" s="788">
        <f t="shared" si="23"/>
        <v>-0.60472719679180731</v>
      </c>
      <c r="AI14" s="789">
        <v>4.5</v>
      </c>
      <c r="AJ14" s="790">
        <f t="shared" si="24"/>
        <v>-2.3584360674880487</v>
      </c>
      <c r="AK14" s="792">
        <v>2</v>
      </c>
      <c r="AL14" s="792">
        <v>16</v>
      </c>
      <c r="AM14" s="792"/>
      <c r="AN14" s="791"/>
      <c r="AO14" s="790">
        <f t="shared" si="25"/>
        <v>4.0211199999999998</v>
      </c>
      <c r="AP14" s="790">
        <f t="shared" si="26"/>
        <v>1.0310564102564101</v>
      </c>
    </row>
    <row r="15" spans="1:68" ht="14.5" thickBot="1">
      <c r="B15" s="1258">
        <v>24.0763</v>
      </c>
      <c r="C15" s="1258">
        <v>0.57762999999999998</v>
      </c>
      <c r="D15" s="1258">
        <v>0.93033999999999994</v>
      </c>
      <c r="E15" s="1258">
        <v>24.0763</v>
      </c>
      <c r="F15" s="801">
        <v>270</v>
      </c>
      <c r="G15" s="801">
        <v>30</v>
      </c>
      <c r="H15" s="801">
        <v>30</v>
      </c>
      <c r="I15" s="801">
        <v>4</v>
      </c>
      <c r="J15" s="731">
        <f t="shared" si="0"/>
        <v>26</v>
      </c>
      <c r="K15" s="781">
        <f t="shared" si="1"/>
        <v>2.3991643234217883</v>
      </c>
      <c r="L15" s="782">
        <f t="shared" si="2"/>
        <v>3.8641319471845756</v>
      </c>
      <c r="M15" s="783">
        <f t="shared" si="3"/>
        <v>6134.7000000000007</v>
      </c>
      <c r="N15" s="783">
        <f t="shared" si="4"/>
        <v>5190.8999999999996</v>
      </c>
      <c r="O15" s="795">
        <f t="shared" si="5"/>
        <v>67500</v>
      </c>
      <c r="P15" s="781">
        <f t="shared" si="6"/>
        <v>0.3433628318584071</v>
      </c>
      <c r="Q15" s="781">
        <f t="shared" si="7"/>
        <v>0.3433628318584071</v>
      </c>
      <c r="R15" s="784">
        <f t="shared" si="8"/>
        <v>2785.7180226400624</v>
      </c>
      <c r="S15" s="784">
        <f t="shared" si="9"/>
        <v>2430.6139662026726</v>
      </c>
      <c r="T15" s="785">
        <f t="shared" si="10"/>
        <v>1.0087181113330601</v>
      </c>
      <c r="U15" s="785">
        <f t="shared" si="11"/>
        <v>1.0100045390263892</v>
      </c>
      <c r="V15" s="786">
        <f t="shared" si="12"/>
        <v>8.5799194949003148</v>
      </c>
      <c r="W15" s="786">
        <f t="shared" si="13"/>
        <v>7.0972091939466999</v>
      </c>
      <c r="X15" s="782">
        <f t="shared" si="14"/>
        <v>13.420080505099683</v>
      </c>
      <c r="Y15" s="782">
        <f t="shared" si="15"/>
        <v>14.9027908060533</v>
      </c>
      <c r="Z15" s="786">
        <f t="shared" si="16"/>
        <v>11.323003267385985</v>
      </c>
      <c r="AA15" s="786">
        <f t="shared" si="17"/>
        <v>11.323003267385985</v>
      </c>
      <c r="AB15" s="786">
        <f t="shared" si="18"/>
        <v>23.795103247093856</v>
      </c>
      <c r="AC15" s="786">
        <f t="shared" si="19"/>
        <v>21.873958728959277</v>
      </c>
      <c r="AD15" s="786">
        <f t="shared" si="20"/>
        <v>-2.7564290339798023</v>
      </c>
      <c r="AE15" s="786">
        <f t="shared" si="21"/>
        <v>-2.1656890982719781</v>
      </c>
      <c r="AF15" s="787">
        <f t="shared" si="22"/>
        <v>-0.70677667537943645</v>
      </c>
      <c r="AG15" s="793">
        <v>6.5</v>
      </c>
      <c r="AH15" s="788">
        <f t="shared" si="23"/>
        <v>-0.55530489699281493</v>
      </c>
      <c r="AI15" s="789">
        <v>5.5</v>
      </c>
      <c r="AJ15" s="790">
        <f t="shared" si="24"/>
        <v>-2.1656890982719781</v>
      </c>
      <c r="AK15" s="792">
        <v>2</v>
      </c>
      <c r="AL15" s="792">
        <v>16</v>
      </c>
      <c r="AM15" s="792"/>
      <c r="AN15" s="791"/>
      <c r="AO15" s="790">
        <f t="shared" si="25"/>
        <v>4.0211199999999998</v>
      </c>
      <c r="AP15" s="790">
        <f t="shared" si="26"/>
        <v>1.0310564102564101</v>
      </c>
    </row>
    <row r="16" spans="1:68" ht="14.5" thickBot="1">
      <c r="B16" s="1258">
        <v>26.546700000000001</v>
      </c>
      <c r="C16" s="1258">
        <v>0.50356000000000001</v>
      </c>
      <c r="D16" s="1258">
        <v>1.17889</v>
      </c>
      <c r="E16" s="1258">
        <v>26.546700000000001</v>
      </c>
      <c r="F16" s="801">
        <v>270</v>
      </c>
      <c r="G16" s="801">
        <v>30</v>
      </c>
      <c r="H16" s="801">
        <v>30</v>
      </c>
      <c r="I16" s="801">
        <v>4</v>
      </c>
      <c r="J16" s="731">
        <f t="shared" si="0"/>
        <v>26</v>
      </c>
      <c r="K16" s="781">
        <f t="shared" si="1"/>
        <v>1.8968836051185272</v>
      </c>
      <c r="L16" s="782">
        <f t="shared" si="2"/>
        <v>4.4408156192671777</v>
      </c>
      <c r="M16" s="783">
        <f t="shared" si="3"/>
        <v>7078.5</v>
      </c>
      <c r="N16" s="783">
        <f t="shared" si="4"/>
        <v>6134.7000000000007</v>
      </c>
      <c r="O16" s="795">
        <f t="shared" si="5"/>
        <v>67500</v>
      </c>
      <c r="P16" s="781">
        <f t="shared" si="6"/>
        <v>0.3433628318584071</v>
      </c>
      <c r="Q16" s="781">
        <f t="shared" si="7"/>
        <v>0.3433628318584071</v>
      </c>
      <c r="R16" s="784">
        <f t="shared" si="8"/>
        <v>3140.8220790774521</v>
      </c>
      <c r="S16" s="784">
        <f t="shared" si="9"/>
        <v>2785.7180226400624</v>
      </c>
      <c r="T16" s="785">
        <f t="shared" si="10"/>
        <v>1.0085241980135564</v>
      </c>
      <c r="U16" s="785">
        <f t="shared" si="11"/>
        <v>1.0096212583039603</v>
      </c>
      <c r="V16" s="786">
        <f t="shared" si="12"/>
        <v>9.0869469834227736</v>
      </c>
      <c r="W16" s="786">
        <f t="shared" si="13"/>
        <v>6.5164581465795912</v>
      </c>
      <c r="X16" s="782">
        <f t="shared" si="14"/>
        <v>12.913053016577226</v>
      </c>
      <c r="Y16" s="782">
        <f t="shared" si="15"/>
        <v>15.483541853420409</v>
      </c>
      <c r="Z16" s="786">
        <f t="shared" si="16"/>
        <v>12.484824114931095</v>
      </c>
      <c r="AA16" s="786">
        <f t="shared" si="17"/>
        <v>12.484824114931095</v>
      </c>
      <c r="AB16" s="786">
        <f t="shared" si="18"/>
        <v>24.483976773593739</v>
      </c>
      <c r="AC16" s="786">
        <f t="shared" si="19"/>
        <v>21.242426769675728</v>
      </c>
      <c r="AD16" s="786">
        <f t="shared" si="20"/>
        <v>-3.0068015561729462</v>
      </c>
      <c r="AE16" s="786">
        <f t="shared" si="21"/>
        <v>-1.8775868004071476</v>
      </c>
      <c r="AF16" s="787">
        <f t="shared" si="22"/>
        <v>-0.77097475799306314</v>
      </c>
      <c r="AG16" s="793">
        <v>7.5</v>
      </c>
      <c r="AH16" s="788">
        <f t="shared" si="23"/>
        <v>-0.48143251292490963</v>
      </c>
      <c r="AI16" s="789">
        <v>6.5</v>
      </c>
      <c r="AJ16" s="790">
        <f t="shared" si="24"/>
        <v>-1.8775868004071476</v>
      </c>
      <c r="AK16" s="792">
        <v>2</v>
      </c>
      <c r="AL16" s="792">
        <v>16</v>
      </c>
      <c r="AM16" s="792"/>
      <c r="AN16" s="791"/>
      <c r="AO16" s="790">
        <f t="shared" si="25"/>
        <v>4.0211199999999998</v>
      </c>
      <c r="AP16" s="790">
        <f t="shared" si="26"/>
        <v>1.0310564102564101</v>
      </c>
    </row>
    <row r="17" spans="2:42" ht="14.5" thickBot="1">
      <c r="B17" s="1258">
        <v>13.8393</v>
      </c>
      <c r="C17" s="1258">
        <v>0.45666000000000001</v>
      </c>
      <c r="D17" s="1258">
        <v>1.89056</v>
      </c>
      <c r="E17" s="1258">
        <v>13.8393</v>
      </c>
      <c r="F17" s="801">
        <v>270</v>
      </c>
      <c r="G17" s="801">
        <v>30</v>
      </c>
      <c r="H17" s="801">
        <v>30</v>
      </c>
      <c r="I17" s="801">
        <v>4</v>
      </c>
      <c r="J17" s="731">
        <f t="shared" si="0"/>
        <v>26</v>
      </c>
      <c r="K17" s="781">
        <f t="shared" si="1"/>
        <v>3.2997333680171685</v>
      </c>
      <c r="L17" s="782">
        <f t="shared" si="2"/>
        <v>13.660806543683568</v>
      </c>
      <c r="M17" s="783">
        <f t="shared" si="3"/>
        <v>8022.3000000000011</v>
      </c>
      <c r="N17" s="783">
        <f t="shared" si="4"/>
        <v>7078.5</v>
      </c>
      <c r="O17" s="795">
        <f t="shared" si="5"/>
        <v>67500</v>
      </c>
      <c r="P17" s="781">
        <f t="shared" si="6"/>
        <v>0.3433628318584071</v>
      </c>
      <c r="Q17" s="781">
        <f t="shared" si="7"/>
        <v>0.29806964274794329</v>
      </c>
      <c r="R17" s="784">
        <f t="shared" si="8"/>
        <v>3495.9261355148424</v>
      </c>
      <c r="S17" s="784">
        <f t="shared" si="9"/>
        <v>3077.8292839427177</v>
      </c>
      <c r="T17" s="785">
        <f t="shared" si="10"/>
        <v>1.0039744270185478</v>
      </c>
      <c r="U17" s="785">
        <f t="shared" si="11"/>
        <v>1.0045167575848899</v>
      </c>
      <c r="V17" s="786">
        <f t="shared" si="12"/>
        <v>7.6871520825309805</v>
      </c>
      <c r="W17" s="786">
        <f t="shared" si="13"/>
        <v>2.7225090952554645</v>
      </c>
      <c r="X17" s="782">
        <f t="shared" si="14"/>
        <v>14.312847917469021</v>
      </c>
      <c r="Y17" s="782">
        <f t="shared" si="15"/>
        <v>24.722509095255464</v>
      </c>
      <c r="Z17" s="786">
        <f t="shared" si="16"/>
        <v>6.5085764473085508</v>
      </c>
      <c r="AA17" s="786">
        <f t="shared" si="17"/>
        <v>6.5085764473085508</v>
      </c>
      <c r="AB17" s="786">
        <f t="shared" si="18"/>
        <v>22.570127300899195</v>
      </c>
      <c r="AC17" s="786">
        <f t="shared" si="19"/>
        <v>17.700517509942987</v>
      </c>
      <c r="AD17" s="786">
        <f t="shared" si="20"/>
        <v>-1.9312544316386731</v>
      </c>
      <c r="AE17" s="786">
        <f t="shared" si="21"/>
        <v>0.45271673377926647</v>
      </c>
      <c r="AF17" s="787">
        <f t="shared" si="22"/>
        <v>-0.49519344400991622</v>
      </c>
      <c r="AG17" s="793">
        <v>8.5</v>
      </c>
      <c r="AH17" s="788">
        <f t="shared" si="23"/>
        <v>0.11608121378955551</v>
      </c>
      <c r="AI17" s="789">
        <v>7.5</v>
      </c>
      <c r="AJ17" s="790">
        <f t="shared" si="24"/>
        <v>0.45271673377926647</v>
      </c>
      <c r="AK17" s="792">
        <v>2</v>
      </c>
      <c r="AL17" s="792">
        <v>16</v>
      </c>
      <c r="AM17" s="792"/>
      <c r="AN17" s="791"/>
      <c r="AO17" s="790">
        <f t="shared" si="25"/>
        <v>4.0211199999999998</v>
      </c>
      <c r="AP17" s="790">
        <f t="shared" si="26"/>
        <v>1.0310564102564101</v>
      </c>
    </row>
    <row r="18" spans="2:42" ht="14.5" thickBot="1">
      <c r="B18" s="1258">
        <v>22.743200000000002</v>
      </c>
      <c r="C18" s="1258">
        <v>0.83008000000000004</v>
      </c>
      <c r="D18" s="1258">
        <v>0.86831000000000003</v>
      </c>
      <c r="E18" s="1258">
        <v>22.743200000000002</v>
      </c>
      <c r="F18" s="801">
        <v>270</v>
      </c>
      <c r="G18" s="801">
        <v>30</v>
      </c>
      <c r="H18" s="801">
        <v>30</v>
      </c>
      <c r="I18" s="801">
        <v>4</v>
      </c>
      <c r="J18" s="731">
        <f t="shared" si="0"/>
        <v>26</v>
      </c>
      <c r="K18" s="781">
        <f t="shared" si="1"/>
        <v>3.6497942242076755</v>
      </c>
      <c r="L18" s="782">
        <f t="shared" si="2"/>
        <v>3.8178884237926058</v>
      </c>
      <c r="M18" s="783">
        <f t="shared" si="3"/>
        <v>8966.1</v>
      </c>
      <c r="N18" s="783">
        <f t="shared" si="4"/>
        <v>8022.3000000000011</v>
      </c>
      <c r="O18" s="795">
        <f t="shared" si="5"/>
        <v>67500</v>
      </c>
      <c r="P18" s="781">
        <f t="shared" si="6"/>
        <v>0.3433628318584071</v>
      </c>
      <c r="Q18" s="781">
        <f t="shared" si="7"/>
        <v>0.3433628318584071</v>
      </c>
      <c r="R18" s="784">
        <f t="shared" si="8"/>
        <v>3851.0301919522317</v>
      </c>
      <c r="S18" s="784">
        <f t="shared" si="9"/>
        <v>3495.9261355148424</v>
      </c>
      <c r="T18" s="785">
        <f t="shared" si="10"/>
        <v>1.005940829422614</v>
      </c>
      <c r="U18" s="785">
        <f t="shared" si="11"/>
        <v>1.0065482298002333</v>
      </c>
      <c r="V18" s="786">
        <f t="shared" si="12"/>
        <v>7.3285229708786659</v>
      </c>
      <c r="W18" s="786">
        <f t="shared" si="13"/>
        <v>7.1571111654567492</v>
      </c>
      <c r="X18" s="782">
        <f t="shared" si="14"/>
        <v>14.671477029121334</v>
      </c>
      <c r="Y18" s="782">
        <f t="shared" si="15"/>
        <v>14.842888834543249</v>
      </c>
      <c r="Z18" s="786">
        <f t="shared" si="16"/>
        <v>10.696050801444281</v>
      </c>
      <c r="AA18" s="786">
        <f t="shared" si="17"/>
        <v>10.696050801444281</v>
      </c>
      <c r="AB18" s="786">
        <f t="shared" si="18"/>
        <v>22.129718434657917</v>
      </c>
      <c r="AC18" s="786">
        <f t="shared" si="19"/>
        <v>21.928199663757901</v>
      </c>
      <c r="AD18" s="786">
        <f t="shared" si="20"/>
        <v>-2.250811726994451</v>
      </c>
      <c r="AE18" s="786">
        <f t="shared" si="21"/>
        <v>-2.1862994189025278</v>
      </c>
      <c r="AF18" s="787">
        <f t="shared" si="22"/>
        <v>-0.57713121204985918</v>
      </c>
      <c r="AG18" s="793">
        <v>9.5</v>
      </c>
      <c r="AH18" s="788">
        <f t="shared" si="23"/>
        <v>-0.5605895945903917</v>
      </c>
      <c r="AI18" s="789">
        <v>8.5</v>
      </c>
      <c r="AJ18" s="790">
        <f t="shared" si="24"/>
        <v>-2.1862994189025278</v>
      </c>
      <c r="AK18" s="792">
        <v>2</v>
      </c>
      <c r="AL18" s="792">
        <v>16</v>
      </c>
      <c r="AM18" s="792"/>
      <c r="AN18" s="791"/>
      <c r="AO18" s="790">
        <f t="shared" si="25"/>
        <v>4.0211199999999998</v>
      </c>
      <c r="AP18" s="790">
        <f t="shared" si="26"/>
        <v>1.0310564102564101</v>
      </c>
    </row>
    <row r="19" spans="2:42" ht="14.5" thickBot="1">
      <c r="B19" s="1258">
        <v>15.573399999999999</v>
      </c>
      <c r="C19" s="1258">
        <v>0.52890999999999999</v>
      </c>
      <c r="D19" s="1258">
        <v>1.15157</v>
      </c>
      <c r="E19" s="1258">
        <v>15.573399999999999</v>
      </c>
      <c r="F19" s="801">
        <v>270</v>
      </c>
      <c r="G19" s="801">
        <v>30</v>
      </c>
      <c r="H19" s="801">
        <v>30</v>
      </c>
      <c r="I19" s="801">
        <v>4</v>
      </c>
      <c r="J19" s="731">
        <f t="shared" si="0"/>
        <v>26</v>
      </c>
      <c r="K19" s="781">
        <f t="shared" si="1"/>
        <v>3.3962397421243913</v>
      </c>
      <c r="L19" s="782">
        <f t="shared" si="2"/>
        <v>7.3944674894371172</v>
      </c>
      <c r="M19" s="783">
        <f t="shared" si="3"/>
        <v>9909.9</v>
      </c>
      <c r="N19" s="783">
        <f t="shared" si="4"/>
        <v>8966.1</v>
      </c>
      <c r="O19" s="795">
        <f t="shared" si="5"/>
        <v>67500</v>
      </c>
      <c r="P19" s="781">
        <f t="shared" si="6"/>
        <v>0.3433628318584071</v>
      </c>
      <c r="Q19" s="781">
        <f t="shared" si="7"/>
        <v>0.3433628318584071</v>
      </c>
      <c r="R19" s="784">
        <f t="shared" si="8"/>
        <v>4206.1342483896215</v>
      </c>
      <c r="S19" s="784">
        <f t="shared" si="9"/>
        <v>3851.0301919522317</v>
      </c>
      <c r="T19" s="785">
        <f t="shared" si="10"/>
        <v>1.0037163044669748</v>
      </c>
      <c r="U19" s="785">
        <f t="shared" si="11"/>
        <v>1.004060376858547</v>
      </c>
      <c r="V19" s="786">
        <f t="shared" si="12"/>
        <v>7.591138796951034</v>
      </c>
      <c r="W19" s="786">
        <f t="shared" si="13"/>
        <v>3.575508185887494</v>
      </c>
      <c r="X19" s="782">
        <f t="shared" si="14"/>
        <v>14.408861203048964</v>
      </c>
      <c r="Y19" s="782">
        <f t="shared" si="15"/>
        <v>18.424491814112507</v>
      </c>
      <c r="Z19" s="786">
        <f t="shared" si="16"/>
        <v>7.3241178704497321</v>
      </c>
      <c r="AA19" s="786">
        <f t="shared" si="17"/>
        <v>7.3241178704497321</v>
      </c>
      <c r="AB19" s="786">
        <f t="shared" si="18"/>
        <v>22.446066750377984</v>
      </c>
      <c r="AC19" s="786">
        <f t="shared" si="19"/>
        <v>19.153772299298971</v>
      </c>
      <c r="AD19" s="786">
        <f t="shared" si="20"/>
        <v>-2.0434146894668559</v>
      </c>
      <c r="AE19" s="786">
        <f t="shared" si="21"/>
        <v>-1.0085406913212953</v>
      </c>
      <c r="AF19" s="787">
        <f t="shared" si="22"/>
        <v>-0.52395248447868092</v>
      </c>
      <c r="AG19" s="793">
        <v>10.5</v>
      </c>
      <c r="AH19" s="788">
        <f t="shared" si="23"/>
        <v>-0.25860017726187057</v>
      </c>
      <c r="AI19" s="789">
        <v>9.5</v>
      </c>
      <c r="AJ19" s="790">
        <f t="shared" si="24"/>
        <v>-1.0085406913212953</v>
      </c>
      <c r="AK19" s="792">
        <v>2</v>
      </c>
      <c r="AL19" s="792">
        <v>16</v>
      </c>
      <c r="AM19" s="792"/>
      <c r="AN19" s="791"/>
      <c r="AO19" s="790">
        <f t="shared" si="25"/>
        <v>4.0211199999999998</v>
      </c>
      <c r="AP19" s="790">
        <f t="shared" si="26"/>
        <v>1.0310564102564101</v>
      </c>
    </row>
    <row r="20" spans="2:42" ht="14.5" thickBot="1">
      <c r="B20" s="1258">
        <v>13.7159</v>
      </c>
      <c r="C20" s="1258">
        <v>0.52815000000000001</v>
      </c>
      <c r="D20" s="1258">
        <v>1.1364399999999999</v>
      </c>
      <c r="E20" s="1258">
        <v>13.7159</v>
      </c>
      <c r="F20" s="801">
        <v>270</v>
      </c>
      <c r="G20" s="801">
        <v>30</v>
      </c>
      <c r="H20" s="801">
        <v>30</v>
      </c>
      <c r="I20" s="801">
        <v>4</v>
      </c>
      <c r="J20" s="731">
        <f t="shared" si="0"/>
        <v>26</v>
      </c>
      <c r="K20" s="781">
        <f t="shared" si="1"/>
        <v>3.850640497524771</v>
      </c>
      <c r="L20" s="782">
        <f t="shared" si="2"/>
        <v>8.285566386456594</v>
      </c>
      <c r="M20" s="783">
        <f t="shared" si="3"/>
        <v>10853.7</v>
      </c>
      <c r="N20" s="783">
        <f t="shared" si="4"/>
        <v>9909.9</v>
      </c>
      <c r="O20" s="795">
        <f t="shared" si="5"/>
        <v>67500</v>
      </c>
      <c r="P20" s="781">
        <f t="shared" si="6"/>
        <v>0.3433628318584071</v>
      </c>
      <c r="Q20" s="781">
        <f t="shared" si="7"/>
        <v>0.3433628318584071</v>
      </c>
      <c r="R20" s="784">
        <f t="shared" si="8"/>
        <v>4561.2383048270112</v>
      </c>
      <c r="S20" s="784">
        <f t="shared" si="9"/>
        <v>4206.1342483896215</v>
      </c>
      <c r="T20" s="785">
        <f t="shared" si="10"/>
        <v>1.0030161258766843</v>
      </c>
      <c r="U20" s="785">
        <f t="shared" si="11"/>
        <v>1.0032715962149312</v>
      </c>
      <c r="V20" s="786">
        <f t="shared" si="12"/>
        <v>7.1377454860288356</v>
      </c>
      <c r="W20" s="786">
        <f t="shared" si="13"/>
        <v>2.6873265859149136</v>
      </c>
      <c r="X20" s="782">
        <f t="shared" si="14"/>
        <v>14.862254513971163</v>
      </c>
      <c r="Y20" s="782">
        <f t="shared" si="15"/>
        <v>19.312673414085086</v>
      </c>
      <c r="Z20" s="786">
        <f t="shared" si="16"/>
        <v>6.4505418405294597</v>
      </c>
      <c r="AA20" s="786">
        <f t="shared" si="17"/>
        <v>6.4505418405294597</v>
      </c>
      <c r="AB20" s="786">
        <f t="shared" si="18"/>
        <v>21.889729284842872</v>
      </c>
      <c r="AC20" s="786">
        <f t="shared" si="19"/>
        <v>18.790350216218933</v>
      </c>
      <c r="AD20" s="786">
        <f t="shared" si="20"/>
        <v>-1.7959197131300539</v>
      </c>
      <c r="AE20" s="786">
        <f t="shared" si="21"/>
        <v>-0.78579387095879094</v>
      </c>
      <c r="AF20" s="787">
        <f t="shared" si="22"/>
        <v>-0.46049223413591123</v>
      </c>
      <c r="AG20" s="793">
        <v>11.5</v>
      </c>
      <c r="AH20" s="788">
        <f t="shared" si="23"/>
        <v>-0.20148560793815154</v>
      </c>
      <c r="AI20" s="789">
        <v>10.5</v>
      </c>
      <c r="AJ20" s="790">
        <f t="shared" si="24"/>
        <v>-0.78579387095879094</v>
      </c>
      <c r="AK20" s="792">
        <v>2</v>
      </c>
      <c r="AL20" s="792">
        <v>16</v>
      </c>
      <c r="AM20" s="792"/>
      <c r="AN20" s="791"/>
      <c r="AO20" s="790">
        <f t="shared" si="25"/>
        <v>4.0211199999999998</v>
      </c>
      <c r="AP20" s="790">
        <f t="shared" si="26"/>
        <v>1.0310564102564101</v>
      </c>
    </row>
    <row r="21" spans="2:42" ht="14.5" thickBot="1">
      <c r="B21" s="1258">
        <v>15.555199999999999</v>
      </c>
      <c r="C21" s="1258">
        <v>0.25014999999999998</v>
      </c>
      <c r="D21" s="1258">
        <v>1.3709199999999999</v>
      </c>
      <c r="E21" s="1258">
        <v>15.555199999999999</v>
      </c>
      <c r="F21" s="801">
        <v>270</v>
      </c>
      <c r="G21" s="801">
        <v>30</v>
      </c>
      <c r="H21" s="801">
        <v>30</v>
      </c>
      <c r="I21" s="801">
        <v>4</v>
      </c>
      <c r="J21" s="731">
        <f t="shared" si="0"/>
        <v>26</v>
      </c>
      <c r="K21" s="781">
        <f t="shared" si="1"/>
        <v>1.6081439004320099</v>
      </c>
      <c r="L21" s="782">
        <f t="shared" si="2"/>
        <v>8.8132585887677433</v>
      </c>
      <c r="M21" s="783">
        <f t="shared" si="3"/>
        <v>11797.5</v>
      </c>
      <c r="N21" s="783">
        <f t="shared" si="4"/>
        <v>10853.7</v>
      </c>
      <c r="O21" s="795">
        <f t="shared" si="5"/>
        <v>67500</v>
      </c>
      <c r="P21" s="781">
        <f t="shared" si="6"/>
        <v>0.3433628318584071</v>
      </c>
      <c r="Q21" s="781">
        <f t="shared" si="7"/>
        <v>0.3433628318584071</v>
      </c>
      <c r="R21" s="784">
        <f t="shared" si="8"/>
        <v>4916.3423612644001</v>
      </c>
      <c r="S21" s="784">
        <f t="shared" si="9"/>
        <v>4561.2383048270112</v>
      </c>
      <c r="T21" s="785">
        <f t="shared" si="10"/>
        <v>1.003174020721191</v>
      </c>
      <c r="U21" s="785">
        <f t="shared" si="11"/>
        <v>1.0034219719327733</v>
      </c>
      <c r="V21" s="786">
        <f t="shared" si="12"/>
        <v>9.3867518175053615</v>
      </c>
      <c r="W21" s="786">
        <f t="shared" si="13"/>
        <v>2.156582687705221</v>
      </c>
      <c r="X21" s="782">
        <f t="shared" si="14"/>
        <v>12.613248182494637</v>
      </c>
      <c r="Y21" s="782">
        <f t="shared" si="15"/>
        <v>19.843417312294779</v>
      </c>
      <c r="Z21" s="786">
        <f t="shared" si="16"/>
        <v>7.3155584713947928</v>
      </c>
      <c r="AA21" s="786">
        <f t="shared" si="17"/>
        <v>7.3155584713947928</v>
      </c>
      <c r="AB21" s="786">
        <f t="shared" si="18"/>
        <v>24.856814876133999</v>
      </c>
      <c r="AC21" s="786">
        <f t="shared" si="19"/>
        <v>18.612072348721327</v>
      </c>
      <c r="AD21" s="786">
        <f t="shared" si="20"/>
        <v>-2.5043375151339613</v>
      </c>
      <c r="AE21" s="786">
        <f t="shared" si="21"/>
        <v>-0.64321768564862436</v>
      </c>
      <c r="AF21" s="787">
        <f t="shared" si="22"/>
        <v>-0.64213782439332334</v>
      </c>
      <c r="AG21" s="793">
        <v>12.5</v>
      </c>
      <c r="AH21" s="788">
        <f t="shared" si="23"/>
        <v>-0.16492761170477549</v>
      </c>
      <c r="AI21" s="789">
        <v>11.5</v>
      </c>
      <c r="AJ21" s="790">
        <f t="shared" si="24"/>
        <v>-0.64321768564862436</v>
      </c>
      <c r="AK21" s="792">
        <v>2</v>
      </c>
      <c r="AL21" s="792">
        <v>16</v>
      </c>
      <c r="AM21" s="792"/>
      <c r="AN21" s="791"/>
      <c r="AO21" s="790">
        <f t="shared" si="25"/>
        <v>4.0211199999999998</v>
      </c>
      <c r="AP21" s="790">
        <f t="shared" si="26"/>
        <v>1.0310564102564101</v>
      </c>
    </row>
    <row r="22" spans="2:42" ht="14.5" thickBot="1">
      <c r="B22" s="1258">
        <v>4.1197999999999997</v>
      </c>
      <c r="C22" s="1258">
        <v>0.59919</v>
      </c>
      <c r="D22" s="1258">
        <v>1.0025299999999999</v>
      </c>
      <c r="E22" s="1258">
        <v>6.5100000000000005E-2</v>
      </c>
      <c r="F22" s="801">
        <v>270</v>
      </c>
      <c r="G22" s="801">
        <v>30</v>
      </c>
      <c r="H22" s="801">
        <v>30</v>
      </c>
      <c r="I22" s="801">
        <v>4</v>
      </c>
      <c r="J22" s="731">
        <f t="shared" si="0"/>
        <v>26</v>
      </c>
      <c r="K22" s="781">
        <f t="shared" si="1"/>
        <v>14.544152628768389</v>
      </c>
      <c r="L22" s="782">
        <f t="shared" si="2"/>
        <v>1539.9846390168968</v>
      </c>
      <c r="M22" s="783">
        <f t="shared" si="3"/>
        <v>12741.300000000001</v>
      </c>
      <c r="N22" s="783">
        <f t="shared" si="4"/>
        <v>11797.5</v>
      </c>
      <c r="O22" s="795">
        <f t="shared" si="5"/>
        <v>67500</v>
      </c>
      <c r="P22" s="781">
        <f t="shared" si="6"/>
        <v>0.28809685881259128</v>
      </c>
      <c r="Q22" s="781">
        <f t="shared" si="7"/>
        <v>0.10213871215341624</v>
      </c>
      <c r="R22" s="784">
        <f t="shared" si="8"/>
        <v>5194.5836887491823</v>
      </c>
      <c r="S22" s="784">
        <f t="shared" si="9"/>
        <v>4580.8530337835364</v>
      </c>
      <c r="T22" s="785">
        <f t="shared" si="10"/>
        <v>1.0007937248169534</v>
      </c>
      <c r="U22" s="785">
        <f t="shared" si="11"/>
        <v>1.000014211528877</v>
      </c>
      <c r="V22" s="786">
        <f t="shared" si="12"/>
        <v>3.5556966836513997</v>
      </c>
      <c r="W22" s="786">
        <f t="shared" si="13"/>
        <v>1529.0065245530643</v>
      </c>
      <c r="X22" s="782">
        <f t="shared" si="14"/>
        <v>25.555696683651398</v>
      </c>
      <c r="Y22" s="782">
        <f t="shared" si="15"/>
        <v>1551.0065245530643</v>
      </c>
      <c r="Z22" s="786">
        <f t="shared" si="16"/>
        <v>1.9375281443152299</v>
      </c>
      <c r="AA22" s="786">
        <f t="shared" si="17"/>
        <v>3.0616312004204456E-2</v>
      </c>
      <c r="AB22" s="786">
        <f t="shared" si="18"/>
        <v>17.6136248187576</v>
      </c>
      <c r="AC22" s="786">
        <f t="shared" si="19"/>
        <v>16.900069068149982</v>
      </c>
      <c r="AD22" s="786">
        <f t="shared" si="20"/>
        <v>3.5755216347319367E-2</v>
      </c>
      <c r="AE22" s="786">
        <f t="shared" si="21"/>
        <v>1.6428856273971733</v>
      </c>
      <c r="AF22" s="787">
        <f t="shared" si="22"/>
        <v>9.1680041916203502E-3</v>
      </c>
      <c r="AG22" s="793">
        <v>13.5</v>
      </c>
      <c r="AH22" s="788">
        <f t="shared" si="23"/>
        <v>0.42125272497363414</v>
      </c>
      <c r="AI22" s="789">
        <v>12.5</v>
      </c>
      <c r="AJ22" s="790">
        <f t="shared" si="24"/>
        <v>1.6428856273971733</v>
      </c>
      <c r="AK22" s="792">
        <v>2</v>
      </c>
      <c r="AL22" s="792">
        <v>16</v>
      </c>
      <c r="AM22" s="792"/>
      <c r="AN22" s="791"/>
      <c r="AO22" s="790">
        <f t="shared" si="25"/>
        <v>4.0211199999999998</v>
      </c>
      <c r="AP22" s="790">
        <f t="shared" si="26"/>
        <v>1.0310564102564101</v>
      </c>
    </row>
    <row r="23" spans="2:42" ht="14.5" thickBot="1">
      <c r="B23" s="1258">
        <v>9.0855999999999995</v>
      </c>
      <c r="C23" s="1258">
        <v>0.27566000000000002</v>
      </c>
      <c r="D23" s="1258">
        <v>0.38312000000000002</v>
      </c>
      <c r="E23" s="1258">
        <v>9.0855999999999995</v>
      </c>
      <c r="F23" s="801">
        <v>270</v>
      </c>
      <c r="G23" s="801">
        <v>30</v>
      </c>
      <c r="H23" s="801">
        <v>30</v>
      </c>
      <c r="I23" s="801">
        <v>4</v>
      </c>
      <c r="J23" s="731">
        <f t="shared" si="0"/>
        <v>26</v>
      </c>
      <c r="K23" s="781">
        <f t="shared" si="1"/>
        <v>3.0340318746147754</v>
      </c>
      <c r="L23" s="782">
        <f t="shared" si="2"/>
        <v>4.2167826010390073</v>
      </c>
      <c r="M23" s="783">
        <f t="shared" si="3"/>
        <v>13685.099999999999</v>
      </c>
      <c r="N23" s="783">
        <f t="shared" si="4"/>
        <v>12741.300000000001</v>
      </c>
      <c r="O23" s="795">
        <f t="shared" si="5"/>
        <v>67500</v>
      </c>
      <c r="P23" s="781">
        <f t="shared" si="6"/>
        <v>0.3433628318584071</v>
      </c>
      <c r="Q23" s="781">
        <f t="shared" si="7"/>
        <v>0.3433628318584071</v>
      </c>
      <c r="R23" s="784">
        <f t="shared" si="8"/>
        <v>5626.5504741391787</v>
      </c>
      <c r="S23" s="784">
        <f t="shared" si="9"/>
        <v>5271.4464177017908</v>
      </c>
      <c r="T23" s="785">
        <f t="shared" si="10"/>
        <v>1.0016173843902125</v>
      </c>
      <c r="U23" s="785">
        <f t="shared" si="11"/>
        <v>1.001726525473023</v>
      </c>
      <c r="V23" s="786">
        <f t="shared" si="12"/>
        <v>7.9610609295918149</v>
      </c>
      <c r="W23" s="786">
        <f t="shared" si="13"/>
        <v>6.7759370163860986</v>
      </c>
      <c r="X23" s="782">
        <f t="shared" si="14"/>
        <v>14.038939070408183</v>
      </c>
      <c r="Y23" s="782">
        <f t="shared" si="15"/>
        <v>15.224062983613901</v>
      </c>
      <c r="Z23" s="786">
        <f t="shared" si="16"/>
        <v>4.2729272556897069</v>
      </c>
      <c r="AA23" s="786">
        <f t="shared" si="17"/>
        <v>4.2729272556897069</v>
      </c>
      <c r="AB23" s="786">
        <f t="shared" si="18"/>
        <v>22.92087469983354</v>
      </c>
      <c r="AC23" s="786">
        <f t="shared" si="19"/>
        <v>21.477815889656018</v>
      </c>
      <c r="AD23" s="786">
        <f t="shared" si="20"/>
        <v>-1.4771297715813472</v>
      </c>
      <c r="AE23" s="786">
        <f t="shared" si="21"/>
        <v>-1.2989462021746017</v>
      </c>
      <c r="AF23" s="787">
        <f t="shared" si="22"/>
        <v>-0.3787512234823967</v>
      </c>
      <c r="AG23" s="793">
        <v>14.5</v>
      </c>
      <c r="AH23" s="788">
        <f t="shared" si="23"/>
        <v>-0.33306312876271837</v>
      </c>
      <c r="AI23" s="789">
        <v>13.5</v>
      </c>
      <c r="AJ23" s="790">
        <f t="shared" si="24"/>
        <v>-1.2989462021746017</v>
      </c>
      <c r="AK23" s="792">
        <v>2</v>
      </c>
      <c r="AL23" s="792">
        <v>16</v>
      </c>
      <c r="AM23" s="792"/>
      <c r="AN23" s="791"/>
      <c r="AO23" s="790">
        <f t="shared" si="25"/>
        <v>4.0211199999999998</v>
      </c>
      <c r="AP23" s="790">
        <f t="shared" si="26"/>
        <v>1.0310564102564101</v>
      </c>
    </row>
    <row r="24" spans="2:42" ht="14.5" thickBot="1">
      <c r="B24" s="1258">
        <v>3.3954</v>
      </c>
      <c r="C24" s="1258">
        <v>6.9080000000000003E-2</v>
      </c>
      <c r="D24" s="1258">
        <v>0.48814999999999997</v>
      </c>
      <c r="E24" s="1258">
        <v>4.36E-2</v>
      </c>
      <c r="F24" s="801">
        <v>270</v>
      </c>
      <c r="G24" s="801">
        <v>30</v>
      </c>
      <c r="H24" s="801">
        <v>30</v>
      </c>
      <c r="I24" s="801">
        <v>4</v>
      </c>
      <c r="J24" s="731">
        <f t="shared" si="0"/>
        <v>26</v>
      </c>
      <c r="K24" s="781">
        <f t="shared" si="1"/>
        <v>2.034517288095659</v>
      </c>
      <c r="L24" s="782">
        <f t="shared" si="2"/>
        <v>1119.6100917431193</v>
      </c>
      <c r="M24" s="783">
        <f t="shared" si="3"/>
        <v>14628.900000000001</v>
      </c>
      <c r="N24" s="783">
        <f t="shared" si="4"/>
        <v>13685.099999999999</v>
      </c>
      <c r="O24" s="795">
        <f t="shared" si="5"/>
        <v>67500</v>
      </c>
      <c r="P24" s="781">
        <f t="shared" si="6"/>
        <v>0.3433628318584071</v>
      </c>
      <c r="Q24" s="781">
        <f t="shared" si="7"/>
        <v>0.10293957806389925</v>
      </c>
      <c r="R24" s="784">
        <f t="shared" si="8"/>
        <v>5981.6545305765703</v>
      </c>
      <c r="S24" s="784">
        <f t="shared" si="9"/>
        <v>5292.1749737749369</v>
      </c>
      <c r="T24" s="785">
        <f t="shared" si="10"/>
        <v>1.0005679579833924</v>
      </c>
      <c r="U24" s="785">
        <f t="shared" si="11"/>
        <v>1.0000082386465718</v>
      </c>
      <c r="V24" s="786">
        <f t="shared" si="12"/>
        <v>8.9643271915682163</v>
      </c>
      <c r="W24" s="786">
        <f t="shared" si="13"/>
        <v>1108.6193158149633</v>
      </c>
      <c r="X24" s="782">
        <f t="shared" si="14"/>
        <v>13.035672808431784</v>
      </c>
      <c r="Y24" s="782">
        <f t="shared" si="15"/>
        <v>1130.6193158149633</v>
      </c>
      <c r="Z24" s="786">
        <f t="shared" si="16"/>
        <v>1.5968452500626082</v>
      </c>
      <c r="AA24" s="786">
        <f t="shared" si="17"/>
        <v>2.0504933999743687E-2</v>
      </c>
      <c r="AB24" s="786">
        <f t="shared" si="18"/>
        <v>24.298621073770146</v>
      </c>
      <c r="AC24" s="786">
        <f t="shared" si="19"/>
        <v>16.900130669446796</v>
      </c>
      <c r="AD24" s="786">
        <f t="shared" si="20"/>
        <v>-0.68357414851694254</v>
      </c>
      <c r="AE24" s="786">
        <f t="shared" si="21"/>
        <v>0.79699103050646691</v>
      </c>
      <c r="AF24" s="787">
        <f t="shared" si="22"/>
        <v>-0.17527542269665194</v>
      </c>
      <c r="AG24" s="793">
        <v>15.5</v>
      </c>
      <c r="AH24" s="788">
        <f t="shared" si="23"/>
        <v>0.20435667448883768</v>
      </c>
      <c r="AI24" s="789">
        <v>14.5</v>
      </c>
      <c r="AJ24" s="790">
        <f t="shared" si="24"/>
        <v>0.79699103050646691</v>
      </c>
      <c r="AK24" s="792">
        <v>2</v>
      </c>
      <c r="AL24" s="792">
        <v>16</v>
      </c>
      <c r="AM24" s="792"/>
      <c r="AN24" s="791"/>
      <c r="AO24" s="790">
        <f t="shared" si="25"/>
        <v>4.0211199999999998</v>
      </c>
      <c r="AP24" s="790">
        <f t="shared" si="26"/>
        <v>1.0310564102564101</v>
      </c>
    </row>
    <row r="25" spans="2:42" ht="14.5" thickBot="1">
      <c r="B25" s="1258">
        <v>3.3382000000000001</v>
      </c>
      <c r="C25" s="1258">
        <v>7.4759999999999993E-2</v>
      </c>
      <c r="D25" s="1258">
        <v>0.47375</v>
      </c>
      <c r="E25" s="1258">
        <v>1.3299999999999999E-2</v>
      </c>
      <c r="F25" s="801">
        <v>270</v>
      </c>
      <c r="G25" s="801">
        <v>30</v>
      </c>
      <c r="H25" s="801">
        <v>30</v>
      </c>
      <c r="I25" s="801">
        <v>4</v>
      </c>
      <c r="J25" s="731">
        <f t="shared" si="0"/>
        <v>26</v>
      </c>
      <c r="K25" s="781">
        <f t="shared" si="1"/>
        <v>2.2395302857827568</v>
      </c>
      <c r="L25" s="782">
        <f t="shared" si="2"/>
        <v>3562.0300751879704</v>
      </c>
      <c r="M25" s="783">
        <f t="shared" si="3"/>
        <v>15572.700000000003</v>
      </c>
      <c r="N25" s="783">
        <f t="shared" si="4"/>
        <v>14628.900000000001</v>
      </c>
      <c r="O25" s="795">
        <f t="shared" si="5"/>
        <v>67500</v>
      </c>
      <c r="P25" s="781">
        <f t="shared" si="6"/>
        <v>0.3433628318584071</v>
      </c>
      <c r="Q25" s="781">
        <f t="shared" si="7"/>
        <v>0.10092565839008413</v>
      </c>
      <c r="R25" s="784">
        <f t="shared" si="8"/>
        <v>6336.7585870139601</v>
      </c>
      <c r="S25" s="784">
        <f t="shared" si="9"/>
        <v>5644.4781139615179</v>
      </c>
      <c r="T25" s="785">
        <f t="shared" si="10"/>
        <v>1.0005270769656858</v>
      </c>
      <c r="U25" s="785">
        <f t="shared" si="11"/>
        <v>1.0000023562907092</v>
      </c>
      <c r="V25" s="786">
        <f t="shared" si="12"/>
        <v>8.7592893093896507</v>
      </c>
      <c r="W25" s="786">
        <f t="shared" si="13"/>
        <v>3551.0384683663424</v>
      </c>
      <c r="X25" s="782">
        <f t="shared" si="14"/>
        <v>13.240710690610349</v>
      </c>
      <c r="Y25" s="782">
        <f t="shared" si="15"/>
        <v>3573.0384683663424</v>
      </c>
      <c r="Z25" s="786">
        <f t="shared" si="16"/>
        <v>1.5699442816042291</v>
      </c>
      <c r="AA25" s="786">
        <f t="shared" si="17"/>
        <v>6.2549454632245651E-3</v>
      </c>
      <c r="AB25" s="786">
        <f t="shared" si="18"/>
        <v>24.016944197292872</v>
      </c>
      <c r="AC25" s="786">
        <f t="shared" si="19"/>
        <v>16.900012909758477</v>
      </c>
      <c r="AD25" s="786">
        <f t="shared" si="20"/>
        <v>-0.66147493235399391</v>
      </c>
      <c r="AE25" s="786">
        <f t="shared" si="21"/>
        <v>0.78067128070779357</v>
      </c>
      <c r="AF25" s="787">
        <f t="shared" si="22"/>
        <v>-0.1696089570138446</v>
      </c>
      <c r="AG25" s="793">
        <v>16.5</v>
      </c>
      <c r="AH25" s="788">
        <f t="shared" si="23"/>
        <v>0.20017212325840861</v>
      </c>
      <c r="AI25" s="789">
        <v>15.5</v>
      </c>
      <c r="AJ25" s="790">
        <f t="shared" si="24"/>
        <v>0.78067128070779357</v>
      </c>
      <c r="AK25" s="792">
        <v>2</v>
      </c>
      <c r="AL25" s="792">
        <v>16</v>
      </c>
      <c r="AM25" s="792"/>
      <c r="AN25" s="791"/>
      <c r="AO25" s="790">
        <f t="shared" si="25"/>
        <v>4.0211199999999998</v>
      </c>
      <c r="AP25" s="790">
        <f t="shared" si="26"/>
        <v>1.0310564102564101</v>
      </c>
    </row>
    <row r="26" spans="2:42">
      <c r="B26" s="1258">
        <v>4.8623000000000003</v>
      </c>
      <c r="C26" s="1258">
        <v>0.10888</v>
      </c>
      <c r="D26" s="1258">
        <v>0.68954000000000004</v>
      </c>
      <c r="E26" s="1258">
        <v>0.54300000000000004</v>
      </c>
      <c r="F26" s="801">
        <v>270</v>
      </c>
      <c r="G26" s="801">
        <v>30</v>
      </c>
      <c r="H26" s="801">
        <v>30</v>
      </c>
      <c r="I26" s="801">
        <v>4</v>
      </c>
      <c r="J26" s="731">
        <f t="shared" si="0"/>
        <v>26</v>
      </c>
      <c r="K26" s="781">
        <f t="shared" si="1"/>
        <v>2.2392694815210907</v>
      </c>
      <c r="L26" s="782">
        <f t="shared" si="2"/>
        <v>126.98710865561694</v>
      </c>
      <c r="M26" s="783">
        <f t="shared" si="3"/>
        <v>16516.5</v>
      </c>
      <c r="N26" s="783">
        <f t="shared" si="4"/>
        <v>15572.700000000003</v>
      </c>
      <c r="O26" s="795">
        <f t="shared" si="5"/>
        <v>67500</v>
      </c>
      <c r="P26" s="781">
        <f t="shared" si="6"/>
        <v>0.3433628318584071</v>
      </c>
      <c r="Q26" s="781">
        <f t="shared" si="7"/>
        <v>0.12538713287902187</v>
      </c>
      <c r="R26" s="784">
        <f t="shared" si="8"/>
        <v>6691.862643451349</v>
      </c>
      <c r="S26" s="784">
        <f t="shared" si="9"/>
        <v>6033.6026640192003</v>
      </c>
      <c r="T26" s="785">
        <f t="shared" si="10"/>
        <v>1.0007271272245053</v>
      </c>
      <c r="U26" s="785">
        <f t="shared" si="11"/>
        <v>1.0000900040825451</v>
      </c>
      <c r="V26" s="786">
        <f t="shared" si="12"/>
        <v>8.7591022846758904</v>
      </c>
      <c r="W26" s="786">
        <f t="shared" si="13"/>
        <v>115.99853801382655</v>
      </c>
      <c r="X26" s="782">
        <f t="shared" si="14"/>
        <v>13.24089771532411</v>
      </c>
      <c r="Y26" s="782">
        <f t="shared" si="15"/>
        <v>137.99853801382653</v>
      </c>
      <c r="Z26" s="786">
        <f t="shared" si="16"/>
        <v>2.2867234079576546</v>
      </c>
      <c r="AA26" s="786">
        <f t="shared" si="17"/>
        <v>0.25537108169405554</v>
      </c>
      <c r="AB26" s="786">
        <f t="shared" si="18"/>
        <v>24.017305417133343</v>
      </c>
      <c r="AC26" s="786">
        <f t="shared" si="19"/>
        <v>16.910146356695307</v>
      </c>
      <c r="AD26" s="786">
        <f t="shared" si="20"/>
        <v>-0.9346283183327927</v>
      </c>
      <c r="AE26" s="786">
        <f t="shared" si="21"/>
        <v>1.007528419684852</v>
      </c>
      <c r="AF26" s="787">
        <f t="shared" si="22"/>
        <v>-0.23964828675199812</v>
      </c>
      <c r="AG26" s="793">
        <v>17.5</v>
      </c>
      <c r="AH26" s="788">
        <f t="shared" si="23"/>
        <v>0.25834062043201333</v>
      </c>
      <c r="AI26" s="789">
        <v>16.5</v>
      </c>
      <c r="AJ26" s="790">
        <f t="shared" si="24"/>
        <v>1.007528419684852</v>
      </c>
      <c r="AK26" s="792">
        <v>2</v>
      </c>
      <c r="AL26" s="792">
        <v>16</v>
      </c>
      <c r="AM26" s="792"/>
      <c r="AN26" s="791"/>
      <c r="AO26" s="790">
        <f t="shared" si="25"/>
        <v>4.0211199999999998</v>
      </c>
      <c r="AP26" s="790">
        <f t="shared" si="26"/>
        <v>1.0310564102564101</v>
      </c>
    </row>
  </sheetData>
  <mergeCells count="38">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 ref="F7:F8"/>
    <mergeCell ref="AH8:AI8"/>
    <mergeCell ref="G7:G8"/>
    <mergeCell ref="H7:H8"/>
    <mergeCell ref="I7:I8"/>
    <mergeCell ref="J7:J8"/>
    <mergeCell ref="K7:K8"/>
    <mergeCell ref="L7:L8"/>
    <mergeCell ref="M7:M8"/>
    <mergeCell ref="N7:N8"/>
    <mergeCell ref="O7:O8"/>
    <mergeCell ref="P7:P9"/>
    <mergeCell ref="Q7:Q9"/>
    <mergeCell ref="Z7:Z9"/>
    <mergeCell ref="AK8:AN8"/>
    <mergeCell ref="AC7:AC9"/>
    <mergeCell ref="AD7:AE7"/>
    <mergeCell ref="AF7:AI7"/>
    <mergeCell ref="AJ7:AP7"/>
    <mergeCell ref="AD8:AD9"/>
    <mergeCell ref="AE8:AE9"/>
    <mergeCell ref="AF8:AG8"/>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81" t="s">
        <v>1024</v>
      </c>
      <c r="B1" s="1081"/>
      <c r="C1" s="1081"/>
      <c r="D1" s="1081"/>
      <c r="E1" s="1081"/>
      <c r="F1" s="1081"/>
      <c r="G1" s="1081"/>
      <c r="H1" s="1081"/>
      <c r="I1" s="1081"/>
      <c r="J1" s="1081"/>
      <c r="K1" s="1081"/>
      <c r="L1" s="1081"/>
    </row>
    <row r="2" spans="1:12" ht="16.5">
      <c r="A2" s="655"/>
      <c r="B2" s="655"/>
      <c r="C2" s="655"/>
      <c r="D2" s="655"/>
      <c r="E2" s="655"/>
      <c r="F2" s="655"/>
      <c r="G2" s="655"/>
      <c r="H2" s="655"/>
      <c r="I2" s="655"/>
      <c r="J2" s="655"/>
      <c r="K2" s="655"/>
      <c r="L2" s="655"/>
    </row>
    <row r="3" spans="1:12" ht="16.5">
      <c r="A3" s="656" t="s">
        <v>685</v>
      </c>
      <c r="B3" s="655"/>
      <c r="C3" s="655"/>
      <c r="D3" s="655"/>
      <c r="E3" s="655"/>
      <c r="F3" s="657" t="s">
        <v>978</v>
      </c>
      <c r="G3" s="655"/>
      <c r="H3" s="655"/>
      <c r="I3" s="655"/>
      <c r="J3" s="655"/>
      <c r="K3" s="655"/>
      <c r="L3" s="655"/>
    </row>
    <row r="4" spans="1:12" ht="16.5">
      <c r="A4" s="658" t="s">
        <v>686</v>
      </c>
      <c r="B4" s="659"/>
      <c r="C4" s="659"/>
      <c r="D4" s="659"/>
      <c r="E4" s="659"/>
      <c r="F4" s="655"/>
      <c r="G4" s="655"/>
      <c r="H4" s="655"/>
      <c r="I4" s="655"/>
      <c r="J4" s="655"/>
      <c r="K4" s="655"/>
      <c r="L4" s="655"/>
    </row>
    <row r="5" spans="1:12" ht="16.5">
      <c r="A5" s="660" t="s">
        <v>687</v>
      </c>
      <c r="B5" s="659"/>
      <c r="C5" s="655"/>
      <c r="D5" s="661"/>
      <c r="E5" s="662"/>
      <c r="F5" s="655"/>
      <c r="G5" s="655"/>
      <c r="H5" s="655"/>
      <c r="I5" s="655"/>
      <c r="J5" s="655"/>
      <c r="K5" s="655"/>
      <c r="L5" s="655"/>
    </row>
    <row r="6" spans="1:12" ht="16.5">
      <c r="A6" s="660"/>
      <c r="B6" s="655" t="s">
        <v>688</v>
      </c>
      <c r="C6" s="655"/>
      <c r="D6" s="663" t="s">
        <v>689</v>
      </c>
      <c r="E6" s="664">
        <f>TH!B22</f>
        <v>8.5</v>
      </c>
      <c r="F6" s="665" t="s">
        <v>93</v>
      </c>
      <c r="G6" s="655"/>
      <c r="H6" s="655"/>
      <c r="I6" s="655"/>
      <c r="J6" s="655"/>
      <c r="K6" s="655"/>
      <c r="L6" s="655"/>
    </row>
    <row r="7" spans="1:12" ht="16.5">
      <c r="A7" s="660"/>
      <c r="B7" s="655" t="s">
        <v>690</v>
      </c>
      <c r="C7" s="655"/>
      <c r="D7" s="663" t="s">
        <v>691</v>
      </c>
      <c r="E7" s="664">
        <f>TH!B23</f>
        <v>0.75</v>
      </c>
      <c r="F7" s="665" t="s">
        <v>93</v>
      </c>
      <c r="G7" s="655"/>
      <c r="H7" s="655"/>
      <c r="I7" s="655"/>
      <c r="J7" s="655"/>
      <c r="K7" s="655"/>
      <c r="L7" s="655"/>
    </row>
    <row r="8" spans="1:12" ht="16.5">
      <c r="A8" s="660"/>
      <c r="B8" s="655" t="s">
        <v>692</v>
      </c>
      <c r="C8" s="655"/>
      <c r="D8" s="663" t="s">
        <v>693</v>
      </c>
      <c r="E8" s="666">
        <f>TH!B24</f>
        <v>23000</v>
      </c>
      <c r="F8" s="665" t="s">
        <v>93</v>
      </c>
      <c r="G8" s="655"/>
      <c r="H8" s="655"/>
      <c r="I8" s="655"/>
      <c r="J8" s="655"/>
      <c r="K8" s="655"/>
      <c r="L8" s="655"/>
    </row>
    <row r="9" spans="1:12" ht="16.5">
      <c r="A9" s="660" t="s">
        <v>1025</v>
      </c>
      <c r="B9" s="659"/>
      <c r="C9" s="655"/>
      <c r="D9" s="667" t="s">
        <v>382</v>
      </c>
      <c r="E9" s="662"/>
      <c r="F9" s="655"/>
      <c r="G9" s="655"/>
      <c r="H9" s="655"/>
      <c r="I9" s="655"/>
      <c r="J9" s="655"/>
      <c r="K9" s="655"/>
      <c r="L9" s="655"/>
    </row>
    <row r="10" spans="1:12" ht="16.5">
      <c r="A10" s="660"/>
      <c r="B10" s="655" t="s">
        <v>690</v>
      </c>
      <c r="C10" s="655"/>
      <c r="D10" s="663" t="s">
        <v>694</v>
      </c>
      <c r="E10" s="668">
        <f>TH!B31</f>
        <v>280</v>
      </c>
      <c r="F10" s="665" t="s">
        <v>93</v>
      </c>
      <c r="G10" s="655"/>
      <c r="H10" s="655"/>
      <c r="I10" s="655"/>
      <c r="J10" s="655"/>
      <c r="K10" s="655"/>
      <c r="L10" s="655"/>
    </row>
    <row r="11" spans="1:12" ht="16.5">
      <c r="A11" s="660"/>
      <c r="B11" s="655" t="s">
        <v>688</v>
      </c>
      <c r="C11" s="655"/>
      <c r="D11" s="663" t="s">
        <v>695</v>
      </c>
      <c r="E11" s="668">
        <f>TH!B32</f>
        <v>225</v>
      </c>
      <c r="F11" s="665" t="s">
        <v>93</v>
      </c>
      <c r="G11" s="655"/>
      <c r="H11" s="655"/>
      <c r="I11" s="655"/>
      <c r="J11" s="655"/>
      <c r="K11" s="655"/>
      <c r="L11" s="655"/>
    </row>
    <row r="12" spans="1:12" ht="19.5">
      <c r="A12" s="660" t="s">
        <v>696</v>
      </c>
      <c r="B12" s="655" t="s">
        <v>697</v>
      </c>
      <c r="C12" s="669"/>
      <c r="D12" s="670" t="s">
        <v>730</v>
      </c>
      <c r="E12" s="671">
        <f>TH!B33</f>
        <v>210000</v>
      </c>
      <c r="F12" s="655"/>
      <c r="G12" s="655"/>
      <c r="H12" s="655"/>
      <c r="I12" s="655"/>
      <c r="J12" s="655"/>
      <c r="K12" s="655"/>
      <c r="L12" s="655"/>
    </row>
    <row r="13" spans="1:12" ht="16.5">
      <c r="A13" s="660"/>
      <c r="B13" s="655" t="s">
        <v>698</v>
      </c>
      <c r="C13" s="672"/>
      <c r="D13" s="673"/>
      <c r="E13" s="673"/>
      <c r="F13" s="665"/>
      <c r="G13" s="655"/>
      <c r="H13" s="655"/>
      <c r="I13" s="655"/>
      <c r="J13" s="655"/>
      <c r="K13" s="655"/>
      <c r="L13" s="655"/>
    </row>
    <row r="14" spans="1:12" ht="19.5">
      <c r="A14" s="660" t="s">
        <v>696</v>
      </c>
      <c r="B14" s="655" t="s">
        <v>699</v>
      </c>
      <c r="C14" s="655"/>
      <c r="D14" s="670" t="s">
        <v>731</v>
      </c>
      <c r="E14" s="671">
        <v>0.2</v>
      </c>
      <c r="F14" s="665" t="s">
        <v>700</v>
      </c>
      <c r="G14" s="655"/>
      <c r="H14" s="655"/>
      <c r="I14" s="655"/>
      <c r="J14" s="655"/>
      <c r="K14" s="655"/>
      <c r="L14" s="655"/>
    </row>
    <row r="15" spans="1:12" ht="19.5">
      <c r="A15" s="660"/>
      <c r="B15" s="655"/>
      <c r="C15" s="655"/>
      <c r="D15" s="674" t="s">
        <v>732</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1026</v>
      </c>
      <c r="B17" s="659"/>
      <c r="C17" s="659"/>
      <c r="D17" s="676"/>
      <c r="E17" s="659"/>
      <c r="F17" s="655"/>
      <c r="G17" s="655"/>
      <c r="H17" s="655"/>
      <c r="I17" s="655"/>
      <c r="J17" s="655"/>
      <c r="K17" s="655"/>
      <c r="L17" s="655"/>
    </row>
    <row r="18" spans="1:12" ht="16.5">
      <c r="A18" s="660" t="s">
        <v>1027</v>
      </c>
      <c r="B18" s="665"/>
      <c r="C18" s="665"/>
      <c r="D18" s="665"/>
      <c r="E18" s="677">
        <v>200</v>
      </c>
      <c r="F18" s="655" t="s">
        <v>159</v>
      </c>
      <c r="G18" s="655"/>
      <c r="H18" s="663"/>
      <c r="I18" s="678"/>
      <c r="J18" s="655"/>
      <c r="K18" s="655"/>
      <c r="L18" s="655"/>
    </row>
    <row r="19" spans="1:12" ht="16.5">
      <c r="A19" s="660" t="s">
        <v>1028</v>
      </c>
      <c r="B19" s="665"/>
      <c r="C19" s="665"/>
      <c r="D19" s="665"/>
      <c r="E19" s="677">
        <v>200</v>
      </c>
      <c r="F19" s="655" t="s">
        <v>159</v>
      </c>
      <c r="G19" s="655"/>
      <c r="H19" s="679" t="s">
        <v>1118</v>
      </c>
      <c r="I19" s="680">
        <v>0.7</v>
      </c>
      <c r="J19" s="655"/>
      <c r="K19" s="681"/>
      <c r="L19" s="655"/>
    </row>
    <row r="20" spans="1:12" ht="16.5">
      <c r="A20" s="660" t="s">
        <v>1029</v>
      </c>
      <c r="B20" s="665"/>
      <c r="C20" s="665"/>
      <c r="D20" s="665"/>
      <c r="E20" s="677">
        <v>40</v>
      </c>
      <c r="F20" s="655" t="s">
        <v>159</v>
      </c>
      <c r="G20" s="655"/>
      <c r="H20" s="663" t="s">
        <v>1030</v>
      </c>
      <c r="I20" s="682">
        <f>+I19*E26</f>
        <v>2.52</v>
      </c>
      <c r="J20" s="655" t="s">
        <v>6</v>
      </c>
      <c r="K20" s="655"/>
      <c r="L20" s="655"/>
    </row>
    <row r="21" spans="1:12" ht="16.5">
      <c r="A21" s="660"/>
      <c r="B21" s="665"/>
      <c r="C21" s="665" t="s">
        <v>516</v>
      </c>
      <c r="D21" s="663"/>
      <c r="E21" s="668">
        <f>E19-E20</f>
        <v>160</v>
      </c>
      <c r="F21" s="655"/>
      <c r="G21" s="655"/>
      <c r="H21" s="683"/>
      <c r="I21" s="683"/>
      <c r="J21" s="683"/>
      <c r="K21" s="655"/>
      <c r="L21" s="655"/>
    </row>
    <row r="22" spans="1:12" ht="16.5">
      <c r="A22" s="658" t="s">
        <v>1031</v>
      </c>
      <c r="B22" s="665"/>
      <c r="C22" s="665" t="s">
        <v>1119</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82" t="s">
        <v>651</v>
      </c>
      <c r="C24" s="1082"/>
      <c r="D24" s="1082" t="s">
        <v>957</v>
      </c>
      <c r="E24" s="1082" t="s">
        <v>1032</v>
      </c>
      <c r="F24" s="1082" t="s">
        <v>1033</v>
      </c>
      <c r="G24" s="1082" t="s">
        <v>1034</v>
      </c>
      <c r="H24" s="1082"/>
      <c r="I24" s="1082" t="s">
        <v>1035</v>
      </c>
      <c r="J24" s="1082" t="s">
        <v>1036</v>
      </c>
      <c r="K24" s="1082" t="s">
        <v>1037</v>
      </c>
      <c r="L24" s="655"/>
    </row>
    <row r="25" spans="1:12" ht="16.5">
      <c r="A25" s="660"/>
      <c r="B25" s="1082"/>
      <c r="C25" s="1082"/>
      <c r="D25" s="1082"/>
      <c r="E25" s="1082"/>
      <c r="F25" s="1082"/>
      <c r="G25" s="1082"/>
      <c r="H25" s="1082"/>
      <c r="I25" s="1082"/>
      <c r="J25" s="1082"/>
      <c r="K25" s="1082"/>
      <c r="L25" s="655"/>
    </row>
    <row r="26" spans="1:12" ht="16.5">
      <c r="A26" s="655"/>
      <c r="B26" s="1080" t="s">
        <v>1038</v>
      </c>
      <c r="C26" s="1080"/>
      <c r="D26" s="684" t="s">
        <v>1039</v>
      </c>
      <c r="E26" s="684">
        <v>3.6</v>
      </c>
      <c r="F26" s="684">
        <v>0</v>
      </c>
      <c r="G26" s="1080" t="s">
        <v>1040</v>
      </c>
      <c r="H26" s="1080"/>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1041</v>
      </c>
      <c r="B28" s="655"/>
      <c r="C28" s="655"/>
      <c r="D28" s="655"/>
      <c r="E28" s="655"/>
      <c r="F28" s="655"/>
      <c r="G28" s="655"/>
      <c r="H28" s="655"/>
      <c r="I28" s="655"/>
      <c r="J28" s="655"/>
      <c r="K28" s="655"/>
      <c r="L28" s="655"/>
    </row>
    <row r="29" spans="1:12" ht="19.5">
      <c r="A29" s="658"/>
      <c r="B29" s="656" t="s">
        <v>1042</v>
      </c>
      <c r="C29" s="655"/>
      <c r="D29" s="655"/>
      <c r="E29" s="655"/>
      <c r="F29" s="655"/>
      <c r="G29" s="655"/>
      <c r="H29" s="655"/>
      <c r="I29" s="655"/>
      <c r="J29" s="655"/>
      <c r="K29" s="655"/>
      <c r="L29" s="655"/>
    </row>
    <row r="30" spans="1:12" ht="19.5">
      <c r="A30" s="658"/>
      <c r="B30" s="655"/>
      <c r="C30" s="655" t="s">
        <v>1043</v>
      </c>
      <c r="D30" s="686">
        <f>+I20/(0.288*E19*0.001)</f>
        <v>43.75</v>
      </c>
      <c r="E30" s="655" t="str">
        <f>+IF(D30&lt;=100," ≤  100"," &gt; 100")</f>
        <v xml:space="preserve"> ≤  100</v>
      </c>
      <c r="F30" s="683"/>
      <c r="G30" s="687" t="s">
        <v>1044</v>
      </c>
      <c r="H30" s="688">
        <f>+IF(D30&lt;=28,1,1/(1-ABS(K26)/H35))</f>
        <v>1.1301798610987877</v>
      </c>
      <c r="I30" s="655"/>
      <c r="J30" s="655"/>
      <c r="K30" s="655"/>
      <c r="L30" s="655"/>
    </row>
    <row r="31" spans="1:12" ht="16.5">
      <c r="A31" s="658"/>
      <c r="B31" s="655" t="s">
        <v>77</v>
      </c>
      <c r="C31" s="655"/>
      <c r="D31" s="686"/>
      <c r="E31" s="655"/>
      <c r="F31" s="687"/>
      <c r="G31" s="688"/>
      <c r="H31" s="655"/>
      <c r="I31" s="655"/>
      <c r="J31" s="655"/>
      <c r="K31" s="655"/>
      <c r="L31" s="655"/>
    </row>
    <row r="32" spans="1:12" ht="19.5">
      <c r="A32" s="658"/>
      <c r="B32" s="655" t="s">
        <v>1045</v>
      </c>
      <c r="C32" s="655"/>
      <c r="D32" s="655"/>
      <c r="E32" s="655"/>
      <c r="F32" s="655"/>
      <c r="G32" s="679" t="s">
        <v>1046</v>
      </c>
      <c r="H32" s="689">
        <f>+ABS(J26/K26)*1000</f>
        <v>4.2223786066150595</v>
      </c>
      <c r="I32" s="655" t="s">
        <v>159</v>
      </c>
      <c r="J32" s="655"/>
      <c r="K32" s="655"/>
      <c r="L32" s="655"/>
    </row>
    <row r="33" spans="1:12" ht="19.5">
      <c r="A33" s="658"/>
      <c r="B33" s="655" t="s">
        <v>1047</v>
      </c>
      <c r="C33" s="655"/>
      <c r="D33" s="655"/>
      <c r="E33" s="655"/>
      <c r="F33" s="655"/>
      <c r="G33" s="655"/>
      <c r="H33" s="689">
        <f>+MAX(E26*1000/600,E19/30)</f>
        <v>6.666666666666667</v>
      </c>
      <c r="I33" s="655" t="s">
        <v>159</v>
      </c>
      <c r="J33" s="655"/>
      <c r="K33" s="655"/>
      <c r="L33" s="655"/>
    </row>
    <row r="34" spans="1:12" ht="19.5">
      <c r="A34" s="658"/>
      <c r="B34" s="655" t="s">
        <v>1048</v>
      </c>
      <c r="C34" s="655"/>
      <c r="D34" s="655"/>
      <c r="E34" s="655"/>
      <c r="F34" s="655"/>
      <c r="G34" s="679" t="s">
        <v>1049</v>
      </c>
      <c r="H34" s="689">
        <f>+MAX(H32,H33)</f>
        <v>6.666666666666667</v>
      </c>
      <c r="I34" s="655" t="s">
        <v>159</v>
      </c>
      <c r="J34" s="655"/>
      <c r="K34" s="655"/>
      <c r="L34" s="655"/>
    </row>
    <row r="35" spans="1:12" ht="20.5">
      <c r="A35" s="658"/>
      <c r="B35" s="655" t="s">
        <v>1050</v>
      </c>
      <c r="C35" s="655"/>
      <c r="D35" s="655"/>
      <c r="E35" s="655"/>
      <c r="F35" s="655"/>
      <c r="G35" s="679" t="s">
        <v>1051</v>
      </c>
      <c r="H35" s="690">
        <f>2.5*H37*E8*100*H38/(I20^2)</f>
        <v>123.36666893527155</v>
      </c>
      <c r="I35" s="655" t="s">
        <v>672</v>
      </c>
      <c r="J35" s="655"/>
      <c r="K35" s="655"/>
      <c r="L35" s="655"/>
    </row>
    <row r="36" spans="1:12" ht="16.5">
      <c r="A36" s="658"/>
      <c r="B36" s="655"/>
      <c r="C36" s="655" t="s">
        <v>77</v>
      </c>
      <c r="D36" s="655"/>
      <c r="E36" s="655"/>
      <c r="F36" s="655"/>
      <c r="G36" s="655"/>
      <c r="H36" s="689"/>
      <c r="I36" s="655"/>
      <c r="J36" s="655"/>
      <c r="K36" s="655"/>
      <c r="L36" s="655"/>
    </row>
    <row r="37" spans="1:12" ht="19.5">
      <c r="A37" s="658"/>
      <c r="B37" s="655"/>
      <c r="C37" s="683"/>
      <c r="D37" s="655"/>
      <c r="E37" s="655"/>
      <c r="F37" s="655"/>
      <c r="G37" s="679" t="s">
        <v>1052</v>
      </c>
      <c r="H37" s="691">
        <f>+MAX(1,(0.2*H32+1.05*E19)/(1.5*H32+E19))</f>
        <v>1.0218622100954982</v>
      </c>
      <c r="I37" s="655"/>
      <c r="J37" s="655"/>
      <c r="K37" s="655"/>
      <c r="L37" s="655"/>
    </row>
    <row r="38" spans="1:12" ht="20.5">
      <c r="A38" s="658"/>
      <c r="B38" s="655"/>
      <c r="C38" s="655"/>
      <c r="D38" s="655"/>
      <c r="E38" s="655"/>
      <c r="F38" s="683"/>
      <c r="G38" s="679" t="s">
        <v>1053</v>
      </c>
      <c r="H38" s="692">
        <f>+(E18*E19^3)/12*10^-12</f>
        <v>1.3333333333333331E-4</v>
      </c>
      <c r="I38" s="655" t="s">
        <v>1054</v>
      </c>
      <c r="J38" s="655"/>
      <c r="K38" s="655"/>
      <c r="L38" s="655"/>
    </row>
    <row r="39" spans="1:12" ht="19.5">
      <c r="A39" s="658"/>
      <c r="B39" s="656" t="s">
        <v>1055</v>
      </c>
      <c r="C39" s="655"/>
      <c r="D39" s="655"/>
      <c r="E39" s="655"/>
      <c r="F39" s="655"/>
      <c r="G39" s="655"/>
      <c r="H39" s="655"/>
      <c r="I39" s="655"/>
      <c r="J39" s="655"/>
      <c r="K39" s="655"/>
      <c r="L39" s="655"/>
    </row>
    <row r="40" spans="1:12" ht="19.5">
      <c r="A40" s="658"/>
      <c r="B40" s="655"/>
      <c r="C40" s="655" t="s">
        <v>1056</v>
      </c>
      <c r="D40" s="686">
        <f>+I20/(0.288*E18*0.001)</f>
        <v>43.75</v>
      </c>
      <c r="E40" s="655" t="str">
        <f>+IF(D40&lt;=100," ≤  100"," &gt; 100")</f>
        <v xml:space="preserve"> ≤  100</v>
      </c>
      <c r="F40" s="683"/>
      <c r="G40" s="687" t="s">
        <v>1057</v>
      </c>
      <c r="H40" s="688">
        <f>+IF(D40&lt;=28,1,1/(1-ABS(K26)/H45))</f>
        <v>1.1334055553808249</v>
      </c>
      <c r="I40" s="655"/>
      <c r="J40" s="655"/>
      <c r="K40" s="655"/>
      <c r="L40" s="655"/>
    </row>
    <row r="41" spans="1:12" ht="16.5">
      <c r="A41" s="658"/>
      <c r="B41" s="655" t="s">
        <v>77</v>
      </c>
      <c r="C41" s="655"/>
      <c r="D41" s="686"/>
      <c r="E41" s="655"/>
      <c r="F41" s="687"/>
      <c r="G41" s="655"/>
      <c r="H41" s="688"/>
      <c r="I41" s="655"/>
      <c r="J41" s="655"/>
      <c r="K41" s="655"/>
      <c r="L41" s="655"/>
    </row>
    <row r="42" spans="1:12" ht="19.5">
      <c r="A42" s="658"/>
      <c r="B42" s="655" t="s">
        <v>1058</v>
      </c>
      <c r="C42" s="655"/>
      <c r="D42" s="655"/>
      <c r="E42" s="655"/>
      <c r="F42" s="655"/>
      <c r="G42" s="679" t="s">
        <v>1059</v>
      </c>
      <c r="H42" s="689">
        <f>+ABS(I26/K26)*1000</f>
        <v>9.8522167487684733</v>
      </c>
      <c r="I42" s="655" t="s">
        <v>159</v>
      </c>
      <c r="J42" s="655"/>
      <c r="K42" s="655"/>
      <c r="L42" s="655"/>
    </row>
    <row r="43" spans="1:12" ht="19.5">
      <c r="A43" s="658"/>
      <c r="B43" s="655" t="s">
        <v>1060</v>
      </c>
      <c r="C43" s="655"/>
      <c r="D43" s="655"/>
      <c r="E43" s="655"/>
      <c r="F43" s="655"/>
      <c r="G43" s="679" t="s">
        <v>1061</v>
      </c>
      <c r="H43" s="689">
        <f>+MAX(E26*1000/600,E18/30)</f>
        <v>6.666666666666667</v>
      </c>
      <c r="I43" s="655" t="s">
        <v>159</v>
      </c>
      <c r="J43" s="655"/>
      <c r="K43" s="655"/>
      <c r="L43" s="655"/>
    </row>
    <row r="44" spans="1:12" ht="19.5">
      <c r="A44" s="658"/>
      <c r="B44" s="655" t="s">
        <v>1062</v>
      </c>
      <c r="C44" s="655"/>
      <c r="D44" s="655"/>
      <c r="E44" s="655"/>
      <c r="F44" s="655"/>
      <c r="G44" s="679" t="s">
        <v>1063</v>
      </c>
      <c r="H44" s="689">
        <f>+MAX(H42,H43)</f>
        <v>9.8522167487684733</v>
      </c>
      <c r="I44" s="655" t="s">
        <v>159</v>
      </c>
      <c r="J44" s="655"/>
      <c r="K44" s="655"/>
      <c r="L44" s="655"/>
    </row>
    <row r="45" spans="1:12" ht="20.5">
      <c r="A45" s="658"/>
      <c r="B45" s="655" t="s">
        <v>1064</v>
      </c>
      <c r="C45" s="655"/>
      <c r="D45" s="655"/>
      <c r="E45" s="655"/>
      <c r="F45" s="655"/>
      <c r="G45" s="679" t="s">
        <v>1065</v>
      </c>
      <c r="H45" s="690">
        <f>2.5*H47*E8*100*H48/(I20^2)</f>
        <v>120.72730326698577</v>
      </c>
      <c r="I45" s="655" t="s">
        <v>672</v>
      </c>
      <c r="J45" s="655"/>
      <c r="K45" s="655"/>
      <c r="L45" s="655"/>
    </row>
    <row r="46" spans="1:12" ht="16.5">
      <c r="A46" s="658"/>
      <c r="B46" s="655"/>
      <c r="C46" s="655" t="s">
        <v>77</v>
      </c>
      <c r="D46" s="655"/>
      <c r="E46" s="655"/>
      <c r="F46" s="655"/>
      <c r="G46" s="689"/>
      <c r="H46" s="655"/>
      <c r="I46" s="655"/>
      <c r="J46" s="655"/>
      <c r="K46" s="655"/>
      <c r="L46" s="655"/>
    </row>
    <row r="47" spans="1:12" ht="19.5">
      <c r="A47" s="658"/>
      <c r="B47" s="655"/>
      <c r="C47" s="655"/>
      <c r="D47" s="655"/>
      <c r="E47" s="655"/>
      <c r="F47" s="655"/>
      <c r="G47" s="679" t="s">
        <v>1066</v>
      </c>
      <c r="H47" s="691">
        <f>+MAX(1,(0.2*H42+1.05*E18)/(1.5*H42+E18))</f>
        <v>1</v>
      </c>
      <c r="I47" s="655"/>
      <c r="J47" s="655"/>
      <c r="K47" s="655"/>
      <c r="L47" s="655"/>
    </row>
    <row r="48" spans="1:12" ht="20.5">
      <c r="A48" s="658"/>
      <c r="B48" s="655"/>
      <c r="C48" s="655"/>
      <c r="D48" s="655"/>
      <c r="E48" s="655"/>
      <c r="F48" s="655"/>
      <c r="G48" s="679" t="s">
        <v>1067</v>
      </c>
      <c r="H48" s="693">
        <f>+(E18^3*E19)/12*10^-12</f>
        <v>1.3333333333333331E-4</v>
      </c>
      <c r="I48" s="655" t="s">
        <v>1054</v>
      </c>
      <c r="J48" s="655"/>
      <c r="K48" s="655"/>
      <c r="L48" s="655"/>
    </row>
    <row r="49" spans="1:12" ht="16.5">
      <c r="A49" s="658"/>
      <c r="B49" s="655"/>
      <c r="C49" s="655"/>
      <c r="D49" s="655"/>
      <c r="E49" s="655"/>
      <c r="F49" s="655"/>
      <c r="G49" s="689"/>
      <c r="H49" s="655"/>
      <c r="I49" s="655"/>
      <c r="J49" s="655"/>
      <c r="K49" s="655"/>
      <c r="L49" s="655"/>
    </row>
    <row r="50" spans="1:12" ht="16.5">
      <c r="A50" s="658"/>
      <c r="B50" s="656" t="s">
        <v>1068</v>
      </c>
      <c r="C50" s="655"/>
      <c r="D50" s="655"/>
      <c r="E50" s="655"/>
      <c r="F50" s="655"/>
      <c r="G50" s="689"/>
      <c r="H50" s="655"/>
      <c r="I50" s="655"/>
      <c r="J50" s="655"/>
      <c r="K50" s="655"/>
      <c r="L50" s="655"/>
    </row>
    <row r="51" spans="1:12" ht="19.5">
      <c r="A51" s="658"/>
      <c r="B51" s="655" t="s">
        <v>1069</v>
      </c>
      <c r="C51" s="655"/>
      <c r="D51" s="655"/>
      <c r="E51" s="655"/>
      <c r="F51" s="655"/>
      <c r="G51" s="679" t="s">
        <v>1070</v>
      </c>
      <c r="H51" s="691">
        <f>+H30*ABS(J26)</f>
        <v>6.7810791665927253E-2</v>
      </c>
      <c r="I51" s="655" t="s">
        <v>674</v>
      </c>
      <c r="J51" s="655"/>
      <c r="K51" s="655"/>
      <c r="L51" s="655"/>
    </row>
    <row r="52" spans="1:12" ht="19.5">
      <c r="A52" s="658"/>
      <c r="B52" s="655" t="s">
        <v>1071</v>
      </c>
      <c r="C52" s="655"/>
      <c r="D52" s="655"/>
      <c r="E52" s="655"/>
      <c r="F52" s="655"/>
      <c r="G52" s="679" t="s">
        <v>1072</v>
      </c>
      <c r="H52" s="691">
        <f>+H40*ABS(I26)</f>
        <v>0.15867677775331551</v>
      </c>
      <c r="I52" s="655" t="s">
        <v>674</v>
      </c>
      <c r="J52" s="655"/>
      <c r="K52" s="655"/>
      <c r="L52" s="655"/>
    </row>
    <row r="53" spans="1:12" ht="16.5">
      <c r="A53" s="658"/>
      <c r="B53" s="656" t="s">
        <v>1073</v>
      </c>
      <c r="C53" s="655"/>
      <c r="D53" s="655"/>
      <c r="E53" s="655"/>
      <c r="F53" s="655"/>
      <c r="G53" s="655"/>
      <c r="H53" s="655"/>
      <c r="I53" s="655"/>
      <c r="J53" s="655"/>
      <c r="K53" s="655"/>
      <c r="L53" s="655"/>
    </row>
    <row r="54" spans="1:12" ht="19.5">
      <c r="A54" s="658"/>
      <c r="B54" s="655" t="s">
        <v>1074</v>
      </c>
      <c r="C54" s="655" t="s">
        <v>1075</v>
      </c>
      <c r="D54" s="688">
        <f>+ABS(H51)/E19*1000</f>
        <v>0.33905395832963625</v>
      </c>
      <c r="E54" s="694" t="str">
        <f>+IF(D54&lt;=G54," ≤ "," &gt; ")</f>
        <v xml:space="preserve"> ≤ </v>
      </c>
      <c r="F54" s="655" t="s">
        <v>1076</v>
      </c>
      <c r="G54" s="688">
        <f>+ABS(H52)/E18*1000</f>
        <v>0.79338388876657751</v>
      </c>
      <c r="H54" s="687"/>
      <c r="I54" s="683"/>
      <c r="J54" s="695" t="s">
        <v>1077</v>
      </c>
      <c r="K54" s="656" t="str">
        <f>+IF(D54&gt;=G54,"cạnh h ", "cạnh b")</f>
        <v>cạnh b</v>
      </c>
      <c r="L54" s="655"/>
    </row>
    <row r="55" spans="1:12" ht="16.5">
      <c r="A55" s="658"/>
      <c r="B55" s="655" t="s">
        <v>1078</v>
      </c>
      <c r="C55" s="655"/>
      <c r="D55" s="655"/>
      <c r="E55" s="655"/>
      <c r="F55" s="655"/>
      <c r="G55" s="655"/>
      <c r="H55" s="655"/>
      <c r="I55" s="655"/>
      <c r="J55" s="655"/>
      <c r="K55" s="655"/>
      <c r="L55" s="655"/>
    </row>
    <row r="56" spans="1:12" ht="16.5">
      <c r="A56" s="658"/>
      <c r="B56" s="655" t="str">
        <f>+IF(D54&gt;=G54, "h1 = h =", "h1 = b =")</f>
        <v>h1 = b =</v>
      </c>
      <c r="C56" s="690">
        <f>+IF(D54&gt;=G54, E19, E18)</f>
        <v>200</v>
      </c>
      <c r="D56" s="655" t="s">
        <v>159</v>
      </c>
      <c r="E56" s="655"/>
      <c r="F56" s="679" t="str">
        <f>+IF(D54&gt;=G54, "b1 = b =", "b1 = h =")</f>
        <v>b1 = h =</v>
      </c>
      <c r="G56" s="696">
        <f>+IF(D54&gt;=G54,E18,E19)</f>
        <v>200</v>
      </c>
      <c r="H56" s="655" t="s">
        <v>159</v>
      </c>
      <c r="I56" s="663"/>
      <c r="J56" s="663" t="s">
        <v>1079</v>
      </c>
      <c r="K56" s="668">
        <f>+C56-E20</f>
        <v>160</v>
      </c>
      <c r="L56" s="655" t="s">
        <v>159</v>
      </c>
    </row>
    <row r="57" spans="1:12" ht="16.5">
      <c r="A57" s="658"/>
      <c r="B57" s="679" t="str">
        <f>+IF(D54&gt;=G54, "M1=Mh=", "M1=Mb=")</f>
        <v>M1=Mb=</v>
      </c>
      <c r="C57" s="691">
        <f>+IF(D54&gt;=G54, H51, H52)</f>
        <v>0.15867677775331551</v>
      </c>
      <c r="D57" s="655" t="s">
        <v>674</v>
      </c>
      <c r="E57" s="655"/>
      <c r="F57" s="679" t="str">
        <f>+IF(D54&gt;=G54, "M2=Mb=", "M2=Mh=")</f>
        <v>M2=Mh=</v>
      </c>
      <c r="G57" s="691">
        <f>+IF(D54&gt;=G54,H52,H51)</f>
        <v>6.7810791665927253E-2</v>
      </c>
      <c r="H57" s="655" t="s">
        <v>674</v>
      </c>
      <c r="I57" s="655"/>
      <c r="J57" s="663" t="s">
        <v>1080</v>
      </c>
      <c r="K57" s="668">
        <f>+K56-E20</f>
        <v>120</v>
      </c>
      <c r="L57" s="655" t="s">
        <v>159</v>
      </c>
    </row>
    <row r="58" spans="1:12" ht="19.5">
      <c r="A58" s="658"/>
      <c r="B58" s="655" t="s">
        <v>1081</v>
      </c>
      <c r="C58" s="655"/>
      <c r="D58" s="689">
        <f>+ABS(K26)/(E6*100*G56*0.001)*1000</f>
        <v>83.588235294117652</v>
      </c>
      <c r="E58" s="694" t="str">
        <f>+IF(D58&lt;=G58," ≤ "," &gt; ")</f>
        <v xml:space="preserve"> ≤ </v>
      </c>
      <c r="F58" s="663" t="s">
        <v>1082</v>
      </c>
      <c r="G58" s="668">
        <f>+K56</f>
        <v>160</v>
      </c>
      <c r="H58" s="655" t="s">
        <v>159</v>
      </c>
      <c r="I58" s="687" t="s">
        <v>1083</v>
      </c>
      <c r="J58" s="679" t="s">
        <v>1084</v>
      </c>
      <c r="K58" s="688">
        <f>+IF(D58&lt;=G58,1-0.6*D58/G58,0.4)</f>
        <v>0.6865441176470588</v>
      </c>
      <c r="L58" s="655"/>
    </row>
    <row r="59" spans="1:12" ht="19.5">
      <c r="A59" s="658"/>
      <c r="B59" s="697"/>
      <c r="C59" s="697"/>
      <c r="D59" s="697"/>
      <c r="E59" s="697"/>
      <c r="F59" s="698" t="s">
        <v>1085</v>
      </c>
      <c r="G59" s="699">
        <f>+C57+K58*G57*C56/G56</f>
        <v>0.20523187788454808</v>
      </c>
      <c r="H59" s="697" t="s">
        <v>674</v>
      </c>
      <c r="I59" s="655"/>
      <c r="J59" s="655"/>
      <c r="K59" s="655"/>
      <c r="L59" s="655"/>
    </row>
    <row r="60" spans="1:12" ht="19.5">
      <c r="A60" s="658"/>
      <c r="B60" s="697" t="s">
        <v>1086</v>
      </c>
      <c r="C60" s="697"/>
      <c r="D60" s="697"/>
      <c r="E60" s="697"/>
      <c r="F60" s="698" t="s">
        <v>1087</v>
      </c>
      <c r="G60" s="700">
        <f>+ABS(G59/K26)*1000</f>
        <v>14.442778176252503</v>
      </c>
      <c r="H60" s="697" t="s">
        <v>159</v>
      </c>
      <c r="I60" s="655"/>
      <c r="J60" s="655"/>
      <c r="K60" s="655"/>
      <c r="L60" s="655"/>
    </row>
    <row r="61" spans="1:12" ht="16.5">
      <c r="A61" s="658"/>
      <c r="B61" s="697" t="s">
        <v>1088</v>
      </c>
      <c r="C61" s="697"/>
      <c r="D61" s="697"/>
      <c r="E61" s="697"/>
      <c r="F61" s="698" t="str">
        <f>+IF(D54&gt;=G54, "ea =ea1 +0.2ea2=", "ea = ea2 +0.2ea1=")</f>
        <v>ea = ea2 +0.2ea1=</v>
      </c>
      <c r="G61" s="700">
        <f>+IF(D54&gt;=G54,H34+0.2*H44,H44+0.2*H34)</f>
        <v>11.185550082101807</v>
      </c>
      <c r="H61" s="697" t="s">
        <v>159</v>
      </c>
      <c r="I61" s="655"/>
      <c r="J61" s="655"/>
      <c r="K61" s="655"/>
      <c r="L61" s="655"/>
    </row>
    <row r="62" spans="1:12" ht="19.5">
      <c r="A62" s="658"/>
      <c r="B62" s="697" t="s">
        <v>1062</v>
      </c>
      <c r="C62" s="697"/>
      <c r="D62" s="697"/>
      <c r="E62" s="697"/>
      <c r="F62" s="698" t="s">
        <v>1089</v>
      </c>
      <c r="G62" s="700">
        <f>+MAX(G60,G61)</f>
        <v>14.442778176252503</v>
      </c>
      <c r="H62" s="697" t="s">
        <v>159</v>
      </c>
      <c r="I62" s="655"/>
      <c r="J62" s="655"/>
      <c r="K62" s="655"/>
      <c r="L62" s="655"/>
    </row>
    <row r="63" spans="1:12" ht="19.5">
      <c r="A63" s="658"/>
      <c r="B63" s="697" t="s">
        <v>1090</v>
      </c>
      <c r="C63" s="697"/>
      <c r="D63" s="697"/>
      <c r="E63" s="697"/>
      <c r="F63" s="698" t="s">
        <v>1091</v>
      </c>
      <c r="G63" s="700">
        <f>+IF(D54&lt;=G54,0.5*C56-E20+G62*H40,0.5*C56-E20+G62*H30)</f>
        <v>76.369525020097527</v>
      </c>
      <c r="H63" s="697" t="s">
        <v>159</v>
      </c>
      <c r="I63" s="655"/>
      <c r="J63" s="655"/>
      <c r="K63" s="655"/>
      <c r="L63" s="655"/>
    </row>
    <row r="64" spans="1:12" ht="19.5">
      <c r="A64" s="658"/>
      <c r="B64" s="697"/>
      <c r="C64" s="698" t="s">
        <v>1092</v>
      </c>
      <c r="D64" s="701">
        <f>+G62/G58</f>
        <v>9.0267363601578138E-2</v>
      </c>
      <c r="E64" s="702" t="str">
        <f>+IF(D64&lt;=F64," ≤ "," &gt; ")</f>
        <v xml:space="preserve"> ≤ </v>
      </c>
      <c r="F64" s="703">
        <v>0.3</v>
      </c>
      <c r="G64" s="704"/>
      <c r="H64" s="697"/>
      <c r="I64" s="655"/>
      <c r="J64" s="655"/>
      <c r="K64" s="655"/>
      <c r="L64" s="655"/>
    </row>
    <row r="65" spans="1:12" ht="19.5">
      <c r="A65" s="658"/>
      <c r="B65" s="697"/>
      <c r="C65" s="698" t="s">
        <v>1093</v>
      </c>
      <c r="D65" s="700">
        <f>+D58</f>
        <v>83.588235294117652</v>
      </c>
      <c r="E65" s="702" t="str">
        <f>+IF(D65&lt;=G65," ≤ "," &gt; ")</f>
        <v xml:space="preserve"> ≤ </v>
      </c>
      <c r="F65" s="698" t="s">
        <v>1094</v>
      </c>
      <c r="G65" s="700">
        <f>+E15*K56</f>
        <v>104.06169665809769</v>
      </c>
      <c r="H65" s="697" t="s">
        <v>159</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1095</v>
      </c>
      <c r="C67" s="679"/>
      <c r="D67" s="706" t="s">
        <v>1096</v>
      </c>
      <c r="E67" s="707" t="str">
        <f>+IF(D64&lt;=F64,"Đúng tâm", IF( D65&lt;=G65,"Lệch tâm lớn", "Lệch tâm bé"))</f>
        <v>Đúng tâm</v>
      </c>
      <c r="F67" s="674"/>
      <c r="G67" s="689"/>
      <c r="H67" s="655"/>
      <c r="I67" s="655"/>
      <c r="J67" s="655"/>
      <c r="K67" s="655"/>
      <c r="L67" s="655"/>
    </row>
    <row r="68" spans="1:12" ht="16.5">
      <c r="A68" s="658"/>
      <c r="B68" s="656" t="s">
        <v>1097</v>
      </c>
      <c r="C68" s="679"/>
      <c r="D68" s="705"/>
      <c r="E68" s="694"/>
      <c r="F68" s="674"/>
      <c r="G68" s="689"/>
      <c r="H68" s="655"/>
      <c r="I68" s="655"/>
      <c r="J68" s="655"/>
      <c r="K68" s="655"/>
      <c r="L68" s="655"/>
    </row>
    <row r="69" spans="1:12" ht="19.5">
      <c r="A69" s="658"/>
      <c r="B69" s="655"/>
      <c r="C69" s="679"/>
      <c r="D69" s="679" t="s">
        <v>1098</v>
      </c>
      <c r="E69" s="694">
        <f>1/((0.5-D64)*(2+D64))</f>
        <v>1.1676094522061471</v>
      </c>
      <c r="F69" s="674"/>
      <c r="G69" s="655"/>
      <c r="H69" s="655"/>
      <c r="I69" s="679" t="s">
        <v>1099</v>
      </c>
      <c r="J69" s="708">
        <f>+J71+(1-J71)*D64/0.3</f>
        <v>0.93209905896601097</v>
      </c>
      <c r="K69" s="655"/>
      <c r="L69" s="655"/>
    </row>
    <row r="70" spans="1:12" ht="16.5">
      <c r="A70" s="658"/>
      <c r="B70" s="655"/>
      <c r="C70" s="679" t="s">
        <v>77</v>
      </c>
      <c r="D70" s="705"/>
      <c r="E70" s="694"/>
      <c r="F70" s="674"/>
      <c r="G70" s="689"/>
      <c r="H70" s="655"/>
      <c r="I70" s="655"/>
      <c r="J70" s="655"/>
      <c r="K70" s="655"/>
      <c r="L70" s="655"/>
    </row>
    <row r="71" spans="1:12" ht="19.5">
      <c r="A71" s="658"/>
      <c r="B71" s="655"/>
      <c r="C71" s="655"/>
      <c r="D71" s="679" t="s">
        <v>1100</v>
      </c>
      <c r="E71" s="688">
        <f>+I20/(0.288*E18*0.001)</f>
        <v>43.75</v>
      </c>
      <c r="F71" s="655"/>
      <c r="G71" s="689"/>
      <c r="H71" s="655"/>
      <c r="I71" s="679" t="s">
        <v>1101</v>
      </c>
      <c r="J71" s="688">
        <f>+IF(E73&lt;=14,1,1.028-0.0000288*E73^2-0.0016*E73)</f>
        <v>0.90287500000000009</v>
      </c>
      <c r="K71" s="655"/>
      <c r="L71" s="655"/>
    </row>
    <row r="72" spans="1:12" ht="19.5">
      <c r="A72" s="658"/>
      <c r="B72" s="655"/>
      <c r="C72" s="655"/>
      <c r="D72" s="679" t="s">
        <v>1102</v>
      </c>
      <c r="E72" s="688">
        <f>+I20/(0.288*E19*0.001)</f>
        <v>43.75</v>
      </c>
      <c r="F72" s="655"/>
      <c r="G72" s="689"/>
      <c r="H72" s="655"/>
      <c r="I72" s="655"/>
      <c r="J72" s="655"/>
      <c r="K72" s="655"/>
      <c r="L72" s="655"/>
    </row>
    <row r="73" spans="1:12" ht="19.5">
      <c r="A73" s="658"/>
      <c r="B73" s="655"/>
      <c r="C73" s="655"/>
      <c r="D73" s="679" t="s">
        <v>1103</v>
      </c>
      <c r="E73" s="708">
        <f>+MAX(E71:E72)</f>
        <v>43.75</v>
      </c>
      <c r="F73" s="655"/>
      <c r="G73" s="689"/>
      <c r="H73" s="655"/>
      <c r="I73" s="655"/>
      <c r="J73" s="655"/>
      <c r="K73" s="655"/>
      <c r="L73" s="655"/>
    </row>
    <row r="74" spans="1:12" ht="20.5">
      <c r="A74" s="658"/>
      <c r="B74" s="655"/>
      <c r="C74" s="655" t="s">
        <v>1104</v>
      </c>
      <c r="D74" s="705"/>
      <c r="E74" s="655"/>
      <c r="F74" s="655"/>
      <c r="G74" s="655"/>
      <c r="H74" s="655"/>
      <c r="I74" s="679" t="s">
        <v>1105</v>
      </c>
      <c r="J74" s="709">
        <f>+MAX((E69*ABS(K26)/J69-E6*100*G56*C56*10^-6)/(E10*100-E6*100)*10000,(E18*(E19-E20))*E14*0.0001)</f>
        <v>0.64</v>
      </c>
      <c r="K74" s="682" t="s">
        <v>1106</v>
      </c>
      <c r="L74" s="655"/>
    </row>
    <row r="75" spans="1:12" ht="16.5">
      <c r="A75" s="658"/>
      <c r="B75" s="655"/>
      <c r="C75" s="655"/>
      <c r="D75" s="655"/>
      <c r="E75" s="655"/>
      <c r="F75" s="655"/>
      <c r="G75" s="655"/>
      <c r="H75" s="655"/>
      <c r="I75" s="655"/>
      <c r="J75" s="655"/>
      <c r="K75" s="655"/>
      <c r="L75" s="655"/>
    </row>
    <row r="76" spans="1:12" ht="16.5">
      <c r="A76" s="658"/>
      <c r="B76" s="656" t="s">
        <v>1107</v>
      </c>
      <c r="C76" s="655"/>
      <c r="D76" s="655"/>
      <c r="E76" s="655"/>
      <c r="F76" s="655"/>
      <c r="G76" s="655"/>
      <c r="H76" s="655"/>
      <c r="I76" s="655"/>
      <c r="J76" s="655"/>
      <c r="K76" s="655"/>
      <c r="L76" s="655"/>
    </row>
    <row r="77" spans="1:12" ht="20.5">
      <c r="A77" s="658"/>
      <c r="B77" s="655"/>
      <c r="C77" s="655"/>
      <c r="D77" s="655"/>
      <c r="E77" s="655"/>
      <c r="F77" s="655"/>
      <c r="G77" s="679" t="s">
        <v>1108</v>
      </c>
      <c r="H77" s="688">
        <f>+(E15+(1-E15)/(1+50*L77^2))*K56</f>
        <v>148.43103626189273</v>
      </c>
      <c r="I77" s="655" t="s">
        <v>159</v>
      </c>
      <c r="J77" s="655"/>
      <c r="K77" s="679" t="s">
        <v>1109</v>
      </c>
      <c r="L77" s="691">
        <f>+G62/C56</f>
        <v>7.221389088126251E-2</v>
      </c>
    </row>
    <row r="78" spans="1:12" ht="20.5">
      <c r="A78" s="658"/>
      <c r="B78" s="655"/>
      <c r="C78" s="655" t="s">
        <v>1110</v>
      </c>
      <c r="D78" s="705"/>
      <c r="E78" s="655"/>
      <c r="F78" s="655"/>
      <c r="G78" s="655"/>
      <c r="H78" s="655"/>
      <c r="I78" s="679" t="s">
        <v>1111</v>
      </c>
      <c r="J78" s="709">
        <f>+MAX((ABS(K26)*G63*0.001-E6*100*G56*0.001*H77*0.001*(K56-0.5*H77)*0.001)/(0.4*E11*100*K57*0.001)*10000,,(E18*(E19-E20))*E14*0.0001)</f>
        <v>0.64</v>
      </c>
      <c r="K78" s="682" t="s">
        <v>1106</v>
      </c>
      <c r="L78" s="655"/>
    </row>
    <row r="79" spans="1:12" ht="16.5">
      <c r="A79" s="658"/>
      <c r="B79" s="655"/>
      <c r="C79" s="655"/>
      <c r="D79" s="655"/>
      <c r="E79" s="655"/>
      <c r="F79" s="655"/>
      <c r="G79" s="655"/>
      <c r="H79" s="655"/>
      <c r="I79" s="655"/>
      <c r="J79" s="655"/>
      <c r="K79" s="655"/>
      <c r="L79" s="655"/>
    </row>
    <row r="80" spans="1:12" ht="16.5">
      <c r="A80" s="658"/>
      <c r="B80" s="656" t="s">
        <v>1112</v>
      </c>
      <c r="C80" s="655"/>
      <c r="D80" s="655"/>
      <c r="E80" s="655"/>
      <c r="F80" s="655"/>
      <c r="G80" s="655"/>
      <c r="H80" s="655"/>
      <c r="I80" s="655"/>
      <c r="J80" s="655"/>
      <c r="K80" s="655"/>
      <c r="L80" s="655"/>
    </row>
    <row r="81" spans="1:12" ht="16.5">
      <c r="A81" s="658"/>
      <c r="B81" s="655"/>
      <c r="C81" s="655" t="s">
        <v>1113</v>
      </c>
      <c r="D81" s="655"/>
      <c r="E81" s="655"/>
      <c r="F81" s="655"/>
      <c r="G81" s="655"/>
      <c r="H81" s="688">
        <f>+D65</f>
        <v>83.588235294117652</v>
      </c>
      <c r="I81" s="655" t="s">
        <v>159</v>
      </c>
      <c r="J81" s="655"/>
      <c r="K81" s="679"/>
      <c r="L81" s="710"/>
    </row>
    <row r="82" spans="1:12" ht="20.5">
      <c r="A82" s="658"/>
      <c r="B82" s="655"/>
      <c r="C82" s="655" t="s">
        <v>1110</v>
      </c>
      <c r="D82" s="705"/>
      <c r="E82" s="655"/>
      <c r="F82" s="655"/>
      <c r="G82" s="655"/>
      <c r="H82" s="655"/>
      <c r="I82" s="679" t="s">
        <v>1114</v>
      </c>
      <c r="J82" s="711">
        <f>+MAX((ABS(K26)*(G63+0.5*H81-K56)*0.001)/(0.4*E10*100*K57*0.001)*10000,(E18*(E19-E20))*E14*0.0001)</f>
        <v>0.64</v>
      </c>
      <c r="K82" s="682" t="s">
        <v>1106</v>
      </c>
      <c r="L82" s="655"/>
    </row>
    <row r="83" spans="1:12" ht="16.5">
      <c r="A83" s="658"/>
      <c r="B83" s="655"/>
      <c r="C83" s="655"/>
      <c r="D83" s="655"/>
      <c r="E83" s="655"/>
      <c r="F83" s="655"/>
      <c r="G83" s="655"/>
      <c r="H83" s="655"/>
      <c r="I83" s="655"/>
      <c r="J83" s="655"/>
      <c r="K83" s="655"/>
      <c r="L83" s="655"/>
    </row>
    <row r="84" spans="1:12" ht="16.5">
      <c r="A84" s="655"/>
      <c r="B84" s="656" t="s">
        <v>1115</v>
      </c>
      <c r="C84" s="655"/>
      <c r="D84" s="655"/>
      <c r="E84" s="655"/>
      <c r="F84" s="655"/>
      <c r="G84" s="655"/>
      <c r="H84" s="655"/>
      <c r="I84" s="655"/>
      <c r="J84" s="655"/>
      <c r="K84" s="655"/>
      <c r="L84" s="655"/>
    </row>
    <row r="85" spans="1:12" ht="19.5">
      <c r="A85" s="655"/>
      <c r="B85" s="656"/>
      <c r="C85" s="655"/>
      <c r="D85" s="674" t="s">
        <v>1116</v>
      </c>
      <c r="E85" s="712">
        <f>+IF(D64&lt;=F64,J74, IF( D65&lt;=G65,J82, J78))/(E18*(E19-E20)*0.01)</f>
        <v>2E-3</v>
      </c>
      <c r="F85" s="713" t="str">
        <f>IF(E85&lt;=H85,"≤","&gt;")</f>
        <v>≤</v>
      </c>
      <c r="G85" s="674" t="s">
        <v>1117</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932</v>
      </c>
    </row>
    <row r="2" spans="1:8">
      <c r="A2" t="s">
        <v>933</v>
      </c>
      <c r="B2" t="s">
        <v>939</v>
      </c>
      <c r="C2">
        <v>42</v>
      </c>
      <c r="D2" t="s">
        <v>938</v>
      </c>
      <c r="E2">
        <f>+C2*4</f>
        <v>168</v>
      </c>
    </row>
    <row r="3" spans="1:8">
      <c r="A3" t="s">
        <v>934</v>
      </c>
      <c r="C3">
        <v>18</v>
      </c>
      <c r="D3">
        <v>17200</v>
      </c>
      <c r="E3">
        <v>4</v>
      </c>
      <c r="F3">
        <f>E3*D3/1000</f>
        <v>68.8</v>
      </c>
      <c r="G3">
        <v>168</v>
      </c>
      <c r="H3" s="574">
        <f>G3*F3*7850*(C3/1000/2)^2*PI()</f>
        <v>23088.848191653349</v>
      </c>
    </row>
    <row r="4" spans="1:8">
      <c r="A4" t="s">
        <v>935</v>
      </c>
      <c r="C4">
        <v>28</v>
      </c>
      <c r="D4">
        <v>400</v>
      </c>
      <c r="E4">
        <v>1</v>
      </c>
      <c r="F4">
        <f t="shared" ref="F4:F6" si="0">E4*D4/1000</f>
        <v>0.4</v>
      </c>
      <c r="G4">
        <v>168</v>
      </c>
      <c r="H4" s="574">
        <f t="shared" ref="H4:H6" si="1">G4*F4*7850*(C4/1000/2)^2*PI()</f>
        <v>324.82157949785079</v>
      </c>
    </row>
    <row r="5" spans="1:8">
      <c r="A5" t="s">
        <v>936</v>
      </c>
      <c r="C5">
        <v>6</v>
      </c>
      <c r="D5">
        <v>370</v>
      </c>
      <c r="E5">
        <v>205</v>
      </c>
      <c r="F5">
        <f t="shared" si="0"/>
        <v>75.849999999999994</v>
      </c>
      <c r="G5">
        <v>168</v>
      </c>
      <c r="H5" s="574">
        <f t="shared" si="1"/>
        <v>2828.3093270944878</v>
      </c>
    </row>
    <row r="6" spans="1:8">
      <c r="A6" t="s">
        <v>937</v>
      </c>
      <c r="C6">
        <v>6</v>
      </c>
      <c r="D6">
        <v>250</v>
      </c>
      <c r="E6">
        <v>60</v>
      </c>
      <c r="F6">
        <f t="shared" si="0"/>
        <v>15</v>
      </c>
      <c r="G6">
        <v>168</v>
      </c>
      <c r="H6" s="574">
        <f t="shared" si="1"/>
        <v>559.32287285981965</v>
      </c>
    </row>
    <row r="7" spans="1:8">
      <c r="H7" s="9">
        <f>SUM(H3:H6)</f>
        <v>26801.301971105506</v>
      </c>
    </row>
    <row r="9" spans="1:8">
      <c r="A9" t="s">
        <v>940</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941</v>
      </c>
      <c r="J19">
        <v>150</v>
      </c>
      <c r="K19">
        <v>200</v>
      </c>
    </row>
    <row r="20" spans="1:15">
      <c r="A20" t="s">
        <v>942</v>
      </c>
      <c r="B20" t="s">
        <v>943</v>
      </c>
      <c r="C20" t="s">
        <v>944</v>
      </c>
      <c r="D20" t="s">
        <v>945</v>
      </c>
      <c r="E20" t="s">
        <v>946</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86" t="s">
        <v>928</v>
      </c>
      <c r="B1" s="1086"/>
      <c r="C1" s="1086"/>
      <c r="D1" s="1086" t="s">
        <v>929</v>
      </c>
      <c r="E1" s="1086"/>
      <c r="F1" s="1086"/>
      <c r="G1" s="1086"/>
    </row>
    <row r="3" spans="1:8">
      <c r="C3" s="1087" t="s">
        <v>827</v>
      </c>
      <c r="D3" s="1087"/>
      <c r="E3" s="1087"/>
      <c r="F3" s="1087"/>
      <c r="G3" s="1087"/>
      <c r="H3" s="1087"/>
    </row>
    <row r="4" spans="1:8">
      <c r="C4" s="1087"/>
      <c r="D4" s="1087"/>
      <c r="E4" s="1087"/>
      <c r="F4" s="1087"/>
      <c r="G4" s="1087"/>
      <c r="H4" s="1087"/>
    </row>
    <row r="5" spans="1:8">
      <c r="C5" s="7" t="s">
        <v>104</v>
      </c>
      <c r="D5" s="1088" t="s">
        <v>828</v>
      </c>
      <c r="E5" s="1088"/>
      <c r="F5" s="1088"/>
      <c r="G5" s="1088"/>
    </row>
    <row r="6" spans="1:8">
      <c r="A6" s="505" t="s">
        <v>829</v>
      </c>
      <c r="B6" s="505"/>
    </row>
    <row r="7" spans="1:8">
      <c r="A7" s="506" t="s">
        <v>830</v>
      </c>
      <c r="C7" s="507" t="s">
        <v>831</v>
      </c>
    </row>
    <row r="8" spans="1:8">
      <c r="A8" s="506" t="s">
        <v>832</v>
      </c>
      <c r="C8" s="507" t="s">
        <v>382</v>
      </c>
      <c r="D8" s="508"/>
    </row>
    <row r="9" spans="1:8">
      <c r="B9" s="330" t="s">
        <v>833</v>
      </c>
      <c r="C9" s="330" t="s">
        <v>834</v>
      </c>
      <c r="D9" s="330" t="s">
        <v>835</v>
      </c>
      <c r="E9" s="330" t="s">
        <v>836</v>
      </c>
      <c r="F9" s="330" t="s">
        <v>837</v>
      </c>
    </row>
    <row r="10" spans="1:8">
      <c r="B10" s="509">
        <v>1450</v>
      </c>
      <c r="C10" s="509">
        <v>28000</v>
      </c>
      <c r="D10" s="510">
        <v>100</v>
      </c>
      <c r="E10" s="510">
        <v>20</v>
      </c>
      <c r="F10" s="510">
        <f>D10-E10</f>
        <v>80</v>
      </c>
    </row>
    <row r="11" spans="1:8">
      <c r="A11" s="506" t="s">
        <v>838</v>
      </c>
      <c r="C11" s="511" t="s">
        <v>839</v>
      </c>
      <c r="D11" s="512">
        <f>TH!C41</f>
        <v>6</v>
      </c>
      <c r="E11" s="511" t="s">
        <v>840</v>
      </c>
      <c r="H11" s="534">
        <f>D11*1000</f>
        <v>6000</v>
      </c>
    </row>
    <row r="12" spans="1:8">
      <c r="A12" s="506"/>
      <c r="C12" s="508" t="s">
        <v>841</v>
      </c>
      <c r="D12" s="512">
        <f>TH!C40+0.0000000001</f>
        <v>4.0000000001</v>
      </c>
      <c r="E12" s="511" t="s">
        <v>840</v>
      </c>
      <c r="H12" s="534">
        <f>D12*1000</f>
        <v>4000.0000000999999</v>
      </c>
    </row>
    <row r="13" spans="1:8">
      <c r="A13" s="505" t="s">
        <v>842</v>
      </c>
      <c r="D13" s="7">
        <v>4.5</v>
      </c>
    </row>
    <row r="14" spans="1:8">
      <c r="A14" s="506" t="s">
        <v>843</v>
      </c>
      <c r="B14" s="508" t="s">
        <v>844</v>
      </c>
      <c r="C14" s="507">
        <f>TH!B91</f>
        <v>0.48</v>
      </c>
      <c r="D14" s="7" t="s">
        <v>845</v>
      </c>
      <c r="E14" s="7" t="s">
        <v>601</v>
      </c>
      <c r="F14" s="7">
        <v>1.2</v>
      </c>
    </row>
    <row r="15" spans="1:8">
      <c r="A15" s="506" t="s">
        <v>846</v>
      </c>
      <c r="B15" s="508" t="s">
        <v>844</v>
      </c>
      <c r="C15" s="507">
        <f>TH!B92</f>
        <v>0.48</v>
      </c>
      <c r="D15" s="7" t="s">
        <v>845</v>
      </c>
      <c r="E15" s="7" t="s">
        <v>6</v>
      </c>
      <c r="F15" s="7">
        <v>45</v>
      </c>
    </row>
    <row r="16" spans="1:8">
      <c r="A16" s="506" t="s">
        <v>847</v>
      </c>
      <c r="B16" s="508" t="s">
        <v>844</v>
      </c>
      <c r="C16" s="513">
        <f>SUM(C14:C15)</f>
        <v>0.96</v>
      </c>
      <c r="D16" s="7" t="s">
        <v>733</v>
      </c>
      <c r="E16" s="7" t="s">
        <v>901</v>
      </c>
      <c r="F16" s="334">
        <f>F14/F15*D12*1000</f>
        <v>106.66666666933334</v>
      </c>
      <c r="G16" s="7" t="s">
        <v>159</v>
      </c>
      <c r="H16" s="514"/>
    </row>
    <row r="18" spans="1:6">
      <c r="A18" s="505" t="s">
        <v>848</v>
      </c>
    </row>
    <row r="19" spans="1:6">
      <c r="A19" s="506" t="s">
        <v>849</v>
      </c>
      <c r="B19" s="508" t="s">
        <v>844</v>
      </c>
      <c r="C19" s="515">
        <f>D11/D12</f>
        <v>1.4999999999625</v>
      </c>
      <c r="D19" s="516" t="s">
        <v>850</v>
      </c>
    </row>
    <row r="20" spans="1:6">
      <c r="A20" s="506" t="s">
        <v>851</v>
      </c>
      <c r="B20" s="508"/>
      <c r="C20" s="517" t="s">
        <v>852</v>
      </c>
      <c r="D20" s="516"/>
    </row>
    <row r="21" spans="1:6">
      <c r="A21" s="506" t="s">
        <v>853</v>
      </c>
    </row>
    <row r="22" spans="1:6">
      <c r="A22" s="518"/>
      <c r="B22" s="330" t="s">
        <v>329</v>
      </c>
      <c r="C22" s="330" t="s">
        <v>430</v>
      </c>
      <c r="D22" s="330" t="s">
        <v>3</v>
      </c>
      <c r="E22" s="330" t="s">
        <v>431</v>
      </c>
      <c r="F22" s="330" t="s">
        <v>432</v>
      </c>
    </row>
    <row r="23" spans="1:6">
      <c r="A23" s="330" t="s">
        <v>854</v>
      </c>
      <c r="B23" s="330">
        <v>1.45</v>
      </c>
      <c r="C23" s="330">
        <v>2.0899999999999998E-2</v>
      </c>
      <c r="D23" s="330">
        <v>0.01</v>
      </c>
      <c r="E23" s="330">
        <v>4.6899999999999997E-2</v>
      </c>
      <c r="F23" s="330">
        <v>2.23E-2</v>
      </c>
    </row>
    <row r="24" spans="1:6">
      <c r="A24" s="509" t="s">
        <v>855</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856</v>
      </c>
      <c r="B25" s="330">
        <f>CEILING(B24,0.05)</f>
        <v>1.5</v>
      </c>
      <c r="C25" s="330">
        <v>2.0799999999999999E-2</v>
      </c>
      <c r="D25" s="330">
        <v>9.2999999999999992E-3</v>
      </c>
      <c r="E25" s="330">
        <v>4.6399999999999997E-2</v>
      </c>
      <c r="F25" s="330">
        <v>2.06E-2</v>
      </c>
    </row>
    <row r="27" spans="1:6">
      <c r="A27" s="505" t="s">
        <v>857</v>
      </c>
    </row>
    <row r="28" spans="1:6">
      <c r="A28" s="7" t="s">
        <v>858</v>
      </c>
      <c r="B28" s="508" t="s">
        <v>844</v>
      </c>
      <c r="C28" s="520">
        <f>C16*D12*D11</f>
        <v>23.040000000576001</v>
      </c>
      <c r="D28" s="508" t="s">
        <v>859</v>
      </c>
    </row>
    <row r="30" spans="1:6">
      <c r="A30" s="505" t="s">
        <v>860</v>
      </c>
    </row>
    <row r="31" spans="1:6">
      <c r="A31" s="7" t="s">
        <v>861</v>
      </c>
      <c r="B31" s="508" t="s">
        <v>862</v>
      </c>
      <c r="C31" s="508" t="s">
        <v>844</v>
      </c>
      <c r="D31" s="521">
        <f>C28*C24</f>
        <v>0.47923200001370875</v>
      </c>
      <c r="E31" s="508" t="s">
        <v>863</v>
      </c>
    </row>
    <row r="32" spans="1:6">
      <c r="A32" s="7" t="s">
        <v>864</v>
      </c>
      <c r="B32" s="508" t="s">
        <v>865</v>
      </c>
      <c r="C32" s="508" t="s">
        <v>844</v>
      </c>
      <c r="D32" s="521">
        <f>C28*D24</f>
        <v>0.21427200001745278</v>
      </c>
      <c r="E32" s="508" t="s">
        <v>863</v>
      </c>
    </row>
    <row r="33" spans="1:9">
      <c r="A33" s="7" t="s">
        <v>866</v>
      </c>
      <c r="B33" s="508" t="s">
        <v>867</v>
      </c>
      <c r="C33" s="508" t="s">
        <v>844</v>
      </c>
      <c r="D33" s="521">
        <f>C28*E24</f>
        <v>1.0690560000353664</v>
      </c>
      <c r="E33" s="508" t="s">
        <v>863</v>
      </c>
    </row>
    <row r="34" spans="1:9">
      <c r="A34" s="7" t="s">
        <v>868</v>
      </c>
      <c r="B34" s="508" t="s">
        <v>869</v>
      </c>
      <c r="C34" s="508" t="s">
        <v>844</v>
      </c>
      <c r="D34" s="521">
        <f>C28*F24</f>
        <v>0.47462400004124167</v>
      </c>
      <c r="E34" s="508" t="s">
        <v>863</v>
      </c>
    </row>
    <row r="36" spans="1:9">
      <c r="A36" s="505" t="s">
        <v>870</v>
      </c>
    </row>
    <row r="37" spans="1:9">
      <c r="A37" s="522" t="s">
        <v>871</v>
      </c>
      <c r="C37" s="523">
        <f>D31</f>
        <v>0.47923200001370875</v>
      </c>
      <c r="D37" s="508" t="s">
        <v>863</v>
      </c>
    </row>
    <row r="38" spans="1:9">
      <c r="A38" s="522"/>
      <c r="C38" s="523"/>
      <c r="D38" s="508"/>
    </row>
    <row r="39" spans="1:9">
      <c r="C39" s="335"/>
    </row>
    <row r="40" spans="1:9">
      <c r="C40" s="524">
        <f>C37/(B10*1*((F10*0.001)^2))</f>
        <v>5.1641379311822055E-2</v>
      </c>
      <c r="D40" s="525" t="s">
        <v>872</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83" t="s">
        <v>844</v>
      </c>
      <c r="D46" s="524">
        <f>10000*C37/(C10*C43*F10*0.001)</f>
        <v>2.1977214271801269</v>
      </c>
      <c r="E46" s="1084" t="s">
        <v>873</v>
      </c>
      <c r="H46" s="1085">
        <f>D46/(F10*0.1)</f>
        <v>0.27471517839751586</v>
      </c>
      <c r="I46" s="1084" t="s">
        <v>874</v>
      </c>
    </row>
    <row r="47" spans="1:9">
      <c r="C47" s="1083"/>
      <c r="D47" s="524"/>
      <c r="E47" s="1084"/>
      <c r="H47" s="1085"/>
      <c r="I47" s="1084"/>
    </row>
    <row r="49" spans="1:9">
      <c r="A49" s="529" t="s">
        <v>875</v>
      </c>
      <c r="D49" s="507">
        <v>10</v>
      </c>
      <c r="E49" s="7" t="s">
        <v>930</v>
      </c>
      <c r="F49" s="507">
        <v>150</v>
      </c>
      <c r="G49" s="511" t="s">
        <v>159</v>
      </c>
      <c r="H49" s="7" t="str">
        <f>"Ø"&amp;D49&amp;"@"&amp;F49</f>
        <v>Ø10@150</v>
      </c>
    </row>
    <row r="50" spans="1:9">
      <c r="C50" s="7" t="s">
        <v>876</v>
      </c>
      <c r="D50" s="530">
        <f>ROUND(1000*(0.25*PI()*D49^2)/100/F49,2)</f>
        <v>5.24</v>
      </c>
      <c r="E50" s="511" t="s">
        <v>877</v>
      </c>
    </row>
    <row r="52" spans="1:9">
      <c r="D52" s="7" t="s">
        <v>878</v>
      </c>
      <c r="E52" s="531">
        <f>D50/(F10*0.1)</f>
        <v>0.65500000000000003</v>
      </c>
      <c r="F52" s="511" t="s">
        <v>874</v>
      </c>
      <c r="G52" s="532" t="s">
        <v>872</v>
      </c>
      <c r="H52" s="533" t="str">
        <f>IF(AND(E52&gt;0.4,E52&lt;0.8),"Hîp Lý","Kh«ng Hîp Lý")</f>
        <v>Hîp Lý</v>
      </c>
    </row>
    <row r="54" spans="1:9">
      <c r="A54" s="506" t="s">
        <v>879</v>
      </c>
      <c r="B54" s="7" t="s">
        <v>880</v>
      </c>
      <c r="E54" s="7" t="s">
        <v>14</v>
      </c>
      <c r="F54" s="7">
        <f>$H$11/F49+1</f>
        <v>41</v>
      </c>
    </row>
    <row r="55" spans="1:9">
      <c r="A55" s="522" t="s">
        <v>881</v>
      </c>
      <c r="C55" s="523">
        <f>D32</f>
        <v>0.21427200001745278</v>
      </c>
      <c r="D55" s="508" t="s">
        <v>863</v>
      </c>
    </row>
    <row r="56" spans="1:9">
      <c r="A56" s="522"/>
      <c r="C56" s="515"/>
      <c r="D56" s="508"/>
    </row>
    <row r="58" spans="1:9">
      <c r="C58" s="524">
        <f>C55/(B10*1*(((F10-(D49+D67)/2)*0.001)^2))</f>
        <v>3.0157916962343805E-2</v>
      </c>
      <c r="D58" s="525" t="s">
        <v>872</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83" t="s">
        <v>844</v>
      </c>
      <c r="D64" s="524">
        <f>10000*C55/(C10*C61*F10*0.001)</f>
        <v>0.97144765398015709</v>
      </c>
      <c r="E64" s="1084" t="s">
        <v>882</v>
      </c>
      <c r="H64" s="1085">
        <f>D64/(F10*0.1)</f>
        <v>0.12143095674751964</v>
      </c>
      <c r="I64" s="1084" t="s">
        <v>874</v>
      </c>
    </row>
    <row r="65" spans="1:9">
      <c r="C65" s="1083"/>
      <c r="D65" s="524"/>
      <c r="E65" s="1084"/>
      <c r="H65" s="1085"/>
      <c r="I65" s="1084"/>
    </row>
    <row r="67" spans="1:9">
      <c r="A67" s="529" t="s">
        <v>875</v>
      </c>
      <c r="D67" s="507">
        <v>10</v>
      </c>
      <c r="E67" s="7" t="s">
        <v>930</v>
      </c>
      <c r="F67" s="507">
        <v>150</v>
      </c>
      <c r="G67" s="511" t="s">
        <v>159</v>
      </c>
      <c r="H67" s="7" t="str">
        <f>"Ø"&amp;D67&amp;"@"&amp;F67</f>
        <v>Ø10@150</v>
      </c>
    </row>
    <row r="68" spans="1:9">
      <c r="C68" s="7" t="s">
        <v>876</v>
      </c>
      <c r="D68" s="530">
        <f>ROUND(1000*(0.25*PI()*D67^2)/100/F67,2)</f>
        <v>5.24</v>
      </c>
      <c r="E68" s="511" t="s">
        <v>877</v>
      </c>
    </row>
    <row r="70" spans="1:9">
      <c r="D70" s="7" t="s">
        <v>878</v>
      </c>
      <c r="E70" s="531">
        <f>D68/(F10*0.1)</f>
        <v>0.65500000000000003</v>
      </c>
      <c r="F70" s="511" t="s">
        <v>874</v>
      </c>
      <c r="G70" s="532" t="s">
        <v>872</v>
      </c>
      <c r="H70" s="533" t="str">
        <f>IF(AND(E70&gt;0.4,E70&lt;0.8),"Hîp Lý","Kh«ng Hîp Lý")</f>
        <v>Hîp Lý</v>
      </c>
    </row>
    <row r="72" spans="1:9">
      <c r="A72" s="506" t="s">
        <v>879</v>
      </c>
      <c r="B72" s="7" t="s">
        <v>880</v>
      </c>
      <c r="E72" s="7" t="s">
        <v>14</v>
      </c>
      <c r="F72" s="334">
        <f>$H$12/F67+1</f>
        <v>27.666666667333331</v>
      </c>
    </row>
    <row r="73" spans="1:9">
      <c r="A73" s="522" t="s">
        <v>883</v>
      </c>
      <c r="C73" s="523">
        <f>D33</f>
        <v>1.0690560000353664</v>
      </c>
      <c r="D73" s="508" t="s">
        <v>863</v>
      </c>
    </row>
    <row r="74" spans="1:9">
      <c r="A74" s="522"/>
      <c r="C74" s="515"/>
      <c r="D74" s="508"/>
    </row>
    <row r="76" spans="1:9">
      <c r="C76" s="524">
        <f>C73/(B10*1*((F10*0.001)^2))</f>
        <v>0.11520000000381102</v>
      </c>
      <c r="D76" s="525" t="s">
        <v>872</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83" t="s">
        <v>844</v>
      </c>
      <c r="D82" s="524">
        <f>10000*C73/(C10*C79*F10*0.001)</f>
        <v>5.0845912125012331</v>
      </c>
      <c r="E82" s="1084" t="s">
        <v>884</v>
      </c>
      <c r="H82" s="1085">
        <f>D82/(F10*0.1)</f>
        <v>0.63557390156265414</v>
      </c>
      <c r="I82" s="1084" t="s">
        <v>874</v>
      </c>
    </row>
    <row r="83" spans="1:9">
      <c r="C83" s="1083"/>
      <c r="D83" s="524"/>
      <c r="E83" s="1084"/>
      <c r="H83" s="1085"/>
      <c r="I83" s="1084"/>
    </row>
    <row r="85" spans="1:9">
      <c r="A85" s="529" t="s">
        <v>875</v>
      </c>
      <c r="D85" s="507">
        <v>10</v>
      </c>
      <c r="E85" s="7" t="s">
        <v>930</v>
      </c>
      <c r="F85" s="507">
        <v>150</v>
      </c>
      <c r="G85" s="511" t="s">
        <v>159</v>
      </c>
      <c r="H85" s="7" t="str">
        <f>"Ø"&amp;D85&amp;"@"&amp;F85</f>
        <v>Ø10@150</v>
      </c>
    </row>
    <row r="86" spans="1:9">
      <c r="C86" s="7" t="s">
        <v>876</v>
      </c>
      <c r="D86" s="530">
        <f>ROUND(1000*(0.25*PI()*D85^2)/100/F85,2)</f>
        <v>5.24</v>
      </c>
      <c r="E86" s="511" t="s">
        <v>877</v>
      </c>
    </row>
    <row r="88" spans="1:9">
      <c r="D88" s="7" t="s">
        <v>878</v>
      </c>
      <c r="E88" s="531">
        <f>D86/(F10*0.1)</f>
        <v>0.65500000000000003</v>
      </c>
      <c r="F88" s="511" t="s">
        <v>874</v>
      </c>
      <c r="G88" s="532" t="s">
        <v>872</v>
      </c>
      <c r="H88" s="533" t="str">
        <f>IF(AND(E88&gt;0.4,E88&lt;0.8),"Hîp Lý","Kh«ng Hîp Lý")</f>
        <v>Hîp Lý</v>
      </c>
    </row>
    <row r="90" spans="1:9">
      <c r="A90" s="506" t="s">
        <v>879</v>
      </c>
      <c r="B90" s="7" t="s">
        <v>880</v>
      </c>
      <c r="E90" s="7" t="s">
        <v>14</v>
      </c>
      <c r="F90" s="7">
        <f>$H$11/F85+1</f>
        <v>41</v>
      </c>
    </row>
    <row r="91" spans="1:9">
      <c r="A91" s="522" t="s">
        <v>885</v>
      </c>
      <c r="C91" s="523">
        <f>D34</f>
        <v>0.47462400004124167</v>
      </c>
      <c r="D91" s="508" t="s">
        <v>863</v>
      </c>
    </row>
    <row r="92" spans="1:9">
      <c r="A92" s="522"/>
      <c r="C92" s="523"/>
      <c r="D92" s="508"/>
    </row>
    <row r="93" spans="1:9">
      <c r="C93" s="335"/>
    </row>
    <row r="94" spans="1:9">
      <c r="C94" s="524">
        <f>C91/(B10*1*((F10*0.001)^2))</f>
        <v>5.1144827590651039E-2</v>
      </c>
      <c r="D94" s="525" t="s">
        <v>872</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83" t="s">
        <v>844</v>
      </c>
      <c r="D100" s="524">
        <f>10000*C91/(C10*C97*F10*0.001)</f>
        <v>2.1760035938755964</v>
      </c>
      <c r="E100" s="1084" t="s">
        <v>882</v>
      </c>
      <c r="H100" s="1085">
        <f>D100/(F10*0.1)</f>
        <v>0.27200044923444955</v>
      </c>
      <c r="I100" s="1084" t="s">
        <v>874</v>
      </c>
    </row>
    <row r="101" spans="1:9">
      <c r="C101" s="1083"/>
      <c r="D101" s="524"/>
      <c r="E101" s="1084"/>
      <c r="H101" s="1085"/>
      <c r="I101" s="1084"/>
    </row>
    <row r="103" spans="1:9">
      <c r="A103" s="529" t="s">
        <v>875</v>
      </c>
      <c r="D103" s="507">
        <v>10</v>
      </c>
      <c r="E103" s="7" t="s">
        <v>930</v>
      </c>
      <c r="F103" s="507">
        <v>150</v>
      </c>
      <c r="G103" s="511" t="s">
        <v>159</v>
      </c>
      <c r="H103" s="7" t="str">
        <f>"Ø"&amp;D103&amp;"@"&amp;F103</f>
        <v>Ø10@150</v>
      </c>
    </row>
    <row r="104" spans="1:9">
      <c r="C104" s="7" t="s">
        <v>876</v>
      </c>
      <c r="D104" s="530">
        <f>ROUND(1000*(0.25*PI()*D103^2)/100/F103,2)</f>
        <v>5.24</v>
      </c>
      <c r="E104" s="511" t="s">
        <v>877</v>
      </c>
    </row>
    <row r="106" spans="1:9">
      <c r="D106" s="7" t="s">
        <v>878</v>
      </c>
      <c r="E106" s="531">
        <f>D104/(F10*0.1)</f>
        <v>0.65500000000000003</v>
      </c>
      <c r="F106" s="511" t="s">
        <v>874</v>
      </c>
      <c r="G106" s="532" t="s">
        <v>872</v>
      </c>
      <c r="H106" s="533" t="str">
        <f>IF(AND(E106&gt;0.4,E106&lt;0.8),"Hîp Lý","Kh«ng Hîp Lý")</f>
        <v>Hîp Lý</v>
      </c>
    </row>
    <row r="108" spans="1:9">
      <c r="A108" s="506" t="s">
        <v>879</v>
      </c>
      <c r="B108" s="7" t="s">
        <v>880</v>
      </c>
      <c r="E108" s="7" t="s">
        <v>14</v>
      </c>
      <c r="F108" s="334">
        <f>$H$12/F103+1</f>
        <v>27.666666667333331</v>
      </c>
    </row>
    <row r="109" spans="1:9">
      <c r="A109" s="505" t="s">
        <v>886</v>
      </c>
    </row>
    <row r="110" spans="1:9">
      <c r="A110" s="529" t="s">
        <v>887</v>
      </c>
    </row>
  </sheetData>
  <mergeCells count="20">
    <mergeCell ref="A1:C1"/>
    <mergeCell ref="D1:G1"/>
    <mergeCell ref="C3:H4"/>
    <mergeCell ref="D5:G5"/>
    <mergeCell ref="C46:C47"/>
    <mergeCell ref="E46:E47"/>
    <mergeCell ref="H46:H47"/>
    <mergeCell ref="I46:I47"/>
    <mergeCell ref="C64:C65"/>
    <mergeCell ref="E64:E65"/>
    <mergeCell ref="H64:H65"/>
    <mergeCell ref="I64:I65"/>
    <mergeCell ref="C82:C83"/>
    <mergeCell ref="E82:E83"/>
    <mergeCell ref="H82:H83"/>
    <mergeCell ref="I82:I83"/>
    <mergeCell ref="C100:C101"/>
    <mergeCell ref="E100:E101"/>
    <mergeCell ref="H100:H101"/>
    <mergeCell ref="I100:I101"/>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231</v>
      </c>
      <c r="E3" s="213"/>
      <c r="F3" s="213"/>
      <c r="G3" s="213"/>
      <c r="H3" s="213"/>
      <c r="I3" s="215"/>
      <c r="J3" s="213"/>
      <c r="K3" s="213"/>
      <c r="L3" s="213"/>
      <c r="M3" s="216"/>
      <c r="N3" s="213"/>
      <c r="O3" s="216"/>
      <c r="P3" s="216"/>
      <c r="Q3" s="173"/>
      <c r="R3" s="174"/>
    </row>
    <row r="4" spans="1:29" ht="17.5">
      <c r="A4" s="174"/>
      <c r="B4" s="217" t="s">
        <v>232</v>
      </c>
      <c r="C4" s="218" t="s">
        <v>233</v>
      </c>
      <c r="D4" s="219"/>
      <c r="E4" s="220"/>
      <c r="F4" s="221"/>
      <c r="G4" s="221"/>
      <c r="H4" s="221"/>
      <c r="I4" s="222"/>
      <c r="J4" s="221"/>
      <c r="K4" s="223"/>
      <c r="L4" s="221"/>
      <c r="M4" s="223"/>
      <c r="N4" s="221"/>
      <c r="O4" s="216"/>
      <c r="P4" s="216"/>
      <c r="Q4" s="185"/>
      <c r="R4" s="175"/>
    </row>
    <row r="5" spans="1:29" ht="17.5">
      <c r="A5" s="174"/>
      <c r="B5" s="221"/>
      <c r="C5" s="218" t="s">
        <v>234</v>
      </c>
      <c r="D5" s="218"/>
      <c r="E5" s="220"/>
      <c r="F5" s="221"/>
      <c r="G5" s="221"/>
      <c r="H5" s="221"/>
      <c r="I5" s="222"/>
      <c r="J5" s="221"/>
      <c r="K5" s="221"/>
      <c r="L5" s="221"/>
      <c r="M5" s="223"/>
      <c r="N5" s="221"/>
      <c r="O5" s="216"/>
      <c r="P5" s="216"/>
      <c r="Q5" s="185"/>
      <c r="R5" s="175"/>
    </row>
    <row r="6" spans="1:29" ht="17.5">
      <c r="A6" s="174"/>
      <c r="B6" s="223"/>
      <c r="C6" s="224" t="s">
        <v>235</v>
      </c>
      <c r="D6" s="218"/>
      <c r="E6" s="220"/>
      <c r="F6" s="225">
        <f>TH!C21</f>
        <v>15</v>
      </c>
      <c r="G6" s="226" t="s">
        <v>236</v>
      </c>
      <c r="H6" s="227">
        <f>IF(F6=12.5,7.5,IF(F6=15,8.5,IF(F6=20,11.5,IF(F6=25,14.5,"!!!"))))</f>
        <v>8.5</v>
      </c>
      <c r="I6" s="228" t="s">
        <v>237</v>
      </c>
      <c r="J6" s="223"/>
      <c r="K6" s="223"/>
      <c r="L6" s="223"/>
      <c r="M6" s="223"/>
      <c r="N6" s="221"/>
      <c r="O6" s="216"/>
      <c r="P6" s="216"/>
      <c r="Q6" s="185"/>
      <c r="R6" s="175"/>
    </row>
    <row r="7" spans="1:29" ht="15.5">
      <c r="A7" s="174"/>
      <c r="B7" s="223"/>
      <c r="C7" s="218" t="s">
        <v>238</v>
      </c>
      <c r="D7" s="218"/>
      <c r="E7" s="223"/>
      <c r="F7" s="229"/>
      <c r="G7" s="226"/>
      <c r="H7" s="228"/>
      <c r="I7" s="228"/>
      <c r="J7" s="223"/>
      <c r="K7" s="223"/>
      <c r="L7" s="223"/>
      <c r="M7" s="223"/>
      <c r="N7" s="223"/>
      <c r="O7" s="216"/>
      <c r="P7" s="216"/>
      <c r="Q7" s="185"/>
      <c r="R7" s="176"/>
    </row>
    <row r="8" spans="1:29" ht="51" customHeight="1">
      <c r="A8" s="174"/>
      <c r="B8" s="1089" t="s">
        <v>997</v>
      </c>
      <c r="C8" s="1089" t="s">
        <v>239</v>
      </c>
      <c r="D8" s="1089" t="s">
        <v>991</v>
      </c>
      <c r="E8" s="1089" t="s">
        <v>992</v>
      </c>
      <c r="F8" s="1089" t="s">
        <v>993</v>
      </c>
      <c r="G8" s="606" t="s">
        <v>988</v>
      </c>
      <c r="H8" s="606" t="s">
        <v>989</v>
      </c>
      <c r="I8" s="1092" t="s">
        <v>990</v>
      </c>
      <c r="J8" s="1092" t="s">
        <v>246</v>
      </c>
      <c r="K8" s="1089" t="s">
        <v>994</v>
      </c>
      <c r="L8" s="607" t="s">
        <v>249</v>
      </c>
      <c r="M8" s="607" t="s">
        <v>254</v>
      </c>
      <c r="N8" s="1089" t="s">
        <v>996</v>
      </c>
      <c r="O8" s="1090" t="s">
        <v>248</v>
      </c>
      <c r="P8" s="1091" t="s">
        <v>995</v>
      </c>
      <c r="Q8" s="186" t="s">
        <v>250</v>
      </c>
      <c r="R8" s="187" t="s">
        <v>248</v>
      </c>
    </row>
    <row r="9" spans="1:29" ht="31">
      <c r="A9" s="174"/>
      <c r="B9" s="1089"/>
      <c r="C9" s="1089"/>
      <c r="D9" s="1089"/>
      <c r="E9" s="1089"/>
      <c r="F9" s="1089"/>
      <c r="G9" s="605" t="s">
        <v>906</v>
      </c>
      <c r="H9" s="605" t="s">
        <v>906</v>
      </c>
      <c r="I9" s="1093"/>
      <c r="J9" s="1093"/>
      <c r="K9" s="1089"/>
      <c r="L9" s="604" t="s">
        <v>251</v>
      </c>
      <c r="M9" s="605" t="s">
        <v>252</v>
      </c>
      <c r="N9" s="1089"/>
      <c r="O9" s="1090"/>
      <c r="P9" s="1091"/>
      <c r="Q9" s="188" t="s">
        <v>253</v>
      </c>
      <c r="R9" s="180"/>
      <c r="S9" t="s">
        <v>311</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951</v>
      </c>
      <c r="W10" t="s">
        <v>952</v>
      </c>
      <c r="Z10" t="s">
        <v>953</v>
      </c>
      <c r="AA10" s="23" t="s">
        <v>954</v>
      </c>
      <c r="AB10" s="6" t="s">
        <v>955</v>
      </c>
    </row>
    <row r="11" spans="1:29" s="201" customFormat="1" ht="15.5">
      <c r="A11" s="200"/>
      <c r="B11" s="202" t="s">
        <v>200</v>
      </c>
      <c r="C11" s="203" t="s">
        <v>446</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947</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447</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948</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448</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949</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449</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950</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203</v>
      </c>
      <c r="C15" s="203" t="s">
        <v>446</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447</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448</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449</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104</v>
      </c>
      <c r="C19" s="203" t="s">
        <v>446</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447</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448</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449</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102</v>
      </c>
      <c r="C23" s="203" t="s">
        <v>446</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447</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448</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449</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103</v>
      </c>
      <c r="C27" s="203" t="s">
        <v>446</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447</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448</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449</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106</v>
      </c>
      <c r="C31" s="203" t="s">
        <v>446</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447</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448</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449</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109</v>
      </c>
      <c r="C35" s="203" t="s">
        <v>446</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447</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448</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449</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111</v>
      </c>
      <c r="C39" s="203" t="s">
        <v>446</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447</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448</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449</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110</v>
      </c>
      <c r="C43" s="203" t="s">
        <v>446</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447</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448</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449</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N8:N9"/>
    <mergeCell ref="O8:O9"/>
    <mergeCell ref="P8:P9"/>
    <mergeCell ref="I8:I9"/>
    <mergeCell ref="J8:J9"/>
    <mergeCell ref="K8:K9"/>
    <mergeCell ref="B8:B9"/>
    <mergeCell ref="C8:C9"/>
    <mergeCell ref="D8:D9"/>
    <mergeCell ref="E8:E9"/>
    <mergeCell ref="F8:F9"/>
  </mergeCells>
  <phoneticPr fontId="47"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94" t="s">
        <v>651</v>
      </c>
      <c r="B1" s="1094" t="s">
        <v>956</v>
      </c>
      <c r="C1" s="1094" t="s">
        <v>957</v>
      </c>
      <c r="D1" s="579" t="s">
        <v>242</v>
      </c>
      <c r="E1" s="579" t="s">
        <v>958</v>
      </c>
      <c r="F1" s="579" t="s">
        <v>959</v>
      </c>
      <c r="G1" s="592" t="s">
        <v>960</v>
      </c>
      <c r="H1" s="579" t="s">
        <v>961</v>
      </c>
      <c r="I1" s="579" t="s">
        <v>963</v>
      </c>
      <c r="J1" s="579" t="s">
        <v>964</v>
      </c>
      <c r="K1" s="579" t="s">
        <v>966</v>
      </c>
      <c r="L1" s="1097" t="s">
        <v>968</v>
      </c>
      <c r="M1" s="583" t="s">
        <v>969</v>
      </c>
      <c r="N1" s="585" t="s">
        <v>971</v>
      </c>
      <c r="O1" s="583" t="s">
        <v>972</v>
      </c>
    </row>
    <row r="2" spans="1:18">
      <c r="A2" s="1095"/>
      <c r="B2" s="1095"/>
      <c r="C2" s="1095"/>
      <c r="D2" s="580" t="s">
        <v>58</v>
      </c>
      <c r="E2" s="580" t="s">
        <v>58</v>
      </c>
      <c r="F2" s="580" t="s">
        <v>58</v>
      </c>
      <c r="G2" s="593" t="s">
        <v>58</v>
      </c>
      <c r="H2" s="580" t="s">
        <v>962</v>
      </c>
      <c r="I2" s="580" t="s">
        <v>962</v>
      </c>
      <c r="J2" s="580" t="s">
        <v>630</v>
      </c>
      <c r="K2" s="580" t="s">
        <v>967</v>
      </c>
      <c r="L2" s="1098"/>
      <c r="M2" s="584" t="s">
        <v>970</v>
      </c>
      <c r="N2" s="584" t="s">
        <v>700</v>
      </c>
      <c r="O2" s="584" t="s">
        <v>970</v>
      </c>
    </row>
    <row r="3" spans="1:18" ht="14.5" thickBot="1">
      <c r="A3" s="1096"/>
      <c r="B3" s="1096"/>
      <c r="C3" s="1096"/>
      <c r="D3" s="581"/>
      <c r="E3" s="581"/>
      <c r="F3" s="581"/>
      <c r="G3" s="594"/>
      <c r="H3" s="581"/>
      <c r="I3" s="581"/>
      <c r="J3" s="582" t="s">
        <v>965</v>
      </c>
      <c r="K3" s="581"/>
      <c r="L3" s="1099"/>
      <c r="M3" s="581"/>
      <c r="N3" s="581"/>
      <c r="O3" s="581"/>
    </row>
    <row r="4" spans="1:18" ht="15" thickTop="1" thickBot="1">
      <c r="A4" s="586" t="s">
        <v>973</v>
      </c>
      <c r="B4" s="587" t="s">
        <v>974</v>
      </c>
      <c r="C4" s="588">
        <v>149</v>
      </c>
      <c r="D4" s="588">
        <v>0.2</v>
      </c>
      <c r="E4" s="588">
        <v>0.2</v>
      </c>
      <c r="F4" s="588">
        <v>2.7</v>
      </c>
      <c r="G4" s="595">
        <v>0</v>
      </c>
      <c r="H4" s="589">
        <v>0.84</v>
      </c>
      <c r="I4" s="589">
        <v>0.63</v>
      </c>
      <c r="J4" s="589">
        <v>-15.49</v>
      </c>
      <c r="K4" s="590">
        <v>3.2</v>
      </c>
      <c r="L4" s="591" t="s">
        <v>975</v>
      </c>
      <c r="M4" s="590">
        <f>ROUND(Q4*(R4/2)^2*PI()/100,1)</f>
        <v>10.199999999999999</v>
      </c>
      <c r="N4" s="589">
        <v>3.4</v>
      </c>
      <c r="O4" s="589">
        <f>M4-K4</f>
        <v>6.9999999999999991</v>
      </c>
      <c r="P4" t="str">
        <f>IF(O4&lt;0,"THIEU THEP","")</f>
        <v/>
      </c>
      <c r="Q4">
        <v>4</v>
      </c>
      <c r="R4">
        <v>18</v>
      </c>
    </row>
    <row r="5" spans="1:18" ht="14.5" thickBot="1">
      <c r="A5" s="586" t="s">
        <v>973</v>
      </c>
      <c r="B5" s="587" t="s">
        <v>974</v>
      </c>
      <c r="C5" s="588">
        <v>149</v>
      </c>
      <c r="D5" s="588">
        <v>0.2</v>
      </c>
      <c r="E5" s="588">
        <v>0.2</v>
      </c>
      <c r="F5" s="588">
        <v>2.7</v>
      </c>
      <c r="G5" s="595">
        <v>2.7</v>
      </c>
      <c r="H5" s="589">
        <v>0.63</v>
      </c>
      <c r="I5" s="589">
        <v>0.36</v>
      </c>
      <c r="J5" s="589">
        <v>-15.49</v>
      </c>
      <c r="K5" s="590">
        <v>0.6</v>
      </c>
      <c r="L5" s="591" t="s">
        <v>975</v>
      </c>
      <c r="M5" s="590">
        <f t="shared" ref="M5:M67" si="0">ROUND(Q5*(R5/2)^2*PI()/100,1)</f>
        <v>10.199999999999999</v>
      </c>
      <c r="N5" s="589">
        <v>3.4</v>
      </c>
      <c r="O5" s="589">
        <f t="shared" ref="O5:O67" si="1">M5-K5</f>
        <v>9.6</v>
      </c>
      <c r="P5" t="str">
        <f t="shared" ref="P5:P68" si="2">IF(O5&lt;0,"THIEU THEP","")</f>
        <v/>
      </c>
      <c r="Q5">
        <v>4</v>
      </c>
      <c r="R5">
        <v>18</v>
      </c>
    </row>
    <row r="6" spans="1:18" ht="14.5" thickBot="1">
      <c r="A6" s="586" t="s">
        <v>973</v>
      </c>
      <c r="B6" s="587" t="s">
        <v>974</v>
      </c>
      <c r="C6" s="588">
        <v>149</v>
      </c>
      <c r="D6" s="588">
        <v>0.2</v>
      </c>
      <c r="E6" s="588">
        <v>0.2</v>
      </c>
      <c r="F6" s="588">
        <v>2.7</v>
      </c>
      <c r="G6" s="595">
        <v>0</v>
      </c>
      <c r="H6" s="589">
        <v>-0.69</v>
      </c>
      <c r="I6" s="589">
        <v>-0.67</v>
      </c>
      <c r="J6" s="589">
        <v>-28.07</v>
      </c>
      <c r="K6" s="590">
        <v>0.6</v>
      </c>
      <c r="L6" s="591" t="s">
        <v>975</v>
      </c>
      <c r="M6" s="590">
        <f t="shared" si="0"/>
        <v>10.199999999999999</v>
      </c>
      <c r="N6" s="589">
        <v>3.4</v>
      </c>
      <c r="O6" s="589">
        <f t="shared" si="1"/>
        <v>9.6</v>
      </c>
      <c r="P6" t="str">
        <f t="shared" si="2"/>
        <v/>
      </c>
      <c r="Q6">
        <v>4</v>
      </c>
      <c r="R6">
        <v>18</v>
      </c>
    </row>
    <row r="7" spans="1:18" ht="14.5" thickBot="1">
      <c r="A7" s="586" t="s">
        <v>973</v>
      </c>
      <c r="B7" s="587" t="s">
        <v>974</v>
      </c>
      <c r="C7" s="588">
        <v>149</v>
      </c>
      <c r="D7" s="588">
        <v>0.2</v>
      </c>
      <c r="E7" s="588">
        <v>0.2</v>
      </c>
      <c r="F7" s="588">
        <v>2.7</v>
      </c>
      <c r="G7" s="595">
        <v>2.7</v>
      </c>
      <c r="H7" s="589">
        <v>-0.8</v>
      </c>
      <c r="I7" s="589">
        <v>-0.2</v>
      </c>
      <c r="J7" s="589">
        <v>-28.07</v>
      </c>
      <c r="K7" s="590">
        <v>0.6</v>
      </c>
      <c r="L7" s="591" t="s">
        <v>975</v>
      </c>
      <c r="M7" s="590">
        <f t="shared" si="0"/>
        <v>10.199999999999999</v>
      </c>
      <c r="N7" s="589">
        <v>3.4</v>
      </c>
      <c r="O7" s="589">
        <f t="shared" si="1"/>
        <v>9.6</v>
      </c>
      <c r="P7" t="str">
        <f t="shared" si="2"/>
        <v/>
      </c>
      <c r="Q7">
        <v>4</v>
      </c>
      <c r="R7">
        <v>18</v>
      </c>
    </row>
    <row r="8" spans="1:18" ht="14.5" thickBot="1">
      <c r="A8" s="586" t="s">
        <v>976</v>
      </c>
      <c r="B8" s="587" t="s">
        <v>974</v>
      </c>
      <c r="C8" s="588">
        <v>150</v>
      </c>
      <c r="D8" s="588">
        <v>0.2</v>
      </c>
      <c r="E8" s="588">
        <v>0.2</v>
      </c>
      <c r="F8" s="588">
        <v>3.6</v>
      </c>
      <c r="G8" s="595">
        <v>0</v>
      </c>
      <c r="H8" s="589">
        <v>1.1499999999999999</v>
      </c>
      <c r="I8" s="589">
        <v>0.88</v>
      </c>
      <c r="J8" s="589">
        <v>-7.45</v>
      </c>
      <c r="K8" s="590">
        <v>13.3</v>
      </c>
      <c r="L8" s="591" t="s">
        <v>975</v>
      </c>
      <c r="M8" s="590">
        <f t="shared" si="0"/>
        <v>15.2</v>
      </c>
      <c r="N8" s="589">
        <v>3.4</v>
      </c>
      <c r="O8" s="589">
        <f t="shared" si="1"/>
        <v>1.8999999999999986</v>
      </c>
      <c r="P8" t="str">
        <f t="shared" si="2"/>
        <v/>
      </c>
      <c r="Q8">
        <v>4</v>
      </c>
      <c r="R8">
        <v>22</v>
      </c>
    </row>
    <row r="9" spans="1:18" ht="14.5" thickBot="1">
      <c r="A9" s="586" t="s">
        <v>976</v>
      </c>
      <c r="B9" s="587" t="s">
        <v>974</v>
      </c>
      <c r="C9" s="588">
        <v>150</v>
      </c>
      <c r="D9" s="588">
        <v>0.2</v>
      </c>
      <c r="E9" s="588">
        <v>0.2</v>
      </c>
      <c r="F9" s="588">
        <v>3.6</v>
      </c>
      <c r="G9" s="595">
        <v>3.6</v>
      </c>
      <c r="H9" s="589">
        <v>0.97</v>
      </c>
      <c r="I9" s="589">
        <v>0.49</v>
      </c>
      <c r="J9" s="589">
        <v>-7.45</v>
      </c>
      <c r="K9" s="590">
        <v>8.1</v>
      </c>
      <c r="L9" s="591" t="s">
        <v>975</v>
      </c>
      <c r="M9" s="590">
        <f t="shared" si="0"/>
        <v>10.199999999999999</v>
      </c>
      <c r="N9" s="589">
        <v>3.4</v>
      </c>
      <c r="O9" s="589">
        <f t="shared" si="1"/>
        <v>2.0999999999999996</v>
      </c>
      <c r="P9" t="str">
        <f t="shared" si="2"/>
        <v/>
      </c>
      <c r="Q9">
        <v>4</v>
      </c>
      <c r="R9">
        <v>18</v>
      </c>
    </row>
    <row r="10" spans="1:18" ht="14.5" thickBot="1">
      <c r="A10" s="586" t="s">
        <v>976</v>
      </c>
      <c r="B10" s="587" t="s">
        <v>974</v>
      </c>
      <c r="C10" s="588">
        <v>150</v>
      </c>
      <c r="D10" s="588">
        <v>0.2</v>
      </c>
      <c r="E10" s="588">
        <v>0.2</v>
      </c>
      <c r="F10" s="588">
        <v>3.6</v>
      </c>
      <c r="G10" s="595">
        <v>0</v>
      </c>
      <c r="H10" s="589">
        <v>-0.96</v>
      </c>
      <c r="I10" s="589">
        <v>-0.95</v>
      </c>
      <c r="J10" s="589">
        <v>-15.45</v>
      </c>
      <c r="K10" s="590">
        <v>8.6999999999999993</v>
      </c>
      <c r="L10" s="591" t="s">
        <v>975</v>
      </c>
      <c r="M10" s="590">
        <f t="shared" si="0"/>
        <v>10.199999999999999</v>
      </c>
      <c r="N10" s="589">
        <v>3.4</v>
      </c>
      <c r="O10" s="589">
        <f t="shared" si="1"/>
        <v>1.5</v>
      </c>
      <c r="P10" t="str">
        <f t="shared" si="2"/>
        <v/>
      </c>
      <c r="Q10">
        <v>4</v>
      </c>
      <c r="R10">
        <v>18</v>
      </c>
    </row>
    <row r="11" spans="1:18" ht="14.5" thickBot="1">
      <c r="A11" s="586" t="s">
        <v>976</v>
      </c>
      <c r="B11" s="587" t="s">
        <v>974</v>
      </c>
      <c r="C11" s="588">
        <v>150</v>
      </c>
      <c r="D11" s="588">
        <v>0.2</v>
      </c>
      <c r="E11" s="588">
        <v>0.2</v>
      </c>
      <c r="F11" s="588">
        <v>3.6</v>
      </c>
      <c r="G11" s="595">
        <v>3.6</v>
      </c>
      <c r="H11" s="589">
        <v>-1.1599999999999999</v>
      </c>
      <c r="I11" s="589">
        <v>-0.24</v>
      </c>
      <c r="J11" s="589">
        <v>-15.45</v>
      </c>
      <c r="K11" s="590">
        <v>4.5999999999999996</v>
      </c>
      <c r="L11" s="591" t="s">
        <v>975</v>
      </c>
      <c r="M11" s="590">
        <f t="shared" si="0"/>
        <v>10.199999999999999</v>
      </c>
      <c r="N11" s="589">
        <v>3.4</v>
      </c>
      <c r="O11" s="589">
        <f t="shared" si="1"/>
        <v>5.6</v>
      </c>
      <c r="P11" t="str">
        <f t="shared" si="2"/>
        <v/>
      </c>
      <c r="Q11">
        <v>4</v>
      </c>
      <c r="R11">
        <v>18</v>
      </c>
    </row>
    <row r="12" spans="1:18" ht="14.5" thickBot="1">
      <c r="A12" s="586" t="s">
        <v>977</v>
      </c>
      <c r="B12" s="587" t="s">
        <v>974</v>
      </c>
      <c r="C12" s="588">
        <v>151</v>
      </c>
      <c r="D12" s="588">
        <v>0.2</v>
      </c>
      <c r="E12" s="588">
        <v>0.2</v>
      </c>
      <c r="F12" s="588">
        <v>3.6</v>
      </c>
      <c r="G12" s="595">
        <v>0</v>
      </c>
      <c r="H12" s="589">
        <v>0.42</v>
      </c>
      <c r="I12" s="589">
        <v>0.5</v>
      </c>
      <c r="J12" s="589">
        <v>0.85</v>
      </c>
      <c r="K12" s="590">
        <v>7.5</v>
      </c>
      <c r="L12" s="591" t="s">
        <v>975</v>
      </c>
      <c r="M12" s="590">
        <f t="shared" si="0"/>
        <v>10.199999999999999</v>
      </c>
      <c r="N12" s="589">
        <v>3.4</v>
      </c>
      <c r="O12" s="589">
        <f t="shared" si="1"/>
        <v>2.6999999999999993</v>
      </c>
      <c r="P12" t="str">
        <f t="shared" si="2"/>
        <v/>
      </c>
      <c r="Q12">
        <v>4</v>
      </c>
      <c r="R12">
        <v>18</v>
      </c>
    </row>
    <row r="13" spans="1:18" ht="14.5" thickBot="1">
      <c r="A13" s="586" t="s">
        <v>977</v>
      </c>
      <c r="B13" s="587" t="s">
        <v>974</v>
      </c>
      <c r="C13" s="588">
        <v>151</v>
      </c>
      <c r="D13" s="588">
        <v>0.2</v>
      </c>
      <c r="E13" s="588">
        <v>0.2</v>
      </c>
      <c r="F13" s="588">
        <v>3.6</v>
      </c>
      <c r="G13" s="595">
        <v>3.6</v>
      </c>
      <c r="H13" s="589">
        <v>0.32</v>
      </c>
      <c r="I13" s="589">
        <v>0.16</v>
      </c>
      <c r="J13" s="589">
        <v>0.85</v>
      </c>
      <c r="K13" s="590">
        <v>3.6</v>
      </c>
      <c r="L13" s="591" t="s">
        <v>975</v>
      </c>
      <c r="M13" s="590">
        <f t="shared" si="0"/>
        <v>10.199999999999999</v>
      </c>
      <c r="N13" s="589">
        <v>3.4</v>
      </c>
      <c r="O13" s="589">
        <f t="shared" si="1"/>
        <v>6.6</v>
      </c>
      <c r="P13" t="str">
        <f t="shared" si="2"/>
        <v/>
      </c>
      <c r="Q13">
        <v>4</v>
      </c>
      <c r="R13">
        <v>18</v>
      </c>
    </row>
    <row r="14" spans="1:18" ht="14.5" thickBot="1">
      <c r="A14" s="586" t="s">
        <v>977</v>
      </c>
      <c r="B14" s="587" t="s">
        <v>974</v>
      </c>
      <c r="C14" s="588">
        <v>151</v>
      </c>
      <c r="D14" s="588">
        <v>0.2</v>
      </c>
      <c r="E14" s="588">
        <v>0.2</v>
      </c>
      <c r="F14" s="588">
        <v>3.6</v>
      </c>
      <c r="G14" s="596">
        <v>0</v>
      </c>
      <c r="H14" s="589">
        <v>-0.3</v>
      </c>
      <c r="I14" s="589">
        <v>-0.53</v>
      </c>
      <c r="J14" s="589">
        <v>-2.77</v>
      </c>
      <c r="K14" s="590">
        <v>5.2</v>
      </c>
      <c r="L14" s="591" t="s">
        <v>975</v>
      </c>
      <c r="M14" s="590">
        <f t="shared" si="0"/>
        <v>10.199999999999999</v>
      </c>
      <c r="N14" s="589">
        <v>3.4</v>
      </c>
      <c r="O14" s="589">
        <f t="shared" si="1"/>
        <v>4.9999999999999991</v>
      </c>
      <c r="P14" t="str">
        <f t="shared" si="2"/>
        <v/>
      </c>
      <c r="Q14">
        <v>4</v>
      </c>
      <c r="R14">
        <v>18</v>
      </c>
    </row>
    <row r="15" spans="1:18" ht="14.5" thickBot="1">
      <c r="A15" s="586" t="s">
        <v>977</v>
      </c>
      <c r="B15" s="587" t="s">
        <v>974</v>
      </c>
      <c r="C15" s="588">
        <v>151</v>
      </c>
      <c r="D15" s="588">
        <v>0.2</v>
      </c>
      <c r="E15" s="588">
        <v>0.2</v>
      </c>
      <c r="F15" s="588">
        <v>3.6</v>
      </c>
      <c r="G15" s="596">
        <v>3.6</v>
      </c>
      <c r="H15" s="589">
        <v>-0.43</v>
      </c>
      <c r="I15" s="589">
        <v>0.02</v>
      </c>
      <c r="J15" s="589">
        <v>-2.77</v>
      </c>
      <c r="K15" s="590">
        <v>1.8</v>
      </c>
      <c r="L15" s="591" t="s">
        <v>975</v>
      </c>
      <c r="M15" s="590">
        <f t="shared" si="0"/>
        <v>10.199999999999999</v>
      </c>
      <c r="N15" s="589">
        <v>3.4</v>
      </c>
      <c r="O15" s="589">
        <f t="shared" si="1"/>
        <v>8.3999999999999986</v>
      </c>
      <c r="P15" t="str">
        <f t="shared" si="2"/>
        <v/>
      </c>
      <c r="Q15">
        <v>4</v>
      </c>
      <c r="R15">
        <v>18</v>
      </c>
    </row>
    <row r="16" spans="1:18" ht="14.5" thickBot="1">
      <c r="A16" s="586" t="s">
        <v>973</v>
      </c>
      <c r="B16" s="587" t="s">
        <v>666</v>
      </c>
      <c r="C16" s="588">
        <v>152</v>
      </c>
      <c r="D16" s="588">
        <v>0.2</v>
      </c>
      <c r="E16" s="588">
        <v>0.2</v>
      </c>
      <c r="F16" s="588">
        <v>2.7</v>
      </c>
      <c r="G16" s="596">
        <v>0</v>
      </c>
      <c r="H16" s="589">
        <v>0.86</v>
      </c>
      <c r="I16" s="589">
        <v>0.65</v>
      </c>
      <c r="J16" s="589">
        <v>-17.22</v>
      </c>
      <c r="K16" s="590">
        <v>2.9</v>
      </c>
      <c r="L16" s="591" t="s">
        <v>975</v>
      </c>
      <c r="M16" s="590">
        <f t="shared" si="0"/>
        <v>10.199999999999999</v>
      </c>
      <c r="N16" s="589">
        <v>3.4</v>
      </c>
      <c r="O16" s="589">
        <f t="shared" si="1"/>
        <v>7.2999999999999989</v>
      </c>
      <c r="P16" t="str">
        <f t="shared" si="2"/>
        <v/>
      </c>
      <c r="Q16">
        <v>4</v>
      </c>
      <c r="R16">
        <v>18</v>
      </c>
    </row>
    <row r="17" spans="1:18" ht="14.5" thickBot="1">
      <c r="A17" s="586" t="s">
        <v>973</v>
      </c>
      <c r="B17" s="587" t="s">
        <v>666</v>
      </c>
      <c r="C17" s="588">
        <v>152</v>
      </c>
      <c r="D17" s="588">
        <v>0.2</v>
      </c>
      <c r="E17" s="588">
        <v>0.2</v>
      </c>
      <c r="F17" s="588">
        <v>2.7</v>
      </c>
      <c r="G17" s="596">
        <v>2.7</v>
      </c>
      <c r="H17" s="589">
        <v>0.53</v>
      </c>
      <c r="I17" s="589">
        <v>0.6</v>
      </c>
      <c r="J17" s="589">
        <v>-17.22</v>
      </c>
      <c r="K17" s="590">
        <v>0.6</v>
      </c>
      <c r="L17" s="591" t="s">
        <v>975</v>
      </c>
      <c r="M17" s="590">
        <f t="shared" si="0"/>
        <v>10.199999999999999</v>
      </c>
      <c r="N17" s="589">
        <v>3.4</v>
      </c>
      <c r="O17" s="589">
        <f t="shared" si="1"/>
        <v>9.6</v>
      </c>
      <c r="P17" t="str">
        <f t="shared" si="2"/>
        <v/>
      </c>
      <c r="Q17">
        <v>4</v>
      </c>
      <c r="R17">
        <v>18</v>
      </c>
    </row>
    <row r="18" spans="1:18" ht="14.5" thickBot="1">
      <c r="A18" s="586" t="s">
        <v>973</v>
      </c>
      <c r="B18" s="587" t="s">
        <v>666</v>
      </c>
      <c r="C18" s="588">
        <v>152</v>
      </c>
      <c r="D18" s="588">
        <v>0.2</v>
      </c>
      <c r="E18" s="588">
        <v>0.2</v>
      </c>
      <c r="F18" s="588">
        <v>2.7</v>
      </c>
      <c r="G18" s="596">
        <v>0</v>
      </c>
      <c r="H18" s="589">
        <v>-0.63</v>
      </c>
      <c r="I18" s="589">
        <v>-0.64</v>
      </c>
      <c r="J18" s="589">
        <v>-36.75</v>
      </c>
      <c r="K18" s="590">
        <v>0.6</v>
      </c>
      <c r="L18" s="591" t="s">
        <v>975</v>
      </c>
      <c r="M18" s="590">
        <f t="shared" si="0"/>
        <v>10.199999999999999</v>
      </c>
      <c r="N18" s="589">
        <v>3.4</v>
      </c>
      <c r="O18" s="589">
        <f t="shared" si="1"/>
        <v>9.6</v>
      </c>
      <c r="P18" t="str">
        <f t="shared" si="2"/>
        <v/>
      </c>
      <c r="Q18">
        <v>4</v>
      </c>
      <c r="R18">
        <v>18</v>
      </c>
    </row>
    <row r="19" spans="1:18" ht="14.5" thickBot="1">
      <c r="A19" s="586" t="s">
        <v>973</v>
      </c>
      <c r="B19" s="587" t="s">
        <v>666</v>
      </c>
      <c r="C19" s="588">
        <v>152</v>
      </c>
      <c r="D19" s="588">
        <v>0.2</v>
      </c>
      <c r="E19" s="588">
        <v>0.2</v>
      </c>
      <c r="F19" s="588">
        <v>2.7</v>
      </c>
      <c r="G19" s="596">
        <v>2.7</v>
      </c>
      <c r="H19" s="589">
        <v>-0.87</v>
      </c>
      <c r="I19" s="589">
        <v>-0.62</v>
      </c>
      <c r="J19" s="589">
        <v>-36.75</v>
      </c>
      <c r="K19" s="590">
        <v>2.5</v>
      </c>
      <c r="L19" s="591" t="s">
        <v>975</v>
      </c>
      <c r="M19" s="590">
        <f t="shared" si="0"/>
        <v>10.199999999999999</v>
      </c>
      <c r="N19" s="589">
        <v>3.4</v>
      </c>
      <c r="O19" s="589">
        <f t="shared" si="1"/>
        <v>7.6999999999999993</v>
      </c>
      <c r="P19" t="str">
        <f t="shared" si="2"/>
        <v/>
      </c>
      <c r="Q19">
        <v>4</v>
      </c>
      <c r="R19">
        <v>18</v>
      </c>
    </row>
    <row r="20" spans="1:18" ht="14.5" thickBot="1">
      <c r="A20" s="586" t="s">
        <v>976</v>
      </c>
      <c r="B20" s="587" t="s">
        <v>666</v>
      </c>
      <c r="C20" s="588">
        <v>153</v>
      </c>
      <c r="D20" s="588">
        <v>0.2</v>
      </c>
      <c r="E20" s="588">
        <v>0.2</v>
      </c>
      <c r="F20" s="588">
        <v>3.6</v>
      </c>
      <c r="G20" s="596">
        <v>0</v>
      </c>
      <c r="H20" s="589">
        <v>1.26</v>
      </c>
      <c r="I20" s="589">
        <v>0.86</v>
      </c>
      <c r="J20" s="589">
        <v>-7.77</v>
      </c>
      <c r="K20" s="590">
        <v>14</v>
      </c>
      <c r="L20" s="591" t="s">
        <v>975</v>
      </c>
      <c r="M20" s="590">
        <f t="shared" si="0"/>
        <v>15.2</v>
      </c>
      <c r="N20" s="589">
        <v>3.4</v>
      </c>
      <c r="O20" s="589">
        <f t="shared" si="1"/>
        <v>1.1999999999999993</v>
      </c>
      <c r="P20" t="str">
        <f t="shared" si="2"/>
        <v/>
      </c>
      <c r="Q20">
        <v>4</v>
      </c>
      <c r="R20">
        <v>22</v>
      </c>
    </row>
    <row r="21" spans="1:18" ht="14.5" thickBot="1">
      <c r="A21" s="586" t="s">
        <v>976</v>
      </c>
      <c r="B21" s="587" t="s">
        <v>666</v>
      </c>
      <c r="C21" s="588">
        <v>153</v>
      </c>
      <c r="D21" s="588">
        <v>0.2</v>
      </c>
      <c r="E21" s="588">
        <v>0.2</v>
      </c>
      <c r="F21" s="588">
        <v>3.6</v>
      </c>
      <c r="G21" s="596">
        <v>3.6</v>
      </c>
      <c r="H21" s="589">
        <v>0.89</v>
      </c>
      <c r="I21" s="589">
        <v>0.83</v>
      </c>
      <c r="J21" s="589">
        <v>-7.77</v>
      </c>
      <c r="K21" s="590">
        <v>10.1</v>
      </c>
      <c r="L21" s="591" t="s">
        <v>975</v>
      </c>
      <c r="M21" s="590">
        <f t="shared" si="0"/>
        <v>10.199999999999999</v>
      </c>
      <c r="N21" s="589">
        <v>3.4</v>
      </c>
      <c r="O21" s="589">
        <f t="shared" si="1"/>
        <v>9.9999999999999645E-2</v>
      </c>
      <c r="P21" t="str">
        <f t="shared" si="2"/>
        <v/>
      </c>
      <c r="Q21">
        <v>4</v>
      </c>
      <c r="R21">
        <v>18</v>
      </c>
    </row>
    <row r="22" spans="1:18" ht="14.5" thickBot="1">
      <c r="A22" s="586" t="s">
        <v>976</v>
      </c>
      <c r="B22" s="587" t="s">
        <v>666</v>
      </c>
      <c r="C22" s="588">
        <v>153</v>
      </c>
      <c r="D22" s="588">
        <v>0.2</v>
      </c>
      <c r="E22" s="588">
        <v>0.2</v>
      </c>
      <c r="F22" s="588">
        <v>3.6</v>
      </c>
      <c r="G22" s="596">
        <v>0</v>
      </c>
      <c r="H22" s="589">
        <v>-0.88</v>
      </c>
      <c r="I22" s="589">
        <v>-0.83</v>
      </c>
      <c r="J22" s="589">
        <v>-22.74</v>
      </c>
      <c r="K22" s="590">
        <v>5.4</v>
      </c>
      <c r="L22" s="591" t="s">
        <v>975</v>
      </c>
      <c r="M22" s="590">
        <f t="shared" si="0"/>
        <v>10.199999999999999</v>
      </c>
      <c r="N22" s="589">
        <v>3.4</v>
      </c>
      <c r="O22" s="589">
        <f t="shared" si="1"/>
        <v>4.7999999999999989</v>
      </c>
      <c r="P22" t="str">
        <f t="shared" si="2"/>
        <v/>
      </c>
      <c r="Q22">
        <v>4</v>
      </c>
      <c r="R22">
        <v>18</v>
      </c>
    </row>
    <row r="23" spans="1:18" ht="14.5" thickBot="1">
      <c r="A23" s="586" t="s">
        <v>976</v>
      </c>
      <c r="B23" s="587" t="s">
        <v>666</v>
      </c>
      <c r="C23" s="588">
        <v>153</v>
      </c>
      <c r="D23" s="588">
        <v>0.2</v>
      </c>
      <c r="E23" s="588">
        <v>0.2</v>
      </c>
      <c r="F23" s="588">
        <v>3.6</v>
      </c>
      <c r="G23" s="596">
        <v>3.6</v>
      </c>
      <c r="H23" s="589">
        <v>-1.26</v>
      </c>
      <c r="I23" s="589">
        <v>-0.87</v>
      </c>
      <c r="J23" s="589">
        <v>-22.74</v>
      </c>
      <c r="K23" s="590">
        <v>10.3</v>
      </c>
      <c r="L23" s="591" t="s">
        <v>975</v>
      </c>
      <c r="M23" s="590">
        <f t="shared" si="0"/>
        <v>15.2</v>
      </c>
      <c r="N23" s="589">
        <v>3.4</v>
      </c>
      <c r="O23" s="589">
        <f t="shared" si="1"/>
        <v>4.8999999999999986</v>
      </c>
      <c r="P23" t="str">
        <f t="shared" si="2"/>
        <v/>
      </c>
      <c r="Q23">
        <v>4</v>
      </c>
      <c r="R23">
        <v>22</v>
      </c>
    </row>
    <row r="24" spans="1:18" ht="14.5" thickBot="1">
      <c r="A24" s="586" t="s">
        <v>977</v>
      </c>
      <c r="B24" s="587" t="s">
        <v>666</v>
      </c>
      <c r="C24" s="588">
        <v>154</v>
      </c>
      <c r="D24" s="588">
        <v>0.2</v>
      </c>
      <c r="E24" s="588">
        <v>0.2</v>
      </c>
      <c r="F24" s="588">
        <v>3.6</v>
      </c>
      <c r="G24" s="596">
        <v>0</v>
      </c>
      <c r="H24" s="589">
        <v>0.47</v>
      </c>
      <c r="I24" s="589">
        <v>0.37</v>
      </c>
      <c r="J24" s="589">
        <v>1.67</v>
      </c>
      <c r="K24" s="590">
        <v>6.1</v>
      </c>
      <c r="L24" s="591" t="s">
        <v>975</v>
      </c>
      <c r="M24" s="590">
        <f t="shared" si="0"/>
        <v>10.199999999999999</v>
      </c>
      <c r="N24" s="589">
        <v>3.4</v>
      </c>
      <c r="O24" s="589">
        <f t="shared" si="1"/>
        <v>4.0999999999999996</v>
      </c>
      <c r="P24" t="str">
        <f t="shared" si="2"/>
        <v/>
      </c>
      <c r="Q24">
        <v>4</v>
      </c>
      <c r="R24">
        <v>18</v>
      </c>
    </row>
    <row r="25" spans="1:18" ht="14.5" thickBot="1">
      <c r="A25" s="586" t="s">
        <v>977</v>
      </c>
      <c r="B25" s="587" t="s">
        <v>666</v>
      </c>
      <c r="C25" s="588">
        <v>154</v>
      </c>
      <c r="D25" s="588">
        <v>0.2</v>
      </c>
      <c r="E25" s="588">
        <v>0.2</v>
      </c>
      <c r="F25" s="588">
        <v>3.6</v>
      </c>
      <c r="G25" s="596">
        <v>3.6</v>
      </c>
      <c r="H25" s="589">
        <v>0.35</v>
      </c>
      <c r="I25" s="589">
        <v>0.3</v>
      </c>
      <c r="J25" s="589">
        <v>1.67</v>
      </c>
      <c r="K25" s="590">
        <v>4.4000000000000004</v>
      </c>
      <c r="L25" s="591" t="s">
        <v>975</v>
      </c>
      <c r="M25" s="590">
        <f t="shared" si="0"/>
        <v>10.199999999999999</v>
      </c>
      <c r="N25" s="589">
        <v>3.4</v>
      </c>
      <c r="O25" s="589">
        <f t="shared" si="1"/>
        <v>5.7999999999999989</v>
      </c>
      <c r="P25" t="str">
        <f t="shared" si="2"/>
        <v/>
      </c>
      <c r="Q25">
        <v>4</v>
      </c>
      <c r="R25">
        <v>18</v>
      </c>
    </row>
    <row r="26" spans="1:18" ht="14.5" thickBot="1">
      <c r="A26" s="586" t="s">
        <v>977</v>
      </c>
      <c r="B26" s="587" t="s">
        <v>666</v>
      </c>
      <c r="C26" s="588">
        <v>154</v>
      </c>
      <c r="D26" s="588">
        <v>0.2</v>
      </c>
      <c r="E26" s="588">
        <v>0.2</v>
      </c>
      <c r="F26" s="589">
        <v>3.6</v>
      </c>
      <c r="G26" s="596">
        <v>0</v>
      </c>
      <c r="H26" s="589">
        <v>-0.26</v>
      </c>
      <c r="I26" s="589">
        <v>-0.28000000000000003</v>
      </c>
      <c r="J26" s="589">
        <v>-9.09</v>
      </c>
      <c r="K26" s="590">
        <v>0.6</v>
      </c>
      <c r="L26" s="591" t="s">
        <v>975</v>
      </c>
      <c r="M26" s="590">
        <f t="shared" si="0"/>
        <v>10.199999999999999</v>
      </c>
      <c r="N26" s="589">
        <v>3.4</v>
      </c>
      <c r="O26" s="589">
        <f t="shared" si="1"/>
        <v>9.6</v>
      </c>
      <c r="P26" t="str">
        <f t="shared" si="2"/>
        <v/>
      </c>
      <c r="Q26">
        <v>4</v>
      </c>
      <c r="R26">
        <v>18</v>
      </c>
    </row>
    <row r="27" spans="1:18" ht="14.5" thickBot="1">
      <c r="A27" s="586" t="s">
        <v>977</v>
      </c>
      <c r="B27" s="587" t="s">
        <v>666</v>
      </c>
      <c r="C27" s="588">
        <v>154</v>
      </c>
      <c r="D27" s="588">
        <v>0.2</v>
      </c>
      <c r="E27" s="588">
        <v>0.2</v>
      </c>
      <c r="F27" s="589">
        <v>3.6</v>
      </c>
      <c r="G27" s="596">
        <v>3.6</v>
      </c>
      <c r="H27" s="589">
        <v>-0.44</v>
      </c>
      <c r="I27" s="589">
        <v>-0.38</v>
      </c>
      <c r="J27" s="589">
        <v>-9.09</v>
      </c>
      <c r="K27" s="590">
        <v>1</v>
      </c>
      <c r="L27" s="591" t="s">
        <v>975</v>
      </c>
      <c r="M27" s="590">
        <f t="shared" si="0"/>
        <v>10.199999999999999</v>
      </c>
      <c r="N27" s="589">
        <v>3.4</v>
      </c>
      <c r="O27" s="589">
        <f t="shared" si="1"/>
        <v>9.1999999999999993</v>
      </c>
      <c r="P27" t="str">
        <f t="shared" si="2"/>
        <v/>
      </c>
      <c r="Q27">
        <v>4</v>
      </c>
      <c r="R27">
        <v>18</v>
      </c>
    </row>
    <row r="28" spans="1:18" ht="14.5" thickBot="1">
      <c r="A28" s="586" t="s">
        <v>973</v>
      </c>
      <c r="B28" s="587" t="s">
        <v>978</v>
      </c>
      <c r="C28" s="588">
        <v>155</v>
      </c>
      <c r="D28" s="588">
        <v>0.2</v>
      </c>
      <c r="E28" s="588">
        <v>0.2</v>
      </c>
      <c r="F28" s="589">
        <v>2.7</v>
      </c>
      <c r="G28" s="596">
        <v>0</v>
      </c>
      <c r="H28" s="589">
        <v>0.84</v>
      </c>
      <c r="I28" s="589">
        <v>0.53</v>
      </c>
      <c r="J28" s="589">
        <v>-15.15</v>
      </c>
      <c r="K28" s="590">
        <v>2.6</v>
      </c>
      <c r="L28" s="591" t="s">
        <v>975</v>
      </c>
      <c r="M28" s="590">
        <f t="shared" si="0"/>
        <v>10.199999999999999</v>
      </c>
      <c r="N28" s="589">
        <v>3.4</v>
      </c>
      <c r="O28" s="589">
        <f t="shared" si="1"/>
        <v>7.6</v>
      </c>
      <c r="P28" t="str">
        <f t="shared" si="2"/>
        <v/>
      </c>
      <c r="Q28">
        <v>4</v>
      </c>
      <c r="R28">
        <v>18</v>
      </c>
    </row>
    <row r="29" spans="1:18" ht="14.5" thickBot="1">
      <c r="A29" s="586" t="s">
        <v>973</v>
      </c>
      <c r="B29" s="587" t="s">
        <v>978</v>
      </c>
      <c r="C29" s="588">
        <v>155</v>
      </c>
      <c r="D29" s="588">
        <v>0.2</v>
      </c>
      <c r="E29" s="588">
        <v>0.2</v>
      </c>
      <c r="F29" s="589">
        <v>2.7</v>
      </c>
      <c r="G29" s="596">
        <v>2.7</v>
      </c>
      <c r="H29" s="589">
        <v>0.39</v>
      </c>
      <c r="I29" s="589">
        <v>0.82</v>
      </c>
      <c r="J29" s="589">
        <v>-15.15</v>
      </c>
      <c r="K29" s="590">
        <v>1.3</v>
      </c>
      <c r="L29" s="591" t="s">
        <v>975</v>
      </c>
      <c r="M29" s="590">
        <f t="shared" si="0"/>
        <v>10.199999999999999</v>
      </c>
      <c r="N29" s="589">
        <v>3.4</v>
      </c>
      <c r="O29" s="589">
        <f t="shared" si="1"/>
        <v>8.8999999999999986</v>
      </c>
      <c r="P29" t="str">
        <f t="shared" si="2"/>
        <v/>
      </c>
      <c r="Q29">
        <v>4</v>
      </c>
      <c r="R29">
        <v>18</v>
      </c>
    </row>
    <row r="30" spans="1:18" ht="14.5" thickBot="1">
      <c r="A30" s="586" t="s">
        <v>973</v>
      </c>
      <c r="B30" s="587" t="s">
        <v>978</v>
      </c>
      <c r="C30" s="588">
        <v>155</v>
      </c>
      <c r="D30" s="588">
        <v>0.2</v>
      </c>
      <c r="E30" s="588">
        <v>0.2</v>
      </c>
      <c r="F30" s="589">
        <v>2.7</v>
      </c>
      <c r="G30" s="595">
        <v>0</v>
      </c>
      <c r="H30" s="588">
        <v>-0.69</v>
      </c>
      <c r="I30" s="588">
        <v>-0.75</v>
      </c>
      <c r="J30" s="589">
        <v>-23.87</v>
      </c>
      <c r="K30" s="590">
        <v>0.6</v>
      </c>
      <c r="L30" s="591" t="s">
        <v>975</v>
      </c>
      <c r="M30" s="590">
        <f t="shared" si="0"/>
        <v>10.199999999999999</v>
      </c>
      <c r="N30" s="589">
        <v>3.4</v>
      </c>
      <c r="O30" s="589">
        <f t="shared" si="1"/>
        <v>9.6</v>
      </c>
      <c r="P30" t="str">
        <f t="shared" si="2"/>
        <v/>
      </c>
      <c r="Q30">
        <v>4</v>
      </c>
      <c r="R30">
        <v>18</v>
      </c>
    </row>
    <row r="31" spans="1:18" ht="14.5" thickBot="1">
      <c r="A31" s="586" t="s">
        <v>973</v>
      </c>
      <c r="B31" s="587" t="s">
        <v>978</v>
      </c>
      <c r="C31" s="588">
        <v>155</v>
      </c>
      <c r="D31" s="588">
        <v>0.2</v>
      </c>
      <c r="E31" s="588">
        <v>0.2</v>
      </c>
      <c r="F31" s="589">
        <v>2.7</v>
      </c>
      <c r="G31" s="595">
        <v>2.7</v>
      </c>
      <c r="H31" s="588">
        <v>-0.5</v>
      </c>
      <c r="I31" s="588">
        <v>-0.37</v>
      </c>
      <c r="J31" s="589">
        <v>-23.87</v>
      </c>
      <c r="K31" s="590">
        <v>0.6</v>
      </c>
      <c r="L31" s="591" t="s">
        <v>975</v>
      </c>
      <c r="M31" s="590">
        <f t="shared" si="0"/>
        <v>10.199999999999999</v>
      </c>
      <c r="N31" s="589">
        <v>3.4</v>
      </c>
      <c r="O31" s="589">
        <f t="shared" si="1"/>
        <v>9.6</v>
      </c>
      <c r="P31" t="str">
        <f t="shared" si="2"/>
        <v/>
      </c>
      <c r="Q31">
        <v>4</v>
      </c>
      <c r="R31">
        <v>18</v>
      </c>
    </row>
    <row r="32" spans="1:18" ht="14.5" thickBot="1">
      <c r="A32" s="586" t="s">
        <v>976</v>
      </c>
      <c r="B32" s="587" t="s">
        <v>978</v>
      </c>
      <c r="C32" s="588">
        <v>156</v>
      </c>
      <c r="D32" s="588">
        <v>0.2</v>
      </c>
      <c r="E32" s="588">
        <v>0.2</v>
      </c>
      <c r="F32" s="589">
        <v>3.6</v>
      </c>
      <c r="G32" s="595">
        <v>0</v>
      </c>
      <c r="H32" s="588">
        <v>1.29</v>
      </c>
      <c r="I32" s="588">
        <v>0.56000000000000005</v>
      </c>
      <c r="J32" s="589">
        <v>-7.29</v>
      </c>
      <c r="K32" s="590">
        <v>12</v>
      </c>
      <c r="L32" s="591" t="s">
        <v>975</v>
      </c>
      <c r="M32" s="590">
        <f t="shared" si="0"/>
        <v>12.6</v>
      </c>
      <c r="N32" s="589">
        <v>3.4</v>
      </c>
      <c r="O32" s="589">
        <f t="shared" si="1"/>
        <v>0.59999999999999964</v>
      </c>
      <c r="P32" t="str">
        <f t="shared" si="2"/>
        <v/>
      </c>
      <c r="Q32">
        <v>4</v>
      </c>
      <c r="R32">
        <v>20</v>
      </c>
    </row>
    <row r="33" spans="1:18" ht="14.5" thickBot="1">
      <c r="A33" s="586" t="s">
        <v>976</v>
      </c>
      <c r="B33" s="587" t="s">
        <v>978</v>
      </c>
      <c r="C33" s="588">
        <v>156</v>
      </c>
      <c r="D33" s="588">
        <v>0.2</v>
      </c>
      <c r="E33" s="588">
        <v>0.2</v>
      </c>
      <c r="F33" s="589">
        <v>3.6</v>
      </c>
      <c r="G33" s="595">
        <v>3.6</v>
      </c>
      <c r="H33" s="588">
        <v>0.65</v>
      </c>
      <c r="I33" s="588">
        <v>1.1100000000000001</v>
      </c>
      <c r="J33" s="589">
        <v>-7.29</v>
      </c>
      <c r="K33" s="590">
        <v>10.9</v>
      </c>
      <c r="L33" s="591" t="s">
        <v>975</v>
      </c>
      <c r="M33" s="590">
        <f t="shared" si="0"/>
        <v>12.6</v>
      </c>
      <c r="N33" s="589">
        <v>3.4</v>
      </c>
      <c r="O33" s="589">
        <f t="shared" si="1"/>
        <v>1.6999999999999993</v>
      </c>
      <c r="P33" t="str">
        <f t="shared" si="2"/>
        <v/>
      </c>
      <c r="Q33">
        <v>4</v>
      </c>
      <c r="R33">
        <v>20</v>
      </c>
    </row>
    <row r="34" spans="1:18" ht="14.5" thickBot="1">
      <c r="A34" s="586" t="s">
        <v>976</v>
      </c>
      <c r="B34" s="587" t="s">
        <v>978</v>
      </c>
      <c r="C34" s="588">
        <v>156</v>
      </c>
      <c r="D34" s="588">
        <v>0.2</v>
      </c>
      <c r="E34" s="588">
        <v>0.2</v>
      </c>
      <c r="F34" s="589">
        <v>3.6</v>
      </c>
      <c r="G34" s="595">
        <v>0</v>
      </c>
      <c r="H34" s="588">
        <v>-1.1200000000000001</v>
      </c>
      <c r="I34" s="588">
        <v>-1.1000000000000001</v>
      </c>
      <c r="J34" s="589">
        <v>-12.24</v>
      </c>
      <c r="K34" s="590">
        <v>12.7</v>
      </c>
      <c r="L34" s="591" t="s">
        <v>975</v>
      </c>
      <c r="M34" s="590">
        <f t="shared" si="0"/>
        <v>15.2</v>
      </c>
      <c r="N34" s="589">
        <v>3.4</v>
      </c>
      <c r="O34" s="589">
        <f t="shared" si="1"/>
        <v>2.5</v>
      </c>
      <c r="P34" t="str">
        <f t="shared" si="2"/>
        <v/>
      </c>
      <c r="Q34">
        <v>4</v>
      </c>
      <c r="R34">
        <v>22</v>
      </c>
    </row>
    <row r="35" spans="1:18" ht="14.5" thickBot="1">
      <c r="A35" s="586" t="s">
        <v>976</v>
      </c>
      <c r="B35" s="587" t="s">
        <v>978</v>
      </c>
      <c r="C35" s="588">
        <v>156</v>
      </c>
      <c r="D35" s="588">
        <v>0.2</v>
      </c>
      <c r="E35" s="588">
        <v>0.2</v>
      </c>
      <c r="F35" s="589">
        <v>3.6</v>
      </c>
      <c r="G35" s="595">
        <v>3.6</v>
      </c>
      <c r="H35" s="588">
        <v>-0.72</v>
      </c>
      <c r="I35" s="588">
        <v>-0.55000000000000004</v>
      </c>
      <c r="J35" s="589">
        <v>-12.24</v>
      </c>
      <c r="K35" s="590">
        <v>3.7</v>
      </c>
      <c r="L35" s="591" t="s">
        <v>975</v>
      </c>
      <c r="M35" s="590">
        <f t="shared" si="0"/>
        <v>10.199999999999999</v>
      </c>
      <c r="N35" s="589">
        <v>3.4</v>
      </c>
      <c r="O35" s="589">
        <f t="shared" si="1"/>
        <v>6.4999999999999991</v>
      </c>
      <c r="P35" t="str">
        <f t="shared" si="2"/>
        <v/>
      </c>
      <c r="Q35">
        <v>4</v>
      </c>
      <c r="R35">
        <v>18</v>
      </c>
    </row>
    <row r="36" spans="1:18" ht="14.5" thickBot="1">
      <c r="A36" s="586" t="s">
        <v>977</v>
      </c>
      <c r="B36" s="587" t="s">
        <v>978</v>
      </c>
      <c r="C36" s="588">
        <v>157</v>
      </c>
      <c r="D36" s="588">
        <v>0.2</v>
      </c>
      <c r="E36" s="588">
        <v>0.2</v>
      </c>
      <c r="F36" s="589">
        <v>3.6</v>
      </c>
      <c r="G36" s="595">
        <v>0</v>
      </c>
      <c r="H36" s="588">
        <v>0.65</v>
      </c>
      <c r="I36" s="588">
        <v>0.12</v>
      </c>
      <c r="J36" s="589">
        <v>0.34</v>
      </c>
      <c r="K36" s="590">
        <v>6.6</v>
      </c>
      <c r="L36" s="591" t="s">
        <v>975</v>
      </c>
      <c r="M36" s="590">
        <f t="shared" si="0"/>
        <v>10.199999999999999</v>
      </c>
      <c r="N36" s="589">
        <v>3.4</v>
      </c>
      <c r="O36" s="589">
        <f t="shared" si="1"/>
        <v>3.5999999999999996</v>
      </c>
      <c r="P36" t="str">
        <f t="shared" si="2"/>
        <v/>
      </c>
      <c r="Q36">
        <v>4</v>
      </c>
      <c r="R36">
        <v>18</v>
      </c>
    </row>
    <row r="37" spans="1:18" ht="14.5" thickBot="1">
      <c r="A37" s="586" t="s">
        <v>977</v>
      </c>
      <c r="B37" s="587" t="s">
        <v>978</v>
      </c>
      <c r="C37" s="588">
        <v>157</v>
      </c>
      <c r="D37" s="588">
        <v>0.2</v>
      </c>
      <c r="E37" s="588">
        <v>0.2</v>
      </c>
      <c r="F37" s="589">
        <v>3.6</v>
      </c>
      <c r="G37" s="595">
        <v>3.6</v>
      </c>
      <c r="H37" s="588">
        <v>0.26</v>
      </c>
      <c r="I37" s="588">
        <v>0.38</v>
      </c>
      <c r="J37" s="589">
        <v>0.34</v>
      </c>
      <c r="K37" s="590">
        <v>5.4</v>
      </c>
      <c r="L37" s="591" t="s">
        <v>975</v>
      </c>
      <c r="M37" s="590">
        <f t="shared" si="0"/>
        <v>10.199999999999999</v>
      </c>
      <c r="N37" s="589">
        <v>3.4</v>
      </c>
      <c r="O37" s="589">
        <f t="shared" si="1"/>
        <v>4.7999999999999989</v>
      </c>
      <c r="P37" t="str">
        <f t="shared" si="2"/>
        <v/>
      </c>
      <c r="Q37">
        <v>4</v>
      </c>
      <c r="R37">
        <v>18</v>
      </c>
    </row>
    <row r="38" spans="1:18" ht="14.5" thickBot="1">
      <c r="A38" s="586" t="s">
        <v>977</v>
      </c>
      <c r="B38" s="587" t="s">
        <v>978</v>
      </c>
      <c r="C38" s="588">
        <v>157</v>
      </c>
      <c r="D38" s="588">
        <v>0.2</v>
      </c>
      <c r="E38" s="588">
        <v>0.2</v>
      </c>
      <c r="F38" s="589">
        <v>3.6</v>
      </c>
      <c r="G38" s="595">
        <v>0</v>
      </c>
      <c r="H38" s="588">
        <v>-0.22</v>
      </c>
      <c r="I38" s="588">
        <v>-0.46</v>
      </c>
      <c r="J38" s="589">
        <v>-0.48</v>
      </c>
      <c r="K38" s="590">
        <v>5.7</v>
      </c>
      <c r="L38" s="591" t="s">
        <v>975</v>
      </c>
      <c r="M38" s="590">
        <f t="shared" si="0"/>
        <v>10.199999999999999</v>
      </c>
      <c r="N38" s="589">
        <v>3.4</v>
      </c>
      <c r="O38" s="589">
        <f t="shared" si="1"/>
        <v>4.4999999999999991</v>
      </c>
      <c r="P38" t="str">
        <f t="shared" si="2"/>
        <v/>
      </c>
      <c r="Q38">
        <v>4</v>
      </c>
      <c r="R38">
        <v>18</v>
      </c>
    </row>
    <row r="39" spans="1:18" ht="14.5" thickBot="1">
      <c r="A39" s="586" t="s">
        <v>977</v>
      </c>
      <c r="B39" s="587" t="s">
        <v>978</v>
      </c>
      <c r="C39" s="588">
        <v>157</v>
      </c>
      <c r="D39" s="588">
        <v>0.2</v>
      </c>
      <c r="E39" s="588">
        <v>0.2</v>
      </c>
      <c r="F39" s="589">
        <v>3.6</v>
      </c>
      <c r="G39" s="595">
        <v>3.6</v>
      </c>
      <c r="H39" s="588">
        <v>-0.09</v>
      </c>
      <c r="I39" s="588">
        <v>-0.27</v>
      </c>
      <c r="J39" s="589">
        <v>-0.48</v>
      </c>
      <c r="K39" s="590">
        <v>2.8</v>
      </c>
      <c r="L39" s="591" t="s">
        <v>975</v>
      </c>
      <c r="M39" s="590">
        <f t="shared" si="0"/>
        <v>10.199999999999999</v>
      </c>
      <c r="N39" s="589">
        <v>3.4</v>
      </c>
      <c r="O39" s="589">
        <f t="shared" si="1"/>
        <v>7.3999999999999995</v>
      </c>
      <c r="P39" t="str">
        <f t="shared" si="2"/>
        <v/>
      </c>
      <c r="Q39">
        <v>4</v>
      </c>
      <c r="R39">
        <v>18</v>
      </c>
    </row>
    <row r="40" spans="1:18" ht="14.5" thickBot="1">
      <c r="A40" s="586" t="s">
        <v>973</v>
      </c>
      <c r="B40" s="587" t="s">
        <v>979</v>
      </c>
      <c r="C40" s="588">
        <v>158</v>
      </c>
      <c r="D40" s="588">
        <v>0.2</v>
      </c>
      <c r="E40" s="588">
        <v>0.2</v>
      </c>
      <c r="F40" s="589">
        <v>2.7</v>
      </c>
      <c r="G40" s="595">
        <v>0</v>
      </c>
      <c r="H40" s="588">
        <v>1.1200000000000001</v>
      </c>
      <c r="I40" s="588">
        <v>0.71</v>
      </c>
      <c r="J40" s="589">
        <v>-17.97</v>
      </c>
      <c r="K40" s="590">
        <v>5.8</v>
      </c>
      <c r="L40" s="591" t="s">
        <v>975</v>
      </c>
      <c r="M40" s="590">
        <f t="shared" si="0"/>
        <v>10.199999999999999</v>
      </c>
      <c r="N40" s="589">
        <v>3.4</v>
      </c>
      <c r="O40" s="589">
        <f t="shared" si="1"/>
        <v>4.3999999999999995</v>
      </c>
      <c r="P40" t="str">
        <f t="shared" si="2"/>
        <v/>
      </c>
      <c r="Q40">
        <v>4</v>
      </c>
      <c r="R40">
        <v>18</v>
      </c>
    </row>
    <row r="41" spans="1:18" ht="14.5" thickBot="1">
      <c r="A41" s="586" t="s">
        <v>973</v>
      </c>
      <c r="B41" s="587" t="s">
        <v>979</v>
      </c>
      <c r="C41" s="588">
        <v>158</v>
      </c>
      <c r="D41" s="588">
        <v>0.2</v>
      </c>
      <c r="E41" s="588">
        <v>0.2</v>
      </c>
      <c r="F41" s="589">
        <v>2.7</v>
      </c>
      <c r="G41" s="595">
        <v>2.7</v>
      </c>
      <c r="H41" s="588">
        <v>0.97</v>
      </c>
      <c r="I41" s="588">
        <v>0.32</v>
      </c>
      <c r="J41" s="589">
        <v>-17.97</v>
      </c>
      <c r="K41" s="590">
        <v>1.3</v>
      </c>
      <c r="L41" s="591" t="s">
        <v>975</v>
      </c>
      <c r="M41" s="590">
        <f t="shared" si="0"/>
        <v>10.199999999999999</v>
      </c>
      <c r="N41" s="589">
        <v>3.4</v>
      </c>
      <c r="O41" s="589">
        <f t="shared" si="1"/>
        <v>8.8999999999999986</v>
      </c>
      <c r="P41" t="str">
        <f t="shared" si="2"/>
        <v/>
      </c>
      <c r="Q41">
        <v>4</v>
      </c>
      <c r="R41">
        <v>18</v>
      </c>
    </row>
    <row r="42" spans="1:18" ht="14.5" thickBot="1">
      <c r="A42" s="586" t="s">
        <v>973</v>
      </c>
      <c r="B42" s="587" t="s">
        <v>979</v>
      </c>
      <c r="C42" s="588">
        <v>158</v>
      </c>
      <c r="D42" s="588">
        <v>0.2</v>
      </c>
      <c r="E42" s="588">
        <v>0.2</v>
      </c>
      <c r="F42" s="589">
        <v>2.7</v>
      </c>
      <c r="G42" s="595">
        <v>0</v>
      </c>
      <c r="H42" s="588">
        <v>-0.97</v>
      </c>
      <c r="I42" s="588">
        <v>-0.5</v>
      </c>
      <c r="J42" s="589">
        <v>-34.03</v>
      </c>
      <c r="K42" s="590">
        <v>3.4</v>
      </c>
      <c r="L42" s="591" t="s">
        <v>975</v>
      </c>
      <c r="M42" s="590">
        <f t="shared" si="0"/>
        <v>10.199999999999999</v>
      </c>
      <c r="N42" s="589">
        <v>3.4</v>
      </c>
      <c r="O42" s="589">
        <f t="shared" si="1"/>
        <v>6.7999999999999989</v>
      </c>
      <c r="P42" t="str">
        <f t="shared" si="2"/>
        <v/>
      </c>
      <c r="Q42">
        <v>4</v>
      </c>
      <c r="R42">
        <v>18</v>
      </c>
    </row>
    <row r="43" spans="1:18" ht="14.5" thickBot="1">
      <c r="A43" s="586" t="s">
        <v>973</v>
      </c>
      <c r="B43" s="587" t="s">
        <v>979</v>
      </c>
      <c r="C43" s="588">
        <v>158</v>
      </c>
      <c r="D43" s="588">
        <v>0.2</v>
      </c>
      <c r="E43" s="588">
        <v>0.2</v>
      </c>
      <c r="F43" s="589">
        <v>2.7</v>
      </c>
      <c r="G43" s="595">
        <v>2.7</v>
      </c>
      <c r="H43" s="588">
        <v>-1.08</v>
      </c>
      <c r="I43" s="588">
        <v>-0.77</v>
      </c>
      <c r="J43" s="589">
        <v>-34.03</v>
      </c>
      <c r="K43" s="590">
        <v>6</v>
      </c>
      <c r="L43" s="591" t="s">
        <v>975</v>
      </c>
      <c r="M43" s="590">
        <f t="shared" si="0"/>
        <v>10.199999999999999</v>
      </c>
      <c r="N43" s="589">
        <v>3.4</v>
      </c>
      <c r="O43" s="589">
        <f t="shared" si="1"/>
        <v>4.1999999999999993</v>
      </c>
      <c r="P43" t="str">
        <f t="shared" si="2"/>
        <v/>
      </c>
      <c r="Q43">
        <v>4</v>
      </c>
      <c r="R43">
        <v>18</v>
      </c>
    </row>
    <row r="44" spans="1:18" ht="14.5" thickBot="1">
      <c r="A44" s="586" t="s">
        <v>976</v>
      </c>
      <c r="B44" s="587" t="s">
        <v>979</v>
      </c>
      <c r="C44" s="588">
        <v>159</v>
      </c>
      <c r="D44" s="588">
        <v>0.2</v>
      </c>
      <c r="E44" s="588">
        <v>0.2</v>
      </c>
      <c r="F44" s="588">
        <v>3.6</v>
      </c>
      <c r="G44" s="596">
        <v>0</v>
      </c>
      <c r="H44" s="589">
        <v>-0.88</v>
      </c>
      <c r="I44" s="589">
        <v>-0.83</v>
      </c>
      <c r="J44" s="589">
        <v>-22.74</v>
      </c>
      <c r="K44" s="590">
        <v>5.4</v>
      </c>
      <c r="L44" s="591" t="s">
        <v>975</v>
      </c>
      <c r="M44" s="590">
        <f t="shared" si="0"/>
        <v>10.199999999999999</v>
      </c>
      <c r="N44" s="589">
        <v>3.4</v>
      </c>
      <c r="O44" s="589">
        <f t="shared" si="1"/>
        <v>4.7999999999999989</v>
      </c>
      <c r="P44" t="str">
        <f t="shared" si="2"/>
        <v/>
      </c>
      <c r="Q44">
        <v>4</v>
      </c>
      <c r="R44">
        <v>18</v>
      </c>
    </row>
    <row r="45" spans="1:18" ht="14.5" thickBot="1">
      <c r="A45" s="586" t="s">
        <v>976</v>
      </c>
      <c r="B45" s="587" t="s">
        <v>979</v>
      </c>
      <c r="C45" s="588">
        <v>159</v>
      </c>
      <c r="D45" s="588">
        <v>0.2</v>
      </c>
      <c r="E45" s="588">
        <v>0.2</v>
      </c>
      <c r="F45" s="588">
        <v>3.6</v>
      </c>
      <c r="G45" s="595">
        <v>3.6</v>
      </c>
      <c r="H45" s="588">
        <v>0.9</v>
      </c>
      <c r="I45" s="589">
        <v>0.53</v>
      </c>
      <c r="J45" s="589">
        <v>-10.199999999999999</v>
      </c>
      <c r="K45" s="590">
        <v>6.3</v>
      </c>
      <c r="L45" s="591" t="s">
        <v>975</v>
      </c>
      <c r="M45" s="590">
        <f t="shared" si="0"/>
        <v>10.199999999999999</v>
      </c>
      <c r="N45" s="589">
        <v>3.4</v>
      </c>
      <c r="O45" s="589">
        <f t="shared" si="1"/>
        <v>3.8999999999999995</v>
      </c>
      <c r="P45" t="str">
        <f t="shared" si="2"/>
        <v/>
      </c>
      <c r="Q45">
        <v>4</v>
      </c>
      <c r="R45">
        <v>18</v>
      </c>
    </row>
    <row r="46" spans="1:18" ht="14.5" thickBot="1">
      <c r="A46" s="586" t="s">
        <v>976</v>
      </c>
      <c r="B46" s="587" t="s">
        <v>979</v>
      </c>
      <c r="C46" s="588">
        <v>159</v>
      </c>
      <c r="D46" s="588">
        <v>0.2</v>
      </c>
      <c r="E46" s="588">
        <v>0.2</v>
      </c>
      <c r="F46" s="588">
        <v>3.6</v>
      </c>
      <c r="G46" s="595">
        <v>0</v>
      </c>
      <c r="H46" s="588">
        <v>-1.59</v>
      </c>
      <c r="I46" s="589">
        <v>-0.53</v>
      </c>
      <c r="J46" s="589">
        <v>-17.7</v>
      </c>
      <c r="K46" s="590">
        <v>11.6</v>
      </c>
      <c r="L46" s="591" t="s">
        <v>975</v>
      </c>
      <c r="M46" s="590">
        <f t="shared" si="0"/>
        <v>12.6</v>
      </c>
      <c r="N46" s="589">
        <v>3.4</v>
      </c>
      <c r="O46" s="589">
        <f t="shared" si="1"/>
        <v>1</v>
      </c>
      <c r="P46" t="str">
        <f t="shared" si="2"/>
        <v/>
      </c>
      <c r="Q46">
        <v>4</v>
      </c>
      <c r="R46">
        <v>20</v>
      </c>
    </row>
    <row r="47" spans="1:18" ht="14.5" thickBot="1">
      <c r="A47" s="586" t="s">
        <v>976</v>
      </c>
      <c r="B47" s="587" t="s">
        <v>979</v>
      </c>
      <c r="C47" s="588">
        <v>159</v>
      </c>
      <c r="D47" s="588">
        <v>0.2</v>
      </c>
      <c r="E47" s="588">
        <v>0.2</v>
      </c>
      <c r="F47" s="588">
        <v>3.6</v>
      </c>
      <c r="G47" s="595">
        <v>3.6</v>
      </c>
      <c r="H47" s="588">
        <v>-1.23</v>
      </c>
      <c r="I47" s="589">
        <v>-1.0900000000000001</v>
      </c>
      <c r="J47" s="589">
        <v>-17.7</v>
      </c>
      <c r="K47" s="590">
        <v>12.3</v>
      </c>
      <c r="L47" s="591" t="s">
        <v>975</v>
      </c>
      <c r="M47" s="590">
        <f t="shared" si="0"/>
        <v>12.6</v>
      </c>
      <c r="N47" s="589">
        <v>3.4</v>
      </c>
      <c r="O47" s="589">
        <f t="shared" si="1"/>
        <v>0.29999999999999893</v>
      </c>
      <c r="P47" t="str">
        <f t="shared" si="2"/>
        <v/>
      </c>
      <c r="Q47">
        <v>4</v>
      </c>
      <c r="R47">
        <v>20</v>
      </c>
    </row>
    <row r="48" spans="1:18" ht="14.5" thickBot="1">
      <c r="A48" s="586" t="s">
        <v>977</v>
      </c>
      <c r="B48" s="587" t="s">
        <v>979</v>
      </c>
      <c r="C48" s="588">
        <v>160</v>
      </c>
      <c r="D48" s="588">
        <v>0.2</v>
      </c>
      <c r="E48" s="588">
        <v>0.2</v>
      </c>
      <c r="F48" s="588">
        <v>3.6</v>
      </c>
      <c r="G48" s="595">
        <v>0</v>
      </c>
      <c r="H48" s="588">
        <v>0.95</v>
      </c>
      <c r="I48" s="589">
        <v>0.47</v>
      </c>
      <c r="J48" s="589">
        <v>1.17</v>
      </c>
      <c r="K48" s="590">
        <v>11.8</v>
      </c>
      <c r="L48" s="591" t="s">
        <v>975</v>
      </c>
      <c r="M48" s="590">
        <f t="shared" si="0"/>
        <v>12.6</v>
      </c>
      <c r="N48" s="589">
        <v>3.4</v>
      </c>
      <c r="O48" s="589">
        <f t="shared" si="1"/>
        <v>0.79999999999999893</v>
      </c>
      <c r="P48" t="str">
        <f t="shared" si="2"/>
        <v/>
      </c>
      <c r="Q48">
        <v>4</v>
      </c>
      <c r="R48">
        <v>20</v>
      </c>
    </row>
    <row r="49" spans="1:18" ht="14.5" thickBot="1">
      <c r="A49" s="586" t="s">
        <v>977</v>
      </c>
      <c r="B49" s="587" t="s">
        <v>979</v>
      </c>
      <c r="C49" s="588">
        <v>160</v>
      </c>
      <c r="D49" s="588">
        <v>0.2</v>
      </c>
      <c r="E49" s="588">
        <v>0.2</v>
      </c>
      <c r="F49" s="588">
        <v>3.6</v>
      </c>
      <c r="G49" s="595">
        <v>3.6</v>
      </c>
      <c r="H49" s="588">
        <v>0.2</v>
      </c>
      <c r="I49" s="589">
        <v>0.21</v>
      </c>
      <c r="J49" s="589">
        <v>1.17</v>
      </c>
      <c r="K49" s="590">
        <v>2.7</v>
      </c>
      <c r="L49" s="591" t="s">
        <v>975</v>
      </c>
      <c r="M49" s="590">
        <f t="shared" si="0"/>
        <v>10.199999999999999</v>
      </c>
      <c r="N49" s="589">
        <v>3.4</v>
      </c>
      <c r="O49" s="589">
        <f t="shared" si="1"/>
        <v>7.4999999999999991</v>
      </c>
      <c r="P49" t="str">
        <f t="shared" si="2"/>
        <v/>
      </c>
      <c r="Q49">
        <v>4</v>
      </c>
      <c r="R49">
        <v>18</v>
      </c>
    </row>
    <row r="50" spans="1:18" ht="14.5" thickBot="1">
      <c r="A50" s="586" t="s">
        <v>977</v>
      </c>
      <c r="B50" s="587" t="s">
        <v>979</v>
      </c>
      <c r="C50" s="588">
        <v>160</v>
      </c>
      <c r="D50" s="588">
        <v>0.2</v>
      </c>
      <c r="E50" s="588">
        <v>0.2</v>
      </c>
      <c r="F50" s="588">
        <v>3.6</v>
      </c>
      <c r="G50" s="595">
        <v>0</v>
      </c>
      <c r="H50" s="588">
        <v>-0.17</v>
      </c>
      <c r="I50" s="589">
        <v>-0.08</v>
      </c>
      <c r="J50" s="589">
        <v>0.52</v>
      </c>
      <c r="K50" s="590">
        <v>1.8</v>
      </c>
      <c r="L50" s="591" t="s">
        <v>975</v>
      </c>
      <c r="M50" s="590">
        <f t="shared" si="0"/>
        <v>10.199999999999999</v>
      </c>
      <c r="N50" s="589">
        <v>3.4</v>
      </c>
      <c r="O50" s="589">
        <f t="shared" si="1"/>
        <v>8.3999999999999986</v>
      </c>
      <c r="P50" t="str">
        <f t="shared" si="2"/>
        <v/>
      </c>
      <c r="Q50">
        <v>4</v>
      </c>
      <c r="R50">
        <v>18</v>
      </c>
    </row>
    <row r="51" spans="1:18" ht="14.5" thickBot="1">
      <c r="A51" s="586" t="s">
        <v>977</v>
      </c>
      <c r="B51" s="587" t="s">
        <v>979</v>
      </c>
      <c r="C51" s="588">
        <v>160</v>
      </c>
      <c r="D51" s="588">
        <v>0.2</v>
      </c>
      <c r="E51" s="588">
        <v>0.2</v>
      </c>
      <c r="F51" s="588">
        <v>3.6</v>
      </c>
      <c r="G51" s="595">
        <v>3.6</v>
      </c>
      <c r="H51" s="588">
        <v>-0.25</v>
      </c>
      <c r="I51" s="589">
        <v>-0.36</v>
      </c>
      <c r="J51" s="589">
        <v>0.52</v>
      </c>
      <c r="K51" s="590">
        <v>5</v>
      </c>
      <c r="L51" s="591" t="s">
        <v>975</v>
      </c>
      <c r="M51" s="590">
        <f t="shared" si="0"/>
        <v>10.199999999999999</v>
      </c>
      <c r="N51" s="589">
        <v>3.4</v>
      </c>
      <c r="O51" s="589">
        <f t="shared" si="1"/>
        <v>5.1999999999999993</v>
      </c>
      <c r="P51" t="str">
        <f t="shared" si="2"/>
        <v/>
      </c>
      <c r="Q51">
        <v>4</v>
      </c>
      <c r="R51">
        <v>18</v>
      </c>
    </row>
    <row r="52" spans="1:18" ht="14.5" thickBot="1">
      <c r="A52" s="586" t="s">
        <v>973</v>
      </c>
      <c r="B52" s="587" t="s">
        <v>980</v>
      </c>
      <c r="C52" s="588">
        <v>161</v>
      </c>
      <c r="D52" s="588">
        <v>0.2</v>
      </c>
      <c r="E52" s="588">
        <v>0.2</v>
      </c>
      <c r="F52" s="588">
        <v>2.7</v>
      </c>
      <c r="G52" s="595">
        <v>0</v>
      </c>
      <c r="H52" s="588">
        <v>1.1200000000000001</v>
      </c>
      <c r="I52" s="589">
        <v>0.5</v>
      </c>
      <c r="J52" s="589">
        <v>-18.05</v>
      </c>
      <c r="K52" s="590">
        <v>4.2</v>
      </c>
      <c r="L52" s="591" t="s">
        <v>975</v>
      </c>
      <c r="M52" s="590">
        <f t="shared" si="0"/>
        <v>10.199999999999999</v>
      </c>
      <c r="N52" s="589">
        <v>3.4</v>
      </c>
      <c r="O52" s="589">
        <f t="shared" si="1"/>
        <v>5.9999999999999991</v>
      </c>
      <c r="P52" t="str">
        <f t="shared" si="2"/>
        <v/>
      </c>
      <c r="Q52">
        <v>4</v>
      </c>
      <c r="R52">
        <v>18</v>
      </c>
    </row>
    <row r="53" spans="1:18" ht="14.5" thickBot="1">
      <c r="A53" s="586" t="s">
        <v>973</v>
      </c>
      <c r="B53" s="587" t="s">
        <v>980</v>
      </c>
      <c r="C53" s="588">
        <v>161</v>
      </c>
      <c r="D53" s="588">
        <v>0.2</v>
      </c>
      <c r="E53" s="588">
        <v>0.2</v>
      </c>
      <c r="F53" s="588">
        <v>2.7</v>
      </c>
      <c r="G53" s="595">
        <v>2.7</v>
      </c>
      <c r="H53" s="588">
        <v>0.97</v>
      </c>
      <c r="I53" s="589">
        <v>0.77</v>
      </c>
      <c r="J53" s="589">
        <v>-18.05</v>
      </c>
      <c r="K53" s="590">
        <v>4.7</v>
      </c>
      <c r="L53" s="591" t="s">
        <v>975</v>
      </c>
      <c r="M53" s="590">
        <f t="shared" si="0"/>
        <v>10.199999999999999</v>
      </c>
      <c r="N53" s="589">
        <v>3.4</v>
      </c>
      <c r="O53" s="589">
        <f t="shared" si="1"/>
        <v>5.4999999999999991</v>
      </c>
      <c r="P53" t="str">
        <f t="shared" si="2"/>
        <v/>
      </c>
      <c r="Q53">
        <v>4</v>
      </c>
      <c r="R53">
        <v>18</v>
      </c>
    </row>
    <row r="54" spans="1:18" ht="14.5" thickBot="1">
      <c r="A54" s="586" t="s">
        <v>973</v>
      </c>
      <c r="B54" s="587" t="s">
        <v>980</v>
      </c>
      <c r="C54" s="588">
        <v>161</v>
      </c>
      <c r="D54" s="588">
        <v>0.2</v>
      </c>
      <c r="E54" s="588">
        <v>0.2</v>
      </c>
      <c r="F54" s="588">
        <v>2.7</v>
      </c>
      <c r="G54" s="595">
        <v>0</v>
      </c>
      <c r="H54" s="588">
        <v>-0.97</v>
      </c>
      <c r="I54" s="589">
        <v>-0.71</v>
      </c>
      <c r="J54" s="589">
        <v>-34.090000000000003</v>
      </c>
      <c r="K54" s="590">
        <v>6.1</v>
      </c>
      <c r="L54" s="591" t="s">
        <v>975</v>
      </c>
      <c r="M54" s="590">
        <f t="shared" si="0"/>
        <v>10.199999999999999</v>
      </c>
      <c r="N54" s="589">
        <v>3.4</v>
      </c>
      <c r="O54" s="589">
        <f t="shared" si="1"/>
        <v>4.0999999999999996</v>
      </c>
      <c r="P54" t="str">
        <f t="shared" si="2"/>
        <v/>
      </c>
      <c r="Q54">
        <v>4</v>
      </c>
      <c r="R54">
        <v>18</v>
      </c>
    </row>
    <row r="55" spans="1:18" ht="14.5" thickBot="1">
      <c r="A55" s="586" t="s">
        <v>973</v>
      </c>
      <c r="B55" s="587" t="s">
        <v>980</v>
      </c>
      <c r="C55" s="588">
        <v>161</v>
      </c>
      <c r="D55" s="588">
        <v>0.2</v>
      </c>
      <c r="E55" s="588">
        <v>0.2</v>
      </c>
      <c r="F55" s="588">
        <v>2.7</v>
      </c>
      <c r="G55" s="595">
        <v>2.7</v>
      </c>
      <c r="H55" s="588">
        <v>-1.08</v>
      </c>
      <c r="I55" s="589">
        <v>-0.32</v>
      </c>
      <c r="J55" s="589">
        <v>-34.090000000000003</v>
      </c>
      <c r="K55" s="590">
        <v>3.7</v>
      </c>
      <c r="L55" s="591" t="s">
        <v>975</v>
      </c>
      <c r="M55" s="590">
        <f t="shared" si="0"/>
        <v>10.199999999999999</v>
      </c>
      <c r="N55" s="589">
        <v>3.4</v>
      </c>
      <c r="O55" s="589">
        <f t="shared" si="1"/>
        <v>6.4999999999999991</v>
      </c>
      <c r="P55" t="str">
        <f t="shared" si="2"/>
        <v/>
      </c>
      <c r="Q55">
        <v>4</v>
      </c>
      <c r="R55">
        <v>18</v>
      </c>
    </row>
    <row r="56" spans="1:18" ht="14.5" thickBot="1">
      <c r="A56" s="586" t="s">
        <v>976</v>
      </c>
      <c r="B56" s="587" t="s">
        <v>980</v>
      </c>
      <c r="C56" s="588">
        <v>162</v>
      </c>
      <c r="D56" s="588">
        <v>0.2</v>
      </c>
      <c r="E56" s="588">
        <v>0.2</v>
      </c>
      <c r="F56" s="588">
        <v>3.6</v>
      </c>
      <c r="G56" s="595">
        <v>0</v>
      </c>
      <c r="H56" s="588">
        <v>1.29</v>
      </c>
      <c r="I56" s="588">
        <v>0.56000000000000005</v>
      </c>
      <c r="J56" s="589">
        <v>-7.29</v>
      </c>
      <c r="K56" s="590">
        <v>12</v>
      </c>
      <c r="L56" s="591" t="s">
        <v>975</v>
      </c>
      <c r="M56" s="590">
        <f t="shared" ref="M56" si="3">ROUND(Q56*(R56/2)^2*PI()/100,1)</f>
        <v>12.6</v>
      </c>
      <c r="N56" s="589">
        <v>3.4</v>
      </c>
      <c r="O56" s="589">
        <f t="shared" ref="O56" si="4">M56-K56</f>
        <v>0.59999999999999964</v>
      </c>
      <c r="P56" t="str">
        <f t="shared" si="2"/>
        <v/>
      </c>
      <c r="Q56">
        <v>4</v>
      </c>
      <c r="R56">
        <v>20</v>
      </c>
    </row>
    <row r="57" spans="1:18" ht="14.5" thickBot="1">
      <c r="A57" s="586" t="s">
        <v>976</v>
      </c>
      <c r="B57" s="587" t="s">
        <v>980</v>
      </c>
      <c r="C57" s="588">
        <v>162</v>
      </c>
      <c r="D57" s="588">
        <v>0.2</v>
      </c>
      <c r="E57" s="588">
        <v>0.2</v>
      </c>
      <c r="F57" s="588">
        <v>3.6</v>
      </c>
      <c r="G57" s="595">
        <v>3.6</v>
      </c>
      <c r="H57" s="588">
        <v>0.9</v>
      </c>
      <c r="I57" s="589">
        <v>1.0900000000000001</v>
      </c>
      <c r="J57" s="589">
        <v>-10.27</v>
      </c>
      <c r="K57" s="590">
        <v>11.5</v>
      </c>
      <c r="L57" s="591" t="s">
        <v>975</v>
      </c>
      <c r="M57" s="590">
        <f t="shared" si="0"/>
        <v>12.6</v>
      </c>
      <c r="N57" s="589">
        <v>3.4</v>
      </c>
      <c r="O57" s="589">
        <f t="shared" si="1"/>
        <v>1.0999999999999996</v>
      </c>
      <c r="P57" t="str">
        <f t="shared" si="2"/>
        <v/>
      </c>
      <c r="Q57">
        <v>4</v>
      </c>
      <c r="R57">
        <v>20</v>
      </c>
    </row>
    <row r="58" spans="1:18" ht="14.5" thickBot="1">
      <c r="A58" s="586" t="s">
        <v>976</v>
      </c>
      <c r="B58" s="587" t="s">
        <v>980</v>
      </c>
      <c r="C58" s="588">
        <v>162</v>
      </c>
      <c r="D58" s="588">
        <v>0.2</v>
      </c>
      <c r="E58" s="588">
        <v>0.2</v>
      </c>
      <c r="F58" s="588">
        <v>3.6</v>
      </c>
      <c r="G58" s="595">
        <v>0</v>
      </c>
      <c r="H58" s="588">
        <v>0.84</v>
      </c>
      <c r="I58" s="589">
        <v>0.67</v>
      </c>
      <c r="J58" s="589">
        <v>-15.89</v>
      </c>
      <c r="K58" s="590">
        <v>3.3</v>
      </c>
      <c r="L58" s="591" t="s">
        <v>975</v>
      </c>
      <c r="M58" s="590">
        <f t="shared" si="0"/>
        <v>10.199999999999999</v>
      </c>
      <c r="N58" s="589">
        <v>3.4</v>
      </c>
      <c r="O58" s="589">
        <f t="shared" si="1"/>
        <v>6.8999999999999995</v>
      </c>
      <c r="P58" t="str">
        <f t="shared" si="2"/>
        <v/>
      </c>
      <c r="Q58">
        <v>4</v>
      </c>
      <c r="R58">
        <v>18</v>
      </c>
    </row>
    <row r="59" spans="1:18" ht="14.5" thickBot="1">
      <c r="A59" s="586" t="s">
        <v>976</v>
      </c>
      <c r="B59" s="587" t="s">
        <v>980</v>
      </c>
      <c r="C59" s="588">
        <v>162</v>
      </c>
      <c r="D59" s="588">
        <v>0.2</v>
      </c>
      <c r="E59" s="588">
        <v>0.2</v>
      </c>
      <c r="F59" s="588">
        <v>3.6</v>
      </c>
      <c r="G59" s="595">
        <v>3.6</v>
      </c>
      <c r="H59" s="588">
        <v>-1.23</v>
      </c>
      <c r="I59" s="589">
        <v>-0.53</v>
      </c>
      <c r="J59" s="589">
        <v>-17.77</v>
      </c>
      <c r="K59" s="590">
        <v>7.5</v>
      </c>
      <c r="L59" s="591" t="s">
        <v>975</v>
      </c>
      <c r="M59" s="590">
        <f t="shared" si="0"/>
        <v>10.199999999999999</v>
      </c>
      <c r="N59" s="589">
        <v>3.4</v>
      </c>
      <c r="O59" s="589">
        <f t="shared" si="1"/>
        <v>2.6999999999999993</v>
      </c>
      <c r="P59" t="str">
        <f t="shared" si="2"/>
        <v/>
      </c>
      <c r="Q59">
        <v>4</v>
      </c>
      <c r="R59">
        <v>18</v>
      </c>
    </row>
    <row r="60" spans="1:18" ht="14.5" thickBot="1">
      <c r="A60" s="586" t="s">
        <v>977</v>
      </c>
      <c r="B60" s="587" t="s">
        <v>980</v>
      </c>
      <c r="C60" s="588">
        <v>163</v>
      </c>
      <c r="D60" s="588">
        <v>0.2</v>
      </c>
      <c r="E60" s="588">
        <v>0.2</v>
      </c>
      <c r="F60" s="588">
        <v>3.6</v>
      </c>
      <c r="G60" s="595">
        <v>0</v>
      </c>
      <c r="H60" s="588">
        <v>0.95</v>
      </c>
      <c r="I60" s="589">
        <v>7.0000000000000007E-2</v>
      </c>
      <c r="J60" s="589">
        <v>1.1499999999999999</v>
      </c>
      <c r="K60" s="590">
        <v>8.3000000000000007</v>
      </c>
      <c r="L60" s="591" t="s">
        <v>975</v>
      </c>
      <c r="M60" s="590">
        <f t="shared" si="0"/>
        <v>10.199999999999999</v>
      </c>
      <c r="N60" s="589">
        <v>3.4</v>
      </c>
      <c r="O60" s="589">
        <f t="shared" si="1"/>
        <v>1.8999999999999986</v>
      </c>
      <c r="P60" t="str">
        <f t="shared" si="2"/>
        <v/>
      </c>
      <c r="Q60">
        <v>4</v>
      </c>
      <c r="R60">
        <v>18</v>
      </c>
    </row>
    <row r="61" spans="1:18" ht="14.5" thickBot="1">
      <c r="A61" s="586" t="s">
        <v>977</v>
      </c>
      <c r="B61" s="587" t="s">
        <v>980</v>
      </c>
      <c r="C61" s="588">
        <v>163</v>
      </c>
      <c r="D61" s="588">
        <v>0.2</v>
      </c>
      <c r="E61" s="588">
        <v>0.2</v>
      </c>
      <c r="F61" s="588">
        <v>3.6</v>
      </c>
      <c r="G61" s="595">
        <v>3.6</v>
      </c>
      <c r="H61" s="588">
        <v>0.2</v>
      </c>
      <c r="I61" s="589">
        <v>0.37</v>
      </c>
      <c r="J61" s="589">
        <v>1.1499999999999999</v>
      </c>
      <c r="K61" s="590">
        <v>4.0999999999999996</v>
      </c>
      <c r="L61" s="591" t="s">
        <v>975</v>
      </c>
      <c r="M61" s="590">
        <f t="shared" si="0"/>
        <v>10.199999999999999</v>
      </c>
      <c r="N61" s="589">
        <v>3.4</v>
      </c>
      <c r="O61" s="589">
        <f t="shared" si="1"/>
        <v>6.1</v>
      </c>
      <c r="P61" t="str">
        <f t="shared" si="2"/>
        <v/>
      </c>
      <c r="Q61">
        <v>4</v>
      </c>
      <c r="R61">
        <v>18</v>
      </c>
    </row>
    <row r="62" spans="1:18" ht="14.5" thickBot="1">
      <c r="A62" s="586" t="s">
        <v>977</v>
      </c>
      <c r="B62" s="587" t="s">
        <v>980</v>
      </c>
      <c r="C62" s="588">
        <v>163</v>
      </c>
      <c r="D62" s="588">
        <v>0.2</v>
      </c>
      <c r="E62" s="588">
        <v>0.2</v>
      </c>
      <c r="F62" s="588">
        <v>3.6</v>
      </c>
      <c r="G62" s="595">
        <v>0</v>
      </c>
      <c r="H62" s="588">
        <v>-0.17</v>
      </c>
      <c r="I62" s="589">
        <v>-0.47</v>
      </c>
      <c r="J62" s="589">
        <v>0.48</v>
      </c>
      <c r="K62" s="590">
        <v>5.4</v>
      </c>
      <c r="L62" s="591" t="s">
        <v>975</v>
      </c>
      <c r="M62" s="590">
        <f t="shared" si="0"/>
        <v>10.199999999999999</v>
      </c>
      <c r="N62" s="589">
        <v>3.4</v>
      </c>
      <c r="O62" s="589">
        <f t="shared" si="1"/>
        <v>4.7999999999999989</v>
      </c>
      <c r="P62" t="str">
        <f t="shared" si="2"/>
        <v/>
      </c>
      <c r="Q62">
        <v>4</v>
      </c>
      <c r="R62">
        <v>18</v>
      </c>
    </row>
    <row r="63" spans="1:18" ht="14.5" thickBot="1">
      <c r="A63" s="586" t="s">
        <v>977</v>
      </c>
      <c r="B63" s="587" t="s">
        <v>980</v>
      </c>
      <c r="C63" s="588">
        <v>163</v>
      </c>
      <c r="D63" s="588">
        <v>0.2</v>
      </c>
      <c r="E63" s="588">
        <v>0.2</v>
      </c>
      <c r="F63" s="588">
        <v>3.6</v>
      </c>
      <c r="G63" s="595">
        <v>3.6</v>
      </c>
      <c r="H63" s="588">
        <v>-0.25</v>
      </c>
      <c r="I63" s="589">
        <v>-0.21</v>
      </c>
      <c r="J63" s="589">
        <v>0.48</v>
      </c>
      <c r="K63" s="590">
        <v>3.7</v>
      </c>
      <c r="L63" s="591" t="s">
        <v>975</v>
      </c>
      <c r="M63" s="590">
        <f t="shared" si="0"/>
        <v>10.199999999999999</v>
      </c>
      <c r="N63" s="589">
        <v>3.4</v>
      </c>
      <c r="O63" s="589">
        <f t="shared" si="1"/>
        <v>6.4999999999999991</v>
      </c>
      <c r="P63" t="str">
        <f t="shared" si="2"/>
        <v/>
      </c>
      <c r="Q63">
        <v>4</v>
      </c>
      <c r="R63">
        <v>18</v>
      </c>
    </row>
    <row r="64" spans="1:18" ht="14.5" thickBot="1">
      <c r="A64" s="586" t="s">
        <v>973</v>
      </c>
      <c r="B64" s="587" t="s">
        <v>981</v>
      </c>
      <c r="C64" s="588">
        <v>164</v>
      </c>
      <c r="D64" s="588">
        <v>0.2</v>
      </c>
      <c r="E64" s="588">
        <v>0.2</v>
      </c>
      <c r="F64" s="588">
        <v>2.7</v>
      </c>
      <c r="G64" s="595">
        <v>0</v>
      </c>
      <c r="H64" s="588">
        <v>0.77</v>
      </c>
      <c r="I64" s="589">
        <v>0.75</v>
      </c>
      <c r="J64" s="589">
        <v>-17.68</v>
      </c>
      <c r="K64" s="590">
        <v>2.6</v>
      </c>
      <c r="L64" s="591" t="s">
        <v>975</v>
      </c>
      <c r="M64" s="590">
        <f t="shared" si="0"/>
        <v>10.199999999999999</v>
      </c>
      <c r="N64" s="589">
        <v>3.4</v>
      </c>
      <c r="O64" s="589">
        <f t="shared" si="1"/>
        <v>7.6</v>
      </c>
      <c r="P64" t="str">
        <f t="shared" si="2"/>
        <v/>
      </c>
      <c r="Q64">
        <v>4</v>
      </c>
      <c r="R64">
        <v>18</v>
      </c>
    </row>
    <row r="65" spans="1:18" ht="14.5" thickBot="1">
      <c r="A65" s="586" t="s">
        <v>973</v>
      </c>
      <c r="B65" s="587" t="s">
        <v>981</v>
      </c>
      <c r="C65" s="588">
        <v>164</v>
      </c>
      <c r="D65" s="588">
        <v>0.2</v>
      </c>
      <c r="E65" s="588">
        <v>0.2</v>
      </c>
      <c r="F65" s="588">
        <v>2.7</v>
      </c>
      <c r="G65" s="595">
        <v>2.7</v>
      </c>
      <c r="H65" s="588">
        <v>0.55000000000000004</v>
      </c>
      <c r="I65" s="589">
        <v>0.36</v>
      </c>
      <c r="J65" s="589">
        <v>-17.68</v>
      </c>
      <c r="K65" s="590">
        <v>0.6</v>
      </c>
      <c r="L65" s="591" t="s">
        <v>975</v>
      </c>
      <c r="M65" s="590">
        <f t="shared" si="0"/>
        <v>10.199999999999999</v>
      </c>
      <c r="N65" s="589">
        <v>3.4</v>
      </c>
      <c r="O65" s="589">
        <f t="shared" si="1"/>
        <v>9.6</v>
      </c>
      <c r="P65" t="str">
        <f t="shared" si="2"/>
        <v/>
      </c>
      <c r="Q65">
        <v>4</v>
      </c>
      <c r="R65">
        <v>18</v>
      </c>
    </row>
    <row r="66" spans="1:18" ht="14.5" thickBot="1">
      <c r="A66" s="586" t="s">
        <v>973</v>
      </c>
      <c r="B66" s="587" t="s">
        <v>981</v>
      </c>
      <c r="C66" s="588">
        <v>164</v>
      </c>
      <c r="D66" s="588">
        <v>0.2</v>
      </c>
      <c r="E66" s="588">
        <v>0.2</v>
      </c>
      <c r="F66" s="588">
        <v>2.7</v>
      </c>
      <c r="G66" s="595">
        <v>0</v>
      </c>
      <c r="H66" s="588">
        <v>-0.77</v>
      </c>
      <c r="I66" s="589">
        <v>-0.52</v>
      </c>
      <c r="J66" s="589">
        <v>-26.52</v>
      </c>
      <c r="K66" s="590">
        <v>0.6</v>
      </c>
      <c r="L66" s="591" t="s">
        <v>975</v>
      </c>
      <c r="M66" s="590">
        <f t="shared" si="0"/>
        <v>10.199999999999999</v>
      </c>
      <c r="N66" s="589">
        <v>3.4</v>
      </c>
      <c r="O66" s="589">
        <f t="shared" si="1"/>
        <v>9.6</v>
      </c>
      <c r="P66" t="str">
        <f t="shared" si="2"/>
        <v/>
      </c>
      <c r="Q66">
        <v>4</v>
      </c>
      <c r="R66">
        <v>18</v>
      </c>
    </row>
    <row r="67" spans="1:18" ht="14.5" thickBot="1">
      <c r="A67" s="586" t="s">
        <v>973</v>
      </c>
      <c r="B67" s="587" t="s">
        <v>981</v>
      </c>
      <c r="C67" s="588">
        <v>164</v>
      </c>
      <c r="D67" s="588">
        <v>0.2</v>
      </c>
      <c r="E67" s="588">
        <v>0.2</v>
      </c>
      <c r="F67" s="588">
        <v>2.7</v>
      </c>
      <c r="G67" s="595">
        <v>2.7</v>
      </c>
      <c r="H67" s="588">
        <v>-0.35</v>
      </c>
      <c r="I67" s="589">
        <v>-0.82</v>
      </c>
      <c r="J67" s="589">
        <v>-26.52</v>
      </c>
      <c r="K67" s="590">
        <v>0.6</v>
      </c>
      <c r="L67" s="591" t="s">
        <v>975</v>
      </c>
      <c r="M67" s="590">
        <f t="shared" si="0"/>
        <v>10.199999999999999</v>
      </c>
      <c r="N67" s="589">
        <v>3.4</v>
      </c>
      <c r="O67" s="589">
        <f t="shared" si="1"/>
        <v>9.6</v>
      </c>
      <c r="P67" t="str">
        <f t="shared" si="2"/>
        <v/>
      </c>
      <c r="Q67">
        <v>4</v>
      </c>
      <c r="R67">
        <v>18</v>
      </c>
    </row>
    <row r="68" spans="1:18" ht="14.5" thickBot="1">
      <c r="A68" s="586" t="s">
        <v>976</v>
      </c>
      <c r="B68" s="587" t="s">
        <v>981</v>
      </c>
      <c r="C68" s="588">
        <v>165</v>
      </c>
      <c r="D68" s="588">
        <v>0.2</v>
      </c>
      <c r="E68" s="588">
        <v>0.2</v>
      </c>
      <c r="F68" s="588">
        <v>3.6</v>
      </c>
      <c r="G68" s="595">
        <v>0</v>
      </c>
      <c r="H68" s="588">
        <v>1.1200000000000001</v>
      </c>
      <c r="I68" s="589">
        <v>0.5</v>
      </c>
      <c r="J68" s="589">
        <v>-18.05</v>
      </c>
      <c r="K68" s="590">
        <v>4.2</v>
      </c>
      <c r="L68" s="591" t="s">
        <v>975</v>
      </c>
      <c r="M68" s="590">
        <f t="shared" ref="M68" si="5">ROUND(Q68*(R68/2)^2*PI()/100,1)</f>
        <v>10.199999999999999</v>
      </c>
      <c r="N68" s="589">
        <v>3.4</v>
      </c>
      <c r="O68" s="589">
        <f t="shared" ref="O68" si="6">M68-K68</f>
        <v>5.9999999999999991</v>
      </c>
      <c r="P68" t="str">
        <f t="shared" si="2"/>
        <v/>
      </c>
      <c r="Q68">
        <v>4</v>
      </c>
      <c r="R68">
        <v>18</v>
      </c>
    </row>
    <row r="69" spans="1:18" ht="14.5" thickBot="1">
      <c r="A69" s="586" t="s">
        <v>976</v>
      </c>
      <c r="B69" s="587" t="s">
        <v>981</v>
      </c>
      <c r="C69" s="588">
        <v>165</v>
      </c>
      <c r="D69" s="588">
        <v>0.2</v>
      </c>
      <c r="E69" s="588">
        <v>0.2</v>
      </c>
      <c r="F69" s="588">
        <v>3.6</v>
      </c>
      <c r="G69" s="595">
        <v>3.6</v>
      </c>
      <c r="H69" s="588">
        <v>0.83</v>
      </c>
      <c r="I69" s="589">
        <v>0.54</v>
      </c>
      <c r="J69" s="589">
        <v>-8.5500000000000007</v>
      </c>
      <c r="K69" s="590">
        <v>6.5</v>
      </c>
      <c r="L69" s="591" t="s">
        <v>975</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976</v>
      </c>
      <c r="B70" s="587" t="s">
        <v>981</v>
      </c>
      <c r="C70" s="588">
        <v>165</v>
      </c>
      <c r="D70" s="588">
        <v>0.2</v>
      </c>
      <c r="E70" s="588">
        <v>0.2</v>
      </c>
      <c r="F70" s="588">
        <v>3.6</v>
      </c>
      <c r="G70" s="595">
        <v>0</v>
      </c>
      <c r="H70" s="588">
        <v>-1.3</v>
      </c>
      <c r="I70" s="589">
        <v>-0.55000000000000004</v>
      </c>
      <c r="J70" s="589">
        <v>-13.58</v>
      </c>
      <c r="K70" s="590">
        <v>9.4</v>
      </c>
      <c r="L70" s="591" t="s">
        <v>975</v>
      </c>
      <c r="M70" s="590">
        <f t="shared" si="7"/>
        <v>10.199999999999999</v>
      </c>
      <c r="N70" s="589">
        <v>3.4</v>
      </c>
      <c r="O70" s="589">
        <f t="shared" si="8"/>
        <v>0.79999999999999893</v>
      </c>
      <c r="P70" t="str">
        <f t="shared" si="9"/>
        <v/>
      </c>
      <c r="Q70">
        <v>4</v>
      </c>
      <c r="R70">
        <v>18</v>
      </c>
    </row>
    <row r="71" spans="1:18" ht="14.5" thickBot="1">
      <c r="A71" s="586" t="s">
        <v>976</v>
      </c>
      <c r="B71" s="587" t="s">
        <v>981</v>
      </c>
      <c r="C71" s="588">
        <v>165</v>
      </c>
      <c r="D71" s="588">
        <v>0.2</v>
      </c>
      <c r="E71" s="588">
        <v>0.2</v>
      </c>
      <c r="F71" s="588">
        <v>3.6</v>
      </c>
      <c r="G71" s="595">
        <v>3.6</v>
      </c>
      <c r="H71" s="588">
        <v>-0.54</v>
      </c>
      <c r="I71" s="589">
        <v>-1.1200000000000001</v>
      </c>
      <c r="J71" s="589">
        <v>-13.58</v>
      </c>
      <c r="K71" s="590">
        <v>7.4</v>
      </c>
      <c r="L71" s="591" t="s">
        <v>975</v>
      </c>
      <c r="M71" s="590">
        <f t="shared" si="7"/>
        <v>10.199999999999999</v>
      </c>
      <c r="N71" s="589">
        <v>3.4</v>
      </c>
      <c r="O71" s="589">
        <f t="shared" si="8"/>
        <v>2.7999999999999989</v>
      </c>
      <c r="P71" t="str">
        <f t="shared" si="9"/>
        <v/>
      </c>
      <c r="Q71">
        <v>4</v>
      </c>
      <c r="R71">
        <v>18</v>
      </c>
    </row>
    <row r="72" spans="1:18" ht="14.5" thickBot="1">
      <c r="A72" s="586" t="s">
        <v>977</v>
      </c>
      <c r="B72" s="587" t="s">
        <v>981</v>
      </c>
      <c r="C72" s="588">
        <v>166</v>
      </c>
      <c r="D72" s="588">
        <v>0.2</v>
      </c>
      <c r="E72" s="588">
        <v>0.2</v>
      </c>
      <c r="F72" s="588">
        <v>3.6</v>
      </c>
      <c r="G72" s="595">
        <v>0</v>
      </c>
      <c r="H72" s="588">
        <v>0.53</v>
      </c>
      <c r="I72" s="589">
        <v>0.48</v>
      </c>
      <c r="J72" s="589">
        <v>0.37</v>
      </c>
      <c r="K72" s="590">
        <v>8.6999999999999993</v>
      </c>
      <c r="L72" s="591" t="s">
        <v>975</v>
      </c>
      <c r="M72" s="590">
        <f t="shared" si="7"/>
        <v>10.199999999999999</v>
      </c>
      <c r="N72" s="589">
        <v>3.4</v>
      </c>
      <c r="O72" s="589">
        <f t="shared" si="8"/>
        <v>1.5</v>
      </c>
      <c r="P72" t="str">
        <f t="shared" si="9"/>
        <v/>
      </c>
      <c r="Q72">
        <v>4</v>
      </c>
      <c r="R72">
        <v>18</v>
      </c>
    </row>
    <row r="73" spans="1:18" ht="14.5" thickBot="1">
      <c r="A73" s="586" t="s">
        <v>977</v>
      </c>
      <c r="B73" s="587" t="s">
        <v>981</v>
      </c>
      <c r="C73" s="588">
        <v>166</v>
      </c>
      <c r="D73" s="588">
        <v>0.2</v>
      </c>
      <c r="E73" s="588">
        <v>0.2</v>
      </c>
      <c r="F73" s="588">
        <v>3.6</v>
      </c>
      <c r="G73" s="595">
        <v>3.6</v>
      </c>
      <c r="H73" s="588">
        <v>0.31</v>
      </c>
      <c r="I73" s="589">
        <v>0.24</v>
      </c>
      <c r="J73" s="589">
        <v>0.37</v>
      </c>
      <c r="K73" s="590">
        <v>4.5999999999999996</v>
      </c>
      <c r="L73" s="591" t="s">
        <v>975</v>
      </c>
      <c r="M73" s="590">
        <f t="shared" si="7"/>
        <v>10.199999999999999</v>
      </c>
      <c r="N73" s="589">
        <v>3.4</v>
      </c>
      <c r="O73" s="589">
        <f t="shared" si="8"/>
        <v>5.6</v>
      </c>
      <c r="P73" t="str">
        <f t="shared" si="9"/>
        <v/>
      </c>
      <c r="Q73">
        <v>4</v>
      </c>
      <c r="R73">
        <v>18</v>
      </c>
    </row>
    <row r="74" spans="1:18" ht="14.5" thickBot="1">
      <c r="A74" s="586" t="s">
        <v>977</v>
      </c>
      <c r="B74" s="587" t="s">
        <v>981</v>
      </c>
      <c r="C74" s="588">
        <v>166</v>
      </c>
      <c r="D74" s="588">
        <v>0.2</v>
      </c>
      <c r="E74" s="588">
        <v>0.2</v>
      </c>
      <c r="F74" s="588">
        <v>3.6</v>
      </c>
      <c r="G74" s="595">
        <v>0</v>
      </c>
      <c r="H74" s="588">
        <v>-0.34</v>
      </c>
      <c r="I74" s="589">
        <v>-0.09</v>
      </c>
      <c r="J74" s="589">
        <v>-0.49</v>
      </c>
      <c r="K74" s="590">
        <v>3.4</v>
      </c>
      <c r="L74" s="591" t="s">
        <v>975</v>
      </c>
      <c r="M74" s="590">
        <f t="shared" si="7"/>
        <v>10.199999999999999</v>
      </c>
      <c r="N74" s="589">
        <v>3.4</v>
      </c>
      <c r="O74" s="589">
        <f t="shared" si="8"/>
        <v>6.7999999999999989</v>
      </c>
      <c r="P74" t="str">
        <f t="shared" si="9"/>
        <v/>
      </c>
      <c r="Q74">
        <v>4</v>
      </c>
      <c r="R74">
        <v>18</v>
      </c>
    </row>
    <row r="75" spans="1:18" ht="14.5" thickBot="1">
      <c r="A75" s="586" t="s">
        <v>977</v>
      </c>
      <c r="B75" s="587" t="s">
        <v>981</v>
      </c>
      <c r="C75" s="588">
        <v>166</v>
      </c>
      <c r="D75" s="588">
        <v>0.2</v>
      </c>
      <c r="E75" s="588">
        <v>0.2</v>
      </c>
      <c r="F75" s="588">
        <v>3.6</v>
      </c>
      <c r="G75" s="595">
        <v>3.6</v>
      </c>
      <c r="H75" s="588">
        <v>-0.03</v>
      </c>
      <c r="I75" s="589">
        <v>-0.39</v>
      </c>
      <c r="J75" s="589">
        <v>-0.49</v>
      </c>
      <c r="K75" s="590">
        <v>3.4</v>
      </c>
      <c r="L75" s="591" t="s">
        <v>975</v>
      </c>
      <c r="M75" s="590">
        <f t="shared" si="7"/>
        <v>10.199999999999999</v>
      </c>
      <c r="N75" s="589">
        <v>3.4</v>
      </c>
      <c r="O75" s="589">
        <f t="shared" si="8"/>
        <v>6.7999999999999989</v>
      </c>
      <c r="P75" t="str">
        <f t="shared" si="9"/>
        <v/>
      </c>
      <c r="Q75">
        <v>4</v>
      </c>
      <c r="R75">
        <v>18</v>
      </c>
    </row>
    <row r="76" spans="1:18" ht="14.5" thickBot="1">
      <c r="A76" s="586" t="s">
        <v>973</v>
      </c>
      <c r="B76" s="587" t="s">
        <v>982</v>
      </c>
      <c r="C76" s="588">
        <v>167</v>
      </c>
      <c r="D76" s="588">
        <v>0.2</v>
      </c>
      <c r="E76" s="588">
        <v>0.2</v>
      </c>
      <c r="F76" s="588">
        <v>2.7</v>
      </c>
      <c r="G76" s="595">
        <v>0</v>
      </c>
      <c r="H76" s="588">
        <v>0.86</v>
      </c>
      <c r="I76" s="589">
        <v>0.65</v>
      </c>
      <c r="J76" s="589">
        <v>-17.420000000000002</v>
      </c>
      <c r="K76" s="590">
        <v>2.8</v>
      </c>
      <c r="L76" s="591" t="s">
        <v>975</v>
      </c>
      <c r="M76" s="590">
        <f t="shared" si="7"/>
        <v>10.199999999999999</v>
      </c>
      <c r="N76" s="589">
        <v>3.4</v>
      </c>
      <c r="O76" s="589">
        <f t="shared" si="8"/>
        <v>7.3999999999999995</v>
      </c>
      <c r="P76" t="str">
        <f t="shared" si="9"/>
        <v/>
      </c>
      <c r="Q76">
        <v>4</v>
      </c>
      <c r="R76">
        <v>18</v>
      </c>
    </row>
    <row r="77" spans="1:18" ht="14.5" thickBot="1">
      <c r="A77" s="586" t="s">
        <v>973</v>
      </c>
      <c r="B77" s="587" t="s">
        <v>982</v>
      </c>
      <c r="C77" s="588">
        <v>167</v>
      </c>
      <c r="D77" s="588">
        <v>0.2</v>
      </c>
      <c r="E77" s="588">
        <v>0.2</v>
      </c>
      <c r="F77" s="588">
        <v>2.7</v>
      </c>
      <c r="G77" s="595">
        <v>2.7</v>
      </c>
      <c r="H77" s="588">
        <v>0.54</v>
      </c>
      <c r="I77" s="589">
        <v>0.61</v>
      </c>
      <c r="J77" s="589">
        <v>-17.420000000000002</v>
      </c>
      <c r="K77" s="590">
        <v>0.6</v>
      </c>
      <c r="L77" s="591" t="s">
        <v>975</v>
      </c>
      <c r="M77" s="590">
        <f t="shared" si="7"/>
        <v>10.199999999999999</v>
      </c>
      <c r="N77" s="589">
        <v>3.4</v>
      </c>
      <c r="O77" s="589">
        <f t="shared" si="8"/>
        <v>9.6</v>
      </c>
      <c r="P77" t="str">
        <f t="shared" si="9"/>
        <v/>
      </c>
      <c r="Q77">
        <v>4</v>
      </c>
      <c r="R77">
        <v>18</v>
      </c>
    </row>
    <row r="78" spans="1:18" ht="14.5" thickBot="1">
      <c r="A78" s="586" t="s">
        <v>973</v>
      </c>
      <c r="B78" s="587" t="s">
        <v>982</v>
      </c>
      <c r="C78" s="588">
        <v>167</v>
      </c>
      <c r="D78" s="588">
        <v>0.2</v>
      </c>
      <c r="E78" s="588">
        <v>0.2</v>
      </c>
      <c r="F78" s="588">
        <v>2.7</v>
      </c>
      <c r="G78" s="595">
        <v>0</v>
      </c>
      <c r="H78" s="588">
        <v>-0.63</v>
      </c>
      <c r="I78" s="589">
        <v>-0.65</v>
      </c>
      <c r="J78" s="589">
        <v>-40.24</v>
      </c>
      <c r="K78" s="590">
        <v>0.6</v>
      </c>
      <c r="L78" s="591" t="s">
        <v>975</v>
      </c>
      <c r="M78" s="590">
        <f t="shared" si="7"/>
        <v>10.199999999999999</v>
      </c>
      <c r="N78" s="589">
        <v>3.4</v>
      </c>
      <c r="O78" s="589">
        <f t="shared" si="8"/>
        <v>9.6</v>
      </c>
      <c r="P78" t="str">
        <f t="shared" si="9"/>
        <v/>
      </c>
      <c r="Q78">
        <v>4</v>
      </c>
      <c r="R78">
        <v>18</v>
      </c>
    </row>
    <row r="79" spans="1:18" ht="14.5" thickBot="1">
      <c r="A79" s="586" t="s">
        <v>973</v>
      </c>
      <c r="B79" s="587" t="s">
        <v>982</v>
      </c>
      <c r="C79" s="588">
        <v>167</v>
      </c>
      <c r="D79" s="588">
        <v>0.2</v>
      </c>
      <c r="E79" s="588">
        <v>0.2</v>
      </c>
      <c r="F79" s="588">
        <v>2.7</v>
      </c>
      <c r="G79" s="595">
        <v>2.7</v>
      </c>
      <c r="H79" s="588">
        <v>-0.86</v>
      </c>
      <c r="I79" s="589">
        <v>-0.61</v>
      </c>
      <c r="J79" s="589">
        <v>-40.24</v>
      </c>
      <c r="K79" s="590">
        <v>2.9</v>
      </c>
      <c r="L79" s="591" t="s">
        <v>975</v>
      </c>
      <c r="M79" s="590">
        <f t="shared" si="7"/>
        <v>10.199999999999999</v>
      </c>
      <c r="N79" s="589">
        <v>3.4</v>
      </c>
      <c r="O79" s="589">
        <f t="shared" si="8"/>
        <v>7.2999999999999989</v>
      </c>
      <c r="P79" t="str">
        <f t="shared" si="9"/>
        <v/>
      </c>
      <c r="Q79">
        <v>4</v>
      </c>
      <c r="R79">
        <v>18</v>
      </c>
    </row>
    <row r="80" spans="1:18" ht="14.5" thickBot="1">
      <c r="A80" s="586" t="s">
        <v>976</v>
      </c>
      <c r="B80" s="587" t="s">
        <v>982</v>
      </c>
      <c r="C80" s="588">
        <v>168</v>
      </c>
      <c r="D80" s="588">
        <v>0.2</v>
      </c>
      <c r="E80" s="588">
        <v>0.2</v>
      </c>
      <c r="F80" s="588">
        <v>3.6</v>
      </c>
      <c r="G80" s="595">
        <v>0</v>
      </c>
      <c r="H80" s="588">
        <v>0.32</v>
      </c>
      <c r="I80" s="589">
        <v>0.36</v>
      </c>
      <c r="J80" s="589">
        <v>1.04</v>
      </c>
      <c r="K80" s="590">
        <v>5.2</v>
      </c>
      <c r="L80" s="591" t="s">
        <v>975</v>
      </c>
      <c r="M80" s="590">
        <f t="shared" ref="M80" si="10">ROUND(Q80*(R80/2)^2*PI()/100,1)</f>
        <v>10.199999999999999</v>
      </c>
      <c r="N80" s="589">
        <v>3.4</v>
      </c>
      <c r="O80" s="589">
        <f t="shared" ref="O80" si="11">M80-K80</f>
        <v>4.9999999999999991</v>
      </c>
      <c r="P80" t="str">
        <f t="shared" si="9"/>
        <v/>
      </c>
      <c r="Q80">
        <v>4</v>
      </c>
      <c r="R80">
        <v>18</v>
      </c>
    </row>
    <row r="81" spans="1:18" ht="14.5" thickBot="1">
      <c r="A81" s="586" t="s">
        <v>976</v>
      </c>
      <c r="B81" s="587" t="s">
        <v>982</v>
      </c>
      <c r="C81" s="588">
        <v>168</v>
      </c>
      <c r="D81" s="588">
        <v>0.2</v>
      </c>
      <c r="E81" s="588">
        <v>0.2</v>
      </c>
      <c r="F81" s="588">
        <v>3.6</v>
      </c>
      <c r="G81" s="595">
        <v>3.6</v>
      </c>
      <c r="H81" s="588">
        <v>0.89</v>
      </c>
      <c r="I81" s="589">
        <v>0.86</v>
      </c>
      <c r="J81" s="589">
        <v>-8.2799999999999994</v>
      </c>
      <c r="K81" s="590">
        <v>10.1</v>
      </c>
      <c r="L81" s="591" t="s">
        <v>975</v>
      </c>
      <c r="M81" s="590">
        <f t="shared" si="7"/>
        <v>10.199999999999999</v>
      </c>
      <c r="N81" s="589">
        <v>3.4</v>
      </c>
      <c r="O81" s="589">
        <f t="shared" si="8"/>
        <v>9.9999999999999645E-2</v>
      </c>
      <c r="P81" t="str">
        <f t="shared" si="9"/>
        <v/>
      </c>
      <c r="Q81">
        <v>4</v>
      </c>
      <c r="R81">
        <v>18</v>
      </c>
    </row>
    <row r="82" spans="1:18" ht="14.5" thickBot="1">
      <c r="A82" s="586" t="s">
        <v>976</v>
      </c>
      <c r="B82" s="587" t="s">
        <v>982</v>
      </c>
      <c r="C82" s="588">
        <v>168</v>
      </c>
      <c r="D82" s="588">
        <v>0.2</v>
      </c>
      <c r="E82" s="588">
        <v>0.2</v>
      </c>
      <c r="F82" s="588">
        <v>3.6</v>
      </c>
      <c r="G82" s="595">
        <v>0</v>
      </c>
      <c r="H82" s="588">
        <v>-0.89</v>
      </c>
      <c r="I82" s="589">
        <v>-0.85</v>
      </c>
      <c r="J82" s="589">
        <v>-24.85</v>
      </c>
      <c r="K82" s="590">
        <v>5.5</v>
      </c>
      <c r="L82" s="591" t="s">
        <v>975</v>
      </c>
      <c r="M82" s="590">
        <f t="shared" si="7"/>
        <v>10.199999999999999</v>
      </c>
      <c r="N82" s="589">
        <v>3.4</v>
      </c>
      <c r="O82" s="589">
        <f t="shared" si="8"/>
        <v>4.6999999999999993</v>
      </c>
      <c r="P82" t="str">
        <f t="shared" si="9"/>
        <v/>
      </c>
      <c r="Q82">
        <v>4</v>
      </c>
      <c r="R82">
        <v>18</v>
      </c>
    </row>
    <row r="83" spans="1:18" ht="14.5" thickBot="1">
      <c r="A83" s="586" t="s">
        <v>976</v>
      </c>
      <c r="B83" s="587" t="s">
        <v>982</v>
      </c>
      <c r="C83" s="588">
        <v>168</v>
      </c>
      <c r="D83" s="588">
        <v>0.2</v>
      </c>
      <c r="E83" s="588">
        <v>0.2</v>
      </c>
      <c r="F83" s="588">
        <v>3.6</v>
      </c>
      <c r="G83" s="595">
        <v>3.6</v>
      </c>
      <c r="H83" s="588">
        <v>-1.26</v>
      </c>
      <c r="I83" s="589">
        <v>-0.84</v>
      </c>
      <c r="J83" s="589">
        <v>-24.85</v>
      </c>
      <c r="K83" s="590">
        <v>10.199999999999999</v>
      </c>
      <c r="L83" s="591" t="s">
        <v>975</v>
      </c>
      <c r="M83" s="590">
        <f t="shared" si="7"/>
        <v>10.199999999999999</v>
      </c>
      <c r="N83" s="589">
        <v>3.4</v>
      </c>
      <c r="O83" s="589">
        <f t="shared" si="8"/>
        <v>0</v>
      </c>
      <c r="P83" t="str">
        <f t="shared" si="9"/>
        <v/>
      </c>
      <c r="Q83">
        <v>4</v>
      </c>
      <c r="R83">
        <v>18</v>
      </c>
    </row>
    <row r="84" spans="1:18" ht="14.5" thickBot="1">
      <c r="A84" s="586" t="s">
        <v>977</v>
      </c>
      <c r="B84" s="587" t="s">
        <v>982</v>
      </c>
      <c r="C84" s="588">
        <v>169</v>
      </c>
      <c r="D84" s="588">
        <v>0.2</v>
      </c>
      <c r="E84" s="588">
        <v>0.2</v>
      </c>
      <c r="F84" s="588">
        <v>3.6</v>
      </c>
      <c r="G84" s="595">
        <v>0</v>
      </c>
      <c r="H84" s="588">
        <v>0.46</v>
      </c>
      <c r="I84" s="589">
        <v>0.28999999999999998</v>
      </c>
      <c r="J84" s="589">
        <v>1.04</v>
      </c>
      <c r="K84" s="590">
        <v>5.8</v>
      </c>
      <c r="L84" s="591" t="s">
        <v>975</v>
      </c>
      <c r="M84" s="590">
        <f t="shared" si="7"/>
        <v>10.199999999999999</v>
      </c>
      <c r="N84" s="589">
        <v>3.4</v>
      </c>
      <c r="O84" s="589">
        <f t="shared" si="8"/>
        <v>4.3999999999999995</v>
      </c>
      <c r="P84" t="str">
        <f t="shared" si="9"/>
        <v/>
      </c>
      <c r="Q84">
        <v>4</v>
      </c>
      <c r="R84">
        <v>18</v>
      </c>
    </row>
    <row r="85" spans="1:18" ht="14.5" thickBot="1">
      <c r="A85" s="586" t="s">
        <v>977</v>
      </c>
      <c r="B85" s="587" t="s">
        <v>982</v>
      </c>
      <c r="C85" s="588">
        <v>169</v>
      </c>
      <c r="D85" s="588">
        <v>0.2</v>
      </c>
      <c r="E85" s="588">
        <v>0.2</v>
      </c>
      <c r="F85" s="588">
        <v>3.6</v>
      </c>
      <c r="G85" s="595">
        <v>3.6</v>
      </c>
      <c r="H85" s="588">
        <v>0.32</v>
      </c>
      <c r="I85" s="589">
        <v>0.36</v>
      </c>
      <c r="J85" s="589">
        <v>1.04</v>
      </c>
      <c r="K85" s="590">
        <v>5.2</v>
      </c>
      <c r="L85" s="591" t="s">
        <v>975</v>
      </c>
      <c r="M85" s="590">
        <f t="shared" si="7"/>
        <v>10.199999999999999</v>
      </c>
      <c r="N85" s="589">
        <v>3.4</v>
      </c>
      <c r="O85" s="589">
        <f t="shared" si="8"/>
        <v>4.9999999999999991</v>
      </c>
      <c r="P85" t="str">
        <f t="shared" si="9"/>
        <v/>
      </c>
      <c r="Q85">
        <v>4</v>
      </c>
      <c r="R85">
        <v>18</v>
      </c>
    </row>
    <row r="86" spans="1:18" ht="14.5" thickBot="1">
      <c r="A86" s="586" t="s">
        <v>977</v>
      </c>
      <c r="B86" s="587" t="s">
        <v>982</v>
      </c>
      <c r="C86" s="588">
        <v>169</v>
      </c>
      <c r="D86" s="588">
        <v>0.2</v>
      </c>
      <c r="E86" s="588">
        <v>0.2</v>
      </c>
      <c r="F86" s="588">
        <v>3.6</v>
      </c>
      <c r="G86" s="595">
        <v>0</v>
      </c>
      <c r="H86" s="588">
        <v>-0.26</v>
      </c>
      <c r="I86" s="589">
        <v>-0.34</v>
      </c>
      <c r="J86" s="589">
        <v>-9.86</v>
      </c>
      <c r="K86" s="590">
        <v>0.6</v>
      </c>
      <c r="L86" s="591" t="s">
        <v>975</v>
      </c>
      <c r="M86" s="590">
        <f t="shared" si="7"/>
        <v>10.199999999999999</v>
      </c>
      <c r="N86" s="589">
        <v>3.4</v>
      </c>
      <c r="O86" s="589">
        <f t="shared" si="8"/>
        <v>9.6</v>
      </c>
      <c r="P86" t="str">
        <f t="shared" si="9"/>
        <v/>
      </c>
      <c r="Q86">
        <v>4</v>
      </c>
      <c r="R86">
        <v>18</v>
      </c>
    </row>
    <row r="87" spans="1:18" ht="14.5" thickBot="1">
      <c r="A87" s="586" t="s">
        <v>977</v>
      </c>
      <c r="B87" s="587" t="s">
        <v>982</v>
      </c>
      <c r="C87" s="588">
        <v>169</v>
      </c>
      <c r="D87" s="588">
        <v>0.2</v>
      </c>
      <c r="E87" s="588">
        <v>0.2</v>
      </c>
      <c r="F87" s="588">
        <v>3.6</v>
      </c>
      <c r="G87" s="595">
        <v>3.6</v>
      </c>
      <c r="H87" s="588">
        <v>-0.44</v>
      </c>
      <c r="I87" s="589">
        <v>-0.31</v>
      </c>
      <c r="J87" s="589">
        <v>-9.86</v>
      </c>
      <c r="K87" s="590">
        <v>0.6</v>
      </c>
      <c r="L87" s="591" t="s">
        <v>975</v>
      </c>
      <c r="M87" s="590">
        <f t="shared" si="7"/>
        <v>10.199999999999999</v>
      </c>
      <c r="N87" s="589">
        <v>3.4</v>
      </c>
      <c r="O87" s="589">
        <f t="shared" si="8"/>
        <v>9.6</v>
      </c>
      <c r="P87" t="str">
        <f t="shared" si="9"/>
        <v/>
      </c>
      <c r="Q87">
        <v>4</v>
      </c>
      <c r="R87">
        <v>18</v>
      </c>
    </row>
    <row r="88" spans="1:18" ht="14.5" thickBot="1">
      <c r="A88" s="586" t="s">
        <v>973</v>
      </c>
      <c r="B88" s="587" t="s">
        <v>983</v>
      </c>
      <c r="C88" s="588">
        <v>170</v>
      </c>
      <c r="D88" s="588">
        <v>0.2</v>
      </c>
      <c r="E88" s="588">
        <v>0.2</v>
      </c>
      <c r="F88" s="588">
        <v>2.7</v>
      </c>
      <c r="G88" s="595">
        <v>0</v>
      </c>
      <c r="H88" s="588">
        <v>0.84</v>
      </c>
      <c r="I88" s="589">
        <v>0.67</v>
      </c>
      <c r="J88" s="589">
        <v>-15.89</v>
      </c>
      <c r="K88" s="590">
        <v>3.3</v>
      </c>
      <c r="L88" s="591" t="s">
        <v>975</v>
      </c>
      <c r="M88" s="590">
        <f t="shared" si="7"/>
        <v>10.199999999999999</v>
      </c>
      <c r="N88" s="589">
        <v>3.4</v>
      </c>
      <c r="O88" s="589">
        <f t="shared" si="8"/>
        <v>6.8999999999999995</v>
      </c>
      <c r="P88" t="str">
        <f t="shared" si="9"/>
        <v/>
      </c>
      <c r="Q88">
        <v>4</v>
      </c>
      <c r="R88">
        <v>18</v>
      </c>
    </row>
    <row r="89" spans="1:18" ht="14.5" thickBot="1">
      <c r="A89" s="586" t="s">
        <v>973</v>
      </c>
      <c r="B89" s="587" t="s">
        <v>983</v>
      </c>
      <c r="C89" s="588">
        <v>170</v>
      </c>
      <c r="D89" s="588">
        <v>0.2</v>
      </c>
      <c r="E89" s="588">
        <v>0.2</v>
      </c>
      <c r="F89" s="588">
        <v>2.7</v>
      </c>
      <c r="G89" s="595">
        <v>2.7</v>
      </c>
      <c r="H89" s="588">
        <v>0.63</v>
      </c>
      <c r="I89" s="589">
        <v>0.2</v>
      </c>
      <c r="J89" s="589">
        <v>-15.89</v>
      </c>
      <c r="K89" s="590">
        <v>0.6</v>
      </c>
      <c r="L89" s="591" t="s">
        <v>975</v>
      </c>
      <c r="M89" s="590">
        <f t="shared" si="7"/>
        <v>10.199999999999999</v>
      </c>
      <c r="N89" s="589">
        <v>3.4</v>
      </c>
      <c r="O89" s="589">
        <f t="shared" si="8"/>
        <v>9.6</v>
      </c>
      <c r="P89" t="str">
        <f t="shared" si="9"/>
        <v/>
      </c>
      <c r="Q89">
        <v>4</v>
      </c>
      <c r="R89">
        <v>18</v>
      </c>
    </row>
    <row r="90" spans="1:18" ht="14.5" thickBot="1">
      <c r="A90" s="586" t="s">
        <v>973</v>
      </c>
      <c r="B90" s="587" t="s">
        <v>983</v>
      </c>
      <c r="C90" s="588">
        <v>170</v>
      </c>
      <c r="D90" s="588">
        <v>0.2</v>
      </c>
      <c r="E90" s="588">
        <v>0.2</v>
      </c>
      <c r="F90" s="588">
        <v>2.7</v>
      </c>
      <c r="G90" s="595">
        <v>0</v>
      </c>
      <c r="H90" s="588">
        <v>-0.69</v>
      </c>
      <c r="I90" s="589">
        <v>-0.64</v>
      </c>
      <c r="J90" s="589">
        <v>-32.35</v>
      </c>
      <c r="K90" s="590">
        <v>0.6</v>
      </c>
      <c r="L90" s="591" t="s">
        <v>975</v>
      </c>
      <c r="M90" s="590">
        <f t="shared" si="7"/>
        <v>10.199999999999999</v>
      </c>
      <c r="N90" s="589">
        <v>3.4</v>
      </c>
      <c r="O90" s="589">
        <f t="shared" si="8"/>
        <v>9.6</v>
      </c>
      <c r="P90" t="str">
        <f t="shared" si="9"/>
        <v/>
      </c>
      <c r="Q90">
        <v>4</v>
      </c>
      <c r="R90">
        <v>18</v>
      </c>
    </row>
    <row r="91" spans="1:18" ht="14.5" thickBot="1">
      <c r="A91" s="586" t="s">
        <v>973</v>
      </c>
      <c r="B91" s="587" t="s">
        <v>983</v>
      </c>
      <c r="C91" s="588">
        <v>170</v>
      </c>
      <c r="D91" s="588">
        <v>0.2</v>
      </c>
      <c r="E91" s="588">
        <v>0.2</v>
      </c>
      <c r="F91" s="588">
        <v>2.7</v>
      </c>
      <c r="G91" s="595">
        <v>2.7</v>
      </c>
      <c r="H91" s="588">
        <v>-0.8</v>
      </c>
      <c r="I91" s="589">
        <v>-0.36</v>
      </c>
      <c r="J91" s="589">
        <v>-32.35</v>
      </c>
      <c r="K91" s="590">
        <v>0.6</v>
      </c>
      <c r="L91" s="591" t="s">
        <v>975</v>
      </c>
      <c r="M91" s="590">
        <f t="shared" si="7"/>
        <v>10.199999999999999</v>
      </c>
      <c r="N91" s="589">
        <v>3.4</v>
      </c>
      <c r="O91" s="589">
        <f t="shared" si="8"/>
        <v>9.6</v>
      </c>
      <c r="P91" t="str">
        <f t="shared" si="9"/>
        <v/>
      </c>
      <c r="Q91">
        <v>4</v>
      </c>
      <c r="R91">
        <v>18</v>
      </c>
    </row>
    <row r="92" spans="1:18" ht="14.5" thickBot="1">
      <c r="A92" s="586" t="s">
        <v>976</v>
      </c>
      <c r="B92" s="587" t="s">
        <v>983</v>
      </c>
      <c r="C92" s="588">
        <v>171</v>
      </c>
      <c r="D92" s="588">
        <v>0.2</v>
      </c>
      <c r="E92" s="588">
        <v>0.2</v>
      </c>
      <c r="F92" s="588">
        <v>3.6</v>
      </c>
      <c r="G92" s="595">
        <v>0</v>
      </c>
      <c r="H92" s="588">
        <v>0.97</v>
      </c>
      <c r="I92" s="589">
        <v>0.77</v>
      </c>
      <c r="J92" s="589">
        <v>-18.05</v>
      </c>
      <c r="K92" s="590">
        <v>4.7</v>
      </c>
      <c r="L92" s="591" t="s">
        <v>975</v>
      </c>
      <c r="M92" s="590">
        <f t="shared" si="7"/>
        <v>10.199999999999999</v>
      </c>
      <c r="N92" s="589">
        <v>3.4</v>
      </c>
      <c r="O92" s="589">
        <f t="shared" si="8"/>
        <v>5.4999999999999991</v>
      </c>
      <c r="P92" t="str">
        <f t="shared" si="9"/>
        <v/>
      </c>
      <c r="Q92">
        <v>4</v>
      </c>
      <c r="R92">
        <v>18</v>
      </c>
    </row>
    <row r="93" spans="1:18" ht="14.5" thickBot="1">
      <c r="A93" s="586" t="s">
        <v>976</v>
      </c>
      <c r="B93" s="587" t="s">
        <v>983</v>
      </c>
      <c r="C93" s="588">
        <v>171</v>
      </c>
      <c r="D93" s="588">
        <v>0.2</v>
      </c>
      <c r="E93" s="588">
        <v>0.2</v>
      </c>
      <c r="F93" s="588">
        <v>3.6</v>
      </c>
      <c r="G93" s="595">
        <v>3.6</v>
      </c>
      <c r="H93" s="588">
        <v>0.97</v>
      </c>
      <c r="I93" s="589">
        <v>0.24</v>
      </c>
      <c r="J93" s="589">
        <v>-7.98</v>
      </c>
      <c r="K93" s="590">
        <v>5.6</v>
      </c>
      <c r="L93" s="591" t="s">
        <v>975</v>
      </c>
      <c r="M93" s="590">
        <f t="shared" si="7"/>
        <v>10.199999999999999</v>
      </c>
      <c r="N93" s="589">
        <v>3.4</v>
      </c>
      <c r="O93" s="589">
        <f t="shared" si="8"/>
        <v>4.5999999999999996</v>
      </c>
      <c r="P93" t="str">
        <f t="shared" si="9"/>
        <v/>
      </c>
      <c r="Q93">
        <v>4</v>
      </c>
      <c r="R93">
        <v>18</v>
      </c>
    </row>
    <row r="94" spans="1:18" ht="14.5" thickBot="1">
      <c r="A94" s="586" t="s">
        <v>976</v>
      </c>
      <c r="B94" s="587" t="s">
        <v>983</v>
      </c>
      <c r="C94" s="588">
        <v>171</v>
      </c>
      <c r="D94" s="588">
        <v>0.2</v>
      </c>
      <c r="E94" s="588">
        <v>0.2</v>
      </c>
      <c r="F94" s="588">
        <v>3.6</v>
      </c>
      <c r="G94" s="595">
        <v>0</v>
      </c>
      <c r="H94" s="588">
        <v>-0.97</v>
      </c>
      <c r="I94" s="589">
        <v>-0.88</v>
      </c>
      <c r="J94" s="589">
        <v>-18.36</v>
      </c>
      <c r="K94" s="590">
        <v>7.4</v>
      </c>
      <c r="L94" s="591" t="s">
        <v>975</v>
      </c>
      <c r="M94" s="590">
        <f t="shared" si="7"/>
        <v>10.199999999999999</v>
      </c>
      <c r="N94" s="589">
        <v>3.4</v>
      </c>
      <c r="O94" s="589">
        <f t="shared" si="8"/>
        <v>2.7999999999999989</v>
      </c>
      <c r="P94" t="str">
        <f t="shared" si="9"/>
        <v/>
      </c>
      <c r="Q94">
        <v>4</v>
      </c>
      <c r="R94">
        <v>18</v>
      </c>
    </row>
    <row r="95" spans="1:18" ht="14.5" thickBot="1">
      <c r="A95" s="586" t="s">
        <v>976</v>
      </c>
      <c r="B95" s="587" t="s">
        <v>983</v>
      </c>
      <c r="C95" s="588">
        <v>171</v>
      </c>
      <c r="D95" s="588">
        <v>0.2</v>
      </c>
      <c r="E95" s="588">
        <v>0.2</v>
      </c>
      <c r="F95" s="588">
        <v>3.6</v>
      </c>
      <c r="G95" s="595">
        <v>3.6</v>
      </c>
      <c r="H95" s="588">
        <v>-1.17</v>
      </c>
      <c r="I95" s="589">
        <v>-0.49</v>
      </c>
      <c r="J95" s="589">
        <v>-18.36</v>
      </c>
      <c r="K95" s="590">
        <v>6.3</v>
      </c>
      <c r="L95" s="591" t="s">
        <v>975</v>
      </c>
      <c r="M95" s="590">
        <f t="shared" si="7"/>
        <v>10.199999999999999</v>
      </c>
      <c r="N95" s="589">
        <v>3.4</v>
      </c>
      <c r="O95" s="589">
        <f t="shared" si="8"/>
        <v>3.8999999999999995</v>
      </c>
      <c r="P95" t="str">
        <f t="shared" si="9"/>
        <v/>
      </c>
      <c r="Q95">
        <v>4</v>
      </c>
      <c r="R95">
        <v>18</v>
      </c>
    </row>
    <row r="96" spans="1:18" ht="14.5" thickBot="1">
      <c r="A96" s="586" t="s">
        <v>977</v>
      </c>
      <c r="B96" s="587" t="s">
        <v>983</v>
      </c>
      <c r="C96" s="588">
        <v>172</v>
      </c>
      <c r="D96" s="588">
        <v>0.2</v>
      </c>
      <c r="E96" s="588">
        <v>0.2</v>
      </c>
      <c r="F96" s="588">
        <v>3.6</v>
      </c>
      <c r="G96" s="595">
        <v>0</v>
      </c>
      <c r="H96" s="588">
        <v>0.41</v>
      </c>
      <c r="I96" s="589">
        <v>0.57999999999999996</v>
      </c>
      <c r="J96" s="589">
        <v>0.12</v>
      </c>
      <c r="K96" s="590">
        <v>8.8000000000000007</v>
      </c>
      <c r="L96" s="591" t="s">
        <v>975</v>
      </c>
      <c r="M96" s="590">
        <f t="shared" si="7"/>
        <v>10.199999999999999</v>
      </c>
      <c r="N96" s="589">
        <v>3.4</v>
      </c>
      <c r="O96" s="589">
        <f t="shared" si="8"/>
        <v>1.3999999999999986</v>
      </c>
      <c r="P96" t="str">
        <f t="shared" si="9"/>
        <v/>
      </c>
      <c r="Q96">
        <v>4</v>
      </c>
      <c r="R96">
        <v>18</v>
      </c>
    </row>
    <row r="97" spans="1:18" ht="14.5" thickBot="1">
      <c r="A97" s="586" t="s">
        <v>977</v>
      </c>
      <c r="B97" s="587" t="s">
        <v>983</v>
      </c>
      <c r="C97" s="588">
        <v>172</v>
      </c>
      <c r="D97" s="588">
        <v>0.2</v>
      </c>
      <c r="E97" s="588">
        <v>0.2</v>
      </c>
      <c r="F97" s="588">
        <v>3.6</v>
      </c>
      <c r="G97" s="595">
        <v>3.6</v>
      </c>
      <c r="H97" s="588">
        <v>0.33</v>
      </c>
      <c r="I97" s="589">
        <v>-0.02</v>
      </c>
      <c r="J97" s="589">
        <v>0.12</v>
      </c>
      <c r="K97" s="590">
        <v>3</v>
      </c>
      <c r="L97" s="591" t="s">
        <v>975</v>
      </c>
      <c r="M97" s="590">
        <f t="shared" si="7"/>
        <v>10.199999999999999</v>
      </c>
      <c r="N97" s="589">
        <v>3.4</v>
      </c>
      <c r="O97" s="589">
        <f t="shared" si="8"/>
        <v>7.1999999999999993</v>
      </c>
      <c r="P97" t="str">
        <f t="shared" si="9"/>
        <v/>
      </c>
      <c r="Q97">
        <v>4</v>
      </c>
      <c r="R97">
        <v>18</v>
      </c>
    </row>
    <row r="98" spans="1:18" ht="14.5" thickBot="1">
      <c r="A98" s="586" t="s">
        <v>977</v>
      </c>
      <c r="B98" s="587" t="s">
        <v>983</v>
      </c>
      <c r="C98" s="588">
        <v>172</v>
      </c>
      <c r="D98" s="588">
        <v>0.2</v>
      </c>
      <c r="E98" s="588">
        <v>0.2</v>
      </c>
      <c r="F98" s="588">
        <v>3.6</v>
      </c>
      <c r="G98" s="595">
        <v>0</v>
      </c>
      <c r="H98" s="588">
        <v>-0.31</v>
      </c>
      <c r="I98" s="589">
        <v>-0.5</v>
      </c>
      <c r="J98" s="589">
        <v>-4.37</v>
      </c>
      <c r="K98" s="590">
        <v>3.8</v>
      </c>
      <c r="L98" s="591" t="s">
        <v>975</v>
      </c>
      <c r="M98" s="590">
        <f t="shared" si="7"/>
        <v>10.199999999999999</v>
      </c>
      <c r="N98" s="589">
        <v>3.4</v>
      </c>
      <c r="O98" s="589">
        <f t="shared" si="8"/>
        <v>6.3999999999999995</v>
      </c>
      <c r="P98" t="str">
        <f t="shared" si="9"/>
        <v/>
      </c>
      <c r="Q98">
        <v>4</v>
      </c>
      <c r="R98">
        <v>18</v>
      </c>
    </row>
    <row r="99" spans="1:18" ht="14.5" thickBot="1">
      <c r="A99" s="586" t="s">
        <v>977</v>
      </c>
      <c r="B99" s="587" t="s">
        <v>983</v>
      </c>
      <c r="C99" s="588">
        <v>172</v>
      </c>
      <c r="D99" s="588">
        <v>0.2</v>
      </c>
      <c r="E99" s="588">
        <v>0.2</v>
      </c>
      <c r="F99" s="588">
        <v>3.6</v>
      </c>
      <c r="G99" s="595">
        <v>3.6</v>
      </c>
      <c r="H99" s="588">
        <v>-0.41</v>
      </c>
      <c r="I99" s="589">
        <v>-0.23</v>
      </c>
      <c r="J99" s="589">
        <v>-4.37</v>
      </c>
      <c r="K99" s="590">
        <v>2.2999999999999998</v>
      </c>
      <c r="L99" s="591" t="s">
        <v>975</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100" t="s">
        <v>433</v>
      </c>
      <c r="B1" s="1100"/>
      <c r="C1" s="1100"/>
      <c r="D1" s="199"/>
      <c r="E1" s="143"/>
      <c r="F1" s="143"/>
      <c r="G1" s="143"/>
      <c r="H1" s="133"/>
      <c r="I1" s="143"/>
      <c r="J1" s="134"/>
      <c r="K1" s="134"/>
      <c r="L1" s="134"/>
      <c r="M1" s="134"/>
      <c r="N1" s="134"/>
      <c r="O1" s="134"/>
      <c r="P1" s="134"/>
      <c r="Q1" s="134"/>
      <c r="R1" s="134"/>
      <c r="S1" s="134"/>
      <c r="T1" s="134"/>
    </row>
    <row r="2" spans="1:20" ht="15">
      <c r="A2" s="133"/>
      <c r="B2" s="150" t="s">
        <v>434</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435</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436</v>
      </c>
      <c r="D6" s="195"/>
      <c r="E6" s="152" t="s">
        <v>205</v>
      </c>
      <c r="F6" s="153" t="s">
        <v>205</v>
      </c>
      <c r="G6" s="1101" t="s">
        <v>986</v>
      </c>
      <c r="H6" s="152" t="s">
        <v>362</v>
      </c>
      <c r="I6" s="154" t="s">
        <v>207</v>
      </c>
      <c r="J6" s="154" t="s">
        <v>208</v>
      </c>
      <c r="K6" s="1101" t="s">
        <v>987</v>
      </c>
      <c r="L6" s="155" t="s">
        <v>437</v>
      </c>
      <c r="M6" s="147"/>
      <c r="N6" s="134"/>
      <c r="O6" s="134"/>
      <c r="P6" s="134"/>
      <c r="Q6" s="134"/>
      <c r="R6" s="134"/>
      <c r="S6" s="134"/>
      <c r="T6" s="134"/>
    </row>
    <row r="7" spans="1:20" ht="16">
      <c r="A7" s="134"/>
      <c r="B7" s="138"/>
      <c r="C7" s="156" t="s">
        <v>211</v>
      </c>
      <c r="D7" s="196"/>
      <c r="E7" s="157" t="s">
        <v>212</v>
      </c>
      <c r="F7" s="157" t="s">
        <v>213</v>
      </c>
      <c r="G7" s="1102"/>
      <c r="H7" s="158" t="s">
        <v>363</v>
      </c>
      <c r="I7" s="159" t="s">
        <v>214</v>
      </c>
      <c r="J7" s="159" t="s">
        <v>214</v>
      </c>
      <c r="K7" s="1102"/>
      <c r="L7" s="160" t="s">
        <v>438</v>
      </c>
      <c r="M7" s="134"/>
      <c r="N7" s="134"/>
      <c r="O7" s="134"/>
      <c r="P7" s="134"/>
      <c r="Q7" s="134"/>
      <c r="R7" s="134"/>
      <c r="S7" s="134"/>
      <c r="T7" s="134"/>
    </row>
    <row r="8" spans="1:20" ht="17.5">
      <c r="A8" s="134"/>
      <c r="B8" s="138"/>
      <c r="C8" s="156" t="s">
        <v>217</v>
      </c>
      <c r="D8" s="196"/>
      <c r="E8" s="158" t="s">
        <v>439</v>
      </c>
      <c r="F8" s="157" t="s">
        <v>440</v>
      </c>
      <c r="G8" s="1102"/>
      <c r="H8" s="158" t="s">
        <v>364</v>
      </c>
      <c r="I8" s="159" t="s">
        <v>441</v>
      </c>
      <c r="J8" s="159" t="s">
        <v>442</v>
      </c>
      <c r="K8" s="1102"/>
      <c r="L8" s="160" t="s">
        <v>443</v>
      </c>
      <c r="M8" s="134"/>
      <c r="N8" s="134"/>
      <c r="O8" s="134"/>
      <c r="P8" s="134"/>
      <c r="Q8" s="134"/>
      <c r="R8" s="134"/>
      <c r="S8" s="134"/>
      <c r="T8" s="134"/>
    </row>
    <row r="9" spans="1:20" ht="25" customHeight="1">
      <c r="A9" s="134"/>
      <c r="B9" s="138"/>
      <c r="C9" s="156" t="s">
        <v>224</v>
      </c>
      <c r="D9" s="196"/>
      <c r="E9" s="161"/>
      <c r="F9" s="162"/>
      <c r="G9" s="1102"/>
      <c r="H9" s="158" t="s">
        <v>365</v>
      </c>
      <c r="I9" s="163"/>
      <c r="J9" s="163"/>
      <c r="K9" s="1102"/>
      <c r="L9" s="160" t="s">
        <v>444</v>
      </c>
      <c r="M9" s="134"/>
      <c r="N9" s="140"/>
      <c r="O9" s="135"/>
      <c r="P9" s="135"/>
      <c r="Q9" s="134"/>
      <c r="R9" s="134"/>
      <c r="S9" s="134"/>
      <c r="T9" s="134"/>
    </row>
    <row r="10" spans="1:20" ht="16">
      <c r="A10" s="134"/>
      <c r="B10" s="138"/>
      <c r="C10" s="164"/>
      <c r="D10" s="197"/>
      <c r="E10" s="165" t="s">
        <v>58</v>
      </c>
      <c r="F10" s="166" t="s">
        <v>58</v>
      </c>
      <c r="G10" s="1103"/>
      <c r="H10" s="167"/>
      <c r="I10" s="168" t="s">
        <v>1005</v>
      </c>
      <c r="J10" s="168" t="s">
        <v>1005</v>
      </c>
      <c r="K10" s="1103"/>
      <c r="L10" s="168" t="s">
        <v>1005</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200</v>
      </c>
      <c r="D12" s="231" t="s">
        <v>446</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447</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448</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449</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203</v>
      </c>
      <c r="D16" s="231" t="s">
        <v>446</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447</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448</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449</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104</v>
      </c>
      <c r="D20" s="231" t="s">
        <v>446</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447</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448</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449</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102</v>
      </c>
      <c r="D24" s="231" t="s">
        <v>446</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447</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448</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449</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103</v>
      </c>
      <c r="D28" s="231" t="s">
        <v>446</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447</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448</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449</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106</v>
      </c>
      <c r="D32" s="231" t="s">
        <v>446</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447</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448</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449</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109</v>
      </c>
      <c r="D36" s="231" t="s">
        <v>446</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447</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448</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449</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111</v>
      </c>
      <c r="D40" s="231" t="s">
        <v>446</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447</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448</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449</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110</v>
      </c>
      <c r="D44" s="231" t="s">
        <v>446</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447</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448</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449</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7"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685</v>
      </c>
      <c r="B1" s="351"/>
      <c r="C1" s="351"/>
      <c r="D1" s="351"/>
      <c r="E1" s="351"/>
      <c r="F1" s="369"/>
      <c r="G1" s="358"/>
      <c r="H1" s="358"/>
    </row>
    <row r="2" spans="1:8">
      <c r="A2" s="352" t="s">
        <v>686</v>
      </c>
      <c r="B2" s="353"/>
      <c r="C2" s="353"/>
      <c r="D2" s="353"/>
      <c r="E2" s="353"/>
      <c r="F2" s="351"/>
      <c r="G2" s="358"/>
      <c r="H2" s="358"/>
    </row>
    <row r="3" spans="1:8">
      <c r="A3" s="354" t="s">
        <v>687</v>
      </c>
      <c r="B3" s="353"/>
      <c r="C3" s="351"/>
      <c r="D3" s="355" t="s">
        <v>84</v>
      </c>
      <c r="E3" s="356"/>
      <c r="F3" s="351"/>
      <c r="G3" s="358"/>
      <c r="H3" s="358"/>
    </row>
    <row r="4" spans="1:8">
      <c r="A4" s="354"/>
      <c r="B4" s="351" t="s">
        <v>688</v>
      </c>
      <c r="C4" s="351"/>
      <c r="D4" s="357" t="s">
        <v>689</v>
      </c>
      <c r="E4" s="358">
        <f>+HLOOKUP($D$3,B_BT,3,0)*$E$24</f>
        <v>14.5</v>
      </c>
      <c r="F4" s="359" t="s">
        <v>735</v>
      </c>
      <c r="G4" s="361">
        <f>E4*100</f>
        <v>1450</v>
      </c>
      <c r="H4" s="358" t="s">
        <v>733</v>
      </c>
    </row>
    <row r="5" spans="1:8">
      <c r="A5" s="354"/>
      <c r="B5" s="351" t="s">
        <v>690</v>
      </c>
      <c r="C5" s="351"/>
      <c r="D5" s="357" t="s">
        <v>691</v>
      </c>
      <c r="E5" s="358">
        <f>+HLOOKUP($D$3,B_BT,4,0)*$E$24</f>
        <v>1.05</v>
      </c>
      <c r="F5" s="359" t="s">
        <v>735</v>
      </c>
      <c r="G5" s="361">
        <f>E5*100</f>
        <v>105</v>
      </c>
      <c r="H5" s="358" t="s">
        <v>733</v>
      </c>
    </row>
    <row r="6" spans="1:8">
      <c r="A6" s="354"/>
      <c r="B6" s="351" t="s">
        <v>692</v>
      </c>
      <c r="C6" s="351"/>
      <c r="D6" s="357" t="s">
        <v>693</v>
      </c>
      <c r="E6" s="360">
        <f>+HLOOKUP($D$3,B_BT,5,0)</f>
        <v>30000</v>
      </c>
      <c r="F6" s="359" t="s">
        <v>735</v>
      </c>
      <c r="G6" s="360">
        <f>E6*100</f>
        <v>3000000</v>
      </c>
      <c r="H6" s="358" t="s">
        <v>733</v>
      </c>
    </row>
    <row r="7" spans="1:8">
      <c r="A7" s="354" t="s">
        <v>736</v>
      </c>
      <c r="B7" s="353"/>
      <c r="C7" s="351"/>
      <c r="D7" s="355" t="s">
        <v>381</v>
      </c>
      <c r="E7" s="356"/>
      <c r="F7" s="351"/>
      <c r="G7" s="358"/>
      <c r="H7" s="358"/>
    </row>
    <row r="8" spans="1:8">
      <c r="A8" s="354"/>
      <c r="B8" s="351" t="s">
        <v>690</v>
      </c>
      <c r="C8" s="351"/>
      <c r="D8" s="357" t="s">
        <v>694</v>
      </c>
      <c r="E8" s="361">
        <f>+HLOOKUP(D7,B_CT,3,0)</f>
        <v>225</v>
      </c>
      <c r="F8" s="359" t="s">
        <v>735</v>
      </c>
      <c r="G8" s="361">
        <f>E8*100</f>
        <v>22500</v>
      </c>
      <c r="H8" s="358" t="s">
        <v>733</v>
      </c>
    </row>
    <row r="9" spans="1:8">
      <c r="A9" s="354"/>
      <c r="B9" s="351" t="s">
        <v>688</v>
      </c>
      <c r="C9" s="351"/>
      <c r="D9" s="357" t="s">
        <v>695</v>
      </c>
      <c r="E9" s="361">
        <f>+HLOOKUP(D7,B_CT,4,0)</f>
        <v>175</v>
      </c>
      <c r="F9" s="359" t="s">
        <v>735</v>
      </c>
      <c r="G9" s="361">
        <f>E9*100</f>
        <v>17500</v>
      </c>
      <c r="H9" s="358" t="s">
        <v>733</v>
      </c>
    </row>
    <row r="10" spans="1:8" ht="19.5">
      <c r="A10" s="354" t="s">
        <v>696</v>
      </c>
      <c r="B10" s="351" t="s">
        <v>697</v>
      </c>
      <c r="C10" s="362"/>
      <c r="D10" s="363" t="s">
        <v>730</v>
      </c>
      <c r="E10" s="364">
        <v>1</v>
      </c>
      <c r="F10" s="351"/>
      <c r="G10" s="358"/>
      <c r="H10" s="358"/>
    </row>
    <row r="11" spans="1:8">
      <c r="A11" s="354"/>
      <c r="B11" s="351" t="s">
        <v>698</v>
      </c>
      <c r="C11" s="365"/>
      <c r="D11" s="366"/>
      <c r="E11" s="366"/>
      <c r="F11" s="359"/>
      <c r="G11" s="358"/>
      <c r="H11" s="358"/>
    </row>
    <row r="12" spans="1:8" ht="19.5">
      <c r="A12" s="354" t="s">
        <v>696</v>
      </c>
      <c r="B12" s="351" t="s">
        <v>699</v>
      </c>
      <c r="C12" s="351"/>
      <c r="D12" s="363" t="s">
        <v>731</v>
      </c>
      <c r="E12" s="364">
        <v>0.2</v>
      </c>
      <c r="F12" s="359" t="s">
        <v>700</v>
      </c>
      <c r="G12" s="358"/>
      <c r="H12" s="358"/>
    </row>
    <row r="13" spans="1:8" ht="19.5">
      <c r="A13" s="354"/>
      <c r="B13" s="351"/>
      <c r="C13" s="351"/>
      <c r="D13" s="367" t="s">
        <v>732</v>
      </c>
      <c r="E13" s="368">
        <f>(0.85-0.008*$E$4)/(1+E8*(1-(0.85-0.008*$E$4)/1.1)/400)</f>
        <v>0.61828276060112941</v>
      </c>
      <c r="F13" s="359"/>
      <c r="G13" s="358"/>
      <c r="H13" s="358"/>
    </row>
    <row r="14" spans="1:8">
      <c r="A14" s="354" t="s">
        <v>737</v>
      </c>
      <c r="B14" s="353"/>
      <c r="C14" s="351"/>
      <c r="D14" s="355" t="s">
        <v>382</v>
      </c>
      <c r="E14" s="356"/>
      <c r="F14" s="351"/>
      <c r="G14" s="358"/>
      <c r="H14" s="358"/>
    </row>
    <row r="15" spans="1:8">
      <c r="A15" s="354"/>
      <c r="B15" s="351" t="s">
        <v>690</v>
      </c>
      <c r="C15" s="351"/>
      <c r="D15" s="357" t="s">
        <v>694</v>
      </c>
      <c r="E15" s="361">
        <f>+HLOOKUP(D14,B_CT,3,0)</f>
        <v>280</v>
      </c>
      <c r="F15" s="359" t="s">
        <v>735</v>
      </c>
      <c r="G15" s="361">
        <f>E15*100</f>
        <v>28000</v>
      </c>
      <c r="H15" s="358" t="s">
        <v>733</v>
      </c>
    </row>
    <row r="16" spans="1:8">
      <c r="A16" s="354"/>
      <c r="B16" s="351" t="s">
        <v>688</v>
      </c>
      <c r="C16" s="351"/>
      <c r="D16" s="357" t="s">
        <v>695</v>
      </c>
      <c r="E16" s="361">
        <f>+HLOOKUP(D14,B_CT,4,0)</f>
        <v>225</v>
      </c>
      <c r="F16" s="359" t="s">
        <v>735</v>
      </c>
      <c r="G16" s="361">
        <f>E16*100</f>
        <v>22500</v>
      </c>
      <c r="H16" s="358" t="s">
        <v>733</v>
      </c>
    </row>
    <row r="17" spans="1:8" ht="19.5">
      <c r="A17" s="354" t="s">
        <v>696</v>
      </c>
      <c r="B17" s="351" t="s">
        <v>697</v>
      </c>
      <c r="C17" s="362"/>
      <c r="D17" s="363" t="s">
        <v>730</v>
      </c>
      <c r="E17" s="364">
        <v>1</v>
      </c>
      <c r="F17" s="351"/>
      <c r="G17" s="358"/>
      <c r="H17" s="358"/>
    </row>
    <row r="18" spans="1:8">
      <c r="A18" s="354"/>
      <c r="B18" s="351" t="s">
        <v>698</v>
      </c>
      <c r="C18" s="365"/>
      <c r="D18" s="366"/>
      <c r="E18" s="366"/>
      <c r="F18" s="359"/>
      <c r="G18" s="358"/>
      <c r="H18" s="358"/>
    </row>
    <row r="19" spans="1:8" ht="19.5">
      <c r="A19" s="354" t="s">
        <v>696</v>
      </c>
      <c r="B19" s="351" t="s">
        <v>699</v>
      </c>
      <c r="C19" s="351"/>
      <c r="D19" s="363" t="s">
        <v>731</v>
      </c>
      <c r="E19" s="364">
        <v>0.2</v>
      </c>
      <c r="F19" s="359" t="s">
        <v>700</v>
      </c>
      <c r="G19" s="358"/>
      <c r="H19" s="358"/>
    </row>
    <row r="20" spans="1:8" ht="19.5">
      <c r="A20" s="354"/>
      <c r="B20" s="351"/>
      <c r="C20" s="351"/>
      <c r="D20" s="367" t="s">
        <v>732</v>
      </c>
      <c r="E20" s="368">
        <f>(0.85-0.008*$E$4)/(1+E15*(1-(0.85-0.008*$E$4)/1.1)/400)</f>
        <v>0.59533992036572769</v>
      </c>
      <c r="F20" s="359"/>
      <c r="G20" s="358"/>
      <c r="H20" s="358"/>
    </row>
    <row r="21" spans="1:8">
      <c r="A21" s="354" t="s">
        <v>737</v>
      </c>
      <c r="B21" s="353"/>
      <c r="C21" s="351"/>
      <c r="D21" s="355" t="s">
        <v>383</v>
      </c>
      <c r="E21" s="356"/>
      <c r="F21" s="351"/>
      <c r="G21" s="358"/>
      <c r="H21" s="358"/>
    </row>
    <row r="22" spans="1:8">
      <c r="A22" s="354"/>
      <c r="B22" s="351" t="s">
        <v>690</v>
      </c>
      <c r="C22" s="351"/>
      <c r="D22" s="357" t="s">
        <v>694</v>
      </c>
      <c r="E22" s="361">
        <f>+HLOOKUP(D21,B_CT,3,0)</f>
        <v>365</v>
      </c>
      <c r="F22" s="359" t="s">
        <v>735</v>
      </c>
      <c r="G22" s="361">
        <f>E22*100</f>
        <v>36500</v>
      </c>
      <c r="H22" s="358" t="s">
        <v>733</v>
      </c>
    </row>
    <row r="23" spans="1:8">
      <c r="A23" s="354"/>
      <c r="B23" s="351" t="s">
        <v>688</v>
      </c>
      <c r="C23" s="351"/>
      <c r="D23" s="357" t="s">
        <v>695</v>
      </c>
      <c r="E23" s="361">
        <f>+HLOOKUP(D21,B_CT,4,0)</f>
        <v>290</v>
      </c>
      <c r="F23" s="359" t="s">
        <v>735</v>
      </c>
      <c r="G23" s="361">
        <f>E23*100</f>
        <v>29000</v>
      </c>
      <c r="H23" s="358" t="s">
        <v>733</v>
      </c>
    </row>
    <row r="24" spans="1:8" ht="19.5">
      <c r="A24" s="354" t="s">
        <v>696</v>
      </c>
      <c r="B24" s="351" t="s">
        <v>697</v>
      </c>
      <c r="C24" s="362"/>
      <c r="D24" s="363" t="s">
        <v>730</v>
      </c>
      <c r="E24" s="364">
        <v>1</v>
      </c>
      <c r="F24" s="351"/>
      <c r="G24" s="358"/>
      <c r="H24" s="358"/>
    </row>
    <row r="25" spans="1:8">
      <c r="A25" s="354"/>
      <c r="B25" s="351" t="s">
        <v>698</v>
      </c>
      <c r="C25" s="365"/>
      <c r="D25" s="366"/>
      <c r="E25" s="366"/>
      <c r="F25" s="359"/>
      <c r="G25" s="358"/>
      <c r="H25" s="358"/>
    </row>
    <row r="26" spans="1:8" ht="19.5">
      <c r="A26" s="354" t="s">
        <v>696</v>
      </c>
      <c r="B26" s="351" t="s">
        <v>699</v>
      </c>
      <c r="C26" s="351"/>
      <c r="D26" s="363" t="s">
        <v>731</v>
      </c>
      <c r="E26" s="364">
        <v>0.2</v>
      </c>
      <c r="F26" s="359" t="s">
        <v>700</v>
      </c>
      <c r="G26" s="358"/>
      <c r="H26" s="358"/>
    </row>
    <row r="27" spans="1:8" ht="19.5">
      <c r="A27" s="354"/>
      <c r="B27" s="351"/>
      <c r="C27" s="351"/>
      <c r="D27" s="367" t="s">
        <v>732</v>
      </c>
      <c r="E27" s="368">
        <f>(0.85-0.008*$E$4)/(1+E22*(1-(0.85-0.008*$E$4)/1.1)/400)</f>
        <v>0.56305026238253808</v>
      </c>
      <c r="F27" s="359"/>
      <c r="G27" s="358"/>
      <c r="H27" s="358"/>
    </row>
    <row r="28" spans="1:8">
      <c r="A28" s="354" t="s">
        <v>738</v>
      </c>
      <c r="B28" s="354"/>
      <c r="C28" s="354"/>
      <c r="D28" s="354"/>
      <c r="E28" s="354"/>
      <c r="F28" s="354"/>
      <c r="G28" s="354"/>
      <c r="H28" s="354"/>
    </row>
    <row r="29" spans="1:8">
      <c r="A29" s="354"/>
      <c r="B29" s="354" t="s">
        <v>739</v>
      </c>
      <c r="C29" s="354"/>
      <c r="D29" s="370" t="s">
        <v>740</v>
      </c>
      <c r="E29" s="371">
        <v>20</v>
      </c>
      <c r="F29" s="354" t="s">
        <v>743</v>
      </c>
      <c r="G29" s="371">
        <f>E29*0.1</f>
        <v>2</v>
      </c>
      <c r="H29" s="358" t="s">
        <v>734</v>
      </c>
    </row>
    <row r="30" spans="1:8">
      <c r="A30" s="354"/>
      <c r="B30" s="354" t="s">
        <v>741</v>
      </c>
      <c r="C30" s="354"/>
      <c r="D30" s="370" t="s">
        <v>740</v>
      </c>
      <c r="E30" s="371">
        <v>20</v>
      </c>
      <c r="F30" s="354" t="s">
        <v>743</v>
      </c>
      <c r="G30" s="371">
        <f t="shared" ref="G30:G31" si="0">E30*0.1</f>
        <v>2</v>
      </c>
      <c r="H30" s="358" t="s">
        <v>734</v>
      </c>
    </row>
    <row r="31" spans="1:8">
      <c r="A31" s="354"/>
      <c r="B31" s="354" t="s">
        <v>742</v>
      </c>
      <c r="C31" s="354"/>
      <c r="D31" s="370" t="s">
        <v>740</v>
      </c>
      <c r="E31" s="371">
        <v>18</v>
      </c>
      <c r="F31" s="354" t="s">
        <v>743</v>
      </c>
      <c r="G31" s="371">
        <f t="shared" si="0"/>
        <v>1.8</v>
      </c>
      <c r="H31" s="358" t="s">
        <v>734</v>
      </c>
    </row>
    <row r="33" spans="1:15">
      <c r="A33" s="1107" t="s">
        <v>701</v>
      </c>
      <c r="B33" s="1107"/>
      <c r="C33" s="1107"/>
      <c r="D33" s="1107"/>
      <c r="E33" s="1107"/>
      <c r="F33" s="1107"/>
      <c r="G33" s="1107"/>
      <c r="H33" s="1107"/>
      <c r="I33" s="1107"/>
      <c r="J33" s="1107"/>
      <c r="K33" s="1107"/>
      <c r="L33" s="1107"/>
      <c r="M33" s="1107"/>
      <c r="N33" s="1107"/>
      <c r="O33" s="1107"/>
    </row>
    <row r="34" spans="1:15" ht="17" thickBot="1">
      <c r="A34" s="336" t="s">
        <v>702</v>
      </c>
      <c r="B34" s="336"/>
      <c r="C34" s="336"/>
      <c r="D34" s="336"/>
      <c r="E34" s="336"/>
      <c r="F34" s="336"/>
      <c r="G34" s="336"/>
      <c r="H34" s="336"/>
      <c r="I34" s="336"/>
      <c r="J34" s="336"/>
      <c r="K34" s="336"/>
      <c r="L34" s="336"/>
      <c r="M34" s="336"/>
      <c r="N34" s="336"/>
      <c r="O34" s="336"/>
    </row>
    <row r="35" spans="1:15">
      <c r="A35" s="337"/>
      <c r="B35" s="1108" t="s">
        <v>703</v>
      </c>
      <c r="C35" s="1109"/>
      <c r="D35" s="1109"/>
      <c r="E35" s="1109"/>
      <c r="F35" s="1109"/>
      <c r="G35" s="1109"/>
      <c r="H35" s="1109"/>
      <c r="I35" s="1109"/>
      <c r="J35" s="1109"/>
      <c r="K35" s="1109"/>
      <c r="L35" s="1109"/>
      <c r="M35" s="1109"/>
      <c r="N35" s="1109"/>
      <c r="O35" s="1110"/>
    </row>
    <row r="36" spans="1:15">
      <c r="A36" s="338"/>
      <c r="B36" s="1104" t="s">
        <v>704</v>
      </c>
      <c r="C36" s="1105"/>
      <c r="D36" s="1106"/>
      <c r="E36" s="339" t="s">
        <v>705</v>
      </c>
      <c r="F36" s="339" t="s">
        <v>706</v>
      </c>
      <c r="G36" s="339" t="s">
        <v>707</v>
      </c>
      <c r="H36" s="339" t="s">
        <v>708</v>
      </c>
      <c r="I36" s="339" t="s">
        <v>709</v>
      </c>
      <c r="J36" s="339" t="s">
        <v>710</v>
      </c>
      <c r="K36" s="339" t="s">
        <v>84</v>
      </c>
      <c r="L36" s="339" t="s">
        <v>711</v>
      </c>
      <c r="M36" s="339" t="s">
        <v>712</v>
      </c>
      <c r="N36" s="339" t="s">
        <v>713</v>
      </c>
      <c r="O36" s="340" t="s">
        <v>714</v>
      </c>
    </row>
    <row r="37" spans="1:15">
      <c r="A37" s="341"/>
      <c r="B37" s="1104" t="s">
        <v>715</v>
      </c>
      <c r="C37" s="1105"/>
      <c r="D37" s="1106"/>
      <c r="E37" s="339">
        <v>100</v>
      </c>
      <c r="F37" s="339">
        <v>150</v>
      </c>
      <c r="G37" s="339">
        <v>150</v>
      </c>
      <c r="H37" s="339">
        <v>200</v>
      </c>
      <c r="I37" s="339">
        <v>250</v>
      </c>
      <c r="J37" s="339">
        <v>300</v>
      </c>
      <c r="K37" s="339">
        <v>350</v>
      </c>
      <c r="L37" s="339">
        <v>400</v>
      </c>
      <c r="M37" s="339">
        <v>450</v>
      </c>
      <c r="N37" s="339">
        <v>500</v>
      </c>
      <c r="O37" s="340">
        <v>600</v>
      </c>
    </row>
    <row r="38" spans="1:15">
      <c r="A38" s="341"/>
      <c r="B38" s="1104" t="s">
        <v>716</v>
      </c>
      <c r="C38" s="1105"/>
      <c r="D38" s="1106"/>
      <c r="E38" s="339">
        <v>4.5</v>
      </c>
      <c r="F38" s="339">
        <v>6</v>
      </c>
      <c r="G38" s="339">
        <v>7.5</v>
      </c>
      <c r="H38" s="339">
        <v>8.5</v>
      </c>
      <c r="I38" s="339">
        <v>11.5</v>
      </c>
      <c r="J38" s="339">
        <v>13</v>
      </c>
      <c r="K38" s="339">
        <v>14.5</v>
      </c>
      <c r="L38" s="339">
        <v>17</v>
      </c>
      <c r="M38" s="339">
        <v>19.5</v>
      </c>
      <c r="N38" s="339">
        <v>22</v>
      </c>
      <c r="O38" s="340">
        <v>25</v>
      </c>
    </row>
    <row r="39" spans="1:15">
      <c r="A39" s="341"/>
      <c r="B39" s="1104" t="s">
        <v>717</v>
      </c>
      <c r="C39" s="1105"/>
      <c r="D39" s="1106"/>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111" t="s">
        <v>728</v>
      </c>
      <c r="C40" s="1112"/>
      <c r="D40" s="1113"/>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718</v>
      </c>
      <c r="B42" s="336"/>
      <c r="C42" s="336"/>
      <c r="D42" s="347"/>
      <c r="E42" s="348"/>
      <c r="F42" s="349"/>
      <c r="G42" s="336"/>
      <c r="H42" s="336"/>
      <c r="I42" s="336"/>
      <c r="J42" s="336"/>
      <c r="K42" s="336"/>
      <c r="L42" s="336"/>
      <c r="M42" s="336"/>
      <c r="N42" s="336"/>
      <c r="O42" s="336"/>
    </row>
    <row r="43" spans="1:15">
      <c r="A43" s="341"/>
      <c r="B43" s="1108" t="s">
        <v>719</v>
      </c>
      <c r="C43" s="1109"/>
      <c r="D43" s="1109"/>
      <c r="E43" s="1109"/>
      <c r="F43" s="1109"/>
      <c r="G43" s="1109"/>
      <c r="H43" s="1109"/>
      <c r="I43" s="1109"/>
      <c r="J43" s="1109"/>
      <c r="K43" s="1110"/>
      <c r="L43" s="336"/>
      <c r="M43" s="336"/>
      <c r="N43" s="336"/>
      <c r="O43" s="336"/>
    </row>
    <row r="44" spans="1:15">
      <c r="A44" s="341"/>
      <c r="B44" s="1104" t="s">
        <v>720</v>
      </c>
      <c r="C44" s="1105"/>
      <c r="D44" s="1106"/>
      <c r="E44" s="339" t="s">
        <v>381</v>
      </c>
      <c r="F44" s="339" t="s">
        <v>382</v>
      </c>
      <c r="G44" s="339" t="s">
        <v>383</v>
      </c>
      <c r="H44" s="339" t="s">
        <v>384</v>
      </c>
      <c r="I44" s="339" t="s">
        <v>721</v>
      </c>
      <c r="J44" s="339" t="s">
        <v>722</v>
      </c>
      <c r="K44" s="340" t="s">
        <v>723</v>
      </c>
      <c r="L44" s="336"/>
      <c r="M44" s="336"/>
      <c r="N44" s="336"/>
      <c r="O44" s="336"/>
    </row>
    <row r="45" spans="1:15">
      <c r="A45" s="341"/>
      <c r="B45" s="1104" t="s">
        <v>724</v>
      </c>
      <c r="C45" s="1105"/>
      <c r="D45" s="1106"/>
      <c r="E45" s="339" t="s">
        <v>376</v>
      </c>
      <c r="F45" s="339" t="s">
        <v>377</v>
      </c>
      <c r="G45" s="339" t="s">
        <v>378</v>
      </c>
      <c r="H45" s="339" t="s">
        <v>379</v>
      </c>
      <c r="I45" s="339"/>
      <c r="J45" s="339"/>
      <c r="K45" s="340"/>
      <c r="L45" s="336"/>
      <c r="M45" s="336"/>
      <c r="N45" s="336"/>
      <c r="O45" s="336"/>
    </row>
    <row r="46" spans="1:15">
      <c r="A46" s="341"/>
      <c r="B46" s="1104" t="s">
        <v>725</v>
      </c>
      <c r="C46" s="1105"/>
      <c r="D46" s="1106"/>
      <c r="E46" s="339">
        <v>225</v>
      </c>
      <c r="F46" s="339">
        <v>280</v>
      </c>
      <c r="G46" s="339">
        <v>365</v>
      </c>
      <c r="H46" s="339">
        <v>510</v>
      </c>
      <c r="I46" s="339">
        <v>680</v>
      </c>
      <c r="J46" s="339">
        <v>815</v>
      </c>
      <c r="K46" s="340">
        <v>980</v>
      </c>
      <c r="L46" s="336"/>
      <c r="M46" s="336"/>
      <c r="N46" s="336"/>
      <c r="O46" s="336"/>
    </row>
    <row r="47" spans="1:15">
      <c r="A47" s="341"/>
      <c r="B47" s="1104" t="s">
        <v>726</v>
      </c>
      <c r="C47" s="1105"/>
      <c r="D47" s="1106"/>
      <c r="E47" s="339">
        <v>175</v>
      </c>
      <c r="F47" s="339">
        <v>225</v>
      </c>
      <c r="G47" s="339">
        <v>290</v>
      </c>
      <c r="H47" s="339">
        <v>405</v>
      </c>
      <c r="I47" s="339">
        <v>545</v>
      </c>
      <c r="J47" s="339">
        <v>650</v>
      </c>
      <c r="K47" s="340">
        <v>785</v>
      </c>
      <c r="L47" s="336"/>
      <c r="M47" s="336"/>
      <c r="N47" s="336"/>
      <c r="O47" s="336"/>
    </row>
    <row r="48" spans="1:15">
      <c r="A48" s="341"/>
      <c r="B48" s="1104" t="s">
        <v>727</v>
      </c>
      <c r="C48" s="1105"/>
      <c r="D48" s="1106"/>
      <c r="E48" s="339">
        <v>225</v>
      </c>
      <c r="F48" s="339">
        <v>280</v>
      </c>
      <c r="G48" s="339">
        <v>365</v>
      </c>
      <c r="H48" s="339">
        <v>450</v>
      </c>
      <c r="I48" s="339">
        <v>500</v>
      </c>
      <c r="J48" s="339">
        <v>500</v>
      </c>
      <c r="K48" s="340">
        <v>500</v>
      </c>
      <c r="L48" s="336"/>
      <c r="M48" s="336"/>
      <c r="N48" s="336"/>
      <c r="O48" s="336"/>
    </row>
    <row r="49" spans="1:15" ht="17" thickBot="1">
      <c r="A49" s="338"/>
      <c r="B49" s="1111" t="s">
        <v>729</v>
      </c>
      <c r="C49" s="1112"/>
      <c r="D49" s="1113"/>
      <c r="E49" s="342">
        <v>210000</v>
      </c>
      <c r="F49" s="342">
        <v>210000</v>
      </c>
      <c r="G49" s="342">
        <v>200000</v>
      </c>
      <c r="H49" s="342">
        <v>190000</v>
      </c>
      <c r="I49" s="342">
        <v>190000</v>
      </c>
      <c r="J49" s="342">
        <v>190000</v>
      </c>
      <c r="K49" s="343">
        <v>190000</v>
      </c>
      <c r="L49" s="336"/>
      <c r="M49" s="336"/>
      <c r="N49" s="336"/>
      <c r="O49" s="336"/>
    </row>
  </sheetData>
  <mergeCells count="14">
    <mergeCell ref="B48:D48"/>
    <mergeCell ref="B49:D49"/>
    <mergeCell ref="B40:D40"/>
    <mergeCell ref="B43:K43"/>
    <mergeCell ref="B44:D44"/>
    <mergeCell ref="B45:D45"/>
    <mergeCell ref="B46:D46"/>
    <mergeCell ref="B47:D47"/>
    <mergeCell ref="B39:D39"/>
    <mergeCell ref="A33:O33"/>
    <mergeCell ref="B35:O35"/>
    <mergeCell ref="B36:D36"/>
    <mergeCell ref="B37:D37"/>
    <mergeCell ref="B38:D38"/>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119" t="s">
        <v>753</v>
      </c>
      <c r="B1" s="1119"/>
      <c r="C1" s="1119"/>
      <c r="D1" s="1119"/>
      <c r="E1" s="1119"/>
      <c r="F1" s="1119"/>
      <c r="G1" s="1119"/>
      <c r="H1" s="1119"/>
      <c r="I1" s="1119"/>
      <c r="J1" s="1119"/>
      <c r="K1" s="1119"/>
      <c r="L1" s="1119"/>
    </row>
    <row r="2" spans="1:15" ht="18" customHeight="1">
      <c r="A2" s="1119"/>
      <c r="B2" s="1119"/>
      <c r="C2" s="1119"/>
      <c r="D2" s="1119"/>
      <c r="E2" s="1119"/>
      <c r="F2" s="1119"/>
      <c r="G2" s="1119"/>
      <c r="H2" s="1119"/>
      <c r="I2" s="1119"/>
      <c r="J2" s="1119"/>
      <c r="K2" s="1119"/>
      <c r="L2" s="1119"/>
    </row>
    <row r="3" spans="1:15" ht="17" thickBot="1">
      <c r="H3" s="406"/>
    </row>
    <row r="4" spans="1:15">
      <c r="A4" s="1144" t="s">
        <v>754</v>
      </c>
      <c r="B4" s="1146" t="s">
        <v>755</v>
      </c>
      <c r="C4" s="1147"/>
      <c r="D4" s="1150" t="s">
        <v>756</v>
      </c>
      <c r="E4" s="1151"/>
      <c r="F4" s="1151"/>
      <c r="G4" s="1151"/>
      <c r="H4" s="1151"/>
      <c r="I4" s="1151"/>
      <c r="J4" s="1151"/>
      <c r="K4" s="1151"/>
      <c r="L4" s="1151"/>
      <c r="M4" s="1151"/>
      <c r="N4" s="1151"/>
      <c r="O4" s="1152"/>
    </row>
    <row r="5" spans="1:15">
      <c r="A5" s="1145"/>
      <c r="B5" s="1148"/>
      <c r="C5" s="1149"/>
      <c r="D5" s="407" t="s">
        <v>907</v>
      </c>
      <c r="E5" s="407" t="s">
        <v>908</v>
      </c>
      <c r="F5" s="407" t="s">
        <v>909</v>
      </c>
      <c r="G5" s="452" t="s">
        <v>910</v>
      </c>
      <c r="H5" s="407" t="s">
        <v>911</v>
      </c>
      <c r="I5" s="407" t="s">
        <v>912</v>
      </c>
      <c r="J5" s="407" t="s">
        <v>913</v>
      </c>
      <c r="K5" s="407" t="s">
        <v>914</v>
      </c>
      <c r="L5" s="407" t="s">
        <v>915</v>
      </c>
      <c r="M5" s="453" t="s">
        <v>916</v>
      </c>
      <c r="N5" s="407" t="s">
        <v>917</v>
      </c>
      <c r="O5" s="407" t="s">
        <v>918</v>
      </c>
    </row>
    <row r="6" spans="1:15" ht="18" customHeight="1">
      <c r="A6" s="1153" t="s">
        <v>757</v>
      </c>
      <c r="B6" s="1156" t="s">
        <v>758</v>
      </c>
      <c r="C6" s="1157"/>
      <c r="D6" s="1115">
        <v>7.5</v>
      </c>
      <c r="E6" s="1115">
        <v>8.5</v>
      </c>
      <c r="F6" s="1115">
        <v>11.5</v>
      </c>
      <c r="G6" s="1160">
        <v>13</v>
      </c>
      <c r="H6" s="1115">
        <v>14.5</v>
      </c>
      <c r="I6" s="1114">
        <v>17</v>
      </c>
      <c r="J6" s="1114">
        <v>19.5</v>
      </c>
      <c r="K6" s="1114">
        <v>22</v>
      </c>
      <c r="L6" s="1114">
        <v>25</v>
      </c>
      <c r="M6" s="1114">
        <v>27.5</v>
      </c>
      <c r="N6" s="1114">
        <v>30</v>
      </c>
      <c r="O6" s="1114">
        <v>33</v>
      </c>
    </row>
    <row r="7" spans="1:15">
      <c r="A7" s="1154"/>
      <c r="B7" s="1158"/>
      <c r="C7" s="1159"/>
      <c r="D7" s="1117"/>
      <c r="E7" s="1117"/>
      <c r="F7" s="1117"/>
      <c r="G7" s="1161"/>
      <c r="H7" s="1117"/>
      <c r="I7" s="1115"/>
      <c r="J7" s="1115"/>
      <c r="K7" s="1115"/>
      <c r="L7" s="1115"/>
      <c r="M7" s="1115"/>
      <c r="N7" s="1115"/>
      <c r="O7" s="1115"/>
    </row>
    <row r="8" spans="1:15">
      <c r="A8" s="1154"/>
      <c r="B8" s="1162" t="s">
        <v>759</v>
      </c>
      <c r="C8" s="1163"/>
      <c r="D8" s="407">
        <v>7.5</v>
      </c>
      <c r="E8" s="407">
        <v>8.5</v>
      </c>
      <c r="F8" s="407">
        <v>11.5</v>
      </c>
      <c r="G8" s="454"/>
      <c r="H8" s="407">
        <v>14.5</v>
      </c>
      <c r="I8" s="407">
        <v>17</v>
      </c>
      <c r="J8" s="407">
        <v>19.5</v>
      </c>
      <c r="K8" s="407">
        <v>22</v>
      </c>
      <c r="L8" s="408" t="s">
        <v>696</v>
      </c>
      <c r="M8" s="455" t="s">
        <v>696</v>
      </c>
      <c r="N8" s="456" t="s">
        <v>696</v>
      </c>
      <c r="O8" s="456" t="s">
        <v>696</v>
      </c>
    </row>
    <row r="9" spans="1:15" ht="17" thickBot="1">
      <c r="A9" s="1155"/>
      <c r="B9" s="1164" t="s">
        <v>760</v>
      </c>
      <c r="C9" s="1165"/>
      <c r="D9" s="457">
        <v>7</v>
      </c>
      <c r="E9" s="457">
        <v>7.7</v>
      </c>
      <c r="F9" s="458" t="s">
        <v>696</v>
      </c>
      <c r="G9" s="454"/>
      <c r="H9" s="458" t="s">
        <v>696</v>
      </c>
      <c r="I9" s="458" t="s">
        <v>696</v>
      </c>
      <c r="J9" s="458" t="s">
        <v>696</v>
      </c>
      <c r="K9" s="459" t="s">
        <v>696</v>
      </c>
      <c r="L9" s="458" t="s">
        <v>696</v>
      </c>
      <c r="M9" s="460" t="s">
        <v>696</v>
      </c>
      <c r="N9" s="408" t="s">
        <v>696</v>
      </c>
      <c r="O9" s="408" t="s">
        <v>696</v>
      </c>
    </row>
    <row r="10" spans="1:15">
      <c r="A10" s="1139" t="s">
        <v>761</v>
      </c>
      <c r="B10" s="1141" t="s">
        <v>762</v>
      </c>
      <c r="C10" s="1142"/>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40"/>
      <c r="B11" s="1143" t="s">
        <v>763</v>
      </c>
      <c r="C11" s="407" t="s">
        <v>517</v>
      </c>
      <c r="D11" s="407">
        <v>0.66</v>
      </c>
      <c r="E11" s="407">
        <v>0.75</v>
      </c>
      <c r="F11" s="407">
        <v>0.9</v>
      </c>
      <c r="G11" s="454"/>
      <c r="H11" s="407">
        <v>1.05</v>
      </c>
      <c r="I11" s="407">
        <v>1.2</v>
      </c>
      <c r="J11" s="407">
        <v>1.3</v>
      </c>
      <c r="K11" s="407">
        <v>1.4</v>
      </c>
      <c r="L11" s="408" t="s">
        <v>696</v>
      </c>
      <c r="M11" s="455" t="s">
        <v>696</v>
      </c>
      <c r="N11" s="456" t="s">
        <v>696</v>
      </c>
      <c r="O11" s="456" t="s">
        <v>696</v>
      </c>
    </row>
    <row r="12" spans="1:15">
      <c r="A12" s="1140"/>
      <c r="B12" s="1143"/>
      <c r="C12" s="407" t="s">
        <v>623</v>
      </c>
      <c r="D12" s="407">
        <v>0.51</v>
      </c>
      <c r="E12" s="407">
        <v>0.64</v>
      </c>
      <c r="F12" s="407">
        <v>0.77</v>
      </c>
      <c r="G12" s="454"/>
      <c r="H12" s="407">
        <v>0.9</v>
      </c>
      <c r="I12" s="407">
        <v>1</v>
      </c>
      <c r="J12" s="408" t="s">
        <v>696</v>
      </c>
      <c r="K12" s="408" t="s">
        <v>696</v>
      </c>
      <c r="L12" s="408" t="s">
        <v>696</v>
      </c>
      <c r="M12" s="455" t="s">
        <v>696</v>
      </c>
      <c r="N12" s="408" t="s">
        <v>696</v>
      </c>
      <c r="O12" s="408" t="s">
        <v>696</v>
      </c>
    </row>
    <row r="13" spans="1:15">
      <c r="A13" s="1140"/>
      <c r="B13" s="1143"/>
      <c r="C13" s="407" t="s">
        <v>599</v>
      </c>
      <c r="D13" s="408" t="s">
        <v>696</v>
      </c>
      <c r="E13" s="407">
        <v>0.75</v>
      </c>
      <c r="F13" s="407">
        <v>0.9</v>
      </c>
      <c r="G13" s="454"/>
      <c r="H13" s="407">
        <v>1.05</v>
      </c>
      <c r="I13" s="407">
        <v>1.2</v>
      </c>
      <c r="J13" s="407">
        <v>1.3</v>
      </c>
      <c r="K13" s="407">
        <v>1.4</v>
      </c>
      <c r="L13" s="407">
        <v>1.45</v>
      </c>
      <c r="M13" s="453">
        <v>1.55</v>
      </c>
      <c r="N13" s="407">
        <v>1.6</v>
      </c>
      <c r="O13" s="407">
        <v>1.65</v>
      </c>
    </row>
    <row r="14" spans="1:15">
      <c r="A14" s="1140"/>
      <c r="B14" s="1143" t="s">
        <v>764</v>
      </c>
      <c r="C14" s="407" t="s">
        <v>765</v>
      </c>
      <c r="D14" s="407">
        <v>0.66</v>
      </c>
      <c r="E14" s="407">
        <v>0.75</v>
      </c>
      <c r="F14" s="407">
        <v>0.9</v>
      </c>
      <c r="G14" s="454"/>
      <c r="H14" s="407">
        <v>1.05</v>
      </c>
      <c r="I14" s="407">
        <v>1.2</v>
      </c>
      <c r="J14" s="407">
        <v>1.3</v>
      </c>
      <c r="K14" s="407">
        <v>1.4</v>
      </c>
      <c r="L14" s="408" t="s">
        <v>696</v>
      </c>
      <c r="M14" s="455" t="s">
        <v>696</v>
      </c>
      <c r="N14" s="456" t="s">
        <v>696</v>
      </c>
      <c r="O14" s="456" t="s">
        <v>696</v>
      </c>
    </row>
    <row r="15" spans="1:15">
      <c r="A15" s="1140"/>
      <c r="B15" s="1143"/>
      <c r="C15" s="407" t="s">
        <v>766</v>
      </c>
      <c r="D15" s="407">
        <v>0.66</v>
      </c>
      <c r="E15" s="407">
        <v>0.74</v>
      </c>
      <c r="F15" s="407">
        <v>0.8</v>
      </c>
      <c r="G15" s="454"/>
      <c r="H15" s="407">
        <v>0.9</v>
      </c>
      <c r="I15" s="407">
        <v>1</v>
      </c>
      <c r="J15" s="407">
        <v>1.1000000000000001</v>
      </c>
      <c r="K15" s="408">
        <v>1.2</v>
      </c>
      <c r="L15" s="408" t="s">
        <v>696</v>
      </c>
      <c r="M15" s="455" t="s">
        <v>696</v>
      </c>
      <c r="N15" s="456" t="s">
        <v>696</v>
      </c>
      <c r="O15" s="408" t="s">
        <v>696</v>
      </c>
    </row>
    <row r="16" spans="1:15">
      <c r="A16" s="1140"/>
      <c r="B16" s="1131" t="s">
        <v>760</v>
      </c>
      <c r="C16" s="1114"/>
      <c r="D16" s="464">
        <v>0.44</v>
      </c>
      <c r="E16" s="464">
        <v>0.46</v>
      </c>
      <c r="F16" s="459" t="s">
        <v>696</v>
      </c>
      <c r="G16" s="465"/>
      <c r="H16" s="459" t="s">
        <v>696</v>
      </c>
      <c r="I16" s="459" t="s">
        <v>696</v>
      </c>
      <c r="J16" s="459" t="s">
        <v>696</v>
      </c>
      <c r="K16" s="408" t="s">
        <v>696</v>
      </c>
      <c r="L16" s="408" t="s">
        <v>696</v>
      </c>
      <c r="M16" s="408" t="s">
        <v>696</v>
      </c>
      <c r="N16" s="408" t="s">
        <v>696</v>
      </c>
      <c r="O16" s="408" t="s">
        <v>696</v>
      </c>
    </row>
    <row r="17" spans="1:15" ht="17">
      <c r="A17" s="1132" t="s">
        <v>767</v>
      </c>
      <c r="B17" s="1134" t="s">
        <v>919</v>
      </c>
      <c r="C17" s="1134"/>
      <c r="D17" s="1134"/>
      <c r="E17" s="1134"/>
      <c r="F17" s="1134"/>
      <c r="G17" s="1134"/>
      <c r="H17" s="1134"/>
      <c r="I17" s="466"/>
      <c r="J17" s="466"/>
      <c r="O17" s="467"/>
    </row>
    <row r="18" spans="1:15" ht="18" customHeight="1">
      <c r="A18" s="1133"/>
      <c r="B18" s="1135" t="s">
        <v>920</v>
      </c>
      <c r="C18" s="1135"/>
      <c r="D18" s="1135"/>
      <c r="E18" s="1135"/>
      <c r="F18" s="1135"/>
      <c r="G18" s="1135"/>
      <c r="H18" s="1135"/>
      <c r="I18" s="1135"/>
      <c r="J18" s="1135"/>
      <c r="O18" s="467"/>
    </row>
    <row r="19" spans="1:15">
      <c r="A19" s="1133"/>
      <c r="B19" s="1135"/>
      <c r="C19" s="1135"/>
      <c r="D19" s="1135"/>
      <c r="E19" s="1135"/>
      <c r="F19" s="1135"/>
      <c r="G19" s="1135"/>
      <c r="H19" s="1135"/>
      <c r="I19" s="1135"/>
      <c r="J19" s="1135"/>
      <c r="O19" s="467"/>
    </row>
    <row r="20" spans="1:15">
      <c r="A20" s="1133"/>
      <c r="B20" s="468" t="s">
        <v>921</v>
      </c>
      <c r="H20" s="406"/>
      <c r="O20" s="467"/>
    </row>
    <row r="21" spans="1:15">
      <c r="A21" s="1133"/>
      <c r="B21" s="1136" t="s">
        <v>922</v>
      </c>
      <c r="C21" s="1136"/>
      <c r="D21" s="1136"/>
      <c r="E21" s="1136"/>
      <c r="F21" s="1136"/>
      <c r="G21" s="1136"/>
      <c r="H21" s="1136"/>
      <c r="I21" s="1136"/>
      <c r="J21" s="1136"/>
      <c r="O21" s="467"/>
    </row>
    <row r="22" spans="1:15">
      <c r="A22" s="1133"/>
      <c r="B22" s="1136"/>
      <c r="C22" s="1136"/>
      <c r="D22" s="1136"/>
      <c r="E22" s="1136"/>
      <c r="F22" s="1136"/>
      <c r="G22" s="1136"/>
      <c r="H22" s="1136"/>
      <c r="I22" s="1136"/>
      <c r="J22" s="1136"/>
      <c r="O22" s="467"/>
    </row>
    <row r="23" spans="1:15">
      <c r="A23" s="1133"/>
      <c r="B23" s="1137" t="s">
        <v>923</v>
      </c>
      <c r="C23" s="1137"/>
      <c r="D23" s="1137"/>
      <c r="E23" s="1137"/>
      <c r="F23" s="1137"/>
      <c r="G23" s="1137"/>
      <c r="H23" s="1137"/>
      <c r="I23" s="1137"/>
      <c r="J23" s="1137"/>
      <c r="O23" s="467"/>
    </row>
    <row r="24" spans="1:15" ht="18" customHeight="1">
      <c r="A24" s="1133"/>
      <c r="B24" s="406" t="s">
        <v>924</v>
      </c>
      <c r="H24" s="406"/>
      <c r="O24" s="467"/>
    </row>
    <row r="25" spans="1:15">
      <c r="A25" s="469"/>
      <c r="B25" s="470"/>
      <c r="C25" s="471"/>
      <c r="D25" s="472"/>
      <c r="E25" s="472" t="s">
        <v>768</v>
      </c>
      <c r="F25" s="471"/>
      <c r="G25" s="471"/>
      <c r="H25" s="466"/>
      <c r="I25" s="466"/>
      <c r="J25" s="466"/>
      <c r="K25" s="466"/>
      <c r="L25" s="466"/>
      <c r="M25" s="466"/>
      <c r="N25" s="466"/>
      <c r="O25" s="473"/>
    </row>
    <row r="26" spans="1:15" ht="18" customHeight="1">
      <c r="A26" s="474"/>
      <c r="B26" s="409"/>
      <c r="C26" s="475" t="s">
        <v>925</v>
      </c>
      <c r="D26" s="475"/>
      <c r="E26" s="476"/>
      <c r="F26" s="475"/>
      <c r="G26" s="475"/>
      <c r="H26" s="406"/>
      <c r="O26" s="467"/>
    </row>
    <row r="27" spans="1:15">
      <c r="A27" s="474"/>
      <c r="C27" s="477" t="s">
        <v>769</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119" t="s">
        <v>770</v>
      </c>
      <c r="B29" s="1119"/>
      <c r="C29" s="1119"/>
      <c r="D29" s="1119"/>
      <c r="E29" s="1119"/>
      <c r="F29" s="1119"/>
      <c r="G29" s="1119"/>
      <c r="H29" s="406"/>
    </row>
    <row r="30" spans="1:15" ht="17">
      <c r="A30" s="1119"/>
      <c r="B30" s="1119"/>
      <c r="C30" s="1119"/>
      <c r="D30" s="1119"/>
      <c r="E30" s="1119"/>
      <c r="F30" s="1119"/>
      <c r="G30" s="1119"/>
      <c r="H30" s="483"/>
      <c r="I30" s="483"/>
      <c r="J30" s="483"/>
    </row>
    <row r="31" spans="1:15" ht="17">
      <c r="A31" s="483"/>
      <c r="B31" s="483"/>
      <c r="C31" s="483"/>
      <c r="D31" s="483"/>
      <c r="E31" s="483"/>
      <c r="F31" s="483"/>
      <c r="G31" s="483"/>
      <c r="H31" s="483"/>
      <c r="I31" s="483"/>
      <c r="J31" s="483"/>
    </row>
    <row r="32" spans="1:15">
      <c r="A32" s="1117" t="s">
        <v>771</v>
      </c>
      <c r="B32" s="1117"/>
      <c r="C32" s="1117" t="s">
        <v>772</v>
      </c>
      <c r="D32" s="1117"/>
      <c r="E32" s="1117"/>
      <c r="F32" s="1128" t="s">
        <v>773</v>
      </c>
      <c r="G32" s="1138"/>
      <c r="H32" s="484"/>
    </row>
    <row r="33" spans="1:8">
      <c r="A33" s="1117"/>
      <c r="B33" s="1117"/>
      <c r="C33" s="1128" t="s">
        <v>774</v>
      </c>
      <c r="D33" s="1128" t="s">
        <v>775</v>
      </c>
      <c r="E33" s="1128"/>
      <c r="F33" s="1128"/>
      <c r="G33" s="1138"/>
      <c r="H33" s="485"/>
    </row>
    <row r="34" spans="1:8">
      <c r="A34" s="1117"/>
      <c r="B34" s="1117"/>
      <c r="C34" s="1128"/>
      <c r="D34" s="1128"/>
      <c r="E34" s="1128"/>
      <c r="F34" s="1128"/>
      <c r="G34" s="1138"/>
      <c r="H34" s="485"/>
    </row>
    <row r="35" spans="1:8">
      <c r="A35" s="486" t="s">
        <v>376</v>
      </c>
      <c r="B35" s="486" t="s">
        <v>381</v>
      </c>
      <c r="C35" s="487">
        <v>225</v>
      </c>
      <c r="D35" s="1126">
        <v>175</v>
      </c>
      <c r="E35" s="1126"/>
      <c r="F35" s="1126">
        <v>225</v>
      </c>
      <c r="G35" s="1127"/>
      <c r="H35" s="485"/>
    </row>
    <row r="36" spans="1:8">
      <c r="A36" s="486" t="s">
        <v>776</v>
      </c>
      <c r="B36" s="486" t="s">
        <v>382</v>
      </c>
      <c r="C36" s="487">
        <v>280</v>
      </c>
      <c r="D36" s="1126">
        <v>225</v>
      </c>
      <c r="E36" s="1126"/>
      <c r="F36" s="1126">
        <v>280</v>
      </c>
      <c r="G36" s="1127"/>
      <c r="H36" s="485"/>
    </row>
    <row r="37" spans="1:8">
      <c r="A37" s="486" t="s">
        <v>777</v>
      </c>
      <c r="B37" s="486" t="s">
        <v>778</v>
      </c>
      <c r="C37" s="487">
        <v>355</v>
      </c>
      <c r="D37" s="1126" t="s">
        <v>779</v>
      </c>
      <c r="E37" s="1126"/>
      <c r="F37" s="1126">
        <v>355</v>
      </c>
      <c r="G37" s="1127"/>
      <c r="H37" s="485"/>
    </row>
    <row r="38" spans="1:8" ht="36" customHeight="1">
      <c r="A38" s="488" t="s">
        <v>780</v>
      </c>
      <c r="B38" s="488" t="s">
        <v>781</v>
      </c>
      <c r="C38" s="464">
        <v>365</v>
      </c>
      <c r="D38" s="1129" t="s">
        <v>782</v>
      </c>
      <c r="E38" s="1130"/>
      <c r="F38" s="1129">
        <v>365</v>
      </c>
      <c r="G38" s="1130"/>
      <c r="H38" s="485"/>
    </row>
    <row r="39" spans="1:8">
      <c r="A39" s="489" t="s">
        <v>783</v>
      </c>
      <c r="B39" s="407"/>
      <c r="C39" s="487">
        <v>400</v>
      </c>
      <c r="D39" s="1126">
        <v>320</v>
      </c>
      <c r="E39" s="1126"/>
      <c r="F39" s="1126">
        <v>400</v>
      </c>
      <c r="G39" s="1127"/>
      <c r="H39" s="485"/>
    </row>
    <row r="40" spans="1:8">
      <c r="A40" s="486" t="s">
        <v>379</v>
      </c>
      <c r="B40" s="486" t="s">
        <v>384</v>
      </c>
      <c r="C40" s="487">
        <v>510</v>
      </c>
      <c r="D40" s="1126">
        <v>405</v>
      </c>
      <c r="E40" s="1126"/>
      <c r="F40" s="1126" t="s">
        <v>784</v>
      </c>
      <c r="G40" s="1127"/>
      <c r="H40" s="485"/>
    </row>
    <row r="41" spans="1:8">
      <c r="A41" s="486"/>
      <c r="B41" s="486" t="s">
        <v>721</v>
      </c>
      <c r="C41" s="487">
        <v>680</v>
      </c>
      <c r="D41" s="1126">
        <v>545</v>
      </c>
      <c r="E41" s="1126"/>
      <c r="F41" s="1126" t="s">
        <v>785</v>
      </c>
      <c r="G41" s="1127"/>
      <c r="H41" s="485"/>
    </row>
    <row r="42" spans="1:8">
      <c r="A42" s="486"/>
      <c r="B42" s="486" t="s">
        <v>722</v>
      </c>
      <c r="C42" s="487">
        <v>815</v>
      </c>
      <c r="D42" s="1126">
        <v>650</v>
      </c>
      <c r="E42" s="1126"/>
      <c r="F42" s="1126" t="s">
        <v>785</v>
      </c>
      <c r="G42" s="1127"/>
      <c r="H42" s="485"/>
    </row>
    <row r="43" spans="1:8">
      <c r="A43" s="1117" t="s">
        <v>926</v>
      </c>
      <c r="B43" s="1128" t="s">
        <v>786</v>
      </c>
      <c r="C43" s="1117">
        <v>490</v>
      </c>
      <c r="D43" s="1117">
        <v>390</v>
      </c>
      <c r="E43" s="1117"/>
      <c r="F43" s="1117">
        <v>200</v>
      </c>
      <c r="G43" s="1118"/>
      <c r="H43" s="485"/>
    </row>
    <row r="44" spans="1:8" ht="18" customHeight="1">
      <c r="A44" s="1117"/>
      <c r="B44" s="1128"/>
      <c r="C44" s="1117"/>
      <c r="D44" s="1117"/>
      <c r="E44" s="1117"/>
      <c r="F44" s="1117"/>
      <c r="G44" s="1118"/>
      <c r="H44" s="485"/>
    </row>
    <row r="45" spans="1:8" ht="18" customHeight="1">
      <c r="A45" s="1117"/>
      <c r="B45" s="1128" t="s">
        <v>787</v>
      </c>
      <c r="C45" s="1117">
        <v>450</v>
      </c>
      <c r="D45" s="1117">
        <v>360</v>
      </c>
      <c r="E45" s="1117"/>
      <c r="F45" s="1117">
        <v>200</v>
      </c>
      <c r="G45" s="1118"/>
      <c r="H45" s="485"/>
    </row>
    <row r="46" spans="1:8">
      <c r="A46" s="1117"/>
      <c r="B46" s="1128"/>
      <c r="C46" s="1117"/>
      <c r="D46" s="1117"/>
      <c r="E46" s="1117"/>
      <c r="F46" s="1117"/>
      <c r="G46" s="1118"/>
      <c r="H46" s="485"/>
    </row>
    <row r="47" spans="1:8">
      <c r="A47" s="490" t="s">
        <v>788</v>
      </c>
      <c r="B47" s="466"/>
      <c r="C47" s="466"/>
      <c r="D47" s="466"/>
      <c r="E47" s="466"/>
      <c r="F47" s="466"/>
      <c r="G47" s="491"/>
      <c r="H47" s="451"/>
    </row>
    <row r="48" spans="1:8">
      <c r="A48" s="484" t="s">
        <v>789</v>
      </c>
      <c r="G48" s="492"/>
      <c r="H48" s="406"/>
    </row>
    <row r="49" spans="1:9">
      <c r="A49" s="484" t="s">
        <v>790</v>
      </c>
      <c r="G49" s="492"/>
      <c r="H49" s="406"/>
    </row>
    <row r="50" spans="1:9">
      <c r="A50" s="484" t="s">
        <v>791</v>
      </c>
      <c r="G50" s="492"/>
      <c r="H50" s="406"/>
    </row>
    <row r="51" spans="1:9">
      <c r="A51" s="484" t="s">
        <v>792</v>
      </c>
      <c r="G51" s="492"/>
      <c r="H51" s="406"/>
    </row>
    <row r="52" spans="1:9">
      <c r="A52" s="484" t="s">
        <v>793</v>
      </c>
      <c r="G52" s="492"/>
      <c r="H52" s="406"/>
    </row>
    <row r="53" spans="1:9">
      <c r="A53" s="484" t="s">
        <v>794</v>
      </c>
      <c r="G53" s="492"/>
      <c r="H53" s="406"/>
    </row>
    <row r="54" spans="1:9">
      <c r="A54" s="484" t="s">
        <v>795</v>
      </c>
      <c r="G54" s="492"/>
      <c r="H54" s="406"/>
    </row>
    <row r="55" spans="1:9">
      <c r="A55" s="493"/>
      <c r="B55" s="494"/>
      <c r="C55" s="494"/>
      <c r="D55" s="494"/>
      <c r="E55" s="494"/>
      <c r="F55" s="494"/>
      <c r="G55" s="495"/>
      <c r="H55" s="451"/>
    </row>
    <row r="56" spans="1:9">
      <c r="A56" s="1119" t="s">
        <v>796</v>
      </c>
      <c r="B56" s="1119"/>
      <c r="C56" s="1119"/>
      <c r="D56" s="1119"/>
      <c r="E56" s="1119"/>
      <c r="F56" s="1119"/>
      <c r="G56" s="1119"/>
      <c r="H56" s="1119"/>
      <c r="I56" s="1119"/>
    </row>
    <row r="57" spans="1:9">
      <c r="A57" s="1120"/>
      <c r="B57" s="1120"/>
      <c r="C57" s="1120"/>
      <c r="D57" s="1120"/>
      <c r="E57" s="1120"/>
      <c r="F57" s="1120"/>
      <c r="G57" s="1120"/>
      <c r="H57" s="1120"/>
      <c r="I57" s="1120"/>
    </row>
    <row r="58" spans="1:9">
      <c r="A58" s="1114" t="s">
        <v>797</v>
      </c>
      <c r="B58" s="1118" t="s">
        <v>798</v>
      </c>
      <c r="C58" s="1121"/>
      <c r="D58" s="1121"/>
      <c r="E58" s="1121"/>
      <c r="F58" s="1121"/>
      <c r="G58" s="1121"/>
      <c r="H58" s="1121"/>
      <c r="I58" s="1122"/>
    </row>
    <row r="59" spans="1:9">
      <c r="A59" s="1115"/>
      <c r="B59" s="496">
        <v>5</v>
      </c>
      <c r="C59" s="496">
        <v>6</v>
      </c>
      <c r="D59" s="497" t="s">
        <v>799</v>
      </c>
      <c r="E59" s="496">
        <v>8</v>
      </c>
      <c r="F59" s="496" t="s">
        <v>800</v>
      </c>
      <c r="G59" s="496">
        <v>10</v>
      </c>
      <c r="H59" s="496" t="s">
        <v>801</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23" t="s">
        <v>802</v>
      </c>
      <c r="B74" s="1124"/>
      <c r="C74" s="1124"/>
      <c r="D74" s="1124"/>
      <c r="E74" s="1124"/>
      <c r="F74" s="1124"/>
      <c r="G74" s="1124"/>
      <c r="H74" s="1124"/>
      <c r="I74" s="1125"/>
    </row>
    <row r="76" spans="1:9">
      <c r="A76" s="1119" t="s">
        <v>803</v>
      </c>
      <c r="B76" s="1119"/>
      <c r="C76" s="1119"/>
      <c r="D76" s="1119"/>
      <c r="E76" s="1119"/>
      <c r="F76" s="1119"/>
      <c r="G76" s="1119"/>
      <c r="H76" s="1119"/>
      <c r="I76" s="1119"/>
    </row>
    <row r="77" spans="1:9">
      <c r="A77" s="1119"/>
      <c r="B77" s="1119"/>
      <c r="C77" s="1119"/>
      <c r="D77" s="1119"/>
      <c r="E77" s="1119"/>
      <c r="F77" s="1119"/>
      <c r="G77" s="1119"/>
      <c r="H77" s="1119"/>
      <c r="I77" s="1119"/>
    </row>
    <row r="78" spans="1:9">
      <c r="H78" s="498"/>
    </row>
    <row r="79" spans="1:9">
      <c r="H79" s="499"/>
    </row>
    <row r="80" spans="1:9">
      <c r="H80" s="1114" t="s">
        <v>710</v>
      </c>
    </row>
    <row r="81" spans="8:8">
      <c r="H81" s="1115"/>
    </row>
    <row r="82" spans="8:8">
      <c r="H82" s="487" t="s">
        <v>804</v>
      </c>
    </row>
    <row r="83" spans="8:8">
      <c r="H83" s="1114">
        <v>29</v>
      </c>
    </row>
    <row r="84" spans="8:8">
      <c r="H84" s="1116"/>
    </row>
    <row r="85" spans="8:8">
      <c r="H85" s="1115"/>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7:A24"/>
    <mergeCell ref="B17:H17"/>
    <mergeCell ref="B18:J19"/>
    <mergeCell ref="B21:J22"/>
    <mergeCell ref="B23:J23"/>
    <mergeCell ref="B16:C16"/>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A43:A46"/>
    <mergeCell ref="B43:B44"/>
    <mergeCell ref="C43:C44"/>
    <mergeCell ref="D43:E44"/>
    <mergeCell ref="F43:G44"/>
    <mergeCell ref="B45:B46"/>
    <mergeCell ref="C45:C46"/>
    <mergeCell ref="D45:E46"/>
    <mergeCell ref="H80:H81"/>
    <mergeCell ref="H83:H85"/>
    <mergeCell ref="F45:G46"/>
    <mergeCell ref="A56:I57"/>
    <mergeCell ref="A58:A59"/>
    <mergeCell ref="B58:I58"/>
    <mergeCell ref="A74:I74"/>
    <mergeCell ref="A76:I77"/>
  </mergeCells>
  <pageMargins left="0.7" right="0.7" top="0.75" bottom="0.75" header="0.3" footer="0.3"/>
  <pageSetup paperSize="9" orientation="portrait" verticalDpi="0"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68" t="s">
        <v>805</v>
      </c>
      <c r="N2" s="1168"/>
      <c r="O2" s="1168"/>
    </row>
    <row r="3" spans="2:20">
      <c r="B3" s="388"/>
      <c r="C3" s="388"/>
      <c r="D3" s="388"/>
      <c r="E3" s="388"/>
      <c r="F3" s="388"/>
      <c r="G3" s="388"/>
      <c r="H3" s="388"/>
      <c r="I3" s="388"/>
      <c r="J3" s="388"/>
      <c r="K3" s="388"/>
      <c r="L3" s="389" t="s">
        <v>806</v>
      </c>
      <c r="M3" s="388"/>
      <c r="N3" s="388"/>
    </row>
    <row r="4" spans="2:20">
      <c r="B4" s="390"/>
      <c r="C4" s="388"/>
      <c r="D4" s="388"/>
      <c r="E4" s="388"/>
      <c r="F4" s="388"/>
      <c r="G4" s="388"/>
      <c r="H4" s="388"/>
      <c r="I4" s="388"/>
      <c r="J4" s="388"/>
      <c r="K4" s="388"/>
      <c r="L4" s="388"/>
      <c r="M4" s="1169" t="s">
        <v>807</v>
      </c>
      <c r="N4" s="1169"/>
      <c r="O4" s="1169"/>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70" t="s">
        <v>808</v>
      </c>
      <c r="M16" s="1167" t="s">
        <v>809</v>
      </c>
      <c r="N16" s="1167"/>
      <c r="O16" s="1167" t="s">
        <v>810</v>
      </c>
      <c r="P16" s="1167"/>
      <c r="Q16" s="1167" t="s">
        <v>811</v>
      </c>
      <c r="R16" s="1167"/>
      <c r="S16" s="1167" t="s">
        <v>812</v>
      </c>
      <c r="T16" s="1167"/>
    </row>
    <row r="17" spans="1:20" ht="18.75" customHeight="1">
      <c r="B17" s="388"/>
      <c r="C17" s="388"/>
      <c r="D17" s="388"/>
      <c r="E17" s="388"/>
      <c r="F17" s="388"/>
      <c r="G17" s="388"/>
      <c r="H17" s="388"/>
      <c r="I17" s="388"/>
      <c r="J17" s="388"/>
      <c r="K17" s="388"/>
      <c r="L17" s="1171"/>
      <c r="M17" s="386"/>
      <c r="N17" s="391"/>
      <c r="O17" s="386"/>
      <c r="P17" s="386"/>
      <c r="Q17" s="386"/>
      <c r="R17" s="386"/>
      <c r="S17" s="386"/>
      <c r="T17" s="386"/>
    </row>
    <row r="18" spans="1:20" ht="15">
      <c r="B18" s="388"/>
      <c r="C18" s="388"/>
      <c r="D18" s="388"/>
      <c r="E18" s="388"/>
      <c r="F18" s="388"/>
      <c r="G18" s="388"/>
      <c r="H18" s="388"/>
      <c r="I18" s="388"/>
      <c r="J18" s="388"/>
      <c r="K18" s="388"/>
      <c r="L18" s="392" t="s">
        <v>446</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813</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447</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814</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815</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66" t="s">
        <v>816</v>
      </c>
      <c r="B32" s="1166"/>
      <c r="C32" s="1166"/>
      <c r="D32" s="1166"/>
      <c r="E32" s="1166"/>
      <c r="F32" s="388"/>
      <c r="G32" s="1166" t="s">
        <v>817</v>
      </c>
      <c r="H32" s="1166"/>
      <c r="I32" s="1166"/>
      <c r="J32" s="1166"/>
      <c r="K32" s="1166"/>
      <c r="L32" s="388"/>
      <c r="M32" s="1166" t="s">
        <v>818</v>
      </c>
      <c r="N32" s="1166"/>
      <c r="O32" s="1166"/>
      <c r="P32" s="1166"/>
      <c r="Q32" s="1166"/>
      <c r="R32" s="388"/>
    </row>
    <row r="33" spans="1:18">
      <c r="A33" s="397" t="s">
        <v>329</v>
      </c>
      <c r="B33" s="398" t="s">
        <v>430</v>
      </c>
      <c r="C33" s="398" t="s">
        <v>3</v>
      </c>
      <c r="D33" s="398" t="s">
        <v>431</v>
      </c>
      <c r="E33" s="398" t="s">
        <v>432</v>
      </c>
      <c r="F33" s="399"/>
      <c r="G33" s="397" t="s">
        <v>329</v>
      </c>
      <c r="H33" s="398" t="s">
        <v>430</v>
      </c>
      <c r="I33" s="398" t="s">
        <v>3</v>
      </c>
      <c r="J33" s="398" t="s">
        <v>431</v>
      </c>
      <c r="K33" s="398" t="s">
        <v>432</v>
      </c>
      <c r="L33" s="399"/>
      <c r="M33" s="397" t="s">
        <v>329</v>
      </c>
      <c r="N33" s="398" t="s">
        <v>430</v>
      </c>
      <c r="O33" s="398" t="s">
        <v>3</v>
      </c>
      <c r="P33" s="398" t="s">
        <v>431</v>
      </c>
      <c r="Q33" s="398" t="s">
        <v>432</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66" t="s">
        <v>819</v>
      </c>
      <c r="B56" s="1166"/>
      <c r="C56" s="1166"/>
      <c r="D56" s="1166"/>
      <c r="E56" s="1166"/>
      <c r="F56" s="388"/>
      <c r="G56" s="1166" t="s">
        <v>820</v>
      </c>
      <c r="H56" s="1166"/>
      <c r="I56" s="1166"/>
      <c r="J56" s="1166"/>
      <c r="K56" s="1166"/>
      <c r="L56" s="388"/>
      <c r="M56" s="1166" t="s">
        <v>821</v>
      </c>
      <c r="N56" s="1166"/>
      <c r="O56" s="1166"/>
      <c r="P56" s="1166"/>
      <c r="Q56" s="1166"/>
      <c r="R56" s="388"/>
    </row>
    <row r="57" spans="1:18">
      <c r="A57" s="397" t="s">
        <v>329</v>
      </c>
      <c r="B57" s="398" t="s">
        <v>430</v>
      </c>
      <c r="C57" s="398" t="s">
        <v>3</v>
      </c>
      <c r="D57" s="398" t="s">
        <v>431</v>
      </c>
      <c r="E57" s="398" t="s">
        <v>432</v>
      </c>
      <c r="F57" s="399"/>
      <c r="G57" s="397" t="s">
        <v>329</v>
      </c>
      <c r="H57" s="398" t="s">
        <v>430</v>
      </c>
      <c r="I57" s="398" t="s">
        <v>3</v>
      </c>
      <c r="J57" s="398" t="s">
        <v>431</v>
      </c>
      <c r="K57" s="398" t="s">
        <v>432</v>
      </c>
      <c r="L57" s="399"/>
      <c r="M57" s="397" t="s">
        <v>329</v>
      </c>
      <c r="N57" s="398" t="s">
        <v>430</v>
      </c>
      <c r="O57" s="398" t="s">
        <v>3</v>
      </c>
      <c r="P57" s="398" t="s">
        <v>431</v>
      </c>
      <c r="Q57" s="398" t="s">
        <v>432</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66" t="s">
        <v>822</v>
      </c>
      <c r="B80" s="1166"/>
      <c r="C80" s="1166"/>
      <c r="D80" s="1166"/>
      <c r="E80" s="1166"/>
      <c r="F80" s="388"/>
      <c r="G80" s="1166" t="s">
        <v>823</v>
      </c>
      <c r="H80" s="1166"/>
      <c r="I80" s="1166"/>
      <c r="J80" s="1166"/>
      <c r="K80" s="1166"/>
      <c r="L80" s="388"/>
      <c r="M80" s="1166" t="s">
        <v>824</v>
      </c>
      <c r="N80" s="1166"/>
      <c r="O80" s="1166"/>
      <c r="P80" s="1166"/>
      <c r="Q80" s="1166"/>
      <c r="R80" s="388"/>
    </row>
    <row r="81" spans="1:18">
      <c r="A81" s="397" t="s">
        <v>329</v>
      </c>
      <c r="B81" s="398" t="s">
        <v>430</v>
      </c>
      <c r="C81" s="398" t="s">
        <v>3</v>
      </c>
      <c r="D81" s="398" t="s">
        <v>431</v>
      </c>
      <c r="E81" s="398" t="s">
        <v>432</v>
      </c>
      <c r="F81" s="399"/>
      <c r="G81" s="397" t="s">
        <v>329</v>
      </c>
      <c r="H81" s="398" t="s">
        <v>430</v>
      </c>
      <c r="I81" s="398" t="s">
        <v>3</v>
      </c>
      <c r="J81" s="398" t="s">
        <v>431</v>
      </c>
      <c r="K81" s="398" t="s">
        <v>432</v>
      </c>
      <c r="L81" s="399"/>
      <c r="M81" s="397" t="s">
        <v>329</v>
      </c>
      <c r="N81" s="398" t="s">
        <v>430</v>
      </c>
      <c r="O81" s="398" t="s">
        <v>3</v>
      </c>
      <c r="P81" s="398" t="s">
        <v>431</v>
      </c>
      <c r="Q81" s="398" t="s">
        <v>432</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66" t="s">
        <v>825</v>
      </c>
      <c r="B104" s="1166"/>
      <c r="C104" s="1166"/>
      <c r="D104" s="1166"/>
      <c r="E104" s="1166"/>
      <c r="F104" s="388"/>
      <c r="G104" s="1166" t="s">
        <v>826</v>
      </c>
      <c r="H104" s="1166"/>
      <c r="I104" s="1166"/>
      <c r="J104" s="1166"/>
      <c r="K104" s="1166"/>
      <c r="L104" s="388"/>
      <c r="M104" s="388"/>
      <c r="N104" s="388"/>
      <c r="O104" s="388"/>
      <c r="P104" s="388"/>
      <c r="Q104" s="388"/>
      <c r="R104" s="388"/>
    </row>
    <row r="105" spans="1:18">
      <c r="A105" s="397" t="s">
        <v>329</v>
      </c>
      <c r="B105" s="398" t="s">
        <v>430</v>
      </c>
      <c r="C105" s="398" t="s">
        <v>3</v>
      </c>
      <c r="D105" s="398" t="s">
        <v>431</v>
      </c>
      <c r="E105" s="398" t="s">
        <v>432</v>
      </c>
      <c r="F105" s="399"/>
      <c r="G105" s="397" t="s">
        <v>329</v>
      </c>
      <c r="H105" s="398" t="s">
        <v>430</v>
      </c>
      <c r="I105" s="398" t="s">
        <v>3</v>
      </c>
      <c r="J105" s="398" t="s">
        <v>431</v>
      </c>
      <c r="K105" s="398" t="s">
        <v>432</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M2:O2"/>
    <mergeCell ref="M4:O4"/>
    <mergeCell ref="L16:L17"/>
    <mergeCell ref="M16:N16"/>
    <mergeCell ref="O16:P16"/>
    <mergeCell ref="S16:T16"/>
    <mergeCell ref="A32:E32"/>
    <mergeCell ref="G32:K32"/>
    <mergeCell ref="M32:Q32"/>
    <mergeCell ref="A56:E56"/>
    <mergeCell ref="G56:K56"/>
    <mergeCell ref="M56:Q56"/>
    <mergeCell ref="Q16:R16"/>
    <mergeCell ref="A80:E80"/>
    <mergeCell ref="G80:K80"/>
    <mergeCell ref="M80:Q80"/>
    <mergeCell ref="A104:E104"/>
    <mergeCell ref="G104:K104"/>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86" t="s">
        <v>23</v>
      </c>
      <c r="B1" s="1184" t="s">
        <v>24</v>
      </c>
      <c r="C1" s="1184" t="s">
        <v>744</v>
      </c>
      <c r="D1" s="372" t="s">
        <v>13</v>
      </c>
      <c r="E1" s="1184" t="s">
        <v>14</v>
      </c>
      <c r="F1" s="373" t="s">
        <v>25</v>
      </c>
    </row>
    <row r="2" spans="1:8" ht="18.5">
      <c r="A2" s="1186"/>
      <c r="B2" s="1184"/>
      <c r="C2" s="1184"/>
      <c r="D2" s="373" t="s">
        <v>745</v>
      </c>
      <c r="E2" s="1184"/>
      <c r="F2" s="373" t="s">
        <v>746</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985</v>
      </c>
      <c r="C6" s="599">
        <v>1.8</v>
      </c>
      <c r="D6" s="602">
        <f t="shared" si="1"/>
        <v>0.03</v>
      </c>
      <c r="E6" s="599">
        <v>1.3</v>
      </c>
      <c r="F6" s="614">
        <f t="shared" si="0"/>
        <v>0.04</v>
      </c>
    </row>
    <row r="7" spans="1:8" ht="16.5">
      <c r="A7" s="598" t="s">
        <v>20</v>
      </c>
      <c r="B7" s="599"/>
      <c r="C7" s="599"/>
      <c r="D7" s="602">
        <v>0.05</v>
      </c>
      <c r="E7" s="599">
        <v>1.2</v>
      </c>
      <c r="F7" s="614">
        <f t="shared" si="0"/>
        <v>0.06</v>
      </c>
    </row>
    <row r="8" spans="1:8" ht="16.5">
      <c r="A8" s="1187" t="s">
        <v>21</v>
      </c>
      <c r="B8" s="1187"/>
      <c r="C8" s="1187"/>
      <c r="D8" s="603">
        <f>SUM(D3:D7)</f>
        <v>0.41</v>
      </c>
      <c r="E8" s="601"/>
      <c r="F8" s="615">
        <f>SUM(F3:F7)</f>
        <v>0.48</v>
      </c>
      <c r="H8" s="38">
        <f>F8-F5</f>
        <v>0.19999999999999996</v>
      </c>
    </row>
    <row r="10" spans="1:8" ht="16.5">
      <c r="A10" s="1185" t="s">
        <v>27</v>
      </c>
      <c r="B10" s="1185"/>
      <c r="C10" s="1185"/>
      <c r="D10" s="1185"/>
      <c r="E10" s="1185"/>
      <c r="F10" s="1185"/>
    </row>
    <row r="12" spans="1:8" ht="20.25" customHeight="1">
      <c r="A12" s="1184" t="s">
        <v>12</v>
      </c>
      <c r="B12" s="1184" t="s">
        <v>24</v>
      </c>
      <c r="C12" s="1184" t="s">
        <v>744</v>
      </c>
      <c r="D12" s="372" t="s">
        <v>13</v>
      </c>
      <c r="E12" s="1184" t="s">
        <v>14</v>
      </c>
      <c r="F12" s="373" t="s">
        <v>25</v>
      </c>
    </row>
    <row r="13" spans="1:8" ht="18.5">
      <c r="A13" s="1184"/>
      <c r="B13" s="1184"/>
      <c r="C13" s="1184"/>
      <c r="D13" s="373" t="s">
        <v>745</v>
      </c>
      <c r="E13" s="1184"/>
      <c r="F13" s="373" t="s">
        <v>746</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88" t="s">
        <v>21</v>
      </c>
      <c r="B20" s="1188"/>
      <c r="C20" s="1188"/>
      <c r="D20" s="603">
        <f>SUM(D14:D19)</f>
        <v>0.44</v>
      </c>
      <c r="E20" s="375"/>
      <c r="F20" s="617">
        <f>SUM(F14:F19)</f>
        <v>0.52</v>
      </c>
      <c r="H20" s="38">
        <f>F20-F16</f>
        <v>0.24</v>
      </c>
    </row>
    <row r="22" spans="1:17" ht="16.5">
      <c r="A22" s="1185" t="s">
        <v>22</v>
      </c>
      <c r="B22" s="1185"/>
      <c r="C22" s="1185"/>
      <c r="D22" s="1185"/>
      <c r="E22" s="1185"/>
      <c r="F22" s="1185"/>
    </row>
    <row r="24" spans="1:17" ht="20.25" customHeight="1">
      <c r="A24" s="1184" t="s">
        <v>12</v>
      </c>
      <c r="B24" s="1184" t="s">
        <v>24</v>
      </c>
      <c r="C24" s="1184" t="s">
        <v>744</v>
      </c>
      <c r="D24" s="372" t="s">
        <v>13</v>
      </c>
      <c r="E24" s="1184" t="s">
        <v>14</v>
      </c>
      <c r="F24" s="373" t="s">
        <v>25</v>
      </c>
    </row>
    <row r="25" spans="1:17" ht="18.5">
      <c r="A25" s="1184"/>
      <c r="B25" s="1184"/>
      <c r="C25" s="1184"/>
      <c r="D25" s="373" t="s">
        <v>745</v>
      </c>
      <c r="E25" s="1184"/>
      <c r="F25" s="373" t="s">
        <v>746</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89" t="s">
        <v>50</v>
      </c>
      <c r="I28" s="1189" t="s">
        <v>51</v>
      </c>
      <c r="J28" s="373" t="s">
        <v>52</v>
      </c>
      <c r="K28" s="373" t="s">
        <v>53</v>
      </c>
      <c r="L28" s="373" t="s">
        <v>54</v>
      </c>
      <c r="M28" s="373" t="s">
        <v>55</v>
      </c>
      <c r="N28" s="380" t="s">
        <v>96</v>
      </c>
      <c r="O28" s="373" t="s">
        <v>56</v>
      </c>
      <c r="P28" s="373" t="s">
        <v>14</v>
      </c>
      <c r="Q28" s="373" t="s">
        <v>57</v>
      </c>
    </row>
    <row r="29" spans="1:17" ht="18.5">
      <c r="A29" s="374" t="s">
        <v>49</v>
      </c>
      <c r="B29" s="379">
        <v>15</v>
      </c>
      <c r="C29" s="379">
        <v>1.8</v>
      </c>
      <c r="D29" s="602">
        <f>C29*B29/1000</f>
        <v>2.7E-2</v>
      </c>
      <c r="E29" s="375">
        <v>1.3</v>
      </c>
      <c r="F29" s="614">
        <f>E29*D29</f>
        <v>3.5099999999999999E-2</v>
      </c>
      <c r="H29" s="1189"/>
      <c r="I29" s="1189"/>
      <c r="J29" s="373" t="s">
        <v>58</v>
      </c>
      <c r="K29" s="381" t="s">
        <v>59</v>
      </c>
      <c r="L29" s="373" t="s">
        <v>58</v>
      </c>
      <c r="M29" s="373" t="s">
        <v>60</v>
      </c>
      <c r="N29" s="382" t="s">
        <v>751</v>
      </c>
      <c r="O29" s="382" t="s">
        <v>752</v>
      </c>
      <c r="P29" s="373"/>
      <c r="Q29" s="382" t="s">
        <v>752</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750</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85" t="s">
        <v>45</v>
      </c>
      <c r="B33" s="1185"/>
      <c r="C33" s="1185"/>
      <c r="D33" s="1185"/>
      <c r="E33" s="1185"/>
      <c r="F33" s="1185"/>
      <c r="H33" s="8" t="s">
        <v>749</v>
      </c>
    </row>
    <row r="35" spans="1:17" ht="21.75" customHeight="1">
      <c r="H35" s="1189" t="s">
        <v>50</v>
      </c>
      <c r="I35" s="1189" t="s">
        <v>51</v>
      </c>
      <c r="J35" s="373" t="s">
        <v>52</v>
      </c>
      <c r="K35" s="373" t="s">
        <v>53</v>
      </c>
      <c r="L35" s="373" t="s">
        <v>54</v>
      </c>
      <c r="M35" s="373" t="s">
        <v>55</v>
      </c>
      <c r="N35" s="380" t="s">
        <v>96</v>
      </c>
      <c r="O35" s="373" t="s">
        <v>56</v>
      </c>
      <c r="P35" s="373" t="s">
        <v>14</v>
      </c>
      <c r="Q35" s="373" t="s">
        <v>57</v>
      </c>
    </row>
    <row r="36" spans="1:17" ht="18.5">
      <c r="H36" s="1189"/>
      <c r="I36" s="1189"/>
      <c r="J36" s="373" t="s">
        <v>58</v>
      </c>
      <c r="K36" s="381" t="s">
        <v>59</v>
      </c>
      <c r="L36" s="373" t="s">
        <v>58</v>
      </c>
      <c r="M36" s="373" t="s">
        <v>60</v>
      </c>
      <c r="N36" s="382" t="s">
        <v>751</v>
      </c>
      <c r="O36" s="382" t="s">
        <v>752</v>
      </c>
      <c r="P36" s="373"/>
      <c r="Q36" s="382" t="s">
        <v>752</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227</v>
      </c>
      <c r="I39" s="8"/>
      <c r="J39" s="8"/>
      <c r="Q39" s="616">
        <f>Q37+F8</f>
        <v>0.62</v>
      </c>
    </row>
    <row r="41" spans="1:17">
      <c r="G41" s="6" t="s">
        <v>229</v>
      </c>
      <c r="H41" t="s">
        <v>228</v>
      </c>
    </row>
    <row r="42" spans="1:17">
      <c r="G42" s="6" t="s">
        <v>112</v>
      </c>
      <c r="H42">
        <v>3.8</v>
      </c>
      <c r="I42">
        <v>5.8</v>
      </c>
    </row>
    <row r="44" spans="1:17" ht="20">
      <c r="H44" s="1189" t="s">
        <v>50</v>
      </c>
      <c r="I44" s="1189" t="s">
        <v>51</v>
      </c>
      <c r="J44" s="373" t="s">
        <v>52</v>
      </c>
      <c r="K44" s="373" t="s">
        <v>53</v>
      </c>
      <c r="L44" s="373" t="s">
        <v>54</v>
      </c>
      <c r="M44" s="373" t="s">
        <v>55</v>
      </c>
      <c r="N44" s="380" t="s">
        <v>96</v>
      </c>
      <c r="O44" s="373" t="s">
        <v>56</v>
      </c>
      <c r="P44" s="373" t="s">
        <v>14</v>
      </c>
      <c r="Q44" s="373" t="s">
        <v>57</v>
      </c>
    </row>
    <row r="45" spans="1:17" ht="18.5">
      <c r="H45" s="1189"/>
      <c r="I45" s="1189"/>
      <c r="J45" s="373" t="s">
        <v>58</v>
      </c>
      <c r="K45" s="381" t="s">
        <v>59</v>
      </c>
      <c r="L45" s="373" t="s">
        <v>58</v>
      </c>
      <c r="M45" s="373" t="s">
        <v>60</v>
      </c>
      <c r="N45" s="382" t="s">
        <v>751</v>
      </c>
      <c r="O45" s="382" t="s">
        <v>752</v>
      </c>
      <c r="P45" s="373"/>
      <c r="Q45" s="382" t="s">
        <v>752</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230</v>
      </c>
      <c r="I48" s="8"/>
      <c r="J48" s="8"/>
      <c r="Q48" s="616">
        <f>Q46+F8</f>
        <v>0.61</v>
      </c>
    </row>
    <row r="50" spans="2:15">
      <c r="G50" s="6" t="s">
        <v>229</v>
      </c>
      <c r="H50" t="s">
        <v>228</v>
      </c>
    </row>
    <row r="51" spans="2:15">
      <c r="G51" s="6" t="s">
        <v>112</v>
      </c>
      <c r="H51">
        <v>3.8</v>
      </c>
      <c r="I51">
        <v>5.3</v>
      </c>
    </row>
    <row r="52" spans="2:15">
      <c r="O52">
        <f>O46-O37</f>
        <v>-1.2204225593260981E-3</v>
      </c>
    </row>
    <row r="55" spans="2:15" ht="14.5" thickBot="1"/>
    <row r="56" spans="2:15" ht="33">
      <c r="B56" s="1172" t="s">
        <v>480</v>
      </c>
      <c r="C56" s="1175" t="s">
        <v>481</v>
      </c>
      <c r="D56" s="253" t="s">
        <v>482</v>
      </c>
      <c r="E56" s="253" t="s">
        <v>482</v>
      </c>
      <c r="F56" s="253" t="s">
        <v>484</v>
      </c>
      <c r="G56" s="253" t="s">
        <v>486</v>
      </c>
      <c r="H56" s="253" t="s">
        <v>487</v>
      </c>
    </row>
    <row r="57" spans="2:15" ht="35.5">
      <c r="B57" s="1173"/>
      <c r="C57" s="1176"/>
      <c r="D57" s="254" t="s">
        <v>58</v>
      </c>
      <c r="E57" s="254" t="s">
        <v>483</v>
      </c>
      <c r="F57" s="254" t="s">
        <v>485</v>
      </c>
      <c r="G57" s="254" t="s">
        <v>14</v>
      </c>
      <c r="H57" s="254" t="s">
        <v>488</v>
      </c>
    </row>
    <row r="58" spans="2:15" ht="17" thickBot="1">
      <c r="B58" s="1174"/>
      <c r="C58" s="1177"/>
      <c r="D58" s="255"/>
      <c r="E58" s="256" t="s">
        <v>58</v>
      </c>
      <c r="F58" s="255"/>
      <c r="G58" s="255"/>
      <c r="H58" s="255"/>
    </row>
    <row r="59" spans="2:15" ht="17" thickBot="1">
      <c r="B59" s="1178" t="s">
        <v>199</v>
      </c>
      <c r="C59" s="257" t="s">
        <v>507</v>
      </c>
      <c r="D59" s="252" t="s">
        <v>489</v>
      </c>
      <c r="E59" s="252" t="s">
        <v>490</v>
      </c>
      <c r="F59" s="252">
        <v>2400</v>
      </c>
      <c r="G59" s="252">
        <v>1.2</v>
      </c>
      <c r="H59" s="252" t="s">
        <v>491</v>
      </c>
    </row>
    <row r="60" spans="2:15" ht="17" thickBot="1">
      <c r="B60" s="1179"/>
      <c r="C60" s="257" t="s">
        <v>492</v>
      </c>
      <c r="D60" s="252" t="s">
        <v>489</v>
      </c>
      <c r="E60" s="252" t="s">
        <v>490</v>
      </c>
      <c r="F60" s="252">
        <v>1800</v>
      </c>
      <c r="G60" s="252">
        <v>1.3</v>
      </c>
      <c r="H60" s="252" t="s">
        <v>493</v>
      </c>
    </row>
    <row r="61" spans="2:15" ht="17" thickBot="1">
      <c r="B61" s="1179"/>
      <c r="C61" s="257" t="s">
        <v>508</v>
      </c>
      <c r="D61" s="252" t="s">
        <v>494</v>
      </c>
      <c r="E61" s="252" t="s">
        <v>495</v>
      </c>
      <c r="F61" s="252">
        <v>1800</v>
      </c>
      <c r="G61" s="252">
        <v>1.2</v>
      </c>
      <c r="H61" s="252" t="s">
        <v>496</v>
      </c>
    </row>
    <row r="62" spans="2:15" ht="17" thickBot="1">
      <c r="B62" s="1179"/>
      <c r="C62" s="257" t="s">
        <v>497</v>
      </c>
      <c r="D62" s="252" t="s">
        <v>498</v>
      </c>
      <c r="E62" s="252" t="s">
        <v>499</v>
      </c>
      <c r="F62" s="252">
        <v>2500</v>
      </c>
      <c r="G62" s="252">
        <v>1.1000000000000001</v>
      </c>
      <c r="H62" s="252" t="s">
        <v>500</v>
      </c>
    </row>
    <row r="63" spans="2:15" ht="17" thickBot="1">
      <c r="B63" s="1180"/>
      <c r="C63" s="257" t="s">
        <v>501</v>
      </c>
      <c r="D63" s="252" t="s">
        <v>502</v>
      </c>
      <c r="E63" s="252" t="s">
        <v>503</v>
      </c>
      <c r="F63" s="252">
        <v>1800</v>
      </c>
      <c r="G63" s="252">
        <v>1.3</v>
      </c>
      <c r="H63" s="252" t="s">
        <v>504</v>
      </c>
    </row>
    <row r="64" spans="2:15" ht="17" thickBot="1">
      <c r="B64" s="1181" t="s">
        <v>505</v>
      </c>
      <c r="C64" s="1182"/>
      <c r="D64" s="1182"/>
      <c r="E64" s="1182"/>
      <c r="F64" s="1182"/>
      <c r="G64" s="1183"/>
      <c r="H64" s="252" t="s">
        <v>506</v>
      </c>
    </row>
  </sheetData>
  <mergeCells count="27">
    <mergeCell ref="H28:H29"/>
    <mergeCell ref="I28:I29"/>
    <mergeCell ref="H44:H45"/>
    <mergeCell ref="I44:I45"/>
    <mergeCell ref="H35:H36"/>
    <mergeCell ref="I35:I36"/>
    <mergeCell ref="A12:A13"/>
    <mergeCell ref="C12:C13"/>
    <mergeCell ref="E12:E13"/>
    <mergeCell ref="A20:C20"/>
    <mergeCell ref="A22:F22"/>
    <mergeCell ref="B12:B13"/>
    <mergeCell ref="A10:F10"/>
    <mergeCell ref="A1:A2"/>
    <mergeCell ref="B1:B2"/>
    <mergeCell ref="C1:C2"/>
    <mergeCell ref="E1:E2"/>
    <mergeCell ref="A8:C8"/>
    <mergeCell ref="B56:B58"/>
    <mergeCell ref="C56:C58"/>
    <mergeCell ref="B59:B63"/>
    <mergeCell ref="B64:G64"/>
    <mergeCell ref="A24:A25"/>
    <mergeCell ref="C24:C25"/>
    <mergeCell ref="E24:E25"/>
    <mergeCell ref="B24:B25"/>
    <mergeCell ref="A33:F33"/>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747</v>
      </c>
      <c r="C1" s="373" t="s">
        <v>14</v>
      </c>
      <c r="D1" s="373" t="s">
        <v>748</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201</v>
      </c>
      <c r="B5" s="375">
        <v>0.4</v>
      </c>
      <c r="C5" s="375">
        <v>1.2</v>
      </c>
      <c r="D5" s="377">
        <f t="shared" si="0"/>
        <v>0.48</v>
      </c>
    </row>
    <row r="6" spans="1:14" ht="16.5">
      <c r="A6" s="374" t="s">
        <v>202</v>
      </c>
      <c r="B6" s="375">
        <v>0.7</v>
      </c>
      <c r="C6" s="375">
        <v>1.2</v>
      </c>
      <c r="D6" s="377">
        <f t="shared" si="0"/>
        <v>0.84</v>
      </c>
    </row>
    <row r="7" spans="1:14" ht="16.5">
      <c r="A7" s="374" t="s">
        <v>67</v>
      </c>
      <c r="B7" s="375">
        <v>0.3</v>
      </c>
      <c r="C7" s="375">
        <v>1.2</v>
      </c>
      <c r="D7" s="377">
        <f t="shared" si="0"/>
        <v>0.36</v>
      </c>
    </row>
    <row r="8" spans="1:14">
      <c r="B8" s="385"/>
      <c r="C8" s="385"/>
      <c r="D8" s="385"/>
    </row>
    <row r="9" spans="1:14" ht="16.5">
      <c r="A9" s="1185" t="s">
        <v>68</v>
      </c>
      <c r="B9" s="1185"/>
      <c r="C9" s="1185"/>
      <c r="D9" s="1185"/>
    </row>
    <row r="12" spans="1:14" ht="16.5">
      <c r="H12" s="1194" t="s">
        <v>119</v>
      </c>
      <c r="I12" s="1195" t="s">
        <v>636</v>
      </c>
      <c r="J12" s="1196" t="s">
        <v>637</v>
      </c>
      <c r="K12" s="1196"/>
      <c r="L12" s="1196"/>
      <c r="M12" s="332" t="s">
        <v>638</v>
      </c>
      <c r="N12" s="332" t="s">
        <v>198</v>
      </c>
    </row>
    <row r="13" spans="1:14" ht="33" customHeight="1">
      <c r="H13" s="1194"/>
      <c r="I13" s="1195"/>
      <c r="J13" s="1196"/>
      <c r="K13" s="1196"/>
      <c r="L13" s="1196"/>
      <c r="M13" s="1192" t="s">
        <v>639</v>
      </c>
      <c r="N13" s="1192" t="s">
        <v>647</v>
      </c>
    </row>
    <row r="14" spans="1:14" ht="33">
      <c r="H14" s="1194"/>
      <c r="I14" s="1195"/>
      <c r="J14" s="332" t="s">
        <v>649</v>
      </c>
      <c r="K14" s="332" t="s">
        <v>648</v>
      </c>
      <c r="L14" s="333" t="s">
        <v>640</v>
      </c>
      <c r="M14" s="1193"/>
      <c r="N14" s="1193"/>
    </row>
    <row r="15" spans="1:14" ht="16.5">
      <c r="H15" s="330">
        <v>1</v>
      </c>
      <c r="I15" s="331" t="s">
        <v>641</v>
      </c>
      <c r="J15" s="330">
        <v>1.8</v>
      </c>
      <c r="K15" s="330">
        <v>3.2</v>
      </c>
      <c r="L15" s="330">
        <v>5</v>
      </c>
      <c r="M15" s="330">
        <v>1.2</v>
      </c>
      <c r="N15" s="330">
        <f>L15*M15</f>
        <v>6</v>
      </c>
    </row>
    <row r="16" spans="1:14" ht="16.5">
      <c r="H16" s="330">
        <v>2</v>
      </c>
      <c r="I16" s="331" t="s">
        <v>642</v>
      </c>
      <c r="J16" s="330">
        <v>1.4</v>
      </c>
      <c r="K16" s="330">
        <v>2.6</v>
      </c>
      <c r="L16" s="330">
        <v>4</v>
      </c>
      <c r="M16" s="330">
        <v>1.2</v>
      </c>
      <c r="N16" s="330">
        <f t="shared" ref="N16:N21" si="1">L16*M16</f>
        <v>4.8</v>
      </c>
    </row>
    <row r="17" spans="1:23" ht="16.5">
      <c r="H17" s="330">
        <v>3</v>
      </c>
      <c r="I17" s="331" t="s">
        <v>650</v>
      </c>
      <c r="J17" s="330">
        <v>1</v>
      </c>
      <c r="K17" s="330">
        <v>2</v>
      </c>
      <c r="L17" s="330">
        <v>3</v>
      </c>
      <c r="M17" s="330">
        <v>1.2</v>
      </c>
      <c r="N17" s="330">
        <f t="shared" si="1"/>
        <v>3.5999999999999996</v>
      </c>
    </row>
    <row r="18" spans="1:23" ht="16.5">
      <c r="H18" s="330">
        <v>4</v>
      </c>
      <c r="I18" s="331" t="s">
        <v>643</v>
      </c>
      <c r="J18" s="330">
        <v>4.8</v>
      </c>
      <c r="K18" s="330">
        <v>0</v>
      </c>
      <c r="L18" s="330">
        <v>4.8</v>
      </c>
      <c r="M18" s="330">
        <v>1.2</v>
      </c>
      <c r="N18" s="330">
        <f t="shared" si="1"/>
        <v>5.76</v>
      </c>
    </row>
    <row r="19" spans="1:23" ht="16.5">
      <c r="H19" s="330">
        <v>5</v>
      </c>
      <c r="I19" s="331" t="s">
        <v>644</v>
      </c>
      <c r="J19" s="330">
        <v>1</v>
      </c>
      <c r="K19" s="330">
        <v>1</v>
      </c>
      <c r="L19" s="330">
        <v>2</v>
      </c>
      <c r="M19" s="330">
        <v>1.2</v>
      </c>
      <c r="N19" s="330">
        <f t="shared" si="1"/>
        <v>2.4</v>
      </c>
    </row>
    <row r="20" spans="1:23" ht="16.5">
      <c r="H20" s="330">
        <v>6</v>
      </c>
      <c r="I20" s="331" t="s">
        <v>645</v>
      </c>
      <c r="J20" s="330">
        <v>0.5</v>
      </c>
      <c r="K20" s="330">
        <v>1</v>
      </c>
      <c r="L20" s="330">
        <v>1.5</v>
      </c>
      <c r="M20" s="330">
        <v>1.3</v>
      </c>
      <c r="N20" s="330">
        <f t="shared" si="1"/>
        <v>1.9500000000000002</v>
      </c>
    </row>
    <row r="21" spans="1:23" ht="16.5">
      <c r="H21" s="330">
        <v>7</v>
      </c>
      <c r="I21" s="331" t="s">
        <v>646</v>
      </c>
      <c r="J21" s="330">
        <v>0</v>
      </c>
      <c r="K21" s="330">
        <v>0.75</v>
      </c>
      <c r="L21" s="330">
        <v>0.75</v>
      </c>
      <c r="M21" s="330">
        <v>1.3</v>
      </c>
      <c r="N21" s="330">
        <f t="shared" si="1"/>
        <v>0.97500000000000009</v>
      </c>
    </row>
    <row r="25" spans="1:23" ht="19.5">
      <c r="P25" s="1191" t="s">
        <v>119</v>
      </c>
      <c r="Q25" s="1190" t="s">
        <v>651</v>
      </c>
      <c r="R25" s="1190" t="s">
        <v>652</v>
      </c>
      <c r="S25" s="1190" t="s">
        <v>653</v>
      </c>
      <c r="T25" s="1190" t="s">
        <v>654</v>
      </c>
      <c r="U25" s="379" t="s">
        <v>655</v>
      </c>
      <c r="V25" s="538" t="s">
        <v>657</v>
      </c>
      <c r="W25" s="538" t="s">
        <v>658</v>
      </c>
    </row>
    <row r="26" spans="1:23" ht="33">
      <c r="P26" s="1191"/>
      <c r="Q26" s="1190"/>
      <c r="R26" s="1190"/>
      <c r="S26" s="1190"/>
      <c r="T26" s="1190"/>
      <c r="U26" s="379" t="s">
        <v>656</v>
      </c>
      <c r="V26" s="538" t="s">
        <v>663</v>
      </c>
      <c r="W26" s="538" t="s">
        <v>663</v>
      </c>
    </row>
    <row r="27" spans="1:23" ht="18.5">
      <c r="A27" s="611" t="s">
        <v>63</v>
      </c>
      <c r="B27" s="611" t="s">
        <v>1002</v>
      </c>
      <c r="C27" s="611" t="s">
        <v>14</v>
      </c>
      <c r="D27" s="611" t="s">
        <v>1003</v>
      </c>
      <c r="P27" s="375">
        <v>0</v>
      </c>
      <c r="Q27" s="568" t="s">
        <v>660</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201</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202</v>
      </c>
      <c r="B32" s="613">
        <f t="shared" si="2"/>
        <v>700</v>
      </c>
      <c r="C32" s="613">
        <v>1.2</v>
      </c>
      <c r="D32" s="613">
        <f t="shared" si="3"/>
        <v>840</v>
      </c>
      <c r="P32" s="571" t="s">
        <v>659</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A9:D9"/>
    <mergeCell ref="M13:M14"/>
    <mergeCell ref="N13:N14"/>
    <mergeCell ref="H12:H14"/>
    <mergeCell ref="I12:I14"/>
    <mergeCell ref="J12:L13"/>
    <mergeCell ref="T25:T26"/>
    <mergeCell ref="P25:P26"/>
    <mergeCell ref="Q25:Q26"/>
    <mergeCell ref="R25:R26"/>
    <mergeCell ref="S25:S26"/>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97" t="s">
        <v>188</v>
      </c>
      <c r="C1" s="1197"/>
      <c r="D1" s="1197"/>
      <c r="E1" s="1197"/>
      <c r="F1" s="1197"/>
      <c r="G1" s="1197"/>
      <c r="H1" s="1197"/>
      <c r="I1" s="1197"/>
      <c r="J1" s="1197"/>
      <c r="K1" s="1197"/>
      <c r="L1" s="1197"/>
      <c r="M1" s="12"/>
      <c r="N1" s="12"/>
      <c r="O1" s="12"/>
      <c r="P1" s="12"/>
      <c r="Q1" s="12"/>
      <c r="R1" s="12"/>
      <c r="S1" s="12"/>
      <c r="T1" s="12"/>
    </row>
    <row r="2" spans="2:20" ht="15">
      <c r="B2" s="1198" t="s">
        <v>189</v>
      </c>
      <c r="C2" s="1199" t="s">
        <v>190</v>
      </c>
      <c r="D2" s="1199" t="s">
        <v>191</v>
      </c>
      <c r="E2" s="1198" t="s">
        <v>192</v>
      </c>
      <c r="F2" s="1198" t="s">
        <v>193</v>
      </c>
      <c r="G2" s="1198" t="s">
        <v>194</v>
      </c>
      <c r="H2" s="1198" t="s">
        <v>195</v>
      </c>
      <c r="I2" s="1198" t="s">
        <v>196</v>
      </c>
      <c r="J2" s="1198"/>
      <c r="K2" s="1198" t="s">
        <v>197</v>
      </c>
      <c r="L2" s="1198"/>
      <c r="M2" s="12"/>
      <c r="N2" s="12"/>
      <c r="O2" s="12"/>
      <c r="P2" s="12"/>
      <c r="Q2" s="12"/>
      <c r="R2" s="12"/>
      <c r="S2" s="12"/>
      <c r="T2" s="12"/>
    </row>
    <row r="3" spans="2:20" ht="15.5">
      <c r="B3" s="1198"/>
      <c r="C3" s="1199"/>
      <c r="D3" s="1199"/>
      <c r="E3" s="1198"/>
      <c r="F3" s="1198"/>
      <c r="G3" s="1198"/>
      <c r="H3" s="1198"/>
      <c r="I3" s="13" t="s">
        <v>198</v>
      </c>
      <c r="J3" s="13" t="s">
        <v>199</v>
      </c>
      <c r="K3" s="13" t="s">
        <v>198</v>
      </c>
      <c r="L3" s="13" t="s">
        <v>199</v>
      </c>
      <c r="M3" s="12"/>
      <c r="N3" s="12"/>
      <c r="O3" s="12"/>
      <c r="P3" s="12"/>
      <c r="Q3" s="12"/>
      <c r="R3" s="12"/>
      <c r="S3" s="12"/>
      <c r="T3" s="12"/>
    </row>
    <row r="4" spans="2:20" ht="15.5">
      <c r="B4" s="1198"/>
      <c r="C4" s="1200" t="s">
        <v>902</v>
      </c>
      <c r="D4" s="1200"/>
      <c r="E4" s="1198"/>
      <c r="F4" s="1198"/>
      <c r="G4" s="1198"/>
      <c r="H4" s="1198"/>
      <c r="I4" s="1200" t="s">
        <v>903</v>
      </c>
      <c r="J4" s="1200"/>
      <c r="K4" s="1200"/>
      <c r="L4" s="1200"/>
      <c r="M4" s="14"/>
      <c r="N4" s="14"/>
      <c r="O4" s="12"/>
      <c r="P4" s="12"/>
      <c r="Q4" s="12"/>
      <c r="R4" s="12"/>
      <c r="S4" s="12"/>
      <c r="T4" s="12"/>
    </row>
    <row r="5" spans="2:20" ht="15.5">
      <c r="B5" s="15" t="s">
        <v>200</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203</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1001</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104</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102</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103</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107</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106</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105</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108</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109</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111</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110</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454</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455</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97" t="s">
        <v>572</v>
      </c>
      <c r="C2" s="1197"/>
      <c r="D2" s="1197"/>
      <c r="E2" s="1197"/>
      <c r="F2" s="1197"/>
      <c r="G2" s="1197"/>
      <c r="H2" s="1197"/>
      <c r="I2" s="1197"/>
      <c r="J2" s="1197"/>
      <c r="K2" s="1197"/>
      <c r="L2" s="1197"/>
      <c r="M2" s="1197"/>
      <c r="N2" s="1197"/>
      <c r="O2" s="1197"/>
      <c r="P2" s="1197"/>
      <c r="Q2" s="1197"/>
      <c r="R2" s="1197"/>
      <c r="S2" s="258"/>
      <c r="T2" s="258"/>
    </row>
    <row r="3" spans="2:20" ht="15.5" thickBot="1">
      <c r="B3" s="1201" t="s">
        <v>553</v>
      </c>
      <c r="C3" s="1201" t="s">
        <v>554</v>
      </c>
      <c r="D3" s="1201" t="s">
        <v>555</v>
      </c>
      <c r="E3" s="1201"/>
      <c r="F3" s="1201" t="s">
        <v>556</v>
      </c>
      <c r="G3" s="1201" t="s">
        <v>557</v>
      </c>
      <c r="H3" s="1201"/>
      <c r="I3" s="1201"/>
      <c r="J3" s="1201" t="s">
        <v>558</v>
      </c>
      <c r="K3" s="1201"/>
      <c r="L3" s="1201"/>
      <c r="M3" s="1201"/>
      <c r="N3" s="1201" t="s">
        <v>559</v>
      </c>
      <c r="O3" s="1201"/>
      <c r="P3" s="1201"/>
      <c r="Q3" s="1201" t="s">
        <v>560</v>
      </c>
      <c r="R3" s="1201"/>
      <c r="S3" s="258"/>
      <c r="T3" s="258"/>
    </row>
    <row r="4" spans="2:20" ht="18.5" thickBot="1">
      <c r="B4" s="1201"/>
      <c r="C4" s="1201"/>
      <c r="D4" s="1201"/>
      <c r="E4" s="1201"/>
      <c r="F4" s="1201"/>
      <c r="G4" s="1201"/>
      <c r="H4" s="1201"/>
      <c r="I4" s="1201"/>
      <c r="J4" s="1201"/>
      <c r="K4" s="1201"/>
      <c r="L4" s="1201"/>
      <c r="M4" s="1201"/>
      <c r="N4" s="261" t="s">
        <v>561</v>
      </c>
      <c r="O4" s="261" t="s">
        <v>562</v>
      </c>
      <c r="P4" s="261" t="s">
        <v>563</v>
      </c>
      <c r="Q4" s="261" t="s">
        <v>561</v>
      </c>
      <c r="R4" s="261" t="s">
        <v>563</v>
      </c>
      <c r="S4" s="258"/>
      <c r="T4" s="258"/>
    </row>
    <row r="5" spans="2:20" ht="15.5">
      <c r="B5" s="1201"/>
      <c r="C5" s="262" t="s">
        <v>6</v>
      </c>
      <c r="D5" s="262" t="s">
        <v>564</v>
      </c>
      <c r="E5" s="262" t="s">
        <v>565</v>
      </c>
      <c r="F5" s="262" t="s">
        <v>566</v>
      </c>
      <c r="G5" s="262" t="s">
        <v>567</v>
      </c>
      <c r="H5" s="262" t="s">
        <v>568</v>
      </c>
      <c r="I5" s="262" t="s">
        <v>209</v>
      </c>
      <c r="J5" s="1201"/>
      <c r="K5" s="1201"/>
      <c r="L5" s="1201"/>
      <c r="M5" s="1201"/>
      <c r="N5" s="262" t="s">
        <v>566</v>
      </c>
      <c r="O5" s="262" t="s">
        <v>566</v>
      </c>
      <c r="P5" s="262" t="s">
        <v>569</v>
      </c>
      <c r="Q5" s="262" t="s">
        <v>566</v>
      </c>
      <c r="R5" s="262" t="s">
        <v>569</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104</v>
      </c>
      <c r="K6" s="267" t="s">
        <v>570</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104</v>
      </c>
      <c r="K7" s="267" t="s">
        <v>570</v>
      </c>
      <c r="L7" s="266" t="s">
        <v>102</v>
      </c>
      <c r="M7" s="267" t="s">
        <v>571</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107</v>
      </c>
      <c r="K8" s="267" t="s">
        <v>571</v>
      </c>
      <c r="L8" s="266" t="s">
        <v>106</v>
      </c>
      <c r="M8" s="267" t="s">
        <v>570</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200</v>
      </c>
      <c r="K9" s="267" t="s">
        <v>570</v>
      </c>
      <c r="L9" s="266" t="s">
        <v>102</v>
      </c>
      <c r="M9" s="267" t="s">
        <v>571</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104</v>
      </c>
      <c r="K10" s="267" t="s">
        <v>570</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104</v>
      </c>
      <c r="K11" s="267" t="s">
        <v>571</v>
      </c>
      <c r="L11" s="266" t="s">
        <v>104</v>
      </c>
      <c r="M11" s="267" t="s">
        <v>571</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104</v>
      </c>
      <c r="K12" s="267" t="s">
        <v>571</v>
      </c>
      <c r="L12" s="266" t="s">
        <v>107</v>
      </c>
      <c r="M12" s="267" t="s">
        <v>571</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107</v>
      </c>
      <c r="K13" s="267" t="s">
        <v>571</v>
      </c>
      <c r="L13" s="266" t="s">
        <v>200</v>
      </c>
      <c r="M13" s="267" t="s">
        <v>571</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200</v>
      </c>
      <c r="K14" s="267" t="s">
        <v>571</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102</v>
      </c>
      <c r="K15" s="267" t="s">
        <v>570</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102</v>
      </c>
      <c r="K16" s="267" t="s">
        <v>570</v>
      </c>
      <c r="L16" s="266" t="s">
        <v>106</v>
      </c>
      <c r="M16" s="267" t="s">
        <v>571</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106</v>
      </c>
      <c r="K17" s="267" t="s">
        <v>571</v>
      </c>
      <c r="L17" s="266" t="s">
        <v>102</v>
      </c>
      <c r="M17" s="267" t="s">
        <v>570</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102</v>
      </c>
      <c r="K18" s="267" t="s">
        <v>570</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214" t="s">
        <v>573</v>
      </c>
      <c r="B2" s="1215"/>
      <c r="C2" s="1215"/>
      <c r="D2" s="1215"/>
      <c r="E2" s="1215"/>
      <c r="F2" s="1215"/>
      <c r="G2" s="1215"/>
      <c r="H2" s="1215"/>
      <c r="I2" s="1215"/>
      <c r="J2" s="1215"/>
      <c r="K2" s="1215"/>
      <c r="L2" s="1215"/>
      <c r="M2" s="1215"/>
      <c r="N2" s="1215"/>
      <c r="O2" s="1215"/>
      <c r="P2" s="1215"/>
      <c r="Q2" s="1215"/>
      <c r="R2" s="1215"/>
      <c r="S2" s="1215"/>
      <c r="T2" s="1215"/>
      <c r="U2" s="1215"/>
      <c r="V2" s="1215"/>
      <c r="W2" s="1215"/>
      <c r="X2" s="1216"/>
    </row>
    <row r="3" spans="1:24" ht="15">
      <c r="A3" s="1217" t="s">
        <v>553</v>
      </c>
      <c r="B3" s="1220" t="s">
        <v>574</v>
      </c>
      <c r="C3" s="1222"/>
      <c r="D3" s="1210" t="s">
        <v>575</v>
      </c>
      <c r="E3" s="1212"/>
      <c r="F3" s="1209" t="s">
        <v>556</v>
      </c>
      <c r="G3" s="1220" t="s">
        <v>557</v>
      </c>
      <c r="H3" s="1221"/>
      <c r="I3" s="1222"/>
      <c r="J3" s="1209" t="s">
        <v>576</v>
      </c>
      <c r="K3" s="1220" t="s">
        <v>558</v>
      </c>
      <c r="L3" s="1221"/>
      <c r="M3" s="1221"/>
      <c r="N3" s="1222"/>
      <c r="O3" s="1210" t="s">
        <v>577</v>
      </c>
      <c r="P3" s="1211"/>
      <c r="Q3" s="1211"/>
      <c r="R3" s="1211"/>
      <c r="S3" s="1211"/>
      <c r="T3" s="1212"/>
      <c r="U3" s="1208" t="s">
        <v>578</v>
      </c>
      <c r="V3" s="1208"/>
      <c r="W3" s="1208"/>
      <c r="X3" s="1208"/>
    </row>
    <row r="4" spans="1:24" ht="33">
      <c r="A4" s="1218"/>
      <c r="B4" s="1227" t="s">
        <v>579</v>
      </c>
      <c r="C4" s="1227" t="s">
        <v>580</v>
      </c>
      <c r="D4" s="1229" t="s">
        <v>581</v>
      </c>
      <c r="E4" s="1227" t="s">
        <v>582</v>
      </c>
      <c r="F4" s="1208"/>
      <c r="G4" s="1231" t="s">
        <v>583</v>
      </c>
      <c r="H4" s="1231" t="s">
        <v>584</v>
      </c>
      <c r="I4" s="1231" t="s">
        <v>585</v>
      </c>
      <c r="J4" s="1209"/>
      <c r="K4" s="1220"/>
      <c r="L4" s="1221"/>
      <c r="M4" s="1221"/>
      <c r="N4" s="1222"/>
      <c r="O4" s="281" t="s">
        <v>586</v>
      </c>
      <c r="P4" s="281" t="s">
        <v>587</v>
      </c>
      <c r="Q4" s="1213" t="s">
        <v>588</v>
      </c>
      <c r="R4" s="278" t="s">
        <v>589</v>
      </c>
      <c r="S4" s="278" t="s">
        <v>590</v>
      </c>
      <c r="T4" s="278" t="s">
        <v>591</v>
      </c>
      <c r="U4" s="281" t="s">
        <v>587</v>
      </c>
      <c r="V4" s="278" t="s">
        <v>589</v>
      </c>
      <c r="W4" s="278" t="s">
        <v>590</v>
      </c>
      <c r="X4" s="278" t="s">
        <v>591</v>
      </c>
    </row>
    <row r="5" spans="1:24" ht="15.5">
      <c r="A5" s="1219"/>
      <c r="B5" s="1228"/>
      <c r="C5" s="1228"/>
      <c r="D5" s="1230"/>
      <c r="E5" s="1228"/>
      <c r="F5" s="279" t="s">
        <v>566</v>
      </c>
      <c r="G5" s="1231"/>
      <c r="H5" s="1231"/>
      <c r="I5" s="1231"/>
      <c r="J5" s="1208"/>
      <c r="K5" s="1220"/>
      <c r="L5" s="1221"/>
      <c r="M5" s="1211"/>
      <c r="N5" s="1212"/>
      <c r="O5" s="279" t="s">
        <v>566</v>
      </c>
      <c r="P5" s="284" t="s">
        <v>510</v>
      </c>
      <c r="Q5" s="1208"/>
      <c r="R5" s="279" t="s">
        <v>569</v>
      </c>
      <c r="S5" s="279" t="s">
        <v>569</v>
      </c>
      <c r="T5" s="279" t="s">
        <v>569</v>
      </c>
      <c r="U5" s="279" t="s">
        <v>510</v>
      </c>
      <c r="V5" s="279" t="s">
        <v>569</v>
      </c>
      <c r="W5" s="279" t="s">
        <v>569</v>
      </c>
      <c r="X5" s="279" t="s">
        <v>569</v>
      </c>
    </row>
    <row r="6" spans="1:24" ht="15.5">
      <c r="A6" s="1223"/>
      <c r="B6" s="1225">
        <v>2.7</v>
      </c>
      <c r="C6" s="1225">
        <v>2.8</v>
      </c>
      <c r="D6" s="1223">
        <f>TH!$B$53/10</f>
        <v>20</v>
      </c>
      <c r="E6" s="1223">
        <f>TH!$B$50/10</f>
        <v>40</v>
      </c>
      <c r="F6" s="1232">
        <f>1.1*D6*E6*2500/10000</f>
        <v>220</v>
      </c>
      <c r="G6" s="282">
        <v>200</v>
      </c>
      <c r="H6" s="282">
        <f>TH!$B$18</f>
        <v>3.6</v>
      </c>
      <c r="I6" s="283">
        <f>IF(G6=100,180*1.1*H6,IF(G6=200,330*1.1*H6,0))</f>
        <v>1306.8000000000002</v>
      </c>
      <c r="J6" s="282" t="s">
        <v>509</v>
      </c>
      <c r="K6" s="285" t="s">
        <v>111</v>
      </c>
      <c r="L6" s="286" t="s">
        <v>571</v>
      </c>
      <c r="M6" s="285" t="s">
        <v>103</v>
      </c>
      <c r="N6" s="286" t="s">
        <v>571</v>
      </c>
      <c r="O6" s="280">
        <f>(IF(L6="HT",VLOOKUP(K6,'tải sàn'!$B$5:$L$51,11,0),IF(L6="TG",VLOOKUP(K6,'tải sàn'!$B$5:$L$51,9,0),0)))+(IF(N6="HT",VLOOKUP(M6,'tải sàn'!$B$5:$L$51,11,0),IF(N6="TG",VLOOKUP(M6,'tải sàn'!$B$5:$L$51,9,0),0)))</f>
        <v>1.3287173152010072</v>
      </c>
      <c r="P6" s="287">
        <f>F6+I6+O6</f>
        <v>1528.1287173152011</v>
      </c>
      <c r="Q6" s="1204">
        <v>8</v>
      </c>
      <c r="R6" s="1206">
        <f>VLOOKUP(Q6,'dam loai 1 T2'!$B$6:$R$30,15,0)</f>
        <v>2801.5457595729167</v>
      </c>
      <c r="S6" s="1202">
        <f>((P6*B6*(C6+(B6/2))/(B6+C6))+(P7*C6*(C6/2))/(B6+C6))+(R6*C6/(B6+C6))</f>
        <v>5941.9298172735798</v>
      </c>
      <c r="T6" s="1202">
        <f>((P6*B6*(B6/2))/(B6+C6))+(P7*C6*(B6+(C6/2))/(B6+C6))+(R6*B6/(B6+C6))</f>
        <v>6495.2803295387339</v>
      </c>
      <c r="U6" s="280">
        <f>(IF(L6="HT",VLOOKUP(K6,'tải sàn'!$B$5:$L$51,10,0),IF(L6="TG",VLOOKUP(K6,'tải sàn'!$B$5:$L$51,8,0),0)))+(IF(N6="HT",VLOOKUP(M6,'tải sàn'!$B$5:$L$51,10,0),IF(N6="TG",VLOOKUP(M6,'tải sàn'!$B$5:$L$51,8,0),0)))</f>
        <v>0.93690664653083444</v>
      </c>
      <c r="V6" s="1206">
        <f>VLOOKUP(Q6,'dam loai 1 T2'!$B$6:$R$30,17,0)</f>
        <v>1.9262200807291667</v>
      </c>
      <c r="W6" s="1202">
        <f>((U6*B6*(C6+(B6/2))/(B6+C6))+(U7*C6*(C6/2))/(B6+C6))+(V6*C6/(B6+C6))</f>
        <v>3.2914814659871015</v>
      </c>
      <c r="X6" s="1202">
        <f>((U6*B6*(B6/2))/(B6+C6))+(U7*C6*(B6+(C6/2))/(B6+C6))+(V6*B6/(B6+C6))</f>
        <v>2.7441671764534545</v>
      </c>
    </row>
    <row r="7" spans="1:24" ht="15.5">
      <c r="A7" s="1224"/>
      <c r="B7" s="1226">
        <v>2.7</v>
      </c>
      <c r="C7" s="1226">
        <v>7</v>
      </c>
      <c r="D7" s="1224">
        <v>20</v>
      </c>
      <c r="E7" s="1224">
        <v>120</v>
      </c>
      <c r="F7" s="1233">
        <v>660</v>
      </c>
      <c r="G7" s="282">
        <v>200</v>
      </c>
      <c r="H7" s="282">
        <f>TH!$B$18</f>
        <v>3.6</v>
      </c>
      <c r="I7" s="283">
        <f>IF(G7=100,180*1.1*H7,IF(G7=200,330*1.1*H7,0))</f>
        <v>1306.8000000000002</v>
      </c>
      <c r="J7" s="282" t="s">
        <v>510</v>
      </c>
      <c r="K7" s="285"/>
      <c r="L7" s="286"/>
      <c r="M7" s="285" t="s">
        <v>103</v>
      </c>
      <c r="N7" s="286" t="s">
        <v>571</v>
      </c>
      <c r="O7" s="280">
        <f>(IF(L7="HT",VLOOKUP(K7,'tải sàn'!$B$5:$L$51,11,0),IF(L7="TG",VLOOKUP(K7,'tải sàn'!$B$5:$L$51,9,0),0)))+(IF(N7="HT",VLOOKUP(M7,'tải sàn'!$B$5:$L$51,11,0),IF(N7="TG",VLOOKUP(M7,'tải sàn'!$B$5:$L$51,9,0),0)))</f>
        <v>0.95601803155522158</v>
      </c>
      <c r="P7" s="287">
        <f>F7+I7+O7</f>
        <v>1967.7560180315554</v>
      </c>
      <c r="Q7" s="1205"/>
      <c r="R7" s="1207"/>
      <c r="S7" s="1203"/>
      <c r="T7" s="1203"/>
      <c r="U7" s="280">
        <f>(IF(L7="HT",VLOOKUP(K7,'tải sàn'!$B$5:$L$51,10,0),IF(L7="TG",VLOOKUP(K7,'tải sàn'!$B$5:$L$51,8,0),0)))+(IF(N7="HT",VLOOKUP(M7,'tải sàn'!$B$5:$L$51,10,0),IF(N7="TG",VLOOKUP(M7,'tải sàn'!$B$5:$L$51,8,0),0)))</f>
        <v>0.5642073628850488</v>
      </c>
      <c r="V7" s="1207"/>
      <c r="W7" s="1203"/>
      <c r="X7" s="1203"/>
    </row>
    <row r="8" spans="1:24" ht="15.5">
      <c r="A8" s="1223"/>
      <c r="B8" s="1225">
        <v>2.7</v>
      </c>
      <c r="C8" s="1225">
        <v>2.8</v>
      </c>
      <c r="D8" s="1223">
        <f>TH!$B$53/10</f>
        <v>20</v>
      </c>
      <c r="E8" s="1223">
        <f>TH!$B$50/10</f>
        <v>40</v>
      </c>
      <c r="F8" s="1232">
        <v>220</v>
      </c>
      <c r="G8" s="282">
        <v>200</v>
      </c>
      <c r="H8" s="282">
        <f>TH!$B$18</f>
        <v>3.6</v>
      </c>
      <c r="I8" s="283">
        <f>IF(G8=100,180*1.1*H8,IF(G8=200,330*1.1*H8,0))</f>
        <v>1306.8000000000002</v>
      </c>
      <c r="J8" s="282" t="s">
        <v>509</v>
      </c>
      <c r="K8" s="285" t="s">
        <v>111</v>
      </c>
      <c r="L8" s="286" t="s">
        <v>571</v>
      </c>
      <c r="M8" s="285" t="s">
        <v>103</v>
      </c>
      <c r="N8" s="286" t="s">
        <v>571</v>
      </c>
      <c r="O8" s="280">
        <f>(IF(L8="HT",VLOOKUP(K8,'tải sàn'!$B$5:$L$51,11,0),IF(L8="TG",VLOOKUP(K8,'tải sàn'!$B$5:$L$51,9,0),0)))+(IF(N8="HT",VLOOKUP(M8,'tải sàn'!$B$5:$L$51,11,0),IF(N8="TG",VLOOKUP(M8,'tải sàn'!$B$5:$L$51,9,0),0)))</f>
        <v>1.3287173152010072</v>
      </c>
      <c r="P8" s="287">
        <f>F8+I8+O8</f>
        <v>1528.1287173152011</v>
      </c>
      <c r="Q8" s="1204">
        <v>9</v>
      </c>
      <c r="R8" s="1206">
        <f>VLOOKUP(Q8,'dam loai 1 T2'!$B$6:$R$30,15,0)</f>
        <v>4582.1790929062508</v>
      </c>
      <c r="S8" s="1202">
        <f>((P8*B8*(C8+(B8/2))/(B8+C8))+(P9*C8*(C8/2))/(B8+C8))+(R8*C8/(B8+C8))</f>
        <v>6534.8340596978232</v>
      </c>
      <c r="T8" s="1202">
        <f>((P8*B8*(B8/2))/(B8+C8))+(P9*C8*(B8+(C8/2))/(B8+C8))+(R8*B8/(B8+C8))</f>
        <v>6451.0094204478246</v>
      </c>
      <c r="U8" s="280">
        <f>(IF(L8="HT",VLOOKUP(K8,'tải sàn'!$B$5:$L$51,10,0),IF(L8="TG",VLOOKUP(K8,'tải sàn'!$B$5:$L$51,8,0),0)))+(IF(N8="HT",VLOOKUP(M8,'tải sàn'!$B$5:$L$51,10,0),IF(N8="TG",VLOOKUP(M8,'tải sàn'!$B$5:$L$51,8,0),0)))</f>
        <v>0.93690664653083444</v>
      </c>
      <c r="V8" s="1206">
        <f>VLOOKUP(Q8,'dam loai 1 T2'!$B$6:$R$30,17,0)</f>
        <v>0.55955341406250014</v>
      </c>
      <c r="W8" s="1202">
        <f>((U8*B8*(C8+(B8/2))/(B8+C8))+(U9*C8*(C8/2))/(B8+C8))+(V8*C8/(B8+C8))</f>
        <v>2.5957238902295257</v>
      </c>
      <c r="X8" s="1202">
        <f>((U8*B8*(B8/2))/(B8+C8))+(U9*C8*(B8+(C8/2))/(B8+C8))+(V8*B8/(B8+C8))</f>
        <v>2.0732580855443636</v>
      </c>
    </row>
    <row r="9" spans="1:24" ht="15.5">
      <c r="A9" s="1224"/>
      <c r="B9" s="1226">
        <v>2.7</v>
      </c>
      <c r="C9" s="1226">
        <v>7</v>
      </c>
      <c r="D9" s="1224">
        <v>20</v>
      </c>
      <c r="E9" s="1224">
        <v>120</v>
      </c>
      <c r="F9" s="1233">
        <v>220</v>
      </c>
      <c r="G9" s="282">
        <v>200</v>
      </c>
      <c r="H9" s="282">
        <f>TH!$B$18</f>
        <v>3.6</v>
      </c>
      <c r="I9" s="283">
        <f>IF(G9=100,180*1.1*H9,IF(G9=200,330*1.1*H9,0))</f>
        <v>1306.8000000000002</v>
      </c>
      <c r="J9" s="282" t="s">
        <v>510</v>
      </c>
      <c r="K9" s="285"/>
      <c r="L9" s="286"/>
      <c r="M9" s="285" t="s">
        <v>103</v>
      </c>
      <c r="N9" s="286" t="s">
        <v>571</v>
      </c>
      <c r="O9" s="280">
        <f>(IF(L9="HT",VLOOKUP(K9,'tải sàn'!$B$5:$L$51,11,0),IF(L9="TG",VLOOKUP(K9,'tải sàn'!$B$5:$L$51,9,0),0)))+(IF(N9="HT",VLOOKUP(M9,'tải sàn'!$B$5:$L$51,11,0),IF(N9="TG",VLOOKUP(M9,'tải sàn'!$B$5:$L$51,9,0),0)))</f>
        <v>0.95601803155522158</v>
      </c>
      <c r="P9" s="287">
        <f>F9+I9+O9</f>
        <v>1527.7560180315554</v>
      </c>
      <c r="Q9" s="1205"/>
      <c r="R9" s="1207"/>
      <c r="S9" s="1203"/>
      <c r="T9" s="1203"/>
      <c r="U9" s="280">
        <f>(IF(L9="HT",VLOOKUP(K9,'tải sàn'!$B$5:$L$51,10,0),IF(L9="TG",VLOOKUP(K9,'tải sàn'!$B$5:$L$51,8,0),0)))+(IF(N9="HT",VLOOKUP(M9,'tải sàn'!$B$5:$L$51,10,0),IF(N9="TG",VLOOKUP(M9,'tải sàn'!$B$5:$L$51,8,0),0)))</f>
        <v>0.5642073628850488</v>
      </c>
      <c r="V9" s="1207"/>
      <c r="W9" s="1203"/>
      <c r="X9" s="1203"/>
    </row>
    <row r="12" spans="1:24" ht="15.5">
      <c r="D12" s="259"/>
      <c r="E12" s="259"/>
    </row>
  </sheetData>
  <mergeCells count="44">
    <mergeCell ref="A6:A7"/>
    <mergeCell ref="B6:B7"/>
    <mergeCell ref="C6:C7"/>
    <mergeCell ref="D6:D7"/>
    <mergeCell ref="S6:S7"/>
    <mergeCell ref="E6:E7"/>
    <mergeCell ref="F6:F7"/>
    <mergeCell ref="Q6:Q7"/>
    <mergeCell ref="R6:R7"/>
    <mergeCell ref="G3:I3"/>
    <mergeCell ref="G4:G5"/>
    <mergeCell ref="H4:H5"/>
    <mergeCell ref="I4:I5"/>
    <mergeCell ref="D8:D9"/>
    <mergeCell ref="E8:E9"/>
    <mergeCell ref="F8:F9"/>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T8:T9"/>
    <mergeCell ref="Q8:Q9"/>
    <mergeCell ref="R8:R9"/>
    <mergeCell ref="U3:X3"/>
    <mergeCell ref="J3:J5"/>
    <mergeCell ref="O3:T3"/>
    <mergeCell ref="Q4:Q5"/>
    <mergeCell ref="W6:W7"/>
    <mergeCell ref="X6:X7"/>
    <mergeCell ref="S8:S9"/>
    <mergeCell ref="T6:T7"/>
    <mergeCell ref="V6:V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214" t="s">
        <v>609</v>
      </c>
      <c r="B1" s="1215"/>
      <c r="C1" s="1215"/>
      <c r="D1" s="1215"/>
      <c r="E1" s="1215"/>
      <c r="F1" s="1215"/>
      <c r="G1" s="1215"/>
      <c r="H1" s="1215"/>
      <c r="I1" s="1215"/>
      <c r="J1" s="1215"/>
      <c r="K1" s="1215"/>
      <c r="L1" s="1215"/>
      <c r="M1" s="1215"/>
      <c r="N1" s="1215"/>
      <c r="O1" s="1215"/>
      <c r="P1" s="1215"/>
      <c r="Q1" s="1215"/>
      <c r="R1" s="1215"/>
      <c r="S1" s="1215"/>
      <c r="T1" s="1215"/>
      <c r="U1" s="1215"/>
      <c r="V1" s="1215"/>
      <c r="W1" s="1215"/>
      <c r="X1" s="1216"/>
    </row>
    <row r="2" spans="1:24" ht="15">
      <c r="A2" s="1217" t="s">
        <v>553</v>
      </c>
      <c r="B2" s="1220" t="s">
        <v>574</v>
      </c>
      <c r="C2" s="1222"/>
      <c r="D2" s="1210" t="s">
        <v>575</v>
      </c>
      <c r="E2" s="1212"/>
      <c r="F2" s="1235" t="s">
        <v>556</v>
      </c>
      <c r="G2" s="1220" t="s">
        <v>557</v>
      </c>
      <c r="H2" s="1221"/>
      <c r="I2" s="1222"/>
      <c r="J2" s="1209" t="s">
        <v>576</v>
      </c>
      <c r="K2" s="1220" t="s">
        <v>558</v>
      </c>
      <c r="L2" s="1221"/>
      <c r="M2" s="1221"/>
      <c r="N2" s="1222"/>
      <c r="O2" s="1210" t="s">
        <v>577</v>
      </c>
      <c r="P2" s="1211"/>
      <c r="Q2" s="1211"/>
      <c r="R2" s="1211"/>
      <c r="S2" s="1211"/>
      <c r="T2" s="1212"/>
      <c r="U2" s="1208" t="s">
        <v>578</v>
      </c>
      <c r="V2" s="1208"/>
      <c r="W2" s="1208"/>
      <c r="X2" s="1208"/>
    </row>
    <row r="3" spans="1:24">
      <c r="A3" s="1218"/>
      <c r="B3" s="1227" t="s">
        <v>579</v>
      </c>
      <c r="C3" s="1227" t="s">
        <v>580</v>
      </c>
      <c r="D3" s="1229" t="s">
        <v>581</v>
      </c>
      <c r="E3" s="1227" t="s">
        <v>582</v>
      </c>
      <c r="F3" s="1209"/>
      <c r="G3" s="1231" t="s">
        <v>583</v>
      </c>
      <c r="H3" s="1231" t="s">
        <v>584</v>
      </c>
      <c r="I3" s="1231" t="s">
        <v>585</v>
      </c>
      <c r="J3" s="1209"/>
      <c r="K3" s="1220"/>
      <c r="L3" s="1221"/>
      <c r="M3" s="1221"/>
      <c r="N3" s="1222"/>
      <c r="O3" s="1213" t="s">
        <v>586</v>
      </c>
      <c r="P3" s="1213" t="s">
        <v>587</v>
      </c>
      <c r="Q3" s="1213" t="s">
        <v>610</v>
      </c>
      <c r="R3" s="1213" t="s">
        <v>589</v>
      </c>
      <c r="S3" s="1213" t="s">
        <v>590</v>
      </c>
      <c r="T3" s="1213" t="s">
        <v>591</v>
      </c>
      <c r="U3" s="1213" t="s">
        <v>587</v>
      </c>
      <c r="V3" s="1213" t="s">
        <v>589</v>
      </c>
      <c r="W3" s="1213" t="s">
        <v>590</v>
      </c>
      <c r="X3" s="1213" t="s">
        <v>591</v>
      </c>
    </row>
    <row r="4" spans="1:24">
      <c r="A4" s="1218"/>
      <c r="B4" s="1234"/>
      <c r="C4" s="1234"/>
      <c r="D4" s="1238"/>
      <c r="E4" s="1234"/>
      <c r="F4" s="1208"/>
      <c r="G4" s="1231"/>
      <c r="H4" s="1231"/>
      <c r="I4" s="1231"/>
      <c r="J4" s="1209"/>
      <c r="K4" s="1220"/>
      <c r="L4" s="1221"/>
      <c r="M4" s="1221"/>
      <c r="N4" s="1222"/>
      <c r="O4" s="1208"/>
      <c r="P4" s="1208"/>
      <c r="Q4" s="1209"/>
      <c r="R4" s="1208"/>
      <c r="S4" s="1208"/>
      <c r="T4" s="1208"/>
      <c r="U4" s="1208"/>
      <c r="V4" s="1208"/>
      <c r="W4" s="1208"/>
      <c r="X4" s="1208"/>
    </row>
    <row r="5" spans="1:24" ht="15.5">
      <c r="A5" s="1219"/>
      <c r="B5" s="1228"/>
      <c r="C5" s="1228"/>
      <c r="D5" s="1230"/>
      <c r="E5" s="1228"/>
      <c r="F5" s="308" t="s">
        <v>566</v>
      </c>
      <c r="G5" s="1231"/>
      <c r="H5" s="1231"/>
      <c r="I5" s="1231"/>
      <c r="J5" s="1208"/>
      <c r="K5" s="1220"/>
      <c r="L5" s="1221"/>
      <c r="M5" s="1211"/>
      <c r="N5" s="1212"/>
      <c r="O5" s="308" t="s">
        <v>566</v>
      </c>
      <c r="P5" s="313" t="s">
        <v>510</v>
      </c>
      <c r="Q5" s="1209"/>
      <c r="R5" s="308" t="s">
        <v>569</v>
      </c>
      <c r="S5" s="308" t="s">
        <v>569</v>
      </c>
      <c r="T5" s="308" t="s">
        <v>569</v>
      </c>
      <c r="U5" s="308" t="s">
        <v>510</v>
      </c>
      <c r="V5" s="308" t="s">
        <v>569</v>
      </c>
      <c r="W5" s="308" t="s">
        <v>569</v>
      </c>
      <c r="X5" s="308" t="s">
        <v>569</v>
      </c>
    </row>
    <row r="6" spans="1:24" ht="15.5">
      <c r="A6" s="1223"/>
      <c r="B6" s="1225">
        <v>2.5</v>
      </c>
      <c r="C6" s="1225">
        <v>3.5</v>
      </c>
      <c r="D6" s="1223">
        <v>20</v>
      </c>
      <c r="E6" s="1223">
        <v>60</v>
      </c>
      <c r="F6" s="1232">
        <v>330</v>
      </c>
      <c r="G6" s="311"/>
      <c r="H6" s="311">
        <v>3.2</v>
      </c>
      <c r="I6" s="312">
        <v>0</v>
      </c>
      <c r="J6" s="311" t="s">
        <v>509</v>
      </c>
      <c r="K6" s="314" t="s">
        <v>102</v>
      </c>
      <c r="L6" s="315" t="s">
        <v>571</v>
      </c>
      <c r="M6" s="314" t="s">
        <v>105</v>
      </c>
      <c r="N6" s="315" t="s">
        <v>570</v>
      </c>
      <c r="O6" s="309">
        <v>957.84247685185187</v>
      </c>
      <c r="P6" s="325">
        <v>1287.8424768518519</v>
      </c>
      <c r="Q6" s="321">
        <v>9</v>
      </c>
      <c r="R6" s="1236">
        <v>4981.6097543068154</v>
      </c>
      <c r="S6" s="1202">
        <v>7448.2292980232214</v>
      </c>
      <c r="T6" s="1202">
        <v>7587.6222115273576</v>
      </c>
      <c r="U6" s="309">
        <v>957.88194444444446</v>
      </c>
      <c r="V6" s="1206">
        <v>2012.6040288800707</v>
      </c>
      <c r="W6" s="1202">
        <v>4075.8224022633749</v>
      </c>
      <c r="X6" s="1202">
        <v>3780.6134718547914</v>
      </c>
    </row>
    <row r="7" spans="1:24" ht="15.5">
      <c r="A7" s="1224"/>
      <c r="B7" s="1226">
        <v>2.7</v>
      </c>
      <c r="C7" s="1226">
        <v>7</v>
      </c>
      <c r="D7" s="1224">
        <v>20</v>
      </c>
      <c r="E7" s="1224">
        <v>120</v>
      </c>
      <c r="F7" s="1233">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37"/>
      <c r="S7" s="1203"/>
      <c r="T7" s="1203"/>
      <c r="U7" s="309">
        <v>985.46485260770976</v>
      </c>
      <c r="V7" s="1207"/>
      <c r="W7" s="1203"/>
      <c r="X7" s="1203"/>
    </row>
    <row r="8" spans="1:24" ht="15.5">
      <c r="A8" s="1223"/>
      <c r="B8" s="1225">
        <v>2.5</v>
      </c>
      <c r="C8" s="1225">
        <v>3.5</v>
      </c>
      <c r="D8" s="1223">
        <v>20</v>
      </c>
      <c r="E8" s="1223">
        <v>60</v>
      </c>
      <c r="F8" s="1232">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36">
        <v>4752.5294662540946</v>
      </c>
      <c r="S8" s="1202">
        <v>7763.3069849766689</v>
      </c>
      <c r="T8" s="1202">
        <v>7061.7493395593192</v>
      </c>
      <c r="U8" s="309">
        <v>598.11171124828536</v>
      </c>
      <c r="V8" s="1206">
        <v>1947.5928681657847</v>
      </c>
      <c r="W8" s="1202">
        <v>2986.2577964248972</v>
      </c>
      <c r="X8" s="1202">
        <v>2741.4115892305999</v>
      </c>
    </row>
    <row r="9" spans="1:24" ht="15.5">
      <c r="A9" s="1224"/>
      <c r="B9" s="1226">
        <v>2.2999999999999998</v>
      </c>
      <c r="C9" s="1226">
        <v>3</v>
      </c>
      <c r="D9" s="1224">
        <v>20</v>
      </c>
      <c r="E9" s="1224">
        <v>40</v>
      </c>
      <c r="F9" s="1233">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37"/>
      <c r="S9" s="1203"/>
      <c r="T9" s="1203"/>
      <c r="U9" s="309">
        <v>652.79921124828536</v>
      </c>
      <c r="V9" s="1207"/>
      <c r="W9" s="1203"/>
      <c r="X9" s="1203"/>
    </row>
    <row r="10" spans="1:24" ht="15.5">
      <c r="A10" s="1223"/>
      <c r="B10" s="1225"/>
      <c r="C10" s="1225"/>
      <c r="D10" s="1223"/>
      <c r="E10" s="1223"/>
      <c r="F10" s="1232">
        <v>0</v>
      </c>
      <c r="G10" s="311"/>
      <c r="H10" s="311"/>
      <c r="I10" s="312">
        <v>0</v>
      </c>
      <c r="J10" s="311"/>
      <c r="K10" s="314"/>
      <c r="L10" s="315"/>
      <c r="M10" s="314"/>
      <c r="N10" s="315"/>
      <c r="O10" s="309">
        <v>0</v>
      </c>
      <c r="P10" s="325">
        <v>0</v>
      </c>
      <c r="Q10" s="321"/>
      <c r="R10" s="1236" t="s">
        <v>612</v>
      </c>
      <c r="S10" s="1202" t="e">
        <v>#DIV/0!</v>
      </c>
      <c r="T10" s="1202" t="e">
        <v>#DIV/0!</v>
      </c>
      <c r="U10" s="309">
        <v>0</v>
      </c>
      <c r="V10" s="1206" t="s">
        <v>612</v>
      </c>
      <c r="W10" s="1202" t="e">
        <v>#DIV/0!</v>
      </c>
      <c r="X10" s="1202" t="e">
        <v>#DIV/0!</v>
      </c>
    </row>
    <row r="11" spans="1:24" ht="15.5">
      <c r="A11" s="1224"/>
      <c r="B11" s="1226"/>
      <c r="C11" s="1226"/>
      <c r="D11" s="1224"/>
      <c r="E11" s="1224"/>
      <c r="F11" s="1233">
        <v>0</v>
      </c>
      <c r="G11" s="311"/>
      <c r="H11" s="311"/>
      <c r="I11" s="312">
        <v>0</v>
      </c>
      <c r="J11" s="311"/>
      <c r="K11" s="314"/>
      <c r="L11" s="315"/>
      <c r="M11" s="314"/>
      <c r="N11" s="315"/>
      <c r="O11" s="309">
        <v>0</v>
      </c>
      <c r="P11" s="325">
        <v>0</v>
      </c>
      <c r="Q11" s="322"/>
      <c r="R11" s="1237"/>
      <c r="S11" s="1203"/>
      <c r="T11" s="1203"/>
      <c r="U11" s="309">
        <v>0</v>
      </c>
      <c r="V11" s="1207"/>
      <c r="W11" s="1203"/>
      <c r="X11" s="1203"/>
    </row>
    <row r="12" spans="1:24" ht="15.5">
      <c r="A12" s="1223"/>
      <c r="B12" s="1225"/>
      <c r="C12" s="1225"/>
      <c r="D12" s="1223"/>
      <c r="E12" s="1223"/>
      <c r="F12" s="1232">
        <v>0</v>
      </c>
      <c r="G12" s="311"/>
      <c r="H12" s="311"/>
      <c r="I12" s="312">
        <v>0</v>
      </c>
      <c r="J12" s="311"/>
      <c r="K12" s="314"/>
      <c r="L12" s="315"/>
      <c r="M12" s="314"/>
      <c r="N12" s="315"/>
      <c r="O12" s="309">
        <v>0</v>
      </c>
      <c r="P12" s="325">
        <v>0</v>
      </c>
      <c r="Q12" s="321"/>
      <c r="R12" s="1236" t="s">
        <v>612</v>
      </c>
      <c r="S12" s="1202" t="e">
        <v>#DIV/0!</v>
      </c>
      <c r="T12" s="1202" t="e">
        <v>#DIV/0!</v>
      </c>
      <c r="U12" s="309">
        <v>0</v>
      </c>
      <c r="V12" s="1206" t="s">
        <v>612</v>
      </c>
      <c r="W12" s="1202" t="e">
        <v>#DIV/0!</v>
      </c>
      <c r="X12" s="1202" t="e">
        <v>#DIV/0!</v>
      </c>
    </row>
    <row r="13" spans="1:24" ht="15.5">
      <c r="A13" s="1224"/>
      <c r="B13" s="1226"/>
      <c r="C13" s="1226"/>
      <c r="D13" s="1224"/>
      <c r="E13" s="1224"/>
      <c r="F13" s="1233">
        <v>0</v>
      </c>
      <c r="G13" s="311"/>
      <c r="H13" s="311"/>
      <c r="I13" s="312">
        <v>0</v>
      </c>
      <c r="J13" s="311"/>
      <c r="K13" s="314"/>
      <c r="L13" s="315"/>
      <c r="M13" s="314"/>
      <c r="N13" s="315"/>
      <c r="O13" s="309">
        <v>0</v>
      </c>
      <c r="P13" s="325">
        <v>0</v>
      </c>
      <c r="Q13" s="322"/>
      <c r="R13" s="1237"/>
      <c r="S13" s="1203"/>
      <c r="T13" s="1203"/>
      <c r="U13" s="309">
        <v>0</v>
      </c>
      <c r="V13" s="1207"/>
      <c r="W13" s="1203"/>
      <c r="X13" s="1203"/>
    </row>
    <row r="14" spans="1:24" ht="15.5">
      <c r="A14" s="1223"/>
      <c r="B14" s="1225"/>
      <c r="C14" s="1225"/>
      <c r="D14" s="1223"/>
      <c r="E14" s="1223"/>
      <c r="F14" s="1232">
        <v>0</v>
      </c>
      <c r="G14" s="311"/>
      <c r="H14" s="311"/>
      <c r="I14" s="312">
        <v>0</v>
      </c>
      <c r="J14" s="311"/>
      <c r="K14" s="314"/>
      <c r="L14" s="315"/>
      <c r="M14" s="314"/>
      <c r="N14" s="315"/>
      <c r="O14" s="309">
        <v>0</v>
      </c>
      <c r="P14" s="325">
        <v>0</v>
      </c>
      <c r="Q14" s="321"/>
      <c r="R14" s="1236" t="s">
        <v>612</v>
      </c>
      <c r="S14" s="1202" t="e">
        <v>#DIV/0!</v>
      </c>
      <c r="T14" s="1202" t="e">
        <v>#DIV/0!</v>
      </c>
      <c r="U14" s="309">
        <v>0</v>
      </c>
      <c r="V14" s="1206" t="s">
        <v>612</v>
      </c>
      <c r="W14" s="1202" t="e">
        <v>#DIV/0!</v>
      </c>
      <c r="X14" s="1202" t="e">
        <v>#DIV/0!</v>
      </c>
    </row>
    <row r="15" spans="1:24" ht="15.5">
      <c r="A15" s="1224"/>
      <c r="B15" s="1226"/>
      <c r="C15" s="1226"/>
      <c r="D15" s="1224"/>
      <c r="E15" s="1224"/>
      <c r="F15" s="1233">
        <v>0</v>
      </c>
      <c r="G15" s="311"/>
      <c r="H15" s="311"/>
      <c r="I15" s="312">
        <v>0</v>
      </c>
      <c r="J15" s="311"/>
      <c r="K15" s="314"/>
      <c r="L15" s="315"/>
      <c r="M15" s="314"/>
      <c r="N15" s="315"/>
      <c r="O15" s="309">
        <v>0</v>
      </c>
      <c r="P15" s="325">
        <v>0</v>
      </c>
      <c r="Q15" s="322"/>
      <c r="R15" s="1237"/>
      <c r="S15" s="1203"/>
      <c r="T15" s="1203"/>
      <c r="U15" s="309">
        <v>0</v>
      </c>
      <c r="V15" s="1207"/>
      <c r="W15" s="1203"/>
      <c r="X15" s="1203"/>
    </row>
    <row r="16" spans="1:24" ht="15.5">
      <c r="A16" s="1223"/>
      <c r="B16" s="1225"/>
      <c r="C16" s="1225"/>
      <c r="D16" s="1223"/>
      <c r="E16" s="1223"/>
      <c r="F16" s="1232">
        <v>0</v>
      </c>
      <c r="G16" s="311"/>
      <c r="H16" s="311"/>
      <c r="I16" s="312">
        <v>0</v>
      </c>
      <c r="J16" s="311"/>
      <c r="K16" s="314"/>
      <c r="L16" s="315"/>
      <c r="M16" s="314"/>
      <c r="N16" s="315"/>
      <c r="O16" s="309">
        <v>0</v>
      </c>
      <c r="P16" s="325">
        <v>0</v>
      </c>
      <c r="Q16" s="321"/>
      <c r="R16" s="1236" t="s">
        <v>612</v>
      </c>
      <c r="S16" s="1202" t="e">
        <v>#DIV/0!</v>
      </c>
      <c r="T16" s="1202" t="e">
        <v>#DIV/0!</v>
      </c>
      <c r="U16" s="309">
        <v>0</v>
      </c>
      <c r="V16" s="1206" t="s">
        <v>612</v>
      </c>
      <c r="W16" s="1202" t="e">
        <v>#DIV/0!</v>
      </c>
      <c r="X16" s="1202" t="e">
        <v>#DIV/0!</v>
      </c>
    </row>
    <row r="17" spans="1:24" ht="15.5">
      <c r="A17" s="1224"/>
      <c r="B17" s="1226"/>
      <c r="C17" s="1226"/>
      <c r="D17" s="1224"/>
      <c r="E17" s="1224"/>
      <c r="F17" s="1233">
        <v>0</v>
      </c>
      <c r="G17" s="311"/>
      <c r="H17" s="311"/>
      <c r="I17" s="312">
        <v>0</v>
      </c>
      <c r="J17" s="311"/>
      <c r="K17" s="314"/>
      <c r="L17" s="315"/>
      <c r="M17" s="314"/>
      <c r="N17" s="315"/>
      <c r="O17" s="309">
        <v>0</v>
      </c>
      <c r="P17" s="325">
        <v>0</v>
      </c>
      <c r="Q17" s="322"/>
      <c r="R17" s="1237"/>
      <c r="S17" s="1203"/>
      <c r="T17" s="1203"/>
      <c r="U17" s="309">
        <v>0</v>
      </c>
      <c r="V17" s="1207"/>
      <c r="W17" s="1203"/>
      <c r="X17" s="1203"/>
    </row>
    <row r="18" spans="1:24" ht="15.5">
      <c r="A18" s="1223"/>
      <c r="B18" s="1225"/>
      <c r="C18" s="1225"/>
      <c r="D18" s="1223"/>
      <c r="E18" s="1223"/>
      <c r="F18" s="1232">
        <v>0</v>
      </c>
      <c r="G18" s="311"/>
      <c r="H18" s="311"/>
      <c r="I18" s="312">
        <v>0</v>
      </c>
      <c r="J18" s="311"/>
      <c r="K18" s="314"/>
      <c r="L18" s="315"/>
      <c r="M18" s="314"/>
      <c r="N18" s="315"/>
      <c r="O18" s="309">
        <v>0</v>
      </c>
      <c r="P18" s="325">
        <v>0</v>
      </c>
      <c r="Q18" s="321"/>
      <c r="R18" s="1236" t="s">
        <v>612</v>
      </c>
      <c r="S18" s="1202" t="e">
        <v>#DIV/0!</v>
      </c>
      <c r="T18" s="1202" t="e">
        <v>#DIV/0!</v>
      </c>
      <c r="U18" s="309">
        <v>0</v>
      </c>
      <c r="V18" s="1206" t="s">
        <v>612</v>
      </c>
      <c r="W18" s="1202" t="e">
        <v>#DIV/0!</v>
      </c>
      <c r="X18" s="1202" t="e">
        <v>#DIV/0!</v>
      </c>
    </row>
    <row r="19" spans="1:24" ht="15.5">
      <c r="A19" s="1224"/>
      <c r="B19" s="1226"/>
      <c r="C19" s="1226"/>
      <c r="D19" s="1224"/>
      <c r="E19" s="1224"/>
      <c r="F19" s="1233">
        <v>0</v>
      </c>
      <c r="G19" s="311"/>
      <c r="H19" s="311"/>
      <c r="I19" s="312">
        <v>0</v>
      </c>
      <c r="J19" s="311"/>
      <c r="K19" s="314"/>
      <c r="L19" s="315"/>
      <c r="M19" s="314"/>
      <c r="N19" s="315"/>
      <c r="O19" s="309">
        <v>0</v>
      </c>
      <c r="P19" s="325">
        <v>0</v>
      </c>
      <c r="Q19" s="322"/>
      <c r="R19" s="1237"/>
      <c r="S19" s="1203"/>
      <c r="T19" s="1203"/>
      <c r="U19" s="309">
        <v>0</v>
      </c>
      <c r="V19" s="1207"/>
      <c r="W19" s="1203"/>
      <c r="X19" s="1203"/>
    </row>
  </sheetData>
  <mergeCells count="111">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A8:A9"/>
    <mergeCell ref="B8:B9"/>
    <mergeCell ref="C8:C9"/>
    <mergeCell ref="D8:D9"/>
    <mergeCell ref="E8:E9"/>
    <mergeCell ref="F8:F9"/>
    <mergeCell ref="R8:R9"/>
    <mergeCell ref="S8:S9"/>
    <mergeCell ref="T8:T9"/>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214" t="s">
        <v>603</v>
      </c>
      <c r="B2" s="1215"/>
      <c r="C2" s="1215"/>
      <c r="D2" s="1215"/>
      <c r="E2" s="1215"/>
      <c r="F2" s="1215"/>
      <c r="G2" s="1215"/>
      <c r="H2" s="1215"/>
      <c r="I2" s="1215"/>
      <c r="J2" s="1215"/>
      <c r="K2" s="1216"/>
    </row>
    <row r="3" spans="1:16" ht="15">
      <c r="A3" s="1235" t="s">
        <v>592</v>
      </c>
      <c r="B3" s="1220" t="s">
        <v>557</v>
      </c>
      <c r="C3" s="1221"/>
      <c r="D3" s="1222"/>
      <c r="E3" s="1220" t="s">
        <v>558</v>
      </c>
      <c r="F3" s="1221"/>
      <c r="G3" s="1221"/>
      <c r="H3" s="1222"/>
      <c r="I3" s="1210" t="s">
        <v>577</v>
      </c>
      <c r="J3" s="1211"/>
      <c r="K3" s="1235" t="s">
        <v>578</v>
      </c>
    </row>
    <row r="4" spans="1:16" ht="33">
      <c r="A4" s="1209"/>
      <c r="B4" s="1231" t="s">
        <v>583</v>
      </c>
      <c r="C4" s="1231" t="s">
        <v>584</v>
      </c>
      <c r="D4" s="1231" t="s">
        <v>585</v>
      </c>
      <c r="E4" s="1220"/>
      <c r="F4" s="1221"/>
      <c r="G4" s="1221"/>
      <c r="H4" s="1222"/>
      <c r="I4" s="292" t="s">
        <v>586</v>
      </c>
      <c r="J4" s="292" t="s">
        <v>562</v>
      </c>
      <c r="K4" s="1208"/>
    </row>
    <row r="5" spans="1:16" ht="15.5">
      <c r="A5" s="1208"/>
      <c r="B5" s="1231"/>
      <c r="C5" s="1231"/>
      <c r="D5" s="1231"/>
      <c r="E5" s="1220"/>
      <c r="F5" s="1221"/>
      <c r="G5" s="1211"/>
      <c r="H5" s="1212"/>
      <c r="I5" s="290" t="s">
        <v>566</v>
      </c>
      <c r="J5" s="290" t="s">
        <v>566</v>
      </c>
      <c r="K5" s="290" t="s">
        <v>566</v>
      </c>
    </row>
    <row r="6" spans="1:16" ht="15.5">
      <c r="A6" s="293" t="s">
        <v>604</v>
      </c>
      <c r="B6" s="293">
        <v>200</v>
      </c>
      <c r="C6" s="293">
        <f>TH!$B$18</f>
        <v>3.6</v>
      </c>
      <c r="D6" s="304">
        <f t="shared" ref="D6:D11" si="0">IF(B6=100,180*1.1*C6,IF(B6=200,330*1.1*C6,0))</f>
        <v>1306.8000000000002</v>
      </c>
      <c r="E6" s="296" t="s">
        <v>104</v>
      </c>
      <c r="F6" s="297" t="s">
        <v>570</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605</v>
      </c>
      <c r="B7" s="293">
        <v>100</v>
      </c>
      <c r="C7" s="311">
        <f>TH!$B$18</f>
        <v>3.6</v>
      </c>
      <c r="D7" s="304">
        <f t="shared" si="0"/>
        <v>712.80000000000007</v>
      </c>
      <c r="E7" s="296" t="s">
        <v>104</v>
      </c>
      <c r="F7" s="297" t="s">
        <v>570</v>
      </c>
      <c r="G7" s="296" t="s">
        <v>102</v>
      </c>
      <c r="H7" s="297" t="s">
        <v>571</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593</v>
      </c>
      <c r="B8" s="293">
        <v>0</v>
      </c>
      <c r="C8" s="311">
        <f>TH!$B$18</f>
        <v>3.6</v>
      </c>
      <c r="D8" s="304">
        <f t="shared" si="0"/>
        <v>0</v>
      </c>
      <c r="E8" s="296" t="s">
        <v>107</v>
      </c>
      <c r="F8" s="297" t="s">
        <v>570</v>
      </c>
      <c r="G8" s="296" t="s">
        <v>106</v>
      </c>
      <c r="H8" s="297" t="s">
        <v>570</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606</v>
      </c>
      <c r="B9" s="293">
        <v>0</v>
      </c>
      <c r="C9" s="311">
        <f>TH!$B$18</f>
        <v>3.6</v>
      </c>
      <c r="D9" s="304">
        <f t="shared" si="0"/>
        <v>0</v>
      </c>
      <c r="E9" s="296" t="s">
        <v>200</v>
      </c>
      <c r="F9" s="297" t="s">
        <v>570</v>
      </c>
      <c r="G9" s="296" t="s">
        <v>102</v>
      </c>
      <c r="H9" s="297" t="s">
        <v>571</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214" t="s">
        <v>607</v>
      </c>
      <c r="B13" s="1215"/>
      <c r="C13" s="1215"/>
      <c r="D13" s="1215"/>
      <c r="E13" s="1215"/>
      <c r="F13" s="1215"/>
      <c r="G13" s="1215"/>
      <c r="H13" s="1215"/>
      <c r="I13" s="1215"/>
      <c r="J13" s="1215"/>
      <c r="K13" s="1216"/>
    </row>
    <row r="14" spans="1:16">
      <c r="A14" s="1209" t="s">
        <v>594</v>
      </c>
      <c r="B14" s="1208" t="s">
        <v>595</v>
      </c>
      <c r="C14" s="1243" t="s">
        <v>596</v>
      </c>
      <c r="D14" s="1244"/>
      <c r="E14" s="1251" t="s">
        <v>199</v>
      </c>
      <c r="F14" s="1243" t="s">
        <v>597</v>
      </c>
      <c r="G14" s="1244"/>
      <c r="H14" s="1243" t="s">
        <v>198</v>
      </c>
      <c r="I14" s="1244"/>
      <c r="J14" s="1243" t="s">
        <v>598</v>
      </c>
      <c r="K14" s="1244"/>
      <c r="M14" s="1243" t="s">
        <v>598</v>
      </c>
      <c r="N14" s="1244"/>
      <c r="O14" s="1243" t="s">
        <v>598</v>
      </c>
      <c r="P14" s="1244"/>
    </row>
    <row r="15" spans="1:16">
      <c r="A15" s="1209"/>
      <c r="B15" s="1252"/>
      <c r="C15" s="1243"/>
      <c r="D15" s="1244"/>
      <c r="E15" s="1251"/>
      <c r="F15" s="1243"/>
      <c r="G15" s="1244"/>
      <c r="H15" s="1243"/>
      <c r="I15" s="1244"/>
      <c r="J15" s="1243"/>
      <c r="K15" s="1244"/>
      <c r="M15" s="1243"/>
      <c r="N15" s="1244"/>
      <c r="O15" s="1243"/>
      <c r="P15" s="1244"/>
    </row>
    <row r="16" spans="1:16" ht="15.5">
      <c r="A16" s="1208"/>
      <c r="B16" s="1252"/>
      <c r="C16" s="1243"/>
      <c r="D16" s="1244"/>
      <c r="E16" s="298" t="s">
        <v>569</v>
      </c>
      <c r="F16" s="1245" t="s">
        <v>569</v>
      </c>
      <c r="G16" s="1246"/>
      <c r="H16" s="1245" t="s">
        <v>569</v>
      </c>
      <c r="I16" s="1246"/>
      <c r="J16" s="1245" t="s">
        <v>569</v>
      </c>
      <c r="K16" s="1246"/>
      <c r="M16" s="1245" t="s">
        <v>569</v>
      </c>
      <c r="N16" s="1246"/>
      <c r="O16" s="1245" t="s">
        <v>569</v>
      </c>
      <c r="P16" s="1246"/>
    </row>
    <row r="17" spans="1:21" ht="15.5">
      <c r="A17" s="1223" t="s">
        <v>517</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39">
        <f>E17+E18</f>
        <v>4582.2000000000007</v>
      </c>
      <c r="G17" s="1240"/>
      <c r="H17" s="1253">
        <f>IF(C17=1,VLOOKUP(B17,'dam loai 1 T2'!$B$6:$R$41,17,0),IF(C17=2,(IF(D17="Ri",VLOOKUP(B17,'dam loai 2 T2'!$A$6:$X$50,23,0),IF(D17="Rj",VLOOKUP(B17,'dam loai 2 T2'!$A$6:$X$50,24,0),0))),IF(C17=3,(IF(D17="Ri",VLOOKUP(B17,'dam loai 3 T2'!$A$6:$X$50,23,0),IF(D17="Rj",VLOOKUP(B17,'dam loai 3 T2'!$A$6:$X$50,24,0),0))))))</f>
        <v>1.7999999999999998</v>
      </c>
      <c r="I17" s="1254"/>
      <c r="J17" s="1239">
        <f>H17+H18</f>
        <v>1.7999999999999998</v>
      </c>
      <c r="K17" s="1240"/>
      <c r="L17" s="288"/>
      <c r="M17" s="1239">
        <v>2.88</v>
      </c>
      <c r="N17" s="1240"/>
      <c r="O17" s="1247">
        <f>M17/F17*1000</f>
        <v>0.62851905198376312</v>
      </c>
      <c r="P17" s="1248"/>
    </row>
    <row r="18" spans="1:21" ht="15.5">
      <c r="A18" s="1224"/>
      <c r="B18" s="299"/>
      <c r="C18" s="302"/>
      <c r="D18" s="300"/>
      <c r="E18" s="301" t="b">
        <f>IF(C18=1,VLOOKUP(B18,'dam loai 1 T2'!$B$6:$R$41,15,0),IF(C18=2,(IF(D18="Ri",VLOOKUP(B18,'dam loai 2 T2'!$A$6:$X$50,19,0),IF(D18="Rj",VLOOKUP(B18,'dam loai 2 T2'!$A$6:$X$50,20,0),0))),IF(C18=3,(IF(D18="Ri",VLOOKUP(B18,'dam loai 3 T2'!$A$6:$X$50,19,0),IF(D18="Rj",VLOOKUP(B18,'dam loai 3 T2'!$A$6:$X$50,20,0),0))))))</f>
        <v>0</v>
      </c>
      <c r="F18" s="1241"/>
      <c r="G18" s="1242"/>
      <c r="H18" s="1253" t="b">
        <f>IF(C18=1,VLOOKUP(B18,'dam loai 1 T2'!$B$6:$R$41,17,0),IF(C18=2,(IF(D18="Ri",VLOOKUP(B18,'dam loai 2 T2'!$A$6:$X$50,23,0),IF(D18="Rj",VLOOKUP(B18,'dam loai 2 T2'!$A$6:$X$50,24,0),0))),IF(C18=3,(IF(D18="Ri",VLOOKUP(B18,'dam loai 3 T2'!$A$6:$X$50,23,0),IF(D18="Rj",VLOOKUP(B18,'dam loai 3 T2'!$A$6:$X$50,24,0),0))))))</f>
        <v>0</v>
      </c>
      <c r="I18" s="1254"/>
      <c r="J18" s="1241"/>
      <c r="K18" s="1242"/>
      <c r="L18" s="288"/>
      <c r="M18" s="1241"/>
      <c r="N18" s="1242"/>
      <c r="O18" s="1249"/>
      <c r="P18" s="1250"/>
    </row>
    <row r="19" spans="1:21" ht="15.5">
      <c r="A19" s="1223" t="s">
        <v>599</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39">
        <f>E19+E20</f>
        <v>2955.5683333333336</v>
      </c>
      <c r="G19" s="1240"/>
      <c r="H19" s="1253">
        <f>IF(C19=1,VLOOKUP(B19,'dam loai 1 T2'!$B$6:$R$41,17,0),IF(C19=2,(IF(D19="Ri",VLOOKUP(B19,'dam loai 2 T2'!$A$6:$X$50,23,0),IF(D19="Rj",VLOOKUP(B19,'dam loai 2 T2'!$A$6:$X$50,24,0),0))),IF(C19=3,(IF(D19="Ri",VLOOKUP(B19,'dam loai 3 T2'!$A$6:$X$50,23,0),IF(D19="Rj",VLOOKUP(B19,'dam loai 3 T2'!$A$6:$X$50,24,0),0))))))</f>
        <v>4.6933333333333334</v>
      </c>
      <c r="I19" s="1254"/>
      <c r="J19" s="1239">
        <f>H19+H20</f>
        <v>5.199583333333333</v>
      </c>
      <c r="K19" s="1240"/>
      <c r="L19" s="288"/>
      <c r="M19" s="1239">
        <v>6.84</v>
      </c>
      <c r="N19" s="1240"/>
      <c r="O19" s="1247">
        <f t="shared" ref="O19" si="2">M19/F19*1000</f>
        <v>2.3142757089584007</v>
      </c>
      <c r="P19" s="1248"/>
    </row>
    <row r="20" spans="1:21" ht="15.5">
      <c r="A20" s="1224"/>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41"/>
      <c r="G20" s="1242"/>
      <c r="H20" s="1253">
        <f>IF(C20=1,VLOOKUP(B20,'dam loai 1 T2'!$B$6:$R$41,17,0),IF(C20=2,(IF(D20="Ri",VLOOKUP(B20,'dam loai 2 T2'!$A$6:$X$50,23,0),IF(D20="Rj",VLOOKUP(B20,'dam loai 2 T2'!$A$6:$X$50,24,0),0))),IF(C20=3,(IF(D20="Ri",VLOOKUP(B20,'dam loai 3 T2'!$A$6:$X$50,23,0),IF(D20="Rj",VLOOKUP(B20,'dam loai 3 T2'!$A$6:$X$50,24,0),0))))))</f>
        <v>0.50625000000000009</v>
      </c>
      <c r="I20" s="1254"/>
      <c r="J20" s="1241"/>
      <c r="K20" s="1242"/>
      <c r="L20" s="288"/>
      <c r="M20" s="1241"/>
      <c r="N20" s="1242"/>
      <c r="O20" s="1249"/>
      <c r="P20" s="1250"/>
    </row>
    <row r="21" spans="1:21" ht="15.5">
      <c r="A21" s="1223" t="s">
        <v>601</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39">
        <f>E21+E22</f>
        <v>4202.5750000000007</v>
      </c>
      <c r="G21" s="1240"/>
      <c r="H21" s="1253">
        <f>IF(C21=1,VLOOKUP(B21,'dam loai 1 T2'!$B$6:$R$41,17,0),IF(C21=2,(IF(D21="Ri",VLOOKUP(B21,'dam loai 2 T2'!$A$6:$X$50,23,0),IF(D21="Rj",VLOOKUP(B21,'dam loai 2 T2'!$A$6:$X$50,24,0),0))),IF(C21=3,(IF(D21="Ri",VLOOKUP(B21,'dam loai 3 T2'!$A$6:$X$50,23,0),IF(D21="Rj",VLOOKUP(B21,'dam loai 3 T2'!$A$6:$X$50,24,0),0))))))</f>
        <v>3.7133333333333338</v>
      </c>
      <c r="I21" s="1254"/>
      <c r="J21" s="1239">
        <f>H21+H22</f>
        <v>4.8062500000000004</v>
      </c>
      <c r="K21" s="1240"/>
      <c r="L21" s="288"/>
      <c r="M21" s="1239">
        <v>5.94</v>
      </c>
      <c r="N21" s="1240"/>
      <c r="O21" s="1247">
        <f t="shared" ref="O21" si="3">M21/F21*1000</f>
        <v>1.4134191537331278</v>
      </c>
      <c r="P21" s="1248"/>
    </row>
    <row r="22" spans="1:21" ht="15.5">
      <c r="A22" s="1224"/>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41"/>
      <c r="G22" s="1242"/>
      <c r="H22" s="1253">
        <f>IF(C22=1,VLOOKUP(B22,'dam loai 1 T2'!$B$6:$R$41,17,0),IF(C22=2,(IF(D22="Ri",VLOOKUP(B22,'dam loai 2 T2'!$A$6:$X$50,23,0),IF(D22="Rj",VLOOKUP(B22,'dam loai 2 T2'!$A$6:$X$50,24,0),0))),IF(C22=3,(IF(D22="Ri",VLOOKUP(B22,'dam loai 3 T2'!$A$6:$X$50,23,0),IF(D22="Rj",VLOOKUP(B22,'dam loai 3 T2'!$A$6:$X$50,24,0),0))))))</f>
        <v>1.0929166666666665</v>
      </c>
      <c r="I22" s="1254"/>
      <c r="J22" s="1241"/>
      <c r="K22" s="1242"/>
      <c r="L22" s="288"/>
      <c r="M22" s="1241"/>
      <c r="N22" s="1242"/>
      <c r="O22" s="1249"/>
      <c r="P22" s="1250"/>
    </row>
    <row r="23" spans="1:21" ht="15.5">
      <c r="A23" s="1223" t="s">
        <v>602</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39">
        <f>E23+E24</f>
        <v>4202.0074262395838</v>
      </c>
      <c r="G23" s="1240"/>
      <c r="H23" s="1253">
        <f>IF(C23=1,VLOOKUP(B23,'dam loai 1 T2'!$B$6:$R$41,17,0),IF(C23=2,(IF(D23="Ri",VLOOKUP(B23,'dam loai 2 T2'!$A$6:$X$50,23,0),IF(D23="Rj",VLOOKUP(B23,'dam loai 2 T2'!$A$6:$X$50,24,0),0))),IF(C23=3,(IF(D23="Ri",VLOOKUP(B23,'dam loai 3 T2'!$A$6:$X$50,23,0),IF(D23="Rj",VLOOKUP(B23,'dam loai 3 T2'!$A$6:$X$50,24,0),0))))))</f>
        <v>1.9262200807291667</v>
      </c>
      <c r="I23" s="1254"/>
      <c r="J23" s="1239">
        <f>H23+H24</f>
        <v>3.0191367473958333</v>
      </c>
      <c r="K23" s="1240"/>
      <c r="L23" s="288"/>
      <c r="M23" s="1239">
        <v>4.2300000000000004</v>
      </c>
      <c r="N23" s="1240"/>
      <c r="O23" s="1247">
        <f t="shared" ref="O23" si="4">M23/F23*1000</f>
        <v>1.0066617144904637</v>
      </c>
      <c r="P23" s="1248"/>
    </row>
    <row r="24" spans="1:21" ht="15.5">
      <c r="A24" s="1224"/>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41"/>
      <c r="G24" s="1242"/>
      <c r="H24" s="1253">
        <f>IF(C24=1,VLOOKUP(B24,'dam loai 1 T2'!$B$6:$R$41,17,0),IF(C24=2,(IF(D24="Ri",VLOOKUP(B24,'dam loai 2 T2'!$A$6:$X$50,23,0),IF(D24="Rj",VLOOKUP(B24,'dam loai 2 T2'!$A$6:$X$50,24,0),0))),IF(C24=3,(IF(D24="Ri",VLOOKUP(B24,'dam loai 3 T2'!$A$6:$X$50,23,0),IF(D24="Rj",VLOOKUP(B24,'dam loai 3 T2'!$A$6:$X$50,24,0),0))))))</f>
        <v>1.0929166666666665</v>
      </c>
      <c r="I24" s="1254"/>
      <c r="J24" s="1241"/>
      <c r="K24" s="1242"/>
      <c r="L24" s="288"/>
      <c r="M24" s="1241"/>
      <c r="N24" s="1242"/>
      <c r="O24" s="1249"/>
      <c r="P24" s="1250"/>
    </row>
    <row r="25" spans="1:21" ht="15.5">
      <c r="A25" s="1223" t="s">
        <v>608</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39">
        <f>E25+E26</f>
        <v>6873.0540929062518</v>
      </c>
      <c r="G25" s="1240"/>
      <c r="H25" s="1253">
        <f>IF(C25=1,VLOOKUP(B25,'dam loai 1 T2'!$B$6:$R$41,17,0),IF(C25=2,(IF(D25="Ri",VLOOKUP(B25,'dam loai 2 T2'!$A$6:$X$50,23,0),IF(D25="Rj",VLOOKUP(B25,'dam loai 2 T2'!$A$6:$X$50,24,0),0))),IF(C25=3,(IF(D25="Ri",VLOOKUP(B25,'dam loai 3 T2'!$A$6:$X$50,23,0),IF(D25="Rj",VLOOKUP(B25,'dam loai 3 T2'!$A$6:$X$50,24,0),0))))))</f>
        <v>0.55955341406250014</v>
      </c>
      <c r="I25" s="1254"/>
      <c r="J25" s="1239">
        <f>H25+H26</f>
        <v>1.0658034140625001</v>
      </c>
      <c r="K25" s="1240"/>
      <c r="L25" s="288"/>
      <c r="M25" s="1239">
        <v>2.25</v>
      </c>
      <c r="N25" s="1240"/>
      <c r="O25" s="1247">
        <f t="shared" ref="O25" si="5">M25/F25*1000</f>
        <v>0.32736538510911006</v>
      </c>
      <c r="P25" s="1248"/>
    </row>
    <row r="26" spans="1:21" ht="15.5">
      <c r="A26" s="1224"/>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41"/>
      <c r="G26" s="1242"/>
      <c r="H26" s="1255">
        <f>IF(C26=1,VLOOKUP(B26,'dam loai 1 T2'!$B$6:$R$41,17,0),IF(C26=2,(IF(D26="Ri",VLOOKUP(B26,'dam loai 2 T2'!$A$6:$X$50,23,0),IF(D26="Rj",VLOOKUP(B26,'dam loai 2 T2'!$A$6:$X$50,24,0),0))),IF(C26=3,(IF(D26="Ri",VLOOKUP(B26,'dam loai 3 T2'!$A$6:$X$50,23,0),IF(D26="Rj",VLOOKUP(B26,'dam loai 3 T2'!$A$6:$X$50,24,0),0))))))</f>
        <v>0.50625000000000009</v>
      </c>
      <c r="I26" s="1255"/>
      <c r="J26" s="1241"/>
      <c r="K26" s="1242"/>
      <c r="L26" s="288"/>
      <c r="M26" s="1241"/>
      <c r="N26" s="1242"/>
      <c r="O26" s="1249"/>
      <c r="P26" s="1250"/>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F25:G26"/>
    <mergeCell ref="H22:I22"/>
    <mergeCell ref="J25:K26"/>
    <mergeCell ref="H18:I18"/>
    <mergeCell ref="H19:I19"/>
    <mergeCell ref="H20:I20"/>
    <mergeCell ref="H21:I21"/>
    <mergeCell ref="J19:K20"/>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A21:A22"/>
    <mergeCell ref="A23:A24"/>
    <mergeCell ref="J23:K24"/>
    <mergeCell ref="A19:A20"/>
    <mergeCell ref="E3:H5"/>
    <mergeCell ref="A3:A5"/>
    <mergeCell ref="H17:I17"/>
    <mergeCell ref="C14:D16"/>
    <mergeCell ref="H23:I23"/>
    <mergeCell ref="A2:K2"/>
    <mergeCell ref="K3:K4"/>
    <mergeCell ref="A14:A16"/>
    <mergeCell ref="A17:A18"/>
    <mergeCell ref="E14:E15"/>
    <mergeCell ref="B4:B5"/>
    <mergeCell ref="C4:C5"/>
    <mergeCell ref="D4:D5"/>
    <mergeCell ref="B3:D3"/>
    <mergeCell ref="A13:K13"/>
    <mergeCell ref="I3:J3"/>
    <mergeCell ref="B14:B16"/>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s>
  <phoneticPr fontId="47"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97" t="s">
        <v>572</v>
      </c>
      <c r="C2" s="1197"/>
      <c r="D2" s="1197"/>
      <c r="E2" s="1197"/>
      <c r="F2" s="1197"/>
      <c r="G2" s="1197"/>
      <c r="H2" s="1197"/>
      <c r="I2" s="1197"/>
      <c r="J2" s="1197"/>
      <c r="K2" s="1197"/>
      <c r="L2" s="1197"/>
      <c r="M2" s="1197"/>
      <c r="N2" s="1197"/>
      <c r="O2" s="1197"/>
      <c r="P2" s="1197"/>
      <c r="Q2" s="1197"/>
      <c r="R2" s="1197"/>
      <c r="S2" s="288"/>
      <c r="T2" s="288"/>
    </row>
    <row r="3" spans="2:20" ht="15.5" thickBot="1">
      <c r="B3" s="1201" t="s">
        <v>553</v>
      </c>
      <c r="C3" s="1201" t="s">
        <v>554</v>
      </c>
      <c r="D3" s="1201" t="s">
        <v>555</v>
      </c>
      <c r="E3" s="1201"/>
      <c r="F3" s="1201" t="s">
        <v>556</v>
      </c>
      <c r="G3" s="1201" t="s">
        <v>557</v>
      </c>
      <c r="H3" s="1201"/>
      <c r="I3" s="1201"/>
      <c r="J3" s="1201" t="s">
        <v>558</v>
      </c>
      <c r="K3" s="1201"/>
      <c r="L3" s="1201"/>
      <c r="M3" s="1201"/>
      <c r="N3" s="1201" t="s">
        <v>559</v>
      </c>
      <c r="O3" s="1201"/>
      <c r="P3" s="1201"/>
      <c r="Q3" s="1201" t="s">
        <v>560</v>
      </c>
      <c r="R3" s="1201"/>
      <c r="S3" s="288"/>
      <c r="T3" s="288"/>
    </row>
    <row r="4" spans="2:20" ht="18.5" thickBot="1">
      <c r="B4" s="1201"/>
      <c r="C4" s="1201"/>
      <c r="D4" s="1201"/>
      <c r="E4" s="1201"/>
      <c r="F4" s="1201"/>
      <c r="G4" s="1201"/>
      <c r="H4" s="1201"/>
      <c r="I4" s="1201"/>
      <c r="J4" s="1201"/>
      <c r="K4" s="1201"/>
      <c r="L4" s="1201"/>
      <c r="M4" s="1201"/>
      <c r="N4" s="261" t="s">
        <v>561</v>
      </c>
      <c r="O4" s="261" t="s">
        <v>562</v>
      </c>
      <c r="P4" s="261" t="s">
        <v>563</v>
      </c>
      <c r="Q4" s="261" t="s">
        <v>561</v>
      </c>
      <c r="R4" s="261" t="s">
        <v>563</v>
      </c>
      <c r="S4" s="288"/>
      <c r="T4" s="288"/>
    </row>
    <row r="5" spans="2:20" ht="15.5">
      <c r="B5" s="1201"/>
      <c r="C5" s="262" t="s">
        <v>6</v>
      </c>
      <c r="D5" s="262" t="s">
        <v>564</v>
      </c>
      <c r="E5" s="262" t="s">
        <v>565</v>
      </c>
      <c r="F5" s="262" t="s">
        <v>566</v>
      </c>
      <c r="G5" s="262" t="s">
        <v>567</v>
      </c>
      <c r="H5" s="262" t="s">
        <v>568</v>
      </c>
      <c r="I5" s="262" t="s">
        <v>209</v>
      </c>
      <c r="J5" s="1201"/>
      <c r="K5" s="1201"/>
      <c r="L5" s="1201"/>
      <c r="M5" s="1201"/>
      <c r="N5" s="262" t="s">
        <v>566</v>
      </c>
      <c r="O5" s="262" t="s">
        <v>566</v>
      </c>
      <c r="P5" s="262" t="s">
        <v>569</v>
      </c>
      <c r="Q5" s="262" t="s">
        <v>566</v>
      </c>
      <c r="R5" s="262" t="s">
        <v>569</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104</v>
      </c>
      <c r="K6" s="276" t="s">
        <v>571</v>
      </c>
      <c r="L6" s="275" t="s">
        <v>107</v>
      </c>
      <c r="M6" s="276" t="s">
        <v>571</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102</v>
      </c>
      <c r="K7" s="276" t="s">
        <v>570</v>
      </c>
      <c r="L7" s="275" t="s">
        <v>106</v>
      </c>
      <c r="M7" s="276" t="s">
        <v>571</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103</v>
      </c>
      <c r="K8" s="276" t="s">
        <v>571</v>
      </c>
      <c r="L8" s="275" t="s">
        <v>105</v>
      </c>
      <c r="M8" s="276" t="s">
        <v>571</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109</v>
      </c>
      <c r="K9" s="276" t="s">
        <v>570</v>
      </c>
      <c r="L9" s="275" t="s">
        <v>108</v>
      </c>
      <c r="M9" s="276" t="s">
        <v>571</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103</v>
      </c>
      <c r="K10" s="276" t="s">
        <v>571</v>
      </c>
      <c r="L10" s="275" t="s">
        <v>105</v>
      </c>
      <c r="M10" s="276" t="s">
        <v>571</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102</v>
      </c>
      <c r="K11" s="276" t="s">
        <v>570</v>
      </c>
      <c r="L11" s="275" t="s">
        <v>106</v>
      </c>
      <c r="M11" s="276" t="s">
        <v>571</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104</v>
      </c>
      <c r="K12" s="276" t="s">
        <v>571</v>
      </c>
      <c r="L12" s="275" t="s">
        <v>107</v>
      </c>
      <c r="M12" s="276" t="s">
        <v>571</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104</v>
      </c>
      <c r="K13" s="276" t="s">
        <v>570</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104</v>
      </c>
      <c r="K14" s="276" t="s">
        <v>570</v>
      </c>
      <c r="L14" s="275" t="s">
        <v>111</v>
      </c>
      <c r="M14" s="276" t="s">
        <v>571</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102</v>
      </c>
      <c r="K15" s="276" t="s">
        <v>571</v>
      </c>
      <c r="L15" s="275" t="s">
        <v>103</v>
      </c>
      <c r="M15" s="276" t="s">
        <v>570</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103</v>
      </c>
      <c r="K16" s="276" t="s">
        <v>570</v>
      </c>
      <c r="L16" s="275" t="s">
        <v>109</v>
      </c>
      <c r="M16" s="276" t="s">
        <v>570</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103</v>
      </c>
      <c r="K17" s="276" t="s">
        <v>570</v>
      </c>
      <c r="L17" s="275" t="s">
        <v>109</v>
      </c>
      <c r="M17" s="276" t="s">
        <v>570</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102</v>
      </c>
      <c r="K18" s="276" t="s">
        <v>571</v>
      </c>
      <c r="L18" s="275" t="s">
        <v>103</v>
      </c>
      <c r="M18" s="276" t="s">
        <v>570</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104</v>
      </c>
      <c r="K19" s="276" t="s">
        <v>570</v>
      </c>
      <c r="L19" s="275" t="s">
        <v>111</v>
      </c>
      <c r="M19" s="276" t="s">
        <v>571</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104</v>
      </c>
      <c r="K20" s="276" t="s">
        <v>570</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107</v>
      </c>
      <c r="K21" s="276" t="s">
        <v>570</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107</v>
      </c>
      <c r="K22" s="276" t="s">
        <v>570</v>
      </c>
      <c r="L22" s="275" t="s">
        <v>106</v>
      </c>
      <c r="M22" s="276" t="s">
        <v>570</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106</v>
      </c>
      <c r="K23" s="276" t="s">
        <v>570</v>
      </c>
      <c r="L23" s="275" t="s">
        <v>105</v>
      </c>
      <c r="M23" s="276" t="s">
        <v>570</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105</v>
      </c>
      <c r="K24" s="276" t="s">
        <v>570</v>
      </c>
      <c r="L24" s="275" t="s">
        <v>108</v>
      </c>
      <c r="M24" s="276" t="s">
        <v>570</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105</v>
      </c>
      <c r="K25" s="276" t="s">
        <v>570</v>
      </c>
      <c r="L25" s="275" t="s">
        <v>108</v>
      </c>
      <c r="M25" s="276" t="s">
        <v>570</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106</v>
      </c>
      <c r="K26" s="276" t="s">
        <v>570</v>
      </c>
      <c r="L26" s="275" t="s">
        <v>105</v>
      </c>
      <c r="M26" s="276" t="s">
        <v>570</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107</v>
      </c>
      <c r="K27" s="276" t="s">
        <v>570</v>
      </c>
      <c r="L27" s="275" t="s">
        <v>106</v>
      </c>
      <c r="M27" s="276" t="s">
        <v>570</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107</v>
      </c>
      <c r="K28" s="276" t="s">
        <v>570</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214" t="s">
        <v>573</v>
      </c>
      <c r="B2" s="1215"/>
      <c r="C2" s="1215"/>
      <c r="D2" s="1215"/>
      <c r="E2" s="1215"/>
      <c r="F2" s="1215"/>
      <c r="G2" s="1215"/>
      <c r="H2" s="1215"/>
      <c r="I2" s="1215"/>
      <c r="J2" s="1215"/>
      <c r="K2" s="1215"/>
      <c r="L2" s="1215"/>
      <c r="M2" s="1215"/>
      <c r="N2" s="1215"/>
      <c r="O2" s="1215"/>
      <c r="P2" s="1215"/>
      <c r="Q2" s="1215"/>
      <c r="R2" s="1215"/>
      <c r="S2" s="1215"/>
      <c r="T2" s="1215"/>
      <c r="U2" s="1215"/>
      <c r="V2" s="1215"/>
      <c r="W2" s="1215"/>
      <c r="X2" s="1216"/>
    </row>
    <row r="3" spans="1:24" ht="15">
      <c r="A3" s="1217" t="s">
        <v>553</v>
      </c>
      <c r="B3" s="1220" t="s">
        <v>574</v>
      </c>
      <c r="C3" s="1222"/>
      <c r="D3" s="1210" t="s">
        <v>575</v>
      </c>
      <c r="E3" s="1212"/>
      <c r="F3" s="1209" t="s">
        <v>556</v>
      </c>
      <c r="G3" s="1220" t="s">
        <v>557</v>
      </c>
      <c r="H3" s="1221"/>
      <c r="I3" s="1222"/>
      <c r="J3" s="1209" t="s">
        <v>576</v>
      </c>
      <c r="K3" s="1220" t="s">
        <v>558</v>
      </c>
      <c r="L3" s="1221"/>
      <c r="M3" s="1221"/>
      <c r="N3" s="1222"/>
      <c r="O3" s="1210" t="s">
        <v>577</v>
      </c>
      <c r="P3" s="1211"/>
      <c r="Q3" s="1211"/>
      <c r="R3" s="1211"/>
      <c r="S3" s="1211"/>
      <c r="T3" s="1212"/>
      <c r="U3" s="1208" t="s">
        <v>578</v>
      </c>
      <c r="V3" s="1208"/>
      <c r="W3" s="1208"/>
      <c r="X3" s="1208"/>
    </row>
    <row r="4" spans="1:24" ht="33">
      <c r="A4" s="1218"/>
      <c r="B4" s="1227" t="s">
        <v>579</v>
      </c>
      <c r="C4" s="1227" t="s">
        <v>580</v>
      </c>
      <c r="D4" s="1229" t="s">
        <v>581</v>
      </c>
      <c r="E4" s="1227" t="s">
        <v>582</v>
      </c>
      <c r="F4" s="1208"/>
      <c r="G4" s="1231" t="s">
        <v>583</v>
      </c>
      <c r="H4" s="1231" t="s">
        <v>584</v>
      </c>
      <c r="I4" s="1231" t="s">
        <v>585</v>
      </c>
      <c r="J4" s="1209"/>
      <c r="K4" s="1220"/>
      <c r="L4" s="1221"/>
      <c r="M4" s="1221"/>
      <c r="N4" s="1222"/>
      <c r="O4" s="292" t="s">
        <v>586</v>
      </c>
      <c r="P4" s="292" t="s">
        <v>587</v>
      </c>
      <c r="Q4" s="1213" t="s">
        <v>588</v>
      </c>
      <c r="R4" s="289" t="s">
        <v>589</v>
      </c>
      <c r="S4" s="289" t="s">
        <v>590</v>
      </c>
      <c r="T4" s="289" t="s">
        <v>591</v>
      </c>
      <c r="U4" s="292" t="s">
        <v>587</v>
      </c>
      <c r="V4" s="289" t="s">
        <v>589</v>
      </c>
      <c r="W4" s="289" t="s">
        <v>590</v>
      </c>
      <c r="X4" s="289" t="s">
        <v>591</v>
      </c>
    </row>
    <row r="5" spans="1:24" ht="15.5">
      <c r="A5" s="1219"/>
      <c r="B5" s="1228"/>
      <c r="C5" s="1228"/>
      <c r="D5" s="1230"/>
      <c r="E5" s="1228"/>
      <c r="F5" s="290" t="s">
        <v>566</v>
      </c>
      <c r="G5" s="1231"/>
      <c r="H5" s="1231"/>
      <c r="I5" s="1231"/>
      <c r="J5" s="1208"/>
      <c r="K5" s="1220"/>
      <c r="L5" s="1221"/>
      <c r="M5" s="1211"/>
      <c r="N5" s="1212"/>
      <c r="O5" s="290" t="s">
        <v>566</v>
      </c>
      <c r="P5" s="295" t="s">
        <v>510</v>
      </c>
      <c r="Q5" s="1208"/>
      <c r="R5" s="290" t="s">
        <v>569</v>
      </c>
      <c r="S5" s="290" t="s">
        <v>569</v>
      </c>
      <c r="T5" s="290" t="s">
        <v>569</v>
      </c>
      <c r="U5" s="290" t="s">
        <v>510</v>
      </c>
      <c r="V5" s="290" t="s">
        <v>569</v>
      </c>
      <c r="W5" s="290" t="s">
        <v>569</v>
      </c>
      <c r="X5" s="290" t="s">
        <v>569</v>
      </c>
    </row>
    <row r="6" spans="1:24" ht="15.5">
      <c r="A6" s="1223"/>
      <c r="B6" s="1225">
        <v>2.7</v>
      </c>
      <c r="C6" s="1225">
        <v>2.8</v>
      </c>
      <c r="D6" s="1223">
        <f>TH!$B$53/10</f>
        <v>20</v>
      </c>
      <c r="E6" s="1223">
        <f>TH!$B$50/10</f>
        <v>40</v>
      </c>
      <c r="F6" s="1232">
        <f>1.1*D6*E6*2500/10000</f>
        <v>220</v>
      </c>
      <c r="G6" s="293">
        <v>200</v>
      </c>
      <c r="H6" s="293">
        <f>TH!$B$18</f>
        <v>3.6</v>
      </c>
      <c r="I6" s="294">
        <f>IF(G6=100,180*1.1*H6,IF(G6=200,330*1.1*H6,0))</f>
        <v>1306.8000000000002</v>
      </c>
      <c r="J6" s="293" t="s">
        <v>509</v>
      </c>
      <c r="K6" s="296" t="s">
        <v>111</v>
      </c>
      <c r="L6" s="297" t="s">
        <v>571</v>
      </c>
      <c r="M6" s="296" t="s">
        <v>103</v>
      </c>
      <c r="N6" s="297" t="s">
        <v>571</v>
      </c>
      <c r="O6" s="291">
        <f>(IF(L6="HT",VLOOKUP(K6,'tải sàn'!$B$5:$L$51,11,0),IF(L6="TG",VLOOKUP(K6,'tải sàn'!$B$5:$L$51,9,0),0)))+(IF(N6="HT",VLOOKUP(M6,'tải sàn'!$B$5:$L$51,11,0),IF(N6="TG",VLOOKUP(M6,'tải sàn'!$B$5:$L$51,9,0),0)))</f>
        <v>1.3287173152010072</v>
      </c>
      <c r="P6" s="305">
        <f>F6+I6+O6</f>
        <v>1528.1287173152011</v>
      </c>
      <c r="Q6" s="1204">
        <v>10</v>
      </c>
      <c r="R6" s="1206">
        <f>VLOOKUP(Q6,'dam loai 1 TD'!$B$6:$R$28,15,0)</f>
        <v>1868.2359375000001</v>
      </c>
      <c r="S6" s="1202">
        <f>((P6*B6*(C6+(B6/2))/(B6+C6))+(P7*C6*(C6/2))/(B6+C6))+(R6*C6/(B6+C6))</f>
        <v>5466.7902714910042</v>
      </c>
      <c r="T6" s="1202">
        <f>((P6*B6*(B6/2))/(B6+C6))+(P7*C6*(B6+(C6/2))/(B6+C6))+(R6*B6/(B6+C6))</f>
        <v>6037.1100532483924</v>
      </c>
      <c r="U6" s="291">
        <f>(IF(L6="HT",VLOOKUP(K6,'tải sàn'!$B$5:$L$51,10,0),IF(L6="TG",VLOOKUP(K6,'tải sàn'!$B$5:$L$51,8,0),0)))+(IF(N6="HT",VLOOKUP(M6,'tải sàn'!$B$5:$L$51,10,0),IF(N6="TG",VLOOKUP(M6,'tải sàn'!$B$5:$L$51,8,0),0)))</f>
        <v>0.93690664653083444</v>
      </c>
      <c r="V6" s="1206">
        <f>VLOOKUP(Q6,'dam loai 1 TD'!$B$6:$R$28,17,0)</f>
        <v>1.7332031249999997</v>
      </c>
      <c r="W6" s="1202">
        <f>((U6*B6*(C6+(B6/2))/(B6+C6))+(U7*C6*(C6/2))/(B6+C6))+(V6*C6/(B6+C6))</f>
        <v>3.1932182885249798</v>
      </c>
      <c r="X6" s="1202">
        <f>((U6*B6*(B6/2))/(B6+C6))+(U7*C6*(B6+(C6/2))/(B6+C6))+(V6*B6/(B6+C6))</f>
        <v>2.6494133981864092</v>
      </c>
    </row>
    <row r="7" spans="1:24" ht="15.5">
      <c r="A7" s="1224"/>
      <c r="B7" s="1226">
        <v>2.7</v>
      </c>
      <c r="C7" s="1226">
        <v>7</v>
      </c>
      <c r="D7" s="1224">
        <v>20</v>
      </c>
      <c r="E7" s="1224">
        <v>120</v>
      </c>
      <c r="F7" s="1233">
        <v>660</v>
      </c>
      <c r="G7" s="293">
        <v>200</v>
      </c>
      <c r="H7" s="293">
        <f>TH!$B$18</f>
        <v>3.6</v>
      </c>
      <c r="I7" s="294">
        <f>IF(G7=100,180*1.1*H7,IF(G7=200,330*1.1*H7,0))</f>
        <v>1306.8000000000002</v>
      </c>
      <c r="J7" s="293" t="s">
        <v>510</v>
      </c>
      <c r="K7" s="296"/>
      <c r="L7" s="297"/>
      <c r="M7" s="296" t="s">
        <v>103</v>
      </c>
      <c r="N7" s="297" t="s">
        <v>571</v>
      </c>
      <c r="O7" s="291">
        <f>(IF(L7="HT",VLOOKUP(K7,'tải sàn'!$B$5:$L$51,11,0),IF(L7="TG",VLOOKUP(K7,'tải sàn'!$B$5:$L$51,9,0),0)))+(IF(N7="HT",VLOOKUP(M7,'tải sàn'!$B$5:$L$51,11,0),IF(N7="TG",VLOOKUP(M7,'tải sàn'!$B$5:$L$51,9,0),0)))</f>
        <v>0.95601803155522158</v>
      </c>
      <c r="P7" s="305">
        <f>F7+I7+O7</f>
        <v>1967.7560180315554</v>
      </c>
      <c r="Q7" s="1205"/>
      <c r="R7" s="1207"/>
      <c r="S7" s="1203"/>
      <c r="T7" s="1203"/>
      <c r="U7" s="291">
        <f>(IF(L7="HT",VLOOKUP(K7,'tải sàn'!$B$5:$L$51,10,0),IF(L7="TG",VLOOKUP(K7,'tải sàn'!$B$5:$L$51,8,0),0)))+(IF(N7="HT",VLOOKUP(M7,'tải sàn'!$B$5:$L$51,10,0),IF(N7="TG",VLOOKUP(M7,'tải sàn'!$B$5:$L$51,8,0),0)))</f>
        <v>0.5642073628850488</v>
      </c>
      <c r="V7" s="1207"/>
      <c r="W7" s="1203"/>
      <c r="X7" s="1203"/>
    </row>
    <row r="8" spans="1:24" ht="15.5">
      <c r="A8" s="1223"/>
      <c r="B8" s="1225">
        <v>2.7</v>
      </c>
      <c r="C8" s="1225">
        <v>2.8</v>
      </c>
      <c r="D8" s="1223">
        <f>TH!$B$53/10</f>
        <v>20</v>
      </c>
      <c r="E8" s="1223">
        <f>TH!$B$50/10</f>
        <v>40</v>
      </c>
      <c r="F8" s="1232">
        <v>220</v>
      </c>
      <c r="G8" s="293">
        <v>200</v>
      </c>
      <c r="H8" s="293">
        <f>TH!$B$18</f>
        <v>3.6</v>
      </c>
      <c r="I8" s="294">
        <f>IF(G8=100,180*1.1*H8,IF(G8=200,330*1.1*H8,0))</f>
        <v>1306.8000000000002</v>
      </c>
      <c r="J8" s="293" t="s">
        <v>509</v>
      </c>
      <c r="K8" s="296" t="s">
        <v>111</v>
      </c>
      <c r="L8" s="297" t="s">
        <v>571</v>
      </c>
      <c r="M8" s="296" t="s">
        <v>103</v>
      </c>
      <c r="N8" s="297" t="s">
        <v>571</v>
      </c>
      <c r="O8" s="291">
        <f>(IF(L8="HT",VLOOKUP(K8,'tải sàn'!$B$5:$L$51,11,0),IF(L8="TG",VLOOKUP(K8,'tải sàn'!$B$5:$L$51,9,0),0)))+(IF(N8="HT",VLOOKUP(M8,'tải sàn'!$B$5:$L$51,11,0),IF(N8="TG",VLOOKUP(M8,'tải sàn'!$B$5:$L$51,9,0),0)))</f>
        <v>1.3287173152010072</v>
      </c>
      <c r="P8" s="305">
        <f>F8+I8+O8</f>
        <v>1528.1287173152011</v>
      </c>
      <c r="Q8" s="1204">
        <v>13</v>
      </c>
      <c r="R8" s="1206">
        <f>VLOOKUP(Q8,'dam loai 1 TD'!$B$6:$R$28,15,0)</f>
        <v>1868.2359375000001</v>
      </c>
      <c r="S8" s="1202">
        <f>((P8*B8*(C8+(B8/2))/(B8+C8))+(P9*C8*(C8/2))/(B8+C8))+(R8*C8/(B8+C8))</f>
        <v>5153.1902714910048</v>
      </c>
      <c r="T8" s="1202">
        <f>((P8*B8*(B8/2))/(B8+C8))+(P9*C8*(B8+(C8/2))/(B8+C8))+(R8*B8/(B8+C8))</f>
        <v>5118.7100532483919</v>
      </c>
      <c r="U8" s="291">
        <f>(IF(L8="HT",VLOOKUP(K8,'tải sàn'!$B$5:$L$51,10,0),IF(L8="TG",VLOOKUP(K8,'tải sàn'!$B$5:$L$51,8,0),0)))+(IF(N8="HT",VLOOKUP(M8,'tải sàn'!$B$5:$L$51,10,0),IF(N8="TG",VLOOKUP(M8,'tải sàn'!$B$5:$L$51,8,0),0)))</f>
        <v>0.93690664653083444</v>
      </c>
      <c r="V8" s="1206">
        <f>VLOOKUP(Q8,'dam loai 1 TD'!$B$6:$R$28,17,0)</f>
        <v>1.7332031249999997</v>
      </c>
      <c r="W8" s="1202">
        <f>((U8*B8*(C8+(B8/2))/(B8+C8))+(U9*C8*(C8/2))/(B8+C8))+(V8*C8/(B8+C8))</f>
        <v>3.1932182885249798</v>
      </c>
      <c r="X8" s="1202">
        <f>((U8*B8*(B8/2))/(B8+C8))+(U9*C8*(B8+(C8/2))/(B8+C8))+(V8*B8/(B8+C8))</f>
        <v>2.6494133981864092</v>
      </c>
    </row>
    <row r="9" spans="1:24" ht="15.5">
      <c r="A9" s="1224"/>
      <c r="B9" s="1226">
        <v>2.7</v>
      </c>
      <c r="C9" s="1226">
        <v>7</v>
      </c>
      <c r="D9" s="1224">
        <v>20</v>
      </c>
      <c r="E9" s="1224">
        <v>120</v>
      </c>
      <c r="F9" s="1233">
        <v>220</v>
      </c>
      <c r="G9" s="293">
        <v>200</v>
      </c>
      <c r="H9" s="293">
        <f>TH!$B$18</f>
        <v>3.6</v>
      </c>
      <c r="I9" s="294">
        <f>IF(G9=100,180*1.1*H9,IF(G9=200,330*1.1*H9,0))</f>
        <v>1306.8000000000002</v>
      </c>
      <c r="J9" s="293" t="s">
        <v>510</v>
      </c>
      <c r="K9" s="296"/>
      <c r="L9" s="297"/>
      <c r="M9" s="296" t="s">
        <v>103</v>
      </c>
      <c r="N9" s="297" t="s">
        <v>571</v>
      </c>
      <c r="O9" s="291">
        <f>(IF(L9="HT",VLOOKUP(K9,'tải sàn'!$B$5:$L$51,11,0),IF(L9="TG",VLOOKUP(K9,'tải sàn'!$B$5:$L$51,9,0),0)))+(IF(N9="HT",VLOOKUP(M9,'tải sàn'!$B$5:$L$51,11,0),IF(N9="TG",VLOOKUP(M9,'tải sàn'!$B$5:$L$51,9,0),0)))</f>
        <v>0.95601803155522158</v>
      </c>
      <c r="P9" s="305">
        <f>F9+I9+O9</f>
        <v>1527.7560180315554</v>
      </c>
      <c r="Q9" s="1205"/>
      <c r="R9" s="1207"/>
      <c r="S9" s="1203"/>
      <c r="T9" s="1203"/>
      <c r="U9" s="291">
        <f>(IF(L9="HT",VLOOKUP(K9,'tải sàn'!$B$5:$L$51,10,0),IF(L9="TG",VLOOKUP(K9,'tải sàn'!$B$5:$L$51,8,0),0)))+(IF(N9="HT",VLOOKUP(M9,'tải sàn'!$B$5:$L$51,10,0),IF(N9="TG",VLOOKUP(M9,'tải sàn'!$B$5:$L$51,8,0),0)))</f>
        <v>0.5642073628850488</v>
      </c>
      <c r="V9" s="1207"/>
      <c r="W9" s="1203"/>
      <c r="X9" s="1203"/>
    </row>
    <row r="12" spans="1:24" ht="15.5">
      <c r="D12" s="259"/>
      <c r="E12" s="259"/>
    </row>
  </sheetData>
  <mergeCells count="44">
    <mergeCell ref="H4:H5"/>
    <mergeCell ref="A2:X2"/>
    <mergeCell ref="A3:A5"/>
    <mergeCell ref="B3:C3"/>
    <mergeCell ref="D3:E3"/>
    <mergeCell ref="F3:F4"/>
    <mergeCell ref="G3:I3"/>
    <mergeCell ref="J3:J5"/>
    <mergeCell ref="K3:N5"/>
    <mergeCell ref="O3:T3"/>
    <mergeCell ref="U3:X3"/>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F8:F9"/>
    <mergeCell ref="R6:R7"/>
    <mergeCell ref="S6:S7"/>
    <mergeCell ref="T6:T7"/>
    <mergeCell ref="V6:V7"/>
    <mergeCell ref="A8:A9"/>
    <mergeCell ref="B8:B9"/>
    <mergeCell ref="C8:C9"/>
    <mergeCell ref="D8:D9"/>
    <mergeCell ref="E8:E9"/>
    <mergeCell ref="X8:X9"/>
    <mergeCell ref="Q8:Q9"/>
    <mergeCell ref="R8:R9"/>
    <mergeCell ref="S8:S9"/>
    <mergeCell ref="T8:T9"/>
    <mergeCell ref="V8:V9"/>
    <mergeCell ref="W8:W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214" t="s">
        <v>609</v>
      </c>
      <c r="B1" s="1215"/>
      <c r="C1" s="1215"/>
      <c r="D1" s="1215"/>
      <c r="E1" s="1215"/>
      <c r="F1" s="1215"/>
      <c r="G1" s="1215"/>
      <c r="H1" s="1215"/>
      <c r="I1" s="1215"/>
      <c r="J1" s="1215"/>
      <c r="K1" s="1215"/>
      <c r="L1" s="1215"/>
      <c r="M1" s="1215"/>
      <c r="N1" s="1215"/>
      <c r="O1" s="1215"/>
      <c r="P1" s="1215"/>
      <c r="Q1" s="1215"/>
      <c r="R1" s="1215"/>
      <c r="S1" s="1215"/>
      <c r="T1" s="1215"/>
      <c r="U1" s="1215"/>
      <c r="V1" s="1215"/>
      <c r="W1" s="1215"/>
      <c r="X1" s="1216"/>
    </row>
    <row r="2" spans="1:24" ht="15">
      <c r="A2" s="1217" t="s">
        <v>553</v>
      </c>
      <c r="B2" s="1220" t="s">
        <v>574</v>
      </c>
      <c r="C2" s="1222"/>
      <c r="D2" s="1210" t="s">
        <v>575</v>
      </c>
      <c r="E2" s="1212"/>
      <c r="F2" s="1235" t="s">
        <v>556</v>
      </c>
      <c r="G2" s="1220" t="s">
        <v>557</v>
      </c>
      <c r="H2" s="1221"/>
      <c r="I2" s="1222"/>
      <c r="J2" s="1209" t="s">
        <v>576</v>
      </c>
      <c r="K2" s="1220" t="s">
        <v>558</v>
      </c>
      <c r="L2" s="1221"/>
      <c r="M2" s="1221"/>
      <c r="N2" s="1222"/>
      <c r="O2" s="1210" t="s">
        <v>577</v>
      </c>
      <c r="P2" s="1211"/>
      <c r="Q2" s="1211"/>
      <c r="R2" s="1211"/>
      <c r="S2" s="1211"/>
      <c r="T2" s="1212"/>
      <c r="U2" s="1208" t="s">
        <v>578</v>
      </c>
      <c r="V2" s="1208"/>
      <c r="W2" s="1208"/>
      <c r="X2" s="1208"/>
    </row>
    <row r="3" spans="1:24">
      <c r="A3" s="1218"/>
      <c r="B3" s="1227" t="s">
        <v>579</v>
      </c>
      <c r="C3" s="1227" t="s">
        <v>580</v>
      </c>
      <c r="D3" s="1229" t="s">
        <v>581</v>
      </c>
      <c r="E3" s="1227" t="s">
        <v>582</v>
      </c>
      <c r="F3" s="1209"/>
      <c r="G3" s="1231" t="s">
        <v>583</v>
      </c>
      <c r="H3" s="1231" t="s">
        <v>584</v>
      </c>
      <c r="I3" s="1231" t="s">
        <v>585</v>
      </c>
      <c r="J3" s="1209"/>
      <c r="K3" s="1220"/>
      <c r="L3" s="1221"/>
      <c r="M3" s="1221"/>
      <c r="N3" s="1222"/>
      <c r="O3" s="1213" t="s">
        <v>586</v>
      </c>
      <c r="P3" s="1213" t="s">
        <v>587</v>
      </c>
      <c r="Q3" s="1213" t="s">
        <v>610</v>
      </c>
      <c r="R3" s="1213" t="s">
        <v>589</v>
      </c>
      <c r="S3" s="1213" t="s">
        <v>590</v>
      </c>
      <c r="T3" s="1213" t="s">
        <v>591</v>
      </c>
      <c r="U3" s="1213" t="s">
        <v>587</v>
      </c>
      <c r="V3" s="1213" t="s">
        <v>589</v>
      </c>
      <c r="W3" s="1213" t="s">
        <v>590</v>
      </c>
      <c r="X3" s="1213" t="s">
        <v>591</v>
      </c>
    </row>
    <row r="4" spans="1:24">
      <c r="A4" s="1218"/>
      <c r="B4" s="1234"/>
      <c r="C4" s="1234"/>
      <c r="D4" s="1238"/>
      <c r="E4" s="1234"/>
      <c r="F4" s="1208"/>
      <c r="G4" s="1231"/>
      <c r="H4" s="1231"/>
      <c r="I4" s="1231"/>
      <c r="J4" s="1209"/>
      <c r="K4" s="1220"/>
      <c r="L4" s="1221"/>
      <c r="M4" s="1221"/>
      <c r="N4" s="1222"/>
      <c r="O4" s="1208"/>
      <c r="P4" s="1208"/>
      <c r="Q4" s="1209"/>
      <c r="R4" s="1208"/>
      <c r="S4" s="1208"/>
      <c r="T4" s="1208"/>
      <c r="U4" s="1208"/>
      <c r="V4" s="1208"/>
      <c r="W4" s="1208"/>
      <c r="X4" s="1208"/>
    </row>
    <row r="5" spans="1:24" ht="15.5">
      <c r="A5" s="1219"/>
      <c r="B5" s="1228"/>
      <c r="C5" s="1228"/>
      <c r="D5" s="1230"/>
      <c r="E5" s="1228"/>
      <c r="F5" s="308" t="s">
        <v>566</v>
      </c>
      <c r="G5" s="1231"/>
      <c r="H5" s="1231"/>
      <c r="I5" s="1231"/>
      <c r="J5" s="1208"/>
      <c r="K5" s="1220"/>
      <c r="L5" s="1221"/>
      <c r="M5" s="1211"/>
      <c r="N5" s="1212"/>
      <c r="O5" s="308" t="s">
        <v>566</v>
      </c>
      <c r="P5" s="313" t="s">
        <v>510</v>
      </c>
      <c r="Q5" s="1209"/>
      <c r="R5" s="308" t="s">
        <v>569</v>
      </c>
      <c r="S5" s="308" t="s">
        <v>569</v>
      </c>
      <c r="T5" s="308" t="s">
        <v>569</v>
      </c>
      <c r="U5" s="308" t="s">
        <v>510</v>
      </c>
      <c r="V5" s="308" t="s">
        <v>569</v>
      </c>
      <c r="W5" s="308" t="s">
        <v>569</v>
      </c>
      <c r="X5" s="308" t="s">
        <v>569</v>
      </c>
    </row>
    <row r="6" spans="1:24" ht="15.5">
      <c r="A6" s="1223"/>
      <c r="B6" s="1225">
        <v>2.5</v>
      </c>
      <c r="C6" s="1225">
        <v>3.5</v>
      </c>
      <c r="D6" s="1223">
        <v>20</v>
      </c>
      <c r="E6" s="1223">
        <v>60</v>
      </c>
      <c r="F6" s="1232">
        <v>330</v>
      </c>
      <c r="G6" s="311"/>
      <c r="H6" s="311">
        <v>3.2</v>
      </c>
      <c r="I6" s="312">
        <v>0</v>
      </c>
      <c r="J6" s="311" t="s">
        <v>509</v>
      </c>
      <c r="K6" s="314" t="s">
        <v>102</v>
      </c>
      <c r="L6" s="315" t="s">
        <v>571</v>
      </c>
      <c r="M6" s="314" t="s">
        <v>105</v>
      </c>
      <c r="N6" s="315" t="s">
        <v>570</v>
      </c>
      <c r="O6" s="309">
        <v>957.84247685185187</v>
      </c>
      <c r="P6" s="325">
        <v>1287.8424768518519</v>
      </c>
      <c r="Q6" s="321">
        <v>9</v>
      </c>
      <c r="R6" s="1236">
        <v>4981.6097543068154</v>
      </c>
      <c r="S6" s="1202">
        <v>7448.2292980232214</v>
      </c>
      <c r="T6" s="1202">
        <v>7587.6222115273576</v>
      </c>
      <c r="U6" s="309">
        <v>957.88194444444446</v>
      </c>
      <c r="V6" s="1206">
        <v>2012.6040288800707</v>
      </c>
      <c r="W6" s="1202">
        <v>4075.8224022633749</v>
      </c>
      <c r="X6" s="1202">
        <v>3780.6134718547914</v>
      </c>
    </row>
    <row r="7" spans="1:24" ht="15.5">
      <c r="A7" s="1224"/>
      <c r="B7" s="1226">
        <v>2.7</v>
      </c>
      <c r="C7" s="1226">
        <v>7</v>
      </c>
      <c r="D7" s="1224">
        <v>20</v>
      </c>
      <c r="E7" s="1224">
        <v>120</v>
      </c>
      <c r="F7" s="1233">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37"/>
      <c r="S7" s="1203"/>
      <c r="T7" s="1203"/>
      <c r="U7" s="309">
        <v>985.46485260770976</v>
      </c>
      <c r="V7" s="1207"/>
      <c r="W7" s="1203"/>
      <c r="X7" s="1203"/>
    </row>
    <row r="8" spans="1:24" ht="15.5">
      <c r="A8" s="1223"/>
      <c r="B8" s="1225">
        <v>2.5</v>
      </c>
      <c r="C8" s="1225">
        <v>3.5</v>
      </c>
      <c r="D8" s="1223">
        <v>20</v>
      </c>
      <c r="E8" s="1223">
        <v>60</v>
      </c>
      <c r="F8" s="1232">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36">
        <v>4752.5294662540946</v>
      </c>
      <c r="S8" s="1202">
        <v>7763.3069849766689</v>
      </c>
      <c r="T8" s="1202">
        <v>7061.7493395593192</v>
      </c>
      <c r="U8" s="309">
        <v>598.11171124828536</v>
      </c>
      <c r="V8" s="1206">
        <v>1947.5928681657847</v>
      </c>
      <c r="W8" s="1202">
        <v>2986.2577964248972</v>
      </c>
      <c r="X8" s="1202">
        <v>2741.4115892305999</v>
      </c>
    </row>
    <row r="9" spans="1:24" ht="15.5">
      <c r="A9" s="1224"/>
      <c r="B9" s="1226">
        <v>2.2999999999999998</v>
      </c>
      <c r="C9" s="1226">
        <v>3</v>
      </c>
      <c r="D9" s="1224">
        <v>20</v>
      </c>
      <c r="E9" s="1224">
        <v>40</v>
      </c>
      <c r="F9" s="1233">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37"/>
      <c r="S9" s="1203"/>
      <c r="T9" s="1203"/>
      <c r="U9" s="309">
        <v>652.79921124828536</v>
      </c>
      <c r="V9" s="1207"/>
      <c r="W9" s="1203"/>
      <c r="X9" s="1203"/>
    </row>
    <row r="10" spans="1:24" ht="15.5">
      <c r="A10" s="1223"/>
      <c r="B10" s="1225"/>
      <c r="C10" s="1225"/>
      <c r="D10" s="1223"/>
      <c r="E10" s="1223"/>
      <c r="F10" s="1232">
        <v>0</v>
      </c>
      <c r="G10" s="311"/>
      <c r="H10" s="311"/>
      <c r="I10" s="312">
        <v>0</v>
      </c>
      <c r="J10" s="311"/>
      <c r="K10" s="314"/>
      <c r="L10" s="315"/>
      <c r="M10" s="314"/>
      <c r="N10" s="315"/>
      <c r="O10" s="309">
        <v>0</v>
      </c>
      <c r="P10" s="325">
        <v>0</v>
      </c>
      <c r="Q10" s="321"/>
      <c r="R10" s="1236" t="s">
        <v>612</v>
      </c>
      <c r="S10" s="1202" t="e">
        <v>#DIV/0!</v>
      </c>
      <c r="T10" s="1202" t="e">
        <v>#DIV/0!</v>
      </c>
      <c r="U10" s="309">
        <v>0</v>
      </c>
      <c r="V10" s="1206" t="s">
        <v>612</v>
      </c>
      <c r="W10" s="1202" t="e">
        <v>#DIV/0!</v>
      </c>
      <c r="X10" s="1202" t="e">
        <v>#DIV/0!</v>
      </c>
    </row>
    <row r="11" spans="1:24" ht="15.5">
      <c r="A11" s="1224"/>
      <c r="B11" s="1226"/>
      <c r="C11" s="1226"/>
      <c r="D11" s="1224"/>
      <c r="E11" s="1224"/>
      <c r="F11" s="1233">
        <v>0</v>
      </c>
      <c r="G11" s="311"/>
      <c r="H11" s="311"/>
      <c r="I11" s="312">
        <v>0</v>
      </c>
      <c r="J11" s="311"/>
      <c r="K11" s="314"/>
      <c r="L11" s="315"/>
      <c r="M11" s="314"/>
      <c r="N11" s="315"/>
      <c r="O11" s="309">
        <v>0</v>
      </c>
      <c r="P11" s="325">
        <v>0</v>
      </c>
      <c r="Q11" s="322"/>
      <c r="R11" s="1237"/>
      <c r="S11" s="1203"/>
      <c r="T11" s="1203"/>
      <c r="U11" s="309">
        <v>0</v>
      </c>
      <c r="V11" s="1207"/>
      <c r="W11" s="1203"/>
      <c r="X11" s="1203"/>
    </row>
    <row r="12" spans="1:24" ht="15.5">
      <c r="A12" s="1223"/>
      <c r="B12" s="1225"/>
      <c r="C12" s="1225"/>
      <c r="D12" s="1223"/>
      <c r="E12" s="1223"/>
      <c r="F12" s="1232">
        <v>0</v>
      </c>
      <c r="G12" s="311"/>
      <c r="H12" s="311"/>
      <c r="I12" s="312">
        <v>0</v>
      </c>
      <c r="J12" s="311"/>
      <c r="K12" s="314"/>
      <c r="L12" s="315"/>
      <c r="M12" s="314"/>
      <c r="N12" s="315"/>
      <c r="O12" s="309">
        <v>0</v>
      </c>
      <c r="P12" s="325">
        <v>0</v>
      </c>
      <c r="Q12" s="321"/>
      <c r="R12" s="1236" t="s">
        <v>612</v>
      </c>
      <c r="S12" s="1202" t="e">
        <v>#DIV/0!</v>
      </c>
      <c r="T12" s="1202" t="e">
        <v>#DIV/0!</v>
      </c>
      <c r="U12" s="309">
        <v>0</v>
      </c>
      <c r="V12" s="1206" t="s">
        <v>612</v>
      </c>
      <c r="W12" s="1202" t="e">
        <v>#DIV/0!</v>
      </c>
      <c r="X12" s="1202" t="e">
        <v>#DIV/0!</v>
      </c>
    </row>
    <row r="13" spans="1:24" ht="15.5">
      <c r="A13" s="1224"/>
      <c r="B13" s="1226"/>
      <c r="C13" s="1226"/>
      <c r="D13" s="1224"/>
      <c r="E13" s="1224"/>
      <c r="F13" s="1233">
        <v>0</v>
      </c>
      <c r="G13" s="311"/>
      <c r="H13" s="311"/>
      <c r="I13" s="312">
        <v>0</v>
      </c>
      <c r="J13" s="311"/>
      <c r="K13" s="314"/>
      <c r="L13" s="315"/>
      <c r="M13" s="314"/>
      <c r="N13" s="315"/>
      <c r="O13" s="309">
        <v>0</v>
      </c>
      <c r="P13" s="325">
        <v>0</v>
      </c>
      <c r="Q13" s="322"/>
      <c r="R13" s="1237"/>
      <c r="S13" s="1203"/>
      <c r="T13" s="1203"/>
      <c r="U13" s="309">
        <v>0</v>
      </c>
      <c r="V13" s="1207"/>
      <c r="W13" s="1203"/>
      <c r="X13" s="1203"/>
    </row>
    <row r="14" spans="1:24" ht="15.5">
      <c r="A14" s="1223"/>
      <c r="B14" s="1225"/>
      <c r="C14" s="1225"/>
      <c r="D14" s="1223"/>
      <c r="E14" s="1223"/>
      <c r="F14" s="1232">
        <v>0</v>
      </c>
      <c r="G14" s="311"/>
      <c r="H14" s="311"/>
      <c r="I14" s="312">
        <v>0</v>
      </c>
      <c r="J14" s="311"/>
      <c r="K14" s="314"/>
      <c r="L14" s="315"/>
      <c r="M14" s="314"/>
      <c r="N14" s="315"/>
      <c r="O14" s="309">
        <v>0</v>
      </c>
      <c r="P14" s="325">
        <v>0</v>
      </c>
      <c r="Q14" s="321"/>
      <c r="R14" s="1236" t="s">
        <v>612</v>
      </c>
      <c r="S14" s="1202" t="e">
        <v>#DIV/0!</v>
      </c>
      <c r="T14" s="1202" t="e">
        <v>#DIV/0!</v>
      </c>
      <c r="U14" s="309">
        <v>0</v>
      </c>
      <c r="V14" s="1206" t="s">
        <v>612</v>
      </c>
      <c r="W14" s="1202" t="e">
        <v>#DIV/0!</v>
      </c>
      <c r="X14" s="1202" t="e">
        <v>#DIV/0!</v>
      </c>
    </row>
    <row r="15" spans="1:24" ht="15.5">
      <c r="A15" s="1224"/>
      <c r="B15" s="1226"/>
      <c r="C15" s="1226"/>
      <c r="D15" s="1224"/>
      <c r="E15" s="1224"/>
      <c r="F15" s="1233">
        <v>0</v>
      </c>
      <c r="G15" s="311"/>
      <c r="H15" s="311"/>
      <c r="I15" s="312">
        <v>0</v>
      </c>
      <c r="J15" s="311"/>
      <c r="K15" s="314"/>
      <c r="L15" s="315"/>
      <c r="M15" s="314"/>
      <c r="N15" s="315"/>
      <c r="O15" s="309">
        <v>0</v>
      </c>
      <c r="P15" s="325">
        <v>0</v>
      </c>
      <c r="Q15" s="322"/>
      <c r="R15" s="1237"/>
      <c r="S15" s="1203"/>
      <c r="T15" s="1203"/>
      <c r="U15" s="309">
        <v>0</v>
      </c>
      <c r="V15" s="1207"/>
      <c r="W15" s="1203"/>
      <c r="X15" s="1203"/>
    </row>
    <row r="16" spans="1:24" ht="15.5">
      <c r="A16" s="1223"/>
      <c r="B16" s="1225"/>
      <c r="C16" s="1225"/>
      <c r="D16" s="1223"/>
      <c r="E16" s="1223"/>
      <c r="F16" s="1232">
        <v>0</v>
      </c>
      <c r="G16" s="311"/>
      <c r="H16" s="311"/>
      <c r="I16" s="312">
        <v>0</v>
      </c>
      <c r="J16" s="311"/>
      <c r="K16" s="314"/>
      <c r="L16" s="315"/>
      <c r="M16" s="314"/>
      <c r="N16" s="315"/>
      <c r="O16" s="309">
        <v>0</v>
      </c>
      <c r="P16" s="325">
        <v>0</v>
      </c>
      <c r="Q16" s="321"/>
      <c r="R16" s="1236" t="s">
        <v>612</v>
      </c>
      <c r="S16" s="1202" t="e">
        <v>#DIV/0!</v>
      </c>
      <c r="T16" s="1202" t="e">
        <v>#DIV/0!</v>
      </c>
      <c r="U16" s="309">
        <v>0</v>
      </c>
      <c r="V16" s="1206" t="s">
        <v>612</v>
      </c>
      <c r="W16" s="1202" t="e">
        <v>#DIV/0!</v>
      </c>
      <c r="X16" s="1202" t="e">
        <v>#DIV/0!</v>
      </c>
    </row>
    <row r="17" spans="1:24" ht="15.5">
      <c r="A17" s="1224"/>
      <c r="B17" s="1226"/>
      <c r="C17" s="1226"/>
      <c r="D17" s="1224"/>
      <c r="E17" s="1224"/>
      <c r="F17" s="1233">
        <v>0</v>
      </c>
      <c r="G17" s="311"/>
      <c r="H17" s="311"/>
      <c r="I17" s="312">
        <v>0</v>
      </c>
      <c r="J17" s="311"/>
      <c r="K17" s="314"/>
      <c r="L17" s="315"/>
      <c r="M17" s="314"/>
      <c r="N17" s="315"/>
      <c r="O17" s="309">
        <v>0</v>
      </c>
      <c r="P17" s="325">
        <v>0</v>
      </c>
      <c r="Q17" s="322"/>
      <c r="R17" s="1237"/>
      <c r="S17" s="1203"/>
      <c r="T17" s="1203"/>
      <c r="U17" s="309">
        <v>0</v>
      </c>
      <c r="V17" s="1207"/>
      <c r="W17" s="1203"/>
      <c r="X17" s="1203"/>
    </row>
    <row r="18" spans="1:24" ht="15.5">
      <c r="A18" s="1223"/>
      <c r="B18" s="1225"/>
      <c r="C18" s="1225"/>
      <c r="D18" s="1223"/>
      <c r="E18" s="1223"/>
      <c r="F18" s="1232">
        <v>0</v>
      </c>
      <c r="G18" s="311"/>
      <c r="H18" s="311"/>
      <c r="I18" s="312">
        <v>0</v>
      </c>
      <c r="J18" s="311"/>
      <c r="K18" s="314"/>
      <c r="L18" s="315"/>
      <c r="M18" s="314"/>
      <c r="N18" s="315"/>
      <c r="O18" s="309">
        <v>0</v>
      </c>
      <c r="P18" s="325">
        <v>0</v>
      </c>
      <c r="Q18" s="321"/>
      <c r="R18" s="1236" t="s">
        <v>612</v>
      </c>
      <c r="S18" s="1202" t="e">
        <v>#DIV/0!</v>
      </c>
      <c r="T18" s="1202" t="e">
        <v>#DIV/0!</v>
      </c>
      <c r="U18" s="309">
        <v>0</v>
      </c>
      <c r="V18" s="1206" t="s">
        <v>612</v>
      </c>
      <c r="W18" s="1202" t="e">
        <v>#DIV/0!</v>
      </c>
      <c r="X18" s="1202" t="e">
        <v>#DIV/0!</v>
      </c>
    </row>
    <row r="19" spans="1:24" ht="15.5">
      <c r="A19" s="1224"/>
      <c r="B19" s="1226"/>
      <c r="C19" s="1226"/>
      <c r="D19" s="1224"/>
      <c r="E19" s="1224"/>
      <c r="F19" s="1233">
        <v>0</v>
      </c>
      <c r="G19" s="311"/>
      <c r="H19" s="311"/>
      <c r="I19" s="312">
        <v>0</v>
      </c>
      <c r="J19" s="311"/>
      <c r="K19" s="314"/>
      <c r="L19" s="315"/>
      <c r="M19" s="314"/>
      <c r="N19" s="315"/>
      <c r="O19" s="309">
        <v>0</v>
      </c>
      <c r="P19" s="325">
        <v>0</v>
      </c>
      <c r="Q19" s="322"/>
      <c r="R19" s="1237"/>
      <c r="S19" s="1203"/>
      <c r="T19" s="1203"/>
      <c r="U19" s="309">
        <v>0</v>
      </c>
      <c r="V19" s="1207"/>
      <c r="W19" s="1203"/>
      <c r="X19" s="1203"/>
    </row>
  </sheetData>
  <mergeCells count="111">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214" t="s">
        <v>603</v>
      </c>
      <c r="B2" s="1215"/>
      <c r="C2" s="1215"/>
      <c r="D2" s="1215"/>
      <c r="E2" s="1215"/>
      <c r="F2" s="1215"/>
      <c r="G2" s="1215"/>
      <c r="H2" s="1215"/>
      <c r="I2" s="1215"/>
      <c r="J2" s="1215"/>
      <c r="K2" s="1216"/>
    </row>
    <row r="3" spans="1:11" ht="15">
      <c r="A3" s="1235" t="s">
        <v>592</v>
      </c>
      <c r="B3" s="1220" t="s">
        <v>557</v>
      </c>
      <c r="C3" s="1221"/>
      <c r="D3" s="1222"/>
      <c r="E3" s="1220" t="s">
        <v>558</v>
      </c>
      <c r="F3" s="1221"/>
      <c r="G3" s="1221"/>
      <c r="H3" s="1222"/>
      <c r="I3" s="1210" t="s">
        <v>577</v>
      </c>
      <c r="J3" s="1211"/>
      <c r="K3" s="1235" t="s">
        <v>578</v>
      </c>
    </row>
    <row r="4" spans="1:11" ht="33">
      <c r="A4" s="1209"/>
      <c r="B4" s="1231" t="s">
        <v>583</v>
      </c>
      <c r="C4" s="1231" t="s">
        <v>584</v>
      </c>
      <c r="D4" s="1231" t="s">
        <v>585</v>
      </c>
      <c r="E4" s="1220"/>
      <c r="F4" s="1221"/>
      <c r="G4" s="1221"/>
      <c r="H4" s="1222"/>
      <c r="I4" s="310" t="s">
        <v>586</v>
      </c>
      <c r="J4" s="310" t="s">
        <v>562</v>
      </c>
      <c r="K4" s="1208"/>
    </row>
    <row r="5" spans="1:11" ht="15.5">
      <c r="A5" s="1208"/>
      <c r="B5" s="1231"/>
      <c r="C5" s="1231"/>
      <c r="D5" s="1231"/>
      <c r="E5" s="1220"/>
      <c r="F5" s="1221"/>
      <c r="G5" s="1211"/>
      <c r="H5" s="1212"/>
      <c r="I5" s="308" t="s">
        <v>566</v>
      </c>
      <c r="J5" s="308" t="s">
        <v>566</v>
      </c>
      <c r="K5" s="308" t="s">
        <v>566</v>
      </c>
    </row>
    <row r="6" spans="1:11" ht="15.5">
      <c r="A6" s="327" t="s">
        <v>613</v>
      </c>
      <c r="B6" s="311">
        <v>100</v>
      </c>
      <c r="C6" s="311">
        <f>TH!$B$18</f>
        <v>3.6</v>
      </c>
      <c r="D6" s="324">
        <f>IF(B6=100,180*1.1*C6,IF(B6=200,330*1.1*C6,0))</f>
        <v>712.80000000000007</v>
      </c>
      <c r="E6" s="314" t="s">
        <v>104</v>
      </c>
      <c r="F6" s="315" t="s">
        <v>571</v>
      </c>
      <c r="G6" s="314" t="s">
        <v>107</v>
      </c>
      <c r="H6" s="315" t="s">
        <v>571</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614</v>
      </c>
      <c r="B7" s="311">
        <v>100</v>
      </c>
      <c r="C7" s="311">
        <f>TH!$B$18</f>
        <v>3.6</v>
      </c>
      <c r="D7" s="324">
        <f t="shared" ref="D7:D12" si="0">IF(B7=100,180*1.1*C7,IF(B7=200,330*1.1*C7,0))</f>
        <v>712.80000000000007</v>
      </c>
      <c r="E7" s="314" t="s">
        <v>102</v>
      </c>
      <c r="F7" s="315" t="s">
        <v>570</v>
      </c>
      <c r="G7" s="314" t="s">
        <v>106</v>
      </c>
      <c r="H7" s="315" t="s">
        <v>571</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615</v>
      </c>
      <c r="B8" s="311">
        <v>100</v>
      </c>
      <c r="C8" s="311">
        <f>TH!$B$18</f>
        <v>3.6</v>
      </c>
      <c r="D8" s="324">
        <f t="shared" si="0"/>
        <v>712.80000000000007</v>
      </c>
      <c r="E8" s="314" t="s">
        <v>103</v>
      </c>
      <c r="F8" s="315" t="s">
        <v>571</v>
      </c>
      <c r="G8" s="314" t="s">
        <v>105</v>
      </c>
      <c r="H8" s="315" t="s">
        <v>571</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616</v>
      </c>
      <c r="B9" s="311">
        <v>0</v>
      </c>
      <c r="C9" s="311">
        <f>TH!$B$18</f>
        <v>3.6</v>
      </c>
      <c r="D9" s="324">
        <f t="shared" si="0"/>
        <v>0</v>
      </c>
      <c r="E9" s="314" t="s">
        <v>109</v>
      </c>
      <c r="F9" s="315" t="s">
        <v>570</v>
      </c>
      <c r="G9" s="314" t="s">
        <v>108</v>
      </c>
      <c r="H9" s="315" t="s">
        <v>571</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617</v>
      </c>
      <c r="B10" s="311">
        <v>100</v>
      </c>
      <c r="C10" s="311">
        <f>TH!$B$18</f>
        <v>3.6</v>
      </c>
      <c r="D10" s="324">
        <f t="shared" si="0"/>
        <v>712.80000000000007</v>
      </c>
      <c r="E10" s="314" t="s">
        <v>103</v>
      </c>
      <c r="F10" s="315" t="s">
        <v>571</v>
      </c>
      <c r="G10" s="314" t="s">
        <v>105</v>
      </c>
      <c r="H10" s="315" t="s">
        <v>571</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618</v>
      </c>
      <c r="B11" s="311">
        <v>0</v>
      </c>
      <c r="C11" s="311">
        <f>TH!$B$18</f>
        <v>3.6</v>
      </c>
      <c r="D11" s="324">
        <f t="shared" si="0"/>
        <v>0</v>
      </c>
      <c r="E11" s="314" t="s">
        <v>102</v>
      </c>
      <c r="F11" s="315" t="s">
        <v>570</v>
      </c>
      <c r="G11" s="314" t="s">
        <v>106</v>
      </c>
      <c r="H11" s="315" t="s">
        <v>571</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619</v>
      </c>
      <c r="B12" s="311">
        <v>0</v>
      </c>
      <c r="C12" s="311">
        <f>TH!$B$18</f>
        <v>3.6</v>
      </c>
      <c r="D12" s="324">
        <f t="shared" si="0"/>
        <v>0</v>
      </c>
      <c r="E12" s="314" t="s">
        <v>104</v>
      </c>
      <c r="F12" s="315" t="s">
        <v>571</v>
      </c>
      <c r="G12" s="314" t="s">
        <v>107</v>
      </c>
      <c r="H12" s="315" t="s">
        <v>571</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214" t="s">
        <v>607</v>
      </c>
      <c r="B14" s="1215"/>
      <c r="C14" s="1215"/>
      <c r="D14" s="1215"/>
      <c r="E14" s="1215"/>
      <c r="F14" s="1215"/>
      <c r="G14" s="1215"/>
      <c r="H14" s="1215"/>
      <c r="I14" s="1215"/>
      <c r="J14" s="1215"/>
      <c r="K14" s="1216"/>
    </row>
    <row r="15" spans="1:11">
      <c r="A15" s="1209" t="s">
        <v>594</v>
      </c>
      <c r="B15" s="1208" t="s">
        <v>595</v>
      </c>
      <c r="C15" s="1243" t="s">
        <v>596</v>
      </c>
      <c r="D15" s="1244"/>
      <c r="E15" s="1251" t="s">
        <v>199</v>
      </c>
      <c r="F15" s="1243" t="s">
        <v>597</v>
      </c>
      <c r="G15" s="1244"/>
      <c r="H15" s="1243" t="s">
        <v>198</v>
      </c>
      <c r="I15" s="1244"/>
      <c r="J15" s="1243" t="s">
        <v>598</v>
      </c>
      <c r="K15" s="1244"/>
    </row>
    <row r="16" spans="1:11">
      <c r="A16" s="1209"/>
      <c r="B16" s="1252"/>
      <c r="C16" s="1243"/>
      <c r="D16" s="1244"/>
      <c r="E16" s="1251"/>
      <c r="F16" s="1243"/>
      <c r="G16" s="1244"/>
      <c r="H16" s="1243"/>
      <c r="I16" s="1244"/>
      <c r="J16" s="1243"/>
      <c r="K16" s="1244"/>
    </row>
    <row r="17" spans="1:14" ht="15.5">
      <c r="A17" s="1208"/>
      <c r="B17" s="1252"/>
      <c r="C17" s="1243"/>
      <c r="D17" s="1244"/>
      <c r="E17" s="316" t="s">
        <v>569</v>
      </c>
      <c r="F17" s="1245" t="s">
        <v>569</v>
      </c>
      <c r="G17" s="1246"/>
      <c r="H17" s="1245" t="s">
        <v>569</v>
      </c>
      <c r="I17" s="1246"/>
      <c r="J17" s="1245" t="s">
        <v>569</v>
      </c>
      <c r="K17" s="1246"/>
    </row>
    <row r="18" spans="1:14" ht="15.5">
      <c r="A18" s="1223">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39">
        <f>E18+E19</f>
        <v>4581.9000000000005</v>
      </c>
      <c r="G18" s="1240"/>
      <c r="H18" s="1253">
        <f>IF(C18=1,VLOOKUP(B18,'dam loai 1 TD'!$B$6:$R$41,17,0),IF(C18=2,(IF(D18="Ri",VLOOKUP(B18,'dam loai 2 TD'!$A$6:$X$50,23,0),IF(D18="Rj",VLOOKUP(B18,'dam loai 2 TD'!$A$6:$X$50,24,0),0))),IF(C18=3,(IF(D18="Ri",VLOOKUP(B18,'dam loai 3 TD'!$A$6:$X$50,23,0),IF(D18="Rj",VLOOKUP(B18,'dam loai 3 TD'!$A$6:$X$50,24,0),0))))))</f>
        <v>0.3</v>
      </c>
      <c r="I18" s="1254"/>
      <c r="J18" s="1239">
        <f>H18+H19</f>
        <v>1.5</v>
      </c>
      <c r="K18" s="1240"/>
      <c r="L18" s="307"/>
      <c r="M18" s="307"/>
      <c r="N18" s="307"/>
    </row>
    <row r="19" spans="1:14" ht="15.5">
      <c r="A19" s="1224"/>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41"/>
      <c r="G19" s="1242"/>
      <c r="H19" s="1253">
        <f>IF(C19=1,VLOOKUP(B19,'dam loai 1 TD'!$B$6:$R$41,17,0),IF(C19=2,(IF(D19="Ri",VLOOKUP(B19,'dam loai 2 TD'!$A$6:$X$50,23,0),IF(D19="Rj",VLOOKUP(B19,'dam loai 2 TD'!$A$6:$X$50,24,0),0))),IF(C19=3,(IF(D19="Ri",VLOOKUP(B19,'dam loai 3 TD'!$A$6:$X$50,23,0),IF(D19="Rj",VLOOKUP(B19,'dam loai 3 TD'!$A$6:$X$50,24,0),0))))))</f>
        <v>1.2</v>
      </c>
      <c r="I19" s="1254"/>
      <c r="J19" s="1241"/>
      <c r="K19" s="1242"/>
      <c r="L19" s="307"/>
      <c r="M19" s="307"/>
      <c r="N19" s="307"/>
    </row>
    <row r="20" spans="1:14" ht="15.5">
      <c r="A20" s="1223">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39">
        <f>E20+E21</f>
        <v>2088.1453985672915</v>
      </c>
      <c r="G20" s="1240"/>
      <c r="H20" s="1253">
        <f>IF(C20=1,VLOOKUP(B20,'dam loai 1 TD'!$B$6:$R$41,17,0),IF(C20=2,(IF(D20="Ri",VLOOKUP(B20,'dam loai 2 TD'!$A$6:$X$50,23,0),IF(D20="Rj",VLOOKUP(B20,'dam loai 2 TD'!$A$6:$X$50,24,0),0))),IF(C20=3,(IF(D20="Ri",VLOOKUP(B20,'dam loai 3 TD'!$A$6:$X$50,23,0),IF(D20="Rj",VLOOKUP(B20,'dam loai 3 TD'!$A$6:$X$50,24,0),0))))))</f>
        <v>0.6</v>
      </c>
      <c r="I20" s="1254"/>
      <c r="J20" s="1239">
        <f>H20+H21</f>
        <v>2.5453985672915715</v>
      </c>
      <c r="K20" s="1240"/>
      <c r="L20" s="307"/>
      <c r="M20" s="307"/>
      <c r="N20" s="307"/>
    </row>
    <row r="21" spans="1:14" ht="15.5">
      <c r="A21" s="1224"/>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41"/>
      <c r="G21" s="1242"/>
      <c r="H21" s="1253">
        <f>IF(C21=1,VLOOKUP(B21,'dam loai 1 TD'!$B$6:$R$41,17,0),IF(C21=2,(IF(D21="Ri",VLOOKUP(B21,'dam loai 2 TD'!$A$6:$X$50,23,0),IF(D21="Rj",VLOOKUP(B21,'dam loai 2 TD'!$A$6:$X$50,24,0),0))),IF(C21=3,(IF(D21="Ri",VLOOKUP(B21,'dam loai 3 TD'!$A$6:$X$50,23,0),IF(D21="Rj",VLOOKUP(B21,'dam loai 3 TD'!$A$6:$X$50,24,0),0))))))</f>
        <v>1.9453985672915715</v>
      </c>
      <c r="I21" s="1254"/>
      <c r="J21" s="1241"/>
      <c r="K21" s="1242"/>
      <c r="L21" s="307"/>
      <c r="M21" s="307"/>
      <c r="N21" s="323"/>
    </row>
    <row r="22" spans="1:14" ht="15.5">
      <c r="A22" s="1223">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39">
        <f>E22+E23</f>
        <v>2088.8359375</v>
      </c>
      <c r="G22" s="1240"/>
      <c r="H22" s="1253">
        <f>IF(C22=1,VLOOKUP(B22,'dam loai 1 TD'!$B$6:$R$41,17,0),IF(C22=2,(IF(D22="Ri",VLOOKUP(B22,'dam loai 2 TD'!$A$6:$X$50,23,0),IF(D22="Rj",VLOOKUP(B22,'dam loai 2 TD'!$A$6:$X$50,24,0),0))),IF(C22=3,(IF(D22="Ri",VLOOKUP(B22,'dam loai 3 TD'!$A$6:$X$50,23,0),IF(D22="Rj",VLOOKUP(B22,'dam loai 3 TD'!$A$6:$X$50,24,0),0))))))</f>
        <v>0.6</v>
      </c>
      <c r="I22" s="1254"/>
      <c r="J22" s="1239">
        <f>H22+H23</f>
        <v>2.3332031249999998</v>
      </c>
      <c r="K22" s="1240"/>
      <c r="L22" s="307"/>
      <c r="M22" s="307"/>
      <c r="N22" s="307"/>
    </row>
    <row r="23" spans="1:14" ht="15.5">
      <c r="A23" s="1224"/>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41"/>
      <c r="G23" s="1242"/>
      <c r="H23" s="1253">
        <f>IF(C23=1,VLOOKUP(B23,'dam loai 1 TD'!$B$6:$R$41,17,0),IF(C23=2,(IF(D23="Ri",VLOOKUP(B23,'dam loai 2 TD'!$A$6:$X$50,23,0),IF(D23="Rj",VLOOKUP(B23,'dam loai 2 TD'!$A$6:$X$50,24,0),0))),IF(C23=3,(IF(D23="Ri",VLOOKUP(B23,'dam loai 3 TD'!$A$6:$X$50,23,0),IF(D23="Rj",VLOOKUP(B23,'dam loai 3 TD'!$A$6:$X$50,24,0),0))))))</f>
        <v>1.7332031249999997</v>
      </c>
      <c r="I23" s="1254"/>
      <c r="J23" s="1241"/>
      <c r="K23" s="1242"/>
      <c r="L23" s="307"/>
      <c r="M23" s="307"/>
      <c r="N23" s="307"/>
    </row>
    <row r="24" spans="1:14" ht="15.5">
      <c r="A24" s="1223">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39">
        <f>E24+E25</f>
        <v>2088.9250000000002</v>
      </c>
      <c r="G24" s="1240"/>
      <c r="H24" s="1253">
        <f>IF(C24=1,VLOOKUP(B24,'dam loai 1 TD'!$B$6:$R$41,17,0),IF(C24=2,(IF(D24="Ri",VLOOKUP(B24,'dam loai 2 TD'!$A$6:$X$50,23,0),IF(D24="Rj",VLOOKUP(B24,'dam loai 2 TD'!$A$6:$X$50,24,0),0))),IF(C24=3,(IF(D24="Ri",VLOOKUP(B24,'dam loai 3 TD'!$A$6:$X$50,23,0),IF(D24="Rj",VLOOKUP(B24,'dam loai 3 TD'!$A$6:$X$50,24,0),0))))))</f>
        <v>0.6</v>
      </c>
      <c r="I24" s="1254"/>
      <c r="J24" s="1239">
        <f>H24+H25</f>
        <v>2.6999999999999997</v>
      </c>
      <c r="K24" s="1240"/>
      <c r="L24" s="307"/>
      <c r="M24" s="307"/>
      <c r="N24" s="307"/>
    </row>
    <row r="25" spans="1:14" ht="15.5">
      <c r="A25" s="1224"/>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41"/>
      <c r="G25" s="1242"/>
      <c r="H25" s="1253">
        <f>IF(C25=1,VLOOKUP(B25,'dam loai 1 TD'!$B$6:$R$41,17,0),IF(C25=2,(IF(D25="Ri",VLOOKUP(B25,'dam loai 2 TD'!$A$6:$X$50,23,0),IF(D25="Rj",VLOOKUP(B25,'dam loai 2 TD'!$A$6:$X$50,24,0),0))),IF(C25=3,(IF(D25="Ri",VLOOKUP(B25,'dam loai 3 TD'!$A$6:$X$50,23,0),IF(D25="Rj",VLOOKUP(B25,'dam loai 3 TD'!$A$6:$X$50,24,0),0))))))</f>
        <v>2.0999999999999996</v>
      </c>
      <c r="I25" s="1254"/>
      <c r="J25" s="1241"/>
      <c r="K25" s="1242"/>
      <c r="L25" s="307"/>
      <c r="M25" s="307"/>
      <c r="N25" s="307"/>
    </row>
    <row r="26" spans="1:14" ht="15.5">
      <c r="A26" s="1223">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39">
        <f t="shared" ref="F26:F32" si="2">E26+E27</f>
        <v>2088.9250000000002</v>
      </c>
      <c r="G26" s="1240"/>
      <c r="H26" s="1253">
        <f>IF(C26=1,VLOOKUP(B26,'dam loai 1 TD'!$B$6:$R$41,17,0),IF(C26=2,(IF(D26="Ri",VLOOKUP(B26,'dam loai 2 TD'!$A$6:$X$50,23,0),IF(D26="Rj",VLOOKUP(B26,'dam loai 2 TD'!$A$6:$X$50,24,0),0))),IF(C26=3,(IF(D26="Ri",VLOOKUP(B26,'dam loai 3 TD'!$A$6:$X$50,23,0),IF(D26="Rj",VLOOKUP(B26,'dam loai 3 TD'!$A$6:$X$50,24,0),0))))))</f>
        <v>0.6</v>
      </c>
      <c r="I26" s="1254"/>
      <c r="J26" s="1239">
        <f>H26+H27</f>
        <v>2.6999999999999997</v>
      </c>
      <c r="K26" s="1240"/>
      <c r="L26" s="307"/>
      <c r="M26" s="307"/>
      <c r="N26" s="307"/>
    </row>
    <row r="27" spans="1:14" ht="15.5">
      <c r="A27" s="1224"/>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41"/>
      <c r="G27" s="1242"/>
      <c r="H27" s="1253">
        <f>IF(C27=1,VLOOKUP(B27,'dam loai 1 TD'!$B$6:$R$41,17,0),IF(C27=2,(IF(D27="Ri",VLOOKUP(B27,'dam loai 2 TD'!$A$6:$X$50,23,0),IF(D27="Rj",VLOOKUP(B27,'dam loai 2 TD'!$A$6:$X$50,24,0),0))),IF(C27=3,(IF(D27="Ri",VLOOKUP(B27,'dam loai 3 TD'!$A$6:$X$50,23,0),IF(D27="Rj",VLOOKUP(B27,'dam loai 3 TD'!$A$6:$X$50,24,0),0))))))</f>
        <v>2.0999999999999996</v>
      </c>
      <c r="I27" s="1254"/>
      <c r="J27" s="1241"/>
      <c r="K27" s="1242"/>
      <c r="L27" s="307"/>
      <c r="M27" s="307"/>
      <c r="N27" s="307"/>
    </row>
    <row r="28" spans="1:14" ht="15.5">
      <c r="A28" s="1223">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39">
        <f t="shared" si="2"/>
        <v>2088.8359375</v>
      </c>
      <c r="G28" s="1240"/>
      <c r="H28" s="1253">
        <f>IF(C28=1,VLOOKUP(B28,'dam loai 1 TD'!$B$6:$R$41,17,0),IF(C28=2,(IF(D28="Ri",VLOOKUP(B28,'dam loai 2 TD'!$A$6:$X$50,23,0),IF(D28="Rj",VLOOKUP(B28,'dam loai 2 TD'!$A$6:$X$50,24,0),0))),IF(C28=3,(IF(D28="Ri",VLOOKUP(B28,'dam loai 3 TD'!$A$6:$X$50,23,0),IF(D28="Rj",VLOOKUP(B28,'dam loai 3 TD'!$A$6:$X$50,24,0),0))))))</f>
        <v>0.6</v>
      </c>
      <c r="I28" s="1254"/>
      <c r="J28" s="1239">
        <f>H28+H29</f>
        <v>2.3332031249999998</v>
      </c>
      <c r="K28" s="1240"/>
      <c r="L28" s="307"/>
      <c r="M28" s="307"/>
      <c r="N28" s="307"/>
    </row>
    <row r="29" spans="1:14" ht="15.5">
      <c r="A29" s="1224"/>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41"/>
      <c r="G29" s="1242"/>
      <c r="H29" s="1253">
        <f>IF(C29=1,VLOOKUP(B29,'dam loai 1 TD'!$B$6:$R$41,17,0),IF(C29=2,(IF(D29="Ri",VLOOKUP(B29,'dam loai 2 TD'!$A$6:$X$50,23,0),IF(D29="Rj",VLOOKUP(B29,'dam loai 2 TD'!$A$6:$X$50,24,0),0))),IF(C29=3,(IF(D29="Ri",VLOOKUP(B29,'dam loai 3 TD'!$A$6:$X$50,23,0),IF(D29="Rj",VLOOKUP(B29,'dam loai 3 TD'!$A$6:$X$50,24,0),0))))))</f>
        <v>1.7332031249999997</v>
      </c>
      <c r="I29" s="1254"/>
      <c r="J29" s="1241"/>
      <c r="K29" s="1242"/>
      <c r="L29" s="307"/>
      <c r="M29" s="307"/>
      <c r="N29" s="307"/>
    </row>
    <row r="30" spans="1:14" ht="15.5">
      <c r="A30" s="1223">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39">
        <f t="shared" si="2"/>
        <v>2088.1453985672915</v>
      </c>
      <c r="G30" s="1240"/>
      <c r="H30" s="1253">
        <f>IF(C30=1,VLOOKUP(B30,'dam loai 1 TD'!$B$6:$R$41,17,0),IF(C30=2,(IF(D30="Ri",VLOOKUP(B30,'dam loai 2 TD'!$A$6:$X$50,23,0),IF(D30="Rj",VLOOKUP(B30,'dam loai 2 TD'!$A$6:$X$50,24,0),0))),IF(C30=3,(IF(D30="Ri",VLOOKUP(B30,'dam loai 3 TD'!$A$6:$X$50,23,0),IF(D30="Rj",VLOOKUP(B30,'dam loai 3 TD'!$A$6:$X$50,24,0),0))))))</f>
        <v>0.6</v>
      </c>
      <c r="I30" s="1254"/>
      <c r="J30" s="1239">
        <f>H30+H31</f>
        <v>2.5453985672915715</v>
      </c>
      <c r="K30" s="1240"/>
      <c r="L30" s="307"/>
      <c r="M30" s="307"/>
      <c r="N30" s="307"/>
    </row>
    <row r="31" spans="1:14" ht="15.5">
      <c r="A31" s="1224"/>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41"/>
      <c r="G31" s="1242"/>
      <c r="H31" s="1253">
        <f>IF(C31=1,VLOOKUP(B31,'dam loai 1 TD'!$B$6:$R$41,17,0),IF(C31=2,(IF(D31="Ri",VLOOKUP(B31,'dam loai 2 TD'!$A$6:$X$50,23,0),IF(D31="Rj",VLOOKUP(B31,'dam loai 2 TD'!$A$6:$X$50,24,0),0))),IF(C31=3,(IF(D31="Ri",VLOOKUP(B31,'dam loai 3 TD'!$A$6:$X$50,23,0),IF(D31="Rj",VLOOKUP(B31,'dam loai 3 TD'!$A$6:$X$50,24,0),0))))))</f>
        <v>1.9453985672915715</v>
      </c>
      <c r="I31" s="1254"/>
      <c r="J31" s="1241"/>
      <c r="K31" s="1242"/>
      <c r="L31" s="307"/>
      <c r="M31" s="307"/>
      <c r="N31" s="307"/>
    </row>
    <row r="32" spans="1:14" ht="15.5">
      <c r="A32" s="1223">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39">
        <f t="shared" si="2"/>
        <v>4581.9000000000005</v>
      </c>
      <c r="G32" s="1240"/>
      <c r="H32" s="1253">
        <f>IF(C32=1,VLOOKUP(B32,'dam loai 1 TD'!$B$6:$R$41,17,0),IF(C32=2,(IF(D32="Ri",VLOOKUP(B32,'dam loai 2 TD'!$A$6:$X$50,23,0),IF(D32="Rj",VLOOKUP(B32,'dam loai 2 TD'!$A$6:$X$50,24,0),0))),IF(C32=3,(IF(D32="Ri",VLOOKUP(B32,'dam loai 3 TD'!$A$6:$X$50,23,0),IF(D32="Rj",VLOOKUP(B32,'dam loai 3 TD'!$A$6:$X$50,24,0),0))))))</f>
        <v>0.3</v>
      </c>
      <c r="I32" s="1254"/>
      <c r="J32" s="1239">
        <f>H32+H33</f>
        <v>1.5</v>
      </c>
      <c r="K32" s="1240"/>
      <c r="L32" s="307"/>
      <c r="M32" s="307"/>
      <c r="N32" s="307"/>
    </row>
    <row r="33" spans="1:14" ht="15.5">
      <c r="A33" s="1224"/>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41"/>
      <c r="G33" s="1242"/>
      <c r="H33" s="1255">
        <f>IF(C33=1,VLOOKUP(B33,'dam loai 1 TD'!$B$6:$R$41,17,0),IF(C33=2,(IF(D33="Ri",VLOOKUP(B33,'dam loai 2 TD'!$A$6:$X$50,23,0),IF(D33="Rj",VLOOKUP(B33,'dam loai 2 TD'!$A$6:$X$50,24,0),0))),IF(C33=3,(IF(D33="Ri",VLOOKUP(B33,'dam loai 3 TD'!$A$6:$X$50,23,0),IF(D33="Rj",VLOOKUP(B33,'dam loai 3 TD'!$A$6:$X$50,24,0),0))))))</f>
        <v>1.2</v>
      </c>
      <c r="I33" s="1255"/>
      <c r="J33" s="1241"/>
      <c r="K33" s="1242"/>
      <c r="L33" s="307"/>
      <c r="M33" s="307"/>
      <c r="N33" s="307"/>
    </row>
  </sheetData>
  <mergeCells count="60">
    <mergeCell ref="A2:K2"/>
    <mergeCell ref="A3:A5"/>
    <mergeCell ref="B3:D3"/>
    <mergeCell ref="E3:H5"/>
    <mergeCell ref="I3:J3"/>
    <mergeCell ref="K3:K4"/>
    <mergeCell ref="B4:B5"/>
    <mergeCell ref="C4:C5"/>
    <mergeCell ref="D4:D5"/>
    <mergeCell ref="A14:K14"/>
    <mergeCell ref="A15:A17"/>
    <mergeCell ref="B15:B17"/>
    <mergeCell ref="C15:D17"/>
    <mergeCell ref="E15:E16"/>
    <mergeCell ref="F15:G16"/>
    <mergeCell ref="H15:I16"/>
    <mergeCell ref="J15:K16"/>
    <mergeCell ref="F17:G17"/>
    <mergeCell ref="H17:I17"/>
    <mergeCell ref="J17:K17"/>
    <mergeCell ref="A18:A19"/>
    <mergeCell ref="F18:G19"/>
    <mergeCell ref="H18:I18"/>
    <mergeCell ref="J18:K19"/>
    <mergeCell ref="H19:I19"/>
    <mergeCell ref="A22:A23"/>
    <mergeCell ref="F22:G23"/>
    <mergeCell ref="H22:I22"/>
    <mergeCell ref="J22:K23"/>
    <mergeCell ref="H23:I23"/>
    <mergeCell ref="A20:A21"/>
    <mergeCell ref="F20:G21"/>
    <mergeCell ref="H20:I20"/>
    <mergeCell ref="J20:K21"/>
    <mergeCell ref="H21:I21"/>
    <mergeCell ref="J24:K25"/>
    <mergeCell ref="H25:I25"/>
    <mergeCell ref="A26:A27"/>
    <mergeCell ref="F26:G27"/>
    <mergeCell ref="H26:I26"/>
    <mergeCell ref="J26:K27"/>
    <mergeCell ref="H27:I27"/>
    <mergeCell ref="A24:A25"/>
    <mergeCell ref="F24:G25"/>
    <mergeCell ref="H24:I24"/>
    <mergeCell ref="A28:A29"/>
    <mergeCell ref="F28:G29"/>
    <mergeCell ref="J28:K29"/>
    <mergeCell ref="A30:A31"/>
    <mergeCell ref="F30:G31"/>
    <mergeCell ref="J30:K31"/>
    <mergeCell ref="H31:I31"/>
    <mergeCell ref="H28:I28"/>
    <mergeCell ref="H29:I29"/>
    <mergeCell ref="H30:I30"/>
    <mergeCell ref="A32:A33"/>
    <mergeCell ref="F32:G33"/>
    <mergeCell ref="H32:I32"/>
    <mergeCell ref="J32:K33"/>
    <mergeCell ref="H33:I3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318</v>
      </c>
      <c r="E9" s="113"/>
      <c r="F9" s="114"/>
      <c r="G9" s="114"/>
      <c r="H9" s="114"/>
      <c r="I9" s="115" t="s">
        <v>319</v>
      </c>
      <c r="J9" s="113"/>
      <c r="K9" s="114"/>
      <c r="L9" s="114"/>
      <c r="M9" s="114"/>
      <c r="N9" s="114" t="s">
        <v>320</v>
      </c>
      <c r="O9" s="113"/>
      <c r="P9" s="114"/>
      <c r="Q9" s="114"/>
      <c r="R9" s="114"/>
      <c r="S9" s="115" t="s">
        <v>321</v>
      </c>
      <c r="T9" s="113"/>
      <c r="U9" s="114"/>
      <c r="V9" s="114"/>
      <c r="W9" s="114"/>
      <c r="X9" s="114" t="s">
        <v>322</v>
      </c>
      <c r="Y9" s="113"/>
      <c r="Z9" s="114"/>
      <c r="AA9" s="114"/>
      <c r="AB9" s="114"/>
      <c r="AC9" s="115" t="s">
        <v>323</v>
      </c>
      <c r="AD9" s="113"/>
      <c r="AE9" s="114"/>
      <c r="AF9" s="114"/>
      <c r="AG9" s="114"/>
      <c r="AH9" s="114" t="s">
        <v>324</v>
      </c>
      <c r="AI9" s="113"/>
      <c r="AJ9" s="114"/>
      <c r="AK9" s="114"/>
      <c r="AL9" s="114"/>
      <c r="AM9" s="115" t="s">
        <v>325</v>
      </c>
      <c r="AN9" s="113"/>
      <c r="AO9" s="114"/>
      <c r="AP9" s="114"/>
      <c r="AQ9" s="114"/>
      <c r="AR9" s="112"/>
      <c r="AS9" s="114" t="s">
        <v>326</v>
      </c>
      <c r="AT9" s="114"/>
      <c r="AU9" s="112"/>
      <c r="AV9" s="112"/>
      <c r="AW9" s="115" t="s">
        <v>327</v>
      </c>
      <c r="AX9" s="113"/>
      <c r="AY9" s="114"/>
      <c r="AZ9" s="114"/>
      <c r="BA9" s="114"/>
      <c r="BB9" s="114" t="s">
        <v>328</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329</v>
      </c>
      <c r="E17" s="120" t="s">
        <v>330</v>
      </c>
      <c r="F17" s="120" t="s">
        <v>331</v>
      </c>
      <c r="G17" s="120" t="s">
        <v>332</v>
      </c>
      <c r="H17" s="120" t="s">
        <v>333</v>
      </c>
      <c r="I17" s="121" t="s">
        <v>329</v>
      </c>
      <c r="J17" s="122" t="s">
        <v>334</v>
      </c>
      <c r="K17" s="122" t="s">
        <v>335</v>
      </c>
      <c r="L17" s="122" t="s">
        <v>336</v>
      </c>
      <c r="M17" s="122" t="s">
        <v>337</v>
      </c>
      <c r="N17" s="119" t="s">
        <v>329</v>
      </c>
      <c r="O17" s="120" t="s">
        <v>338</v>
      </c>
      <c r="P17" s="120" t="s">
        <v>339</v>
      </c>
      <c r="Q17" s="120" t="s">
        <v>340</v>
      </c>
      <c r="R17" s="120" t="s">
        <v>341</v>
      </c>
      <c r="S17" s="121" t="s">
        <v>329</v>
      </c>
      <c r="T17" s="122" t="s">
        <v>342</v>
      </c>
      <c r="U17" s="122" t="s">
        <v>343</v>
      </c>
      <c r="V17" s="122" t="s">
        <v>344</v>
      </c>
      <c r="W17" s="122" t="s">
        <v>345</v>
      </c>
      <c r="X17" s="119" t="s">
        <v>329</v>
      </c>
      <c r="Y17" s="120" t="s">
        <v>346</v>
      </c>
      <c r="Z17" s="120" t="s">
        <v>347</v>
      </c>
      <c r="AA17" s="120" t="s">
        <v>348</v>
      </c>
      <c r="AB17" s="120" t="s">
        <v>349</v>
      </c>
      <c r="AC17" s="121" t="s">
        <v>329</v>
      </c>
      <c r="AD17" s="122" t="s">
        <v>350</v>
      </c>
      <c r="AE17" s="122" t="s">
        <v>351</v>
      </c>
      <c r="AF17" s="122" t="s">
        <v>352</v>
      </c>
      <c r="AG17" s="122" t="s">
        <v>353</v>
      </c>
      <c r="AH17" s="119" t="s">
        <v>329</v>
      </c>
      <c r="AI17" s="120" t="s">
        <v>354</v>
      </c>
      <c r="AJ17" s="120" t="s">
        <v>355</v>
      </c>
      <c r="AK17" s="120" t="s">
        <v>356</v>
      </c>
      <c r="AL17" s="120" t="s">
        <v>357</v>
      </c>
      <c r="AM17" s="121" t="s">
        <v>329</v>
      </c>
      <c r="AN17" s="122" t="s">
        <v>358</v>
      </c>
      <c r="AO17" s="122" t="s">
        <v>359</v>
      </c>
      <c r="AP17" s="122" t="s">
        <v>360</v>
      </c>
      <c r="AQ17" s="122" t="s">
        <v>361</v>
      </c>
      <c r="AR17" s="119" t="s">
        <v>329</v>
      </c>
      <c r="AS17" s="120" t="s">
        <v>362</v>
      </c>
      <c r="AT17" s="120" t="s">
        <v>363</v>
      </c>
      <c r="AU17" s="120" t="s">
        <v>364</v>
      </c>
      <c r="AV17" s="120" t="s">
        <v>365</v>
      </c>
      <c r="AW17" s="121" t="s">
        <v>329</v>
      </c>
      <c r="AX17" s="122" t="s">
        <v>366</v>
      </c>
      <c r="AY17" s="122" t="s">
        <v>367</v>
      </c>
      <c r="AZ17" s="122" t="s">
        <v>368</v>
      </c>
      <c r="BA17" s="122" t="s">
        <v>369</v>
      </c>
      <c r="BB17" s="119" t="s">
        <v>329</v>
      </c>
      <c r="BC17" s="120" t="s">
        <v>370</v>
      </c>
      <c r="BD17" s="120" t="s">
        <v>371</v>
      </c>
      <c r="BE17" s="120" t="s">
        <v>372</v>
      </c>
      <c r="BF17" s="120" t="s">
        <v>373</v>
      </c>
      <c r="BG17" s="112"/>
      <c r="BH17" s="113" t="s">
        <v>374</v>
      </c>
      <c r="BI17" s="113" t="s">
        <v>375</v>
      </c>
      <c r="BJ17" s="112"/>
      <c r="BK17" s="113" t="s">
        <v>376</v>
      </c>
      <c r="BL17" s="113" t="s">
        <v>377</v>
      </c>
      <c r="BM17" s="113" t="s">
        <v>378</v>
      </c>
      <c r="BN17" s="113" t="s">
        <v>379</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380</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381</v>
      </c>
      <c r="BL20" s="113" t="s">
        <v>382</v>
      </c>
      <c r="BM20" s="113" t="s">
        <v>383</v>
      </c>
      <c r="BN20" s="113" t="s">
        <v>384</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380</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385</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386</v>
      </c>
      <c r="E124" s="131" t="s">
        <v>387</v>
      </c>
      <c r="F124" s="131" t="s">
        <v>388</v>
      </c>
      <c r="G124" s="131" t="s">
        <v>389</v>
      </c>
      <c r="H124" s="131" t="s">
        <v>390</v>
      </c>
      <c r="I124" s="131" t="s">
        <v>391</v>
      </c>
      <c r="J124" s="131" t="s">
        <v>392</v>
      </c>
      <c r="K124" s="131" t="s">
        <v>393</v>
      </c>
      <c r="L124" s="131" t="s">
        <v>394</v>
      </c>
      <c r="M124" s="131" t="s">
        <v>395</v>
      </c>
      <c r="N124" s="131" t="s">
        <v>396</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397</v>
      </c>
      <c r="E125" s="131" t="s">
        <v>398</v>
      </c>
      <c r="F125" s="131" t="s">
        <v>399</v>
      </c>
      <c r="G125" s="131" t="s">
        <v>400</v>
      </c>
      <c r="H125" s="131" t="s">
        <v>401</v>
      </c>
      <c r="I125" s="131" t="s">
        <v>402</v>
      </c>
      <c r="J125" s="131" t="s">
        <v>403</v>
      </c>
      <c r="K125" s="131" t="s">
        <v>404</v>
      </c>
      <c r="L125" s="131" t="s">
        <v>405</v>
      </c>
      <c r="M125" s="131" t="s">
        <v>406</v>
      </c>
      <c r="N125" s="131" t="s">
        <v>407</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408</v>
      </c>
      <c r="E126" s="131" t="s">
        <v>409</v>
      </c>
      <c r="F126" s="131" t="s">
        <v>410</v>
      </c>
      <c r="G126" s="131" t="s">
        <v>411</v>
      </c>
      <c r="H126" s="131" t="s">
        <v>412</v>
      </c>
      <c r="I126" s="131" t="s">
        <v>413</v>
      </c>
      <c r="J126" s="131" t="s">
        <v>414</v>
      </c>
      <c r="K126" s="131" t="s">
        <v>415</v>
      </c>
      <c r="L126" s="131" t="s">
        <v>416</v>
      </c>
      <c r="M126" s="131" t="s">
        <v>417</v>
      </c>
      <c r="N126" s="131" t="s">
        <v>418</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419</v>
      </c>
      <c r="E127" s="131" t="s">
        <v>420</v>
      </c>
      <c r="F127" s="131" t="s">
        <v>421</v>
      </c>
      <c r="G127" s="131" t="s">
        <v>422</v>
      </c>
      <c r="H127" s="131" t="s">
        <v>423</v>
      </c>
      <c r="I127" s="131" t="s">
        <v>424</v>
      </c>
      <c r="J127" s="131" t="s">
        <v>425</v>
      </c>
      <c r="K127" s="131" t="s">
        <v>426</v>
      </c>
      <c r="L127" s="131" t="s">
        <v>427</v>
      </c>
      <c r="M127" s="131" t="s">
        <v>428</v>
      </c>
      <c r="N127" s="131" t="s">
        <v>429</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430</v>
      </c>
      <c r="F129" s="128" t="s">
        <v>3</v>
      </c>
      <c r="G129" s="128" t="s">
        <v>431</v>
      </c>
      <c r="H129" s="128" t="s">
        <v>432</v>
      </c>
      <c r="I129" s="132"/>
      <c r="J129" s="128" t="s">
        <v>430</v>
      </c>
      <c r="K129" s="128" t="s">
        <v>3</v>
      </c>
      <c r="L129" s="128" t="s">
        <v>431</v>
      </c>
      <c r="M129" s="128" t="s">
        <v>432</v>
      </c>
      <c r="N129" s="132"/>
      <c r="O129" s="128" t="s">
        <v>430</v>
      </c>
      <c r="P129" s="128" t="s">
        <v>3</v>
      </c>
      <c r="Q129" s="128" t="s">
        <v>431</v>
      </c>
      <c r="R129" s="128" t="s">
        <v>432</v>
      </c>
      <c r="S129" s="132"/>
      <c r="T129" s="128" t="s">
        <v>430</v>
      </c>
      <c r="U129" s="128" t="s">
        <v>3</v>
      </c>
      <c r="V129" s="128" t="s">
        <v>431</v>
      </c>
      <c r="W129" s="128" t="s">
        <v>432</v>
      </c>
      <c r="X129" s="132"/>
      <c r="Y129" s="128" t="s">
        <v>430</v>
      </c>
      <c r="Z129" s="128" t="s">
        <v>3</v>
      </c>
      <c r="AA129" s="128" t="s">
        <v>431</v>
      </c>
      <c r="AB129" s="128" t="s">
        <v>432</v>
      </c>
      <c r="AC129" s="132"/>
      <c r="AD129" s="128" t="s">
        <v>430</v>
      </c>
      <c r="AE129" s="128" t="s">
        <v>3</v>
      </c>
      <c r="AF129" s="128" t="s">
        <v>431</v>
      </c>
      <c r="AG129" s="128" t="s">
        <v>432</v>
      </c>
      <c r="AH129" s="132"/>
      <c r="AI129" s="128" t="s">
        <v>430</v>
      </c>
      <c r="AJ129" s="128" t="s">
        <v>3</v>
      </c>
      <c r="AK129" s="128" t="s">
        <v>431</v>
      </c>
      <c r="AL129" s="128" t="s">
        <v>432</v>
      </c>
      <c r="AM129" s="132"/>
      <c r="AN129" s="128" t="s">
        <v>430</v>
      </c>
      <c r="AO129" s="128" t="s">
        <v>3</v>
      </c>
      <c r="AP129" s="128" t="s">
        <v>431</v>
      </c>
      <c r="AQ129" s="128" t="s">
        <v>432</v>
      </c>
      <c r="AR129" s="132"/>
      <c r="AS129" s="128" t="s">
        <v>430</v>
      </c>
      <c r="AT129" s="128" t="s">
        <v>3</v>
      </c>
      <c r="AU129" s="128" t="s">
        <v>431</v>
      </c>
      <c r="AV129" s="128" t="s">
        <v>432</v>
      </c>
      <c r="AW129" s="132"/>
      <c r="AX129" s="128" t="s">
        <v>430</v>
      </c>
      <c r="AY129" s="128" t="s">
        <v>3</v>
      </c>
      <c r="AZ129" s="128" t="s">
        <v>431</v>
      </c>
      <c r="BA129" s="128" t="s">
        <v>432</v>
      </c>
      <c r="BB129" s="132"/>
      <c r="BC129" s="128" t="s">
        <v>430</v>
      </c>
      <c r="BD129" s="128" t="s">
        <v>3</v>
      </c>
      <c r="BE129" s="128" t="s">
        <v>431</v>
      </c>
      <c r="BF129" s="128" t="s">
        <v>432</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260</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261</v>
      </c>
      <c r="D7" s="1256" t="s">
        <v>262</v>
      </c>
      <c r="E7" s="1257"/>
      <c r="F7" s="81"/>
      <c r="G7" s="81"/>
      <c r="H7" s="81"/>
      <c r="I7" s="81" t="s">
        <v>262</v>
      </c>
      <c r="J7" s="81"/>
      <c r="K7" s="81"/>
      <c r="L7" s="81"/>
      <c r="M7" s="81"/>
      <c r="N7" s="81"/>
      <c r="O7" s="91"/>
      <c r="P7" s="92"/>
      <c r="Q7" s="77"/>
    </row>
    <row r="8" spans="2:20">
      <c r="B8" s="77"/>
      <c r="C8" s="82" t="s">
        <v>263</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536</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536</v>
      </c>
    </row>
    <row r="11" spans="2:20">
      <c r="B11" s="77"/>
      <c r="C11" s="99">
        <v>10</v>
      </c>
      <c r="D11" s="100">
        <v>2.83</v>
      </c>
      <c r="E11" s="83" t="s">
        <v>264</v>
      </c>
      <c r="F11" s="100">
        <v>2.83</v>
      </c>
      <c r="G11" s="101">
        <v>5.03</v>
      </c>
      <c r="H11" s="84" t="s">
        <v>265</v>
      </c>
      <c r="I11" s="100">
        <v>7.85</v>
      </c>
      <c r="J11" s="83" t="s">
        <v>266</v>
      </c>
      <c r="K11" s="101">
        <v>11.31</v>
      </c>
      <c r="L11" s="84" t="s">
        <v>267</v>
      </c>
      <c r="M11" s="100">
        <v>15.39</v>
      </c>
      <c r="N11" s="83" t="s">
        <v>268</v>
      </c>
      <c r="O11" s="101">
        <v>20.100000000000001</v>
      </c>
      <c r="P11" s="85" t="s">
        <v>269</v>
      </c>
      <c r="Q11" s="77"/>
      <c r="R11">
        <v>10</v>
      </c>
      <c r="S11">
        <f t="shared" si="0"/>
        <v>0.78539816339744828</v>
      </c>
      <c r="T11" t="s">
        <v>536</v>
      </c>
    </row>
    <row r="12" spans="2:20">
      <c r="B12" s="77"/>
      <c r="C12" s="99">
        <v>11</v>
      </c>
      <c r="D12" s="100">
        <v>2.57</v>
      </c>
      <c r="E12" s="83" t="s">
        <v>270</v>
      </c>
      <c r="F12" s="100">
        <v>2.57</v>
      </c>
      <c r="G12" s="101">
        <v>4.57</v>
      </c>
      <c r="H12" s="84" t="s">
        <v>271</v>
      </c>
      <c r="I12" s="100">
        <v>7.14</v>
      </c>
      <c r="J12" s="83" t="s">
        <v>272</v>
      </c>
      <c r="K12" s="101">
        <v>10.28</v>
      </c>
      <c r="L12" s="84" t="s">
        <v>273</v>
      </c>
      <c r="M12" s="100">
        <v>13.99</v>
      </c>
      <c r="N12" s="83" t="s">
        <v>274</v>
      </c>
      <c r="O12" s="101">
        <v>18.28</v>
      </c>
      <c r="P12" s="86" t="s">
        <v>275</v>
      </c>
      <c r="Q12" s="77"/>
      <c r="R12">
        <v>12</v>
      </c>
      <c r="S12">
        <f t="shared" si="0"/>
        <v>1.1309733552923256</v>
      </c>
      <c r="T12" t="s">
        <v>536</v>
      </c>
    </row>
    <row r="13" spans="2:20">
      <c r="B13" s="77"/>
      <c r="C13" s="99">
        <v>12</v>
      </c>
      <c r="D13" s="100">
        <v>2.36</v>
      </c>
      <c r="E13" s="83" t="s">
        <v>276</v>
      </c>
      <c r="F13" s="100">
        <v>2.36</v>
      </c>
      <c r="G13" s="101">
        <v>4.1900000000000004</v>
      </c>
      <c r="H13" s="84" t="s">
        <v>277</v>
      </c>
      <c r="I13" s="100">
        <v>6.54</v>
      </c>
      <c r="J13" s="83" t="s">
        <v>278</v>
      </c>
      <c r="K13" s="101">
        <v>9.42</v>
      </c>
      <c r="L13" s="84" t="s">
        <v>279</v>
      </c>
      <c r="M13" s="100">
        <v>12.83</v>
      </c>
      <c r="N13" s="83" t="s">
        <v>280</v>
      </c>
      <c r="O13" s="101">
        <v>16.760000000000002</v>
      </c>
      <c r="P13" s="86" t="s">
        <v>281</v>
      </c>
      <c r="Q13" s="77"/>
      <c r="R13">
        <v>14</v>
      </c>
      <c r="S13">
        <f t="shared" si="0"/>
        <v>1.5393804002589984</v>
      </c>
      <c r="T13" t="s">
        <v>536</v>
      </c>
    </row>
    <row r="14" spans="2:20">
      <c r="B14" s="77"/>
      <c r="C14" s="99">
        <v>13</v>
      </c>
      <c r="D14" s="100">
        <v>2.1800000000000002</v>
      </c>
      <c r="E14" s="83" t="s">
        <v>282</v>
      </c>
      <c r="F14" s="100">
        <v>2.1800000000000002</v>
      </c>
      <c r="G14" s="101">
        <v>3.87</v>
      </c>
      <c r="H14" s="84" t="s">
        <v>283</v>
      </c>
      <c r="I14" s="100">
        <v>6.04</v>
      </c>
      <c r="J14" s="83" t="s">
        <v>284</v>
      </c>
      <c r="K14" s="101">
        <v>8.6999999999999993</v>
      </c>
      <c r="L14" s="84" t="s">
        <v>285</v>
      </c>
      <c r="M14" s="100">
        <v>11.84</v>
      </c>
      <c r="N14" s="83" t="s">
        <v>286</v>
      </c>
      <c r="O14" s="101">
        <v>15.47</v>
      </c>
      <c r="P14" s="86" t="s">
        <v>287</v>
      </c>
      <c r="Q14" s="77"/>
      <c r="R14">
        <v>16</v>
      </c>
      <c r="S14">
        <f t="shared" si="0"/>
        <v>2.0106192982974678</v>
      </c>
      <c r="T14" t="s">
        <v>536</v>
      </c>
    </row>
    <row r="15" spans="2:20">
      <c r="B15" s="77"/>
      <c r="C15" s="99">
        <v>14</v>
      </c>
      <c r="D15" s="100">
        <v>2.02</v>
      </c>
      <c r="E15" s="83" t="s">
        <v>288</v>
      </c>
      <c r="F15" s="100">
        <v>2.02</v>
      </c>
      <c r="G15" s="101">
        <v>3.59</v>
      </c>
      <c r="H15" s="84" t="s">
        <v>289</v>
      </c>
      <c r="I15" s="100">
        <v>5.61</v>
      </c>
      <c r="J15" s="83" t="s">
        <v>290</v>
      </c>
      <c r="K15" s="101">
        <v>8.08</v>
      </c>
      <c r="L15" s="84" t="s">
        <v>291</v>
      </c>
      <c r="M15" s="100">
        <v>11</v>
      </c>
      <c r="N15" s="83" t="s">
        <v>292</v>
      </c>
      <c r="O15" s="101">
        <v>14.36</v>
      </c>
      <c r="P15" s="86" t="s">
        <v>293</v>
      </c>
      <c r="Q15" s="77"/>
      <c r="R15">
        <v>18</v>
      </c>
      <c r="S15">
        <f t="shared" si="0"/>
        <v>2.5446900494077327</v>
      </c>
      <c r="T15" t="s">
        <v>536</v>
      </c>
    </row>
    <row r="16" spans="2:20">
      <c r="B16" s="77"/>
      <c r="C16" s="99">
        <v>15</v>
      </c>
      <c r="D16" s="100">
        <v>1.89</v>
      </c>
      <c r="E16" s="83" t="s">
        <v>258</v>
      </c>
      <c r="F16" s="100">
        <v>1.89</v>
      </c>
      <c r="G16" s="101">
        <v>3.35</v>
      </c>
      <c r="H16" s="84" t="s">
        <v>294</v>
      </c>
      <c r="I16" s="100">
        <v>5.23</v>
      </c>
      <c r="J16" s="83" t="s">
        <v>295</v>
      </c>
      <c r="K16" s="101">
        <v>7.54</v>
      </c>
      <c r="L16" s="84" t="s">
        <v>296</v>
      </c>
      <c r="M16" s="100">
        <v>10.26</v>
      </c>
      <c r="N16" s="83" t="s">
        <v>297</v>
      </c>
      <c r="O16" s="101">
        <v>13.41</v>
      </c>
      <c r="P16" s="86" t="s">
        <v>298</v>
      </c>
      <c r="Q16" s="77"/>
      <c r="R16">
        <v>20</v>
      </c>
      <c r="S16">
        <f t="shared" si="0"/>
        <v>3.1415926535897931</v>
      </c>
      <c r="T16" t="s">
        <v>536</v>
      </c>
    </row>
    <row r="17" spans="1:20">
      <c r="A17" s="75"/>
      <c r="B17" s="77"/>
      <c r="C17" s="99">
        <v>20</v>
      </c>
      <c r="D17" s="100">
        <v>1.41</v>
      </c>
      <c r="E17" s="83" t="s">
        <v>256</v>
      </c>
      <c r="F17" s="100">
        <v>1.41</v>
      </c>
      <c r="G17" s="101">
        <v>2.5099999999999998</v>
      </c>
      <c r="H17" s="84" t="s">
        <v>299</v>
      </c>
      <c r="I17" s="100">
        <v>3.93</v>
      </c>
      <c r="J17" s="83" t="s">
        <v>300</v>
      </c>
      <c r="K17" s="101">
        <v>5.65</v>
      </c>
      <c r="L17" s="84" t="s">
        <v>301</v>
      </c>
      <c r="M17" s="100">
        <v>7.69</v>
      </c>
      <c r="N17" s="83" t="s">
        <v>302</v>
      </c>
      <c r="O17" s="101">
        <v>10.050000000000001</v>
      </c>
      <c r="P17" s="86" t="s">
        <v>303</v>
      </c>
      <c r="Q17" s="77"/>
      <c r="R17">
        <v>22</v>
      </c>
      <c r="S17">
        <f t="shared" si="0"/>
        <v>3.8013271108436504</v>
      </c>
      <c r="T17" t="s">
        <v>536</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301</v>
      </c>
      <c r="C20" s="99">
        <v>10</v>
      </c>
      <c r="D20" s="101">
        <v>5.03</v>
      </c>
      <c r="E20" s="84" t="s">
        <v>265</v>
      </c>
      <c r="F20" s="101">
        <v>5.03</v>
      </c>
      <c r="G20" s="88"/>
      <c r="H20" s="88"/>
      <c r="I20" s="88"/>
      <c r="J20" s="88"/>
      <c r="K20" s="88"/>
      <c r="L20" s="88"/>
      <c r="M20" s="88"/>
      <c r="N20" s="88"/>
      <c r="O20" s="88"/>
      <c r="P20" s="77"/>
      <c r="Q20" s="77"/>
    </row>
    <row r="21" spans="1:20">
      <c r="A21" s="75"/>
      <c r="B21" s="77"/>
      <c r="C21" s="99">
        <v>11</v>
      </c>
      <c r="D21" s="101">
        <v>4.57</v>
      </c>
      <c r="E21" s="84" t="s">
        <v>271</v>
      </c>
      <c r="F21" s="101">
        <v>4.57</v>
      </c>
      <c r="G21" s="88"/>
      <c r="H21" s="88"/>
      <c r="I21" s="88"/>
      <c r="J21" s="88"/>
      <c r="K21" s="88"/>
      <c r="L21" s="88"/>
      <c r="M21" s="88"/>
      <c r="N21" s="88"/>
      <c r="O21" s="88"/>
      <c r="P21" s="77"/>
      <c r="Q21" s="77"/>
    </row>
    <row r="22" spans="1:20">
      <c r="A22" s="75"/>
      <c r="B22" s="77"/>
      <c r="C22" s="99">
        <v>12</v>
      </c>
      <c r="D22" s="101">
        <v>4.1900000000000004</v>
      </c>
      <c r="E22" s="84" t="s">
        <v>277</v>
      </c>
      <c r="F22" s="101">
        <v>4.1900000000000004</v>
      </c>
      <c r="G22" s="88"/>
      <c r="H22" s="88"/>
      <c r="I22" s="88"/>
      <c r="J22" s="88"/>
      <c r="K22" s="88"/>
      <c r="L22" s="88"/>
      <c r="M22" s="88"/>
      <c r="N22" s="88"/>
      <c r="O22" s="88"/>
      <c r="P22" s="77"/>
      <c r="Q22" s="77"/>
    </row>
    <row r="23" spans="1:20">
      <c r="A23" s="75"/>
      <c r="B23" s="77"/>
      <c r="C23" s="99">
        <v>13</v>
      </c>
      <c r="D23" s="101">
        <v>3.87</v>
      </c>
      <c r="E23" s="84" t="s">
        <v>283</v>
      </c>
      <c r="F23" s="101">
        <v>3.87</v>
      </c>
      <c r="G23" s="88"/>
      <c r="H23" s="88"/>
      <c r="I23" s="88"/>
      <c r="J23" s="88"/>
      <c r="K23" s="88"/>
      <c r="L23" s="88"/>
      <c r="M23" s="88"/>
      <c r="N23" s="88"/>
      <c r="O23" s="88"/>
      <c r="P23" s="77"/>
      <c r="Q23" s="77"/>
    </row>
    <row r="24" spans="1:20">
      <c r="A24" s="75"/>
      <c r="B24" s="77"/>
      <c r="C24" s="99">
        <v>14</v>
      </c>
      <c r="D24" s="101">
        <v>3.59</v>
      </c>
      <c r="E24" s="84" t="s">
        <v>289</v>
      </c>
      <c r="F24" s="101">
        <v>3.59</v>
      </c>
      <c r="G24" s="88"/>
      <c r="H24" s="88"/>
      <c r="I24" s="88"/>
      <c r="J24" s="88"/>
      <c r="K24" s="88"/>
      <c r="L24" s="88"/>
      <c r="M24" s="88"/>
      <c r="N24" s="88"/>
      <c r="O24" s="88"/>
      <c r="P24" s="77"/>
      <c r="Q24" s="77"/>
    </row>
    <row r="25" spans="1:20">
      <c r="A25" s="75"/>
      <c r="B25" s="77"/>
      <c r="C25" s="99">
        <v>15</v>
      </c>
      <c r="D25" s="101">
        <v>3.35</v>
      </c>
      <c r="E25" s="84" t="s">
        <v>294</v>
      </c>
      <c r="F25" s="101">
        <v>3.35</v>
      </c>
      <c r="G25" s="88"/>
      <c r="H25" s="88"/>
      <c r="I25" s="88"/>
      <c r="J25" s="88"/>
      <c r="K25" s="88"/>
      <c r="L25" s="88"/>
      <c r="M25" s="88"/>
      <c r="N25" s="88"/>
      <c r="O25" s="88"/>
      <c r="P25" s="77"/>
      <c r="Q25" s="77"/>
    </row>
    <row r="26" spans="1:20">
      <c r="A26" s="75"/>
      <c r="B26" s="77"/>
      <c r="C26" s="99">
        <v>20</v>
      </c>
      <c r="D26" s="101">
        <v>2.5099999999999998</v>
      </c>
      <c r="E26" s="84" t="s">
        <v>299</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266</v>
      </c>
      <c r="F29" s="100">
        <v>7.85</v>
      </c>
      <c r="G29" s="88"/>
      <c r="H29" s="88"/>
      <c r="I29" s="88"/>
      <c r="J29" s="88"/>
      <c r="K29" s="88"/>
      <c r="L29" s="88"/>
      <c r="M29" s="88"/>
      <c r="N29" s="88"/>
      <c r="O29" s="88"/>
      <c r="P29" s="77"/>
      <c r="Q29" s="77"/>
    </row>
    <row r="30" spans="1:20">
      <c r="A30" s="75"/>
      <c r="B30" s="77"/>
      <c r="C30" s="99">
        <v>11</v>
      </c>
      <c r="D30" s="100">
        <v>7.14</v>
      </c>
      <c r="E30" s="83" t="s">
        <v>272</v>
      </c>
      <c r="F30" s="100">
        <v>7.14</v>
      </c>
      <c r="G30" s="88"/>
      <c r="H30" s="88"/>
      <c r="I30" s="88"/>
      <c r="J30" s="88"/>
      <c r="K30" s="88"/>
      <c r="L30" s="88"/>
      <c r="M30" s="88"/>
      <c r="N30" s="88"/>
      <c r="O30" s="88"/>
      <c r="P30" s="77"/>
      <c r="Q30" s="77"/>
    </row>
    <row r="31" spans="1:20">
      <c r="A31" s="75"/>
      <c r="B31" s="77"/>
      <c r="C31" s="99">
        <v>12</v>
      </c>
      <c r="D31" s="100">
        <v>6.54</v>
      </c>
      <c r="E31" s="83" t="s">
        <v>278</v>
      </c>
      <c r="F31" s="100">
        <v>6.54</v>
      </c>
      <c r="G31" s="88"/>
      <c r="H31" s="88"/>
      <c r="I31" s="88"/>
      <c r="J31" s="88"/>
      <c r="K31" s="88"/>
      <c r="L31" s="88"/>
      <c r="M31" s="88"/>
      <c r="N31" s="88"/>
      <c r="O31" s="88"/>
      <c r="P31" s="77"/>
      <c r="Q31" s="77"/>
    </row>
    <row r="32" spans="1:20">
      <c r="A32" s="75"/>
      <c r="B32" s="77"/>
      <c r="C32" s="99">
        <v>13</v>
      </c>
      <c r="D32" s="100">
        <v>6.04</v>
      </c>
      <c r="E32" s="83" t="s">
        <v>284</v>
      </c>
      <c r="F32" s="100">
        <v>6.04</v>
      </c>
      <c r="G32" s="88"/>
      <c r="H32" s="88"/>
      <c r="I32" s="88"/>
      <c r="J32" s="88"/>
      <c r="K32" s="88"/>
      <c r="L32" s="88"/>
      <c r="M32" s="88"/>
      <c r="N32" s="88"/>
      <c r="O32" s="88"/>
      <c r="P32" s="77"/>
      <c r="Q32" s="77"/>
    </row>
    <row r="33" spans="2:17">
      <c r="B33" s="77"/>
      <c r="C33" s="99">
        <v>14</v>
      </c>
      <c r="D33" s="100">
        <v>5.61</v>
      </c>
      <c r="E33" s="83" t="s">
        <v>290</v>
      </c>
      <c r="F33" s="100">
        <v>5.61</v>
      </c>
      <c r="G33" s="88"/>
      <c r="H33" s="88"/>
      <c r="I33" s="88"/>
      <c r="J33" s="88"/>
      <c r="K33" s="88"/>
      <c r="L33" s="88"/>
      <c r="M33" s="88"/>
      <c r="N33" s="88"/>
      <c r="O33" s="88"/>
      <c r="P33" s="77"/>
      <c r="Q33" s="77"/>
    </row>
    <row r="34" spans="2:17">
      <c r="B34" s="77"/>
      <c r="C34" s="99">
        <v>15</v>
      </c>
      <c r="D34" s="100">
        <v>5.23</v>
      </c>
      <c r="E34" s="83" t="s">
        <v>295</v>
      </c>
      <c r="F34" s="100">
        <v>5.23</v>
      </c>
      <c r="G34" s="88"/>
      <c r="H34" s="88"/>
      <c r="I34" s="88"/>
      <c r="J34" s="88"/>
      <c r="K34" s="88"/>
      <c r="L34" s="88"/>
      <c r="M34" s="88"/>
      <c r="N34" s="88"/>
      <c r="O34" s="88"/>
      <c r="P34" s="77"/>
      <c r="Q34" s="77"/>
    </row>
    <row r="35" spans="2:17">
      <c r="B35" s="77"/>
      <c r="C35" s="99">
        <v>20</v>
      </c>
      <c r="D35" s="100">
        <v>3.93</v>
      </c>
      <c r="E35" s="83" t="s">
        <v>300</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267</v>
      </c>
      <c r="F38" s="101">
        <v>11.31</v>
      </c>
      <c r="G38" s="88"/>
      <c r="H38" s="88"/>
      <c r="I38" s="88"/>
      <c r="J38" s="88"/>
      <c r="K38" s="88"/>
      <c r="L38" s="88"/>
      <c r="M38" s="88"/>
      <c r="N38" s="88"/>
      <c r="O38" s="88"/>
      <c r="P38" s="77"/>
      <c r="Q38" s="77"/>
    </row>
    <row r="39" spans="2:17">
      <c r="B39" s="77"/>
      <c r="C39" s="99">
        <v>11</v>
      </c>
      <c r="D39" s="101">
        <v>10.28</v>
      </c>
      <c r="E39" s="84" t="s">
        <v>273</v>
      </c>
      <c r="F39" s="101">
        <v>10.28</v>
      </c>
      <c r="G39" s="88"/>
      <c r="H39" s="88"/>
      <c r="I39" s="88"/>
      <c r="J39" s="88"/>
      <c r="K39" s="88"/>
      <c r="L39" s="88"/>
      <c r="M39" s="88"/>
      <c r="N39" s="88"/>
      <c r="O39" s="88"/>
      <c r="P39" s="77"/>
      <c r="Q39" s="77"/>
    </row>
    <row r="40" spans="2:17">
      <c r="B40" s="77"/>
      <c r="C40" s="99">
        <v>12</v>
      </c>
      <c r="D40" s="101">
        <v>9.42</v>
      </c>
      <c r="E40" s="84" t="s">
        <v>279</v>
      </c>
      <c r="F40" s="101">
        <v>9.42</v>
      </c>
      <c r="G40" s="88"/>
      <c r="H40" s="88"/>
      <c r="I40" s="88"/>
      <c r="J40" s="88"/>
      <c r="K40" s="88"/>
      <c r="L40" s="88"/>
      <c r="M40" s="88"/>
      <c r="N40" s="88"/>
      <c r="O40" s="88"/>
      <c r="P40" s="77"/>
      <c r="Q40" s="77"/>
    </row>
    <row r="41" spans="2:17">
      <c r="B41" s="77"/>
      <c r="C41" s="99">
        <v>13</v>
      </c>
      <c r="D41" s="101">
        <v>8.6999999999999993</v>
      </c>
      <c r="E41" s="84" t="s">
        <v>285</v>
      </c>
      <c r="F41" s="101">
        <v>8.6999999999999993</v>
      </c>
      <c r="G41" s="88"/>
      <c r="H41" s="88"/>
      <c r="I41" s="88"/>
      <c r="J41" s="88"/>
      <c r="K41" s="88"/>
      <c r="L41" s="88"/>
      <c r="M41" s="88"/>
      <c r="N41" s="88"/>
      <c r="O41" s="88"/>
      <c r="P41" s="77"/>
      <c r="Q41" s="77"/>
    </row>
    <row r="42" spans="2:17">
      <c r="B42" s="77"/>
      <c r="C42" s="99">
        <v>14</v>
      </c>
      <c r="D42" s="101">
        <v>8.08</v>
      </c>
      <c r="E42" s="84" t="s">
        <v>291</v>
      </c>
      <c r="F42" s="101">
        <v>8.08</v>
      </c>
      <c r="G42" s="88"/>
      <c r="H42" s="88"/>
      <c r="I42" s="88"/>
      <c r="J42" s="88"/>
      <c r="K42" s="88"/>
      <c r="L42" s="88"/>
      <c r="M42" s="88"/>
      <c r="N42" s="88"/>
      <c r="O42" s="88"/>
      <c r="P42" s="77"/>
      <c r="Q42" s="77"/>
    </row>
    <row r="43" spans="2:17">
      <c r="B43" s="77"/>
      <c r="C43" s="99">
        <v>15</v>
      </c>
      <c r="D43" s="101">
        <v>7.54</v>
      </c>
      <c r="E43" s="84" t="s">
        <v>296</v>
      </c>
      <c r="F43" s="101">
        <v>7.54</v>
      </c>
      <c r="G43" s="88"/>
      <c r="H43" s="88"/>
      <c r="I43" s="88"/>
      <c r="J43" s="88"/>
      <c r="K43" s="88"/>
      <c r="L43" s="88"/>
      <c r="M43" s="88"/>
      <c r="N43" s="88"/>
      <c r="O43" s="88"/>
      <c r="P43" s="77"/>
      <c r="Q43" s="77"/>
    </row>
    <row r="44" spans="2:17">
      <c r="B44" s="77"/>
      <c r="C44" s="99">
        <v>20</v>
      </c>
      <c r="D44" s="101">
        <v>5.65</v>
      </c>
      <c r="E44" s="84" t="s">
        <v>301</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268</v>
      </c>
      <c r="F47" s="100">
        <v>15.39</v>
      </c>
      <c r="G47" s="88"/>
      <c r="H47" s="88"/>
      <c r="I47" s="88"/>
      <c r="J47" s="88"/>
      <c r="K47" s="88"/>
      <c r="L47" s="88"/>
      <c r="M47" s="88"/>
      <c r="N47" s="88"/>
      <c r="O47" s="88"/>
      <c r="P47" s="77"/>
      <c r="Q47" s="77"/>
    </row>
    <row r="48" spans="2:17">
      <c r="B48" s="77"/>
      <c r="C48" s="99">
        <v>11</v>
      </c>
      <c r="D48" s="100">
        <v>13.99</v>
      </c>
      <c r="E48" s="83" t="s">
        <v>274</v>
      </c>
      <c r="F48" s="100">
        <v>13.99</v>
      </c>
      <c r="G48" s="88"/>
      <c r="H48" s="88"/>
      <c r="I48" s="88"/>
      <c r="J48" s="88"/>
      <c r="K48" s="88"/>
      <c r="L48" s="88"/>
      <c r="M48" s="88"/>
      <c r="N48" s="88"/>
      <c r="O48" s="88"/>
      <c r="P48" s="77"/>
      <c r="Q48" s="77"/>
    </row>
    <row r="49" spans="2:17">
      <c r="B49" s="77"/>
      <c r="C49" s="99">
        <v>12</v>
      </c>
      <c r="D49" s="100">
        <v>12.83</v>
      </c>
      <c r="E49" s="83" t="s">
        <v>280</v>
      </c>
      <c r="F49" s="100">
        <v>12.83</v>
      </c>
      <c r="G49" s="88"/>
      <c r="H49" s="88"/>
      <c r="I49" s="88"/>
      <c r="J49" s="88"/>
      <c r="K49" s="88"/>
      <c r="L49" s="88"/>
      <c r="M49" s="88"/>
      <c r="N49" s="88"/>
      <c r="O49" s="88"/>
      <c r="P49" s="77"/>
      <c r="Q49" s="77"/>
    </row>
    <row r="50" spans="2:17">
      <c r="B50" s="77"/>
      <c r="C50" s="99">
        <v>13</v>
      </c>
      <c r="D50" s="100">
        <v>11.84</v>
      </c>
      <c r="E50" s="83" t="s">
        <v>286</v>
      </c>
      <c r="F50" s="100">
        <v>11.84</v>
      </c>
      <c r="G50" s="88"/>
      <c r="H50" s="88"/>
      <c r="I50" s="88"/>
      <c r="J50" s="88"/>
      <c r="K50" s="88"/>
      <c r="L50" s="88"/>
      <c r="M50" s="88"/>
      <c r="N50" s="88"/>
      <c r="O50" s="88"/>
      <c r="P50" s="77"/>
      <c r="Q50" s="77"/>
    </row>
    <row r="51" spans="2:17">
      <c r="B51" s="77"/>
      <c r="C51" s="99">
        <v>14</v>
      </c>
      <c r="D51" s="100">
        <v>11</v>
      </c>
      <c r="E51" s="83" t="s">
        <v>292</v>
      </c>
      <c r="F51" s="100">
        <v>11</v>
      </c>
      <c r="G51" s="88"/>
      <c r="H51" s="88"/>
      <c r="I51" s="88"/>
      <c r="J51" s="88"/>
      <c r="K51" s="88"/>
      <c r="L51" s="88"/>
      <c r="M51" s="88"/>
      <c r="N51" s="88"/>
      <c r="O51" s="88"/>
      <c r="P51" s="77"/>
      <c r="Q51" s="77"/>
    </row>
    <row r="52" spans="2:17">
      <c r="B52" s="77"/>
      <c r="C52" s="99">
        <v>15</v>
      </c>
      <c r="D52" s="100">
        <v>10.26</v>
      </c>
      <c r="E52" s="83" t="s">
        <v>297</v>
      </c>
      <c r="F52" s="100">
        <v>10.26</v>
      </c>
      <c r="G52" s="88"/>
      <c r="H52" s="88"/>
      <c r="I52" s="88"/>
      <c r="J52" s="88"/>
      <c r="K52" s="88"/>
      <c r="L52" s="88"/>
      <c r="M52" s="88"/>
      <c r="N52" s="88"/>
      <c r="O52" s="88"/>
      <c r="P52" s="77"/>
      <c r="Q52" s="77"/>
    </row>
    <row r="53" spans="2:17">
      <c r="B53" s="77"/>
      <c r="C53" s="99">
        <v>20</v>
      </c>
      <c r="D53" s="100">
        <v>7.69</v>
      </c>
      <c r="E53" s="83" t="s">
        <v>302</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269</v>
      </c>
      <c r="F56" s="101">
        <v>20.100000000000001</v>
      </c>
      <c r="G56" s="88"/>
      <c r="H56" s="88"/>
      <c r="I56" s="88"/>
      <c r="J56" s="88"/>
      <c r="K56" s="88"/>
      <c r="L56" s="88"/>
      <c r="M56" s="88"/>
      <c r="N56" s="88"/>
      <c r="O56" s="88"/>
      <c r="P56" s="77"/>
      <c r="Q56" s="77"/>
    </row>
    <row r="57" spans="2:17">
      <c r="B57" s="77"/>
      <c r="C57" s="99">
        <v>11</v>
      </c>
      <c r="D57" s="101">
        <v>18.28</v>
      </c>
      <c r="E57" s="84" t="s">
        <v>275</v>
      </c>
      <c r="F57" s="101">
        <v>18.28</v>
      </c>
      <c r="G57" s="88"/>
      <c r="H57" s="88"/>
      <c r="I57" s="88"/>
      <c r="J57" s="88"/>
      <c r="K57" s="88"/>
      <c r="L57" s="88"/>
      <c r="M57" s="88"/>
      <c r="N57" s="88"/>
      <c r="O57" s="88"/>
      <c r="P57" s="77"/>
      <c r="Q57" s="77"/>
    </row>
    <row r="58" spans="2:17">
      <c r="B58" s="77"/>
      <c r="C58" s="99">
        <v>12</v>
      </c>
      <c r="D58" s="101">
        <v>16.760000000000002</v>
      </c>
      <c r="E58" s="84" t="s">
        <v>281</v>
      </c>
      <c r="F58" s="101">
        <v>16.760000000000002</v>
      </c>
      <c r="G58" s="88"/>
      <c r="H58" s="88"/>
      <c r="I58" s="88"/>
      <c r="J58" s="88"/>
      <c r="K58" s="88"/>
      <c r="L58" s="88"/>
      <c r="M58" s="88"/>
      <c r="N58" s="88"/>
      <c r="O58" s="88"/>
      <c r="P58" s="77"/>
      <c r="Q58" s="77"/>
    </row>
    <row r="59" spans="2:17">
      <c r="B59" s="77"/>
      <c r="C59" s="99">
        <v>13</v>
      </c>
      <c r="D59" s="101">
        <v>15.47</v>
      </c>
      <c r="E59" s="84" t="s">
        <v>287</v>
      </c>
      <c r="F59" s="101">
        <v>15.47</v>
      </c>
      <c r="G59" s="88"/>
      <c r="H59" s="88"/>
      <c r="I59" s="88"/>
      <c r="J59" s="88"/>
      <c r="K59" s="88"/>
      <c r="L59" s="88"/>
      <c r="M59" s="88"/>
      <c r="N59" s="88"/>
      <c r="O59" s="88"/>
      <c r="P59" s="77"/>
      <c r="Q59" s="77"/>
    </row>
    <row r="60" spans="2:17">
      <c r="B60" s="77"/>
      <c r="C60" s="99">
        <v>14</v>
      </c>
      <c r="D60" s="101">
        <v>14.36</v>
      </c>
      <c r="E60" s="84" t="s">
        <v>293</v>
      </c>
      <c r="F60" s="101">
        <v>14.36</v>
      </c>
      <c r="G60" s="88"/>
      <c r="H60" s="88"/>
      <c r="I60" s="88"/>
      <c r="J60" s="88"/>
      <c r="K60" s="88"/>
      <c r="L60" s="88"/>
      <c r="M60" s="88"/>
      <c r="N60" s="88"/>
      <c r="O60" s="88"/>
      <c r="P60" s="77"/>
      <c r="Q60" s="77"/>
    </row>
    <row r="61" spans="2:17">
      <c r="B61" s="77"/>
      <c r="C61" s="99">
        <v>15</v>
      </c>
      <c r="D61" s="101">
        <v>13.41</v>
      </c>
      <c r="E61" s="84" t="s">
        <v>298</v>
      </c>
      <c r="F61" s="101">
        <v>13.41</v>
      </c>
      <c r="G61" s="88"/>
      <c r="H61" s="88"/>
      <c r="I61" s="88"/>
      <c r="J61" s="88"/>
      <c r="K61" s="88"/>
      <c r="L61" s="88"/>
      <c r="M61" s="88"/>
      <c r="N61" s="88"/>
      <c r="O61" s="88"/>
      <c r="P61" s="77"/>
      <c r="Q61" s="77"/>
    </row>
    <row r="62" spans="2:17">
      <c r="B62" s="77"/>
      <c r="C62" s="99">
        <v>20</v>
      </c>
      <c r="D62" s="101">
        <v>10.050000000000001</v>
      </c>
      <c r="E62" s="84" t="s">
        <v>303</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7"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97</v>
      </c>
      <c r="B1" t="s">
        <v>98</v>
      </c>
      <c r="C1" t="s">
        <v>99</v>
      </c>
      <c r="D1" t="s">
        <v>100</v>
      </c>
      <c r="E1" t="s">
        <v>101</v>
      </c>
      <c r="F1" t="s">
        <v>112</v>
      </c>
      <c r="G1" t="s">
        <v>119</v>
      </c>
      <c r="H1" t="s">
        <v>181</v>
      </c>
      <c r="I1" t="s">
        <v>182</v>
      </c>
      <c r="J1" t="s">
        <v>113</v>
      </c>
      <c r="K1" t="s">
        <v>117</v>
      </c>
      <c r="L1" t="s">
        <v>118</v>
      </c>
      <c r="M1" s="6" t="s">
        <v>178</v>
      </c>
      <c r="P1" t="s">
        <v>183</v>
      </c>
      <c r="Q1" s="6" t="s">
        <v>180</v>
      </c>
      <c r="R1" t="s">
        <v>117</v>
      </c>
      <c r="S1" t="s">
        <v>118</v>
      </c>
      <c r="T1" t="s">
        <v>184</v>
      </c>
    </row>
    <row r="2" spans="1:20">
      <c r="A2" t="s">
        <v>120</v>
      </c>
      <c r="B2" t="s">
        <v>121</v>
      </c>
      <c r="C2" t="s">
        <v>200</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122</v>
      </c>
      <c r="B3" t="s">
        <v>121</v>
      </c>
      <c r="C3" t="s">
        <v>203</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122</v>
      </c>
      <c r="B4" t="s">
        <v>121</v>
      </c>
      <c r="C4" t="s">
        <v>1001</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123</v>
      </c>
      <c r="B5" t="s">
        <v>121</v>
      </c>
      <c r="C5" t="s">
        <v>104</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124</v>
      </c>
      <c r="B6" t="s">
        <v>121</v>
      </c>
      <c r="C6" t="s">
        <v>104</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125</v>
      </c>
      <c r="B7" t="s">
        <v>121</v>
      </c>
      <c r="C7" t="s">
        <v>104</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126</v>
      </c>
      <c r="B8" t="s">
        <v>121</v>
      </c>
      <c r="C8" t="s">
        <v>104</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127</v>
      </c>
      <c r="B9" t="s">
        <v>128</v>
      </c>
      <c r="C9" t="s">
        <v>103</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129</v>
      </c>
      <c r="B10" t="s">
        <v>130</v>
      </c>
      <c r="C10" t="s">
        <v>103</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131</v>
      </c>
      <c r="B11" t="s">
        <v>128</v>
      </c>
      <c r="C11" t="s">
        <v>103</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132</v>
      </c>
      <c r="B12" t="s">
        <v>130</v>
      </c>
      <c r="C12" t="s">
        <v>103</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133</v>
      </c>
      <c r="B13" t="s">
        <v>134</v>
      </c>
      <c r="C13" t="s">
        <v>109</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135</v>
      </c>
      <c r="B14" t="s">
        <v>136</v>
      </c>
      <c r="C14" t="s">
        <v>102</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137</v>
      </c>
      <c r="B15" t="s">
        <v>136</v>
      </c>
      <c r="C15" t="s">
        <v>102</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138</v>
      </c>
      <c r="B16" t="s">
        <v>136</v>
      </c>
      <c r="C16" t="s">
        <v>102</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139</v>
      </c>
      <c r="B17" t="s">
        <v>136</v>
      </c>
      <c r="C17" t="s">
        <v>102</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140</v>
      </c>
      <c r="B18" t="s">
        <v>141</v>
      </c>
      <c r="C18" t="s">
        <v>107</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142</v>
      </c>
      <c r="B19" t="s">
        <v>141</v>
      </c>
      <c r="C19" t="s">
        <v>107</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143</v>
      </c>
      <c r="B20" t="s">
        <v>144</v>
      </c>
      <c r="C20" t="s">
        <v>110</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145</v>
      </c>
      <c r="B21" t="s">
        <v>146</v>
      </c>
      <c r="C21" t="s">
        <v>105</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147</v>
      </c>
      <c r="B22" t="s">
        <v>146</v>
      </c>
      <c r="C22" t="s">
        <v>105</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148</v>
      </c>
      <c r="B23" t="s">
        <v>149</v>
      </c>
      <c r="C23" t="s">
        <v>108</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150</v>
      </c>
      <c r="B24" t="s">
        <v>149</v>
      </c>
      <c r="C24" t="s">
        <v>108</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151</v>
      </c>
      <c r="B25" t="s">
        <v>152</v>
      </c>
      <c r="C25" t="s">
        <v>106</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153</v>
      </c>
      <c r="B26" t="s">
        <v>152</v>
      </c>
      <c r="C26" t="s">
        <v>106</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154</v>
      </c>
      <c r="B27" t="s">
        <v>155</v>
      </c>
      <c r="C27" t="s">
        <v>111</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456</v>
      </c>
      <c r="B28" t="s">
        <v>552</v>
      </c>
      <c r="C28" t="s">
        <v>454</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458</v>
      </c>
      <c r="B29" t="s">
        <v>457</v>
      </c>
      <c r="C29" t="s">
        <v>455</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459</v>
      </c>
      <c r="B30" t="s">
        <v>457</v>
      </c>
      <c r="C30" t="s">
        <v>455</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156</v>
      </c>
      <c r="B31" t="s">
        <v>155</v>
      </c>
      <c r="C31" t="s">
        <v>111</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97</v>
      </c>
      <c r="B1" t="s">
        <v>98</v>
      </c>
      <c r="C1" t="s">
        <v>99</v>
      </c>
      <c r="D1" t="s">
        <v>100</v>
      </c>
      <c r="E1" t="s">
        <v>101</v>
      </c>
    </row>
    <row r="2" spans="1:5">
      <c r="A2" t="s">
        <v>127</v>
      </c>
      <c r="B2" t="s">
        <v>539</v>
      </c>
      <c r="C2" t="s">
        <v>103</v>
      </c>
      <c r="D2">
        <v>3800</v>
      </c>
      <c r="E2">
        <v>5300</v>
      </c>
    </row>
    <row r="3" spans="1:5">
      <c r="A3" t="s">
        <v>135</v>
      </c>
      <c r="B3" t="s">
        <v>540</v>
      </c>
      <c r="C3" t="s">
        <v>102</v>
      </c>
      <c r="D3">
        <v>2800</v>
      </c>
      <c r="E3">
        <v>3800</v>
      </c>
    </row>
    <row r="4" spans="1:5">
      <c r="A4" t="s">
        <v>140</v>
      </c>
      <c r="B4" t="s">
        <v>541</v>
      </c>
      <c r="C4" t="s">
        <v>107</v>
      </c>
      <c r="D4">
        <v>1800</v>
      </c>
      <c r="E4">
        <v>5800</v>
      </c>
    </row>
    <row r="5" spans="1:5">
      <c r="A5" t="s">
        <v>120</v>
      </c>
      <c r="B5" t="s">
        <v>542</v>
      </c>
      <c r="C5" t="s">
        <v>104</v>
      </c>
      <c r="D5">
        <v>3800</v>
      </c>
      <c r="E5">
        <v>5800</v>
      </c>
    </row>
    <row r="6" spans="1:5">
      <c r="A6" t="s">
        <v>129</v>
      </c>
      <c r="B6" t="s">
        <v>543</v>
      </c>
      <c r="C6" t="s">
        <v>103</v>
      </c>
      <c r="D6">
        <v>3800</v>
      </c>
      <c r="E6">
        <v>5300</v>
      </c>
    </row>
    <row r="7" spans="1:5">
      <c r="A7" t="s">
        <v>145</v>
      </c>
      <c r="B7" t="s">
        <v>544</v>
      </c>
      <c r="C7" t="s">
        <v>105</v>
      </c>
      <c r="D7">
        <v>1800</v>
      </c>
      <c r="E7">
        <v>5300</v>
      </c>
    </row>
    <row r="8" spans="1:5">
      <c r="A8" t="s">
        <v>151</v>
      </c>
      <c r="B8" t="s">
        <v>545</v>
      </c>
      <c r="C8" t="s">
        <v>106</v>
      </c>
      <c r="D8">
        <v>1800</v>
      </c>
      <c r="E8">
        <v>2800</v>
      </c>
    </row>
    <row r="9" spans="1:5">
      <c r="A9" t="s">
        <v>148</v>
      </c>
      <c r="B9" t="s">
        <v>546</v>
      </c>
      <c r="C9" t="s">
        <v>108</v>
      </c>
      <c r="D9">
        <v>1800</v>
      </c>
      <c r="E9">
        <v>3800</v>
      </c>
    </row>
    <row r="10" spans="1:5">
      <c r="A10" t="s">
        <v>150</v>
      </c>
      <c r="B10" t="s">
        <v>546</v>
      </c>
      <c r="C10" t="s">
        <v>108</v>
      </c>
      <c r="D10">
        <v>1800</v>
      </c>
      <c r="E10">
        <v>3800</v>
      </c>
    </row>
    <row r="11" spans="1:5">
      <c r="A11" t="s">
        <v>143</v>
      </c>
      <c r="B11" t="s">
        <v>547</v>
      </c>
      <c r="C11" t="s">
        <v>110</v>
      </c>
      <c r="D11">
        <v>2700</v>
      </c>
      <c r="E11">
        <v>3800</v>
      </c>
    </row>
    <row r="12" spans="1:5">
      <c r="A12" t="s">
        <v>131</v>
      </c>
      <c r="B12" t="s">
        <v>539</v>
      </c>
      <c r="C12" t="s">
        <v>103</v>
      </c>
      <c r="D12">
        <v>3800</v>
      </c>
      <c r="E12">
        <v>5300</v>
      </c>
    </row>
    <row r="13" spans="1:5">
      <c r="A13" t="s">
        <v>137</v>
      </c>
      <c r="B13" t="s">
        <v>540</v>
      </c>
      <c r="C13" t="s">
        <v>102</v>
      </c>
      <c r="D13">
        <v>2800</v>
      </c>
      <c r="E13">
        <v>3800</v>
      </c>
    </row>
    <row r="14" spans="1:5">
      <c r="A14" t="s">
        <v>142</v>
      </c>
      <c r="B14" t="s">
        <v>541</v>
      </c>
      <c r="C14" t="s">
        <v>107</v>
      </c>
      <c r="D14">
        <v>1800</v>
      </c>
      <c r="E14">
        <v>5800</v>
      </c>
    </row>
    <row r="15" spans="1:5">
      <c r="A15" t="s">
        <v>122</v>
      </c>
      <c r="B15" t="s">
        <v>542</v>
      </c>
      <c r="C15" t="s">
        <v>104</v>
      </c>
      <c r="D15">
        <v>3800</v>
      </c>
      <c r="E15">
        <v>5800</v>
      </c>
    </row>
    <row r="16" spans="1:5">
      <c r="A16" t="s">
        <v>132</v>
      </c>
      <c r="B16" t="s">
        <v>543</v>
      </c>
      <c r="C16" t="s">
        <v>103</v>
      </c>
      <c r="D16">
        <v>3800</v>
      </c>
      <c r="E16">
        <v>5300</v>
      </c>
    </row>
    <row r="17" spans="1:5">
      <c r="A17" t="s">
        <v>147</v>
      </c>
      <c r="B17" t="s">
        <v>544</v>
      </c>
      <c r="C17" t="s">
        <v>105</v>
      </c>
      <c r="D17">
        <v>1800</v>
      </c>
      <c r="E17">
        <v>5300</v>
      </c>
    </row>
    <row r="18" spans="1:5">
      <c r="A18" t="s">
        <v>153</v>
      </c>
      <c r="B18" t="s">
        <v>545</v>
      </c>
      <c r="C18" t="s">
        <v>106</v>
      </c>
      <c r="D18">
        <v>1800</v>
      </c>
      <c r="E18">
        <v>2800</v>
      </c>
    </row>
    <row r="19" spans="1:5">
      <c r="A19" t="s">
        <v>123</v>
      </c>
      <c r="B19" t="s">
        <v>542</v>
      </c>
      <c r="C19" t="s">
        <v>104</v>
      </c>
      <c r="D19">
        <v>3800</v>
      </c>
      <c r="E19">
        <v>5800</v>
      </c>
    </row>
    <row r="20" spans="1:5">
      <c r="A20" t="s">
        <v>124</v>
      </c>
      <c r="B20" t="s">
        <v>542</v>
      </c>
      <c r="C20" t="s">
        <v>104</v>
      </c>
      <c r="D20">
        <v>3800</v>
      </c>
      <c r="E20">
        <v>5800</v>
      </c>
    </row>
    <row r="21" spans="1:5">
      <c r="A21" t="s">
        <v>138</v>
      </c>
      <c r="B21" t="s">
        <v>540</v>
      </c>
      <c r="C21" t="s">
        <v>102</v>
      </c>
      <c r="D21">
        <v>2800</v>
      </c>
      <c r="E21">
        <v>3800</v>
      </c>
    </row>
    <row r="22" spans="1:5">
      <c r="A22" t="s">
        <v>154</v>
      </c>
      <c r="B22" t="s">
        <v>548</v>
      </c>
      <c r="C22" t="s">
        <v>111</v>
      </c>
      <c r="D22">
        <v>1800</v>
      </c>
      <c r="E22">
        <v>2500</v>
      </c>
    </row>
    <row r="23" spans="1:5">
      <c r="A23" t="s">
        <v>133</v>
      </c>
      <c r="B23" t="s">
        <v>549</v>
      </c>
      <c r="C23" t="s">
        <v>109</v>
      </c>
      <c r="D23">
        <v>3800</v>
      </c>
      <c r="E23">
        <v>3800</v>
      </c>
    </row>
    <row r="24" spans="1:5">
      <c r="A24" t="s">
        <v>139</v>
      </c>
      <c r="B24" t="s">
        <v>540</v>
      </c>
      <c r="C24" t="s">
        <v>102</v>
      </c>
      <c r="D24">
        <v>2800</v>
      </c>
      <c r="E24">
        <v>3800</v>
      </c>
    </row>
    <row r="25" spans="1:5">
      <c r="A25" t="s">
        <v>156</v>
      </c>
      <c r="B25" t="s">
        <v>548</v>
      </c>
      <c r="C25" t="s">
        <v>111</v>
      </c>
      <c r="D25">
        <v>1800</v>
      </c>
      <c r="E25">
        <v>2500</v>
      </c>
    </row>
    <row r="26" spans="1:5">
      <c r="A26" t="s">
        <v>125</v>
      </c>
      <c r="B26" t="s">
        <v>542</v>
      </c>
      <c r="C26" t="s">
        <v>550</v>
      </c>
      <c r="D26">
        <v>3800</v>
      </c>
      <c r="E26">
        <v>5800</v>
      </c>
    </row>
    <row r="27" spans="1:5">
      <c r="A27" t="s">
        <v>126</v>
      </c>
      <c r="B27" t="s">
        <v>542</v>
      </c>
      <c r="C27" t="s">
        <v>551</v>
      </c>
      <c r="D27">
        <v>3800</v>
      </c>
      <c r="E27">
        <v>5800</v>
      </c>
    </row>
    <row r="28" spans="1:5">
      <c r="A28" t="s">
        <v>456</v>
      </c>
      <c r="B28" t="s">
        <v>552</v>
      </c>
      <c r="C28" t="s">
        <v>454</v>
      </c>
      <c r="D28">
        <v>700</v>
      </c>
      <c r="E28">
        <v>4200</v>
      </c>
    </row>
    <row r="29" spans="1:5">
      <c r="A29" t="s">
        <v>458</v>
      </c>
      <c r="B29" t="s">
        <v>457</v>
      </c>
      <c r="C29" t="s">
        <v>455</v>
      </c>
      <c r="D29">
        <v>700</v>
      </c>
      <c r="E29">
        <v>3600</v>
      </c>
    </row>
    <row r="30" spans="1:5">
      <c r="A30" t="s">
        <v>459</v>
      </c>
      <c r="B30" t="s">
        <v>457</v>
      </c>
      <c r="C30" t="s">
        <v>455</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27</vt:i4>
      </vt:variant>
    </vt:vector>
  </HeadingPairs>
  <TitlesOfParts>
    <vt:vector size="67" baseType="lpstr">
      <vt:lpstr>momen 1p</vt:lpstr>
      <vt:lpstr>thepsan 1p</vt:lpstr>
      <vt:lpstr>SĐD_1 Phương</vt:lpstr>
      <vt:lpstr>TH</vt:lpstr>
      <vt:lpstr>TinhMong</vt:lpstr>
      <vt:lpstr>TinhMongM2</vt:lpstr>
      <vt:lpstr>TinhMongM2 (2)</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(2)'!_Toc44590707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2021-07-21T01:52:56Z</dcterms:modified>
</cp:coreProperties>
</file>