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drawings/drawing2.xml" ContentType="application/vnd.openxmlformats-officedocument.drawing+xml"/>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LVTN\THUYETMINH\"/>
    </mc:Choice>
  </mc:AlternateContent>
  <xr:revisionPtr revIDLastSave="0" documentId="13_ncr:1_{07FB95FC-33D4-4636-8D0A-F3F957BAC416}" xr6:coauthVersionLast="45" xr6:coauthVersionMax="45" xr10:uidLastSave="{00000000-0000-0000-0000-000000000000}"/>
  <bookViews>
    <workbookView xWindow="-120" yWindow="-120" windowWidth="20730" windowHeight="11160" tabRatio="805" firstSheet="1" activeTab="1" xr2:uid="{00000000-000D-0000-FFFF-FFFF00000000}"/>
  </bookViews>
  <sheets>
    <sheet name="momen 1p" sheetId="12" r:id="rId1"/>
    <sheet name="thepsan 1p" sheetId="13" r:id="rId2"/>
    <sheet name="SĐD_1 Phương" sheetId="31" r:id="rId3"/>
    <sheet name="TH" sheetId="1" r:id="rId4"/>
    <sheet name="Sheet2" sheetId="32" r:id="rId5"/>
    <sheet name="SĐĐH_2 Phương" sheetId="30" r:id="rId6"/>
    <sheet name="thepsan" sheetId="17" r:id="rId7"/>
    <sheet name="BANGTINHCOT" sheetId="33" r:id="rId8"/>
    <sheet name="momensan" sheetId="16" r:id="rId9"/>
    <sheet name="Thong so vat lieu" sheetId="27" r:id="rId10"/>
    <sheet name="Bảng tra_VL" sheetId="28" r:id="rId11"/>
    <sheet name="Bảng tra hệ số ĐH" sheetId="29" r:id="rId12"/>
    <sheet name="config" sheetId="6" r:id="rId13"/>
    <sheet name="Cotthep" sheetId="3" r:id="rId14"/>
    <sheet name="betong" sheetId="4" r:id="rId15"/>
    <sheet name="tinhtai_san" sheetId="5" r:id="rId16"/>
    <sheet name="hoattai_san" sheetId="7" r:id="rId17"/>
    <sheet name="tải sàn" sheetId="11" r:id="rId18"/>
    <sheet name="dam loai 1 T2" sheetId="19" r:id="rId19"/>
    <sheet name="dam loai 2 T2" sheetId="20" r:id="rId20"/>
    <sheet name="dam loai 3 T2" sheetId="25" r:id="rId21"/>
    <sheet name="TONG HOP T2" sheetId="21" r:id="rId22"/>
    <sheet name="dam loai 1 TD" sheetId="22" r:id="rId23"/>
    <sheet name="dam loai 2 TD" sheetId="23" r:id="rId24"/>
    <sheet name="dam loai 3 TD" sheetId="26" r:id="rId25"/>
    <sheet name="TONG HOP TD" sheetId="24" r:id="rId26"/>
    <sheet name="du lieu" sheetId="15" r:id="rId27"/>
    <sheet name="tra thep" sheetId="14" r:id="rId28"/>
    <sheet name="TINH TOAN" sheetId="8" r:id="rId29"/>
    <sheet name="Sheet1" sheetId="18" r:id="rId30"/>
  </sheets>
  <externalReferences>
    <externalReference r:id="rId31"/>
  </externalReferences>
  <definedNames>
    <definedName name="_Hlk46077046" localSheetId="7">BANGTINHCOT!$A$1</definedName>
    <definedName name="_Toc445542596" localSheetId="3">TH!$A$63</definedName>
    <definedName name="_Toc445542641" localSheetId="3">TH!$A$179</definedName>
    <definedName name="_Toc44590596" localSheetId="3">TH!$A$46</definedName>
    <definedName name="_Toc44590676" localSheetId="3">TH!$A$242</definedName>
    <definedName name="B_BT">'Thong so vat lieu'!$E$36:$O$40</definedName>
    <definedName name="B_CT">'Thong so vat lieu'!$E$44:$K$49</definedName>
    <definedName name="Ebt">'Thong so vat lieu'!$G$6</definedName>
    <definedName name="ExternalData_1" localSheetId="28" hidden="1">'TINH TOAN'!$A$1:$H$30</definedName>
    <definedName name="h0_san">TH!$I$45</definedName>
    <definedName name="KH_SAN">'TINH TOAN'!$C$2:$E$30</definedName>
    <definedName name="KH_SAN2">'tải sàn'!$B$5:$F$18</definedName>
    <definedName name="MBT">'Thong so vat lieu'!$E$36:$O$36</definedName>
    <definedName name="MT">'Thong so vat lieu'!$E$44:$K$45</definedName>
    <definedName name="Rb">'Thong so vat lieu'!$G$4</definedName>
    <definedName name="Rbt">'Thong so vat lieu'!$G$5</definedName>
    <definedName name="Rs_1">'Thong so vat lieu'!$G$8</definedName>
    <definedName name="Rs_2">'Thong so vat lieu'!$G$15</definedName>
    <definedName name="Rsc_1">'Thong so vat lieu'!$G$9</definedName>
    <definedName name="Rsc_2">'Thong so vat lieu'!$G$16</definedName>
    <definedName name="solethapphan">config!$B$1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56" i="33" l="1"/>
  <c r="O56" i="33" s="1"/>
  <c r="P56" i="33" s="1"/>
  <c r="M58" i="33"/>
  <c r="O58" i="33" s="1"/>
  <c r="P58" i="33" s="1"/>
  <c r="M92" i="33"/>
  <c r="O92" i="33" s="1"/>
  <c r="P92" i="33" s="1"/>
  <c r="M80" i="33"/>
  <c r="O80" i="33" s="1"/>
  <c r="P80" i="33" s="1"/>
  <c r="M68" i="33"/>
  <c r="O68" i="33" s="1"/>
  <c r="P68" i="33" s="1"/>
  <c r="M34" i="33"/>
  <c r="O34" i="33" s="1"/>
  <c r="P34" i="33" s="1"/>
  <c r="M46" i="33"/>
  <c r="O46" i="33" s="1"/>
  <c r="P46" i="33" s="1"/>
  <c r="M48" i="33"/>
  <c r="O48" i="33" s="1"/>
  <c r="P48" i="33" s="1"/>
  <c r="M57" i="33"/>
  <c r="O57" i="33" s="1"/>
  <c r="P57" i="33" s="1"/>
  <c r="M47" i="33"/>
  <c r="O47" i="33" s="1"/>
  <c r="P47" i="33" s="1"/>
  <c r="M59" i="33"/>
  <c r="O59" i="33" s="1"/>
  <c r="P59" i="33" s="1"/>
  <c r="P10" i="33"/>
  <c r="P14" i="33"/>
  <c r="P28" i="33"/>
  <c r="P4" i="33"/>
  <c r="M5" i="33"/>
  <c r="M6" i="33"/>
  <c r="O6" i="33" s="1"/>
  <c r="P6" i="33" s="1"/>
  <c r="M7" i="33"/>
  <c r="M8" i="33"/>
  <c r="O8" i="33" s="1"/>
  <c r="P8" i="33" s="1"/>
  <c r="M9" i="33"/>
  <c r="O9" i="33" s="1"/>
  <c r="P9" i="33" s="1"/>
  <c r="M10" i="33"/>
  <c r="M11" i="33"/>
  <c r="M12" i="33"/>
  <c r="M13" i="33"/>
  <c r="M14" i="33"/>
  <c r="M15" i="33"/>
  <c r="O15" i="33" s="1"/>
  <c r="P15" i="33" s="1"/>
  <c r="M16" i="33"/>
  <c r="M17" i="33"/>
  <c r="M18" i="33"/>
  <c r="O18" i="33" s="1"/>
  <c r="P18" i="33" s="1"/>
  <c r="M19" i="33"/>
  <c r="O19" i="33" s="1"/>
  <c r="P19" i="33" s="1"/>
  <c r="M20" i="33"/>
  <c r="O20" i="33" s="1"/>
  <c r="P20" i="33" s="1"/>
  <c r="M21" i="33"/>
  <c r="O21" i="33" s="1"/>
  <c r="P21" i="33" s="1"/>
  <c r="M22" i="33"/>
  <c r="M23" i="33"/>
  <c r="O23" i="33" s="1"/>
  <c r="P23" i="33" s="1"/>
  <c r="M24" i="33"/>
  <c r="O24" i="33" s="1"/>
  <c r="P24" i="33" s="1"/>
  <c r="M25" i="33"/>
  <c r="M26" i="33"/>
  <c r="M27" i="33"/>
  <c r="O27" i="33" s="1"/>
  <c r="P27" i="33" s="1"/>
  <c r="M28" i="33"/>
  <c r="M29" i="33"/>
  <c r="M30" i="33"/>
  <c r="M31" i="33"/>
  <c r="O31" i="33" s="1"/>
  <c r="P31" i="33" s="1"/>
  <c r="M32" i="33"/>
  <c r="O32" i="33" s="1"/>
  <c r="P32" i="33" s="1"/>
  <c r="M33" i="33"/>
  <c r="O33" i="33" s="1"/>
  <c r="P33" i="33" s="1"/>
  <c r="M35" i="33"/>
  <c r="M36" i="33"/>
  <c r="O36" i="33" s="1"/>
  <c r="P36" i="33" s="1"/>
  <c r="M37" i="33"/>
  <c r="O37" i="33" s="1"/>
  <c r="P37" i="33" s="1"/>
  <c r="M38" i="33"/>
  <c r="O38" i="33" s="1"/>
  <c r="P38" i="33" s="1"/>
  <c r="M39" i="33"/>
  <c r="O39" i="33" s="1"/>
  <c r="P39" i="33" s="1"/>
  <c r="M40" i="33"/>
  <c r="O40" i="33" s="1"/>
  <c r="P40" i="33" s="1"/>
  <c r="M41" i="33"/>
  <c r="M42" i="33"/>
  <c r="M43" i="33"/>
  <c r="M44" i="33"/>
  <c r="O44" i="33" s="1"/>
  <c r="P44" i="33" s="1"/>
  <c r="M45" i="33"/>
  <c r="O45" i="33" s="1"/>
  <c r="P45" i="33" s="1"/>
  <c r="M49" i="33"/>
  <c r="M50" i="33"/>
  <c r="M51" i="33"/>
  <c r="O51" i="33" s="1"/>
  <c r="P51" i="33" s="1"/>
  <c r="M52" i="33"/>
  <c r="O52" i="33" s="1"/>
  <c r="P52" i="33" s="1"/>
  <c r="M53" i="33"/>
  <c r="O53" i="33" s="1"/>
  <c r="P53" i="33" s="1"/>
  <c r="M54" i="33"/>
  <c r="O54" i="33" s="1"/>
  <c r="P54" i="33" s="1"/>
  <c r="M55" i="33"/>
  <c r="O55" i="33" s="1"/>
  <c r="P55" i="33" s="1"/>
  <c r="M60" i="33"/>
  <c r="M61" i="33"/>
  <c r="O61" i="33" s="1"/>
  <c r="P61" i="33" s="1"/>
  <c r="M62" i="33"/>
  <c r="O62" i="33" s="1"/>
  <c r="P62" i="33" s="1"/>
  <c r="M63" i="33"/>
  <c r="O63" i="33" s="1"/>
  <c r="P63" i="33" s="1"/>
  <c r="M64" i="33"/>
  <c r="O64" i="33" s="1"/>
  <c r="P64" i="33" s="1"/>
  <c r="M65" i="33"/>
  <c r="O65" i="33" s="1"/>
  <c r="P65" i="33" s="1"/>
  <c r="M66" i="33"/>
  <c r="M67" i="33"/>
  <c r="M69" i="33"/>
  <c r="O69" i="33" s="1"/>
  <c r="P69" i="33" s="1"/>
  <c r="M70" i="33"/>
  <c r="O70" i="33" s="1"/>
  <c r="P70" i="33" s="1"/>
  <c r="M71" i="33"/>
  <c r="O71" i="33" s="1"/>
  <c r="P71" i="33" s="1"/>
  <c r="M72" i="33"/>
  <c r="O72" i="33" s="1"/>
  <c r="P72" i="33" s="1"/>
  <c r="M73" i="33"/>
  <c r="M74" i="33"/>
  <c r="O74" i="33" s="1"/>
  <c r="P74" i="33" s="1"/>
  <c r="M75" i="33"/>
  <c r="O75" i="33" s="1"/>
  <c r="P75" i="33" s="1"/>
  <c r="M76" i="33"/>
  <c r="O76" i="33" s="1"/>
  <c r="P76" i="33" s="1"/>
  <c r="M77" i="33"/>
  <c r="O77" i="33" s="1"/>
  <c r="P77" i="33" s="1"/>
  <c r="M78" i="33"/>
  <c r="O78" i="33" s="1"/>
  <c r="P78" i="33" s="1"/>
  <c r="M79" i="33"/>
  <c r="M81" i="33"/>
  <c r="O81" i="33" s="1"/>
  <c r="P81" i="33" s="1"/>
  <c r="M82" i="33"/>
  <c r="O82" i="33" s="1"/>
  <c r="P82" i="33" s="1"/>
  <c r="M83" i="33"/>
  <c r="O83" i="33" s="1"/>
  <c r="P83" i="33" s="1"/>
  <c r="M84" i="33"/>
  <c r="M85" i="33"/>
  <c r="O85" i="33" s="1"/>
  <c r="P85" i="33" s="1"/>
  <c r="M86" i="33"/>
  <c r="O86" i="33" s="1"/>
  <c r="P86" i="33" s="1"/>
  <c r="M87" i="33"/>
  <c r="O87" i="33" s="1"/>
  <c r="P87" i="33" s="1"/>
  <c r="M88" i="33"/>
  <c r="O88" i="33" s="1"/>
  <c r="P88" i="33" s="1"/>
  <c r="M89" i="33"/>
  <c r="O89" i="33" s="1"/>
  <c r="P89" i="33" s="1"/>
  <c r="M90" i="33"/>
  <c r="O90" i="33" s="1"/>
  <c r="P90" i="33" s="1"/>
  <c r="M91" i="33"/>
  <c r="O91" i="33" s="1"/>
  <c r="P91" i="33" s="1"/>
  <c r="M93" i="33"/>
  <c r="O93" i="33" s="1"/>
  <c r="P93" i="33" s="1"/>
  <c r="M94" i="33"/>
  <c r="M95" i="33"/>
  <c r="M96" i="33"/>
  <c r="M97" i="33"/>
  <c r="O97" i="33" s="1"/>
  <c r="P97" i="33" s="1"/>
  <c r="M98" i="33"/>
  <c r="O98" i="33" s="1"/>
  <c r="P98" i="33" s="1"/>
  <c r="M99" i="33"/>
  <c r="O99" i="33" s="1"/>
  <c r="P99" i="33" s="1"/>
  <c r="M4" i="33"/>
  <c r="O4" i="33"/>
  <c r="O5" i="33"/>
  <c r="P5" i="33" s="1"/>
  <c r="O7" i="33"/>
  <c r="P7" i="33" s="1"/>
  <c r="O10" i="33"/>
  <c r="O11" i="33"/>
  <c r="P11" i="33" s="1"/>
  <c r="O12" i="33"/>
  <c r="P12" i="33" s="1"/>
  <c r="O13" i="33"/>
  <c r="P13" i="33" s="1"/>
  <c r="O14" i="33"/>
  <c r="O16" i="33"/>
  <c r="P16" i="33" s="1"/>
  <c r="O17" i="33"/>
  <c r="P17" i="33" s="1"/>
  <c r="O22" i="33"/>
  <c r="P22" i="33" s="1"/>
  <c r="O25" i="33"/>
  <c r="P25" i="33" s="1"/>
  <c r="O26" i="33"/>
  <c r="P26" i="33" s="1"/>
  <c r="O28" i="33"/>
  <c r="O29" i="33"/>
  <c r="P29" i="33" s="1"/>
  <c r="O30" i="33"/>
  <c r="P30" i="33" s="1"/>
  <c r="O35" i="33"/>
  <c r="P35" i="33" s="1"/>
  <c r="O41" i="33"/>
  <c r="P41" i="33" s="1"/>
  <c r="O42" i="33"/>
  <c r="P42" i="33" s="1"/>
  <c r="O43" i="33"/>
  <c r="P43" i="33" s="1"/>
  <c r="O49" i="33"/>
  <c r="P49" i="33" s="1"/>
  <c r="O50" i="33"/>
  <c r="P50" i="33" s="1"/>
  <c r="O60" i="33"/>
  <c r="P60" i="33" s="1"/>
  <c r="O66" i="33"/>
  <c r="P66" i="33" s="1"/>
  <c r="O67" i="33"/>
  <c r="P67" i="33" s="1"/>
  <c r="O73" i="33"/>
  <c r="P73" i="33" s="1"/>
  <c r="O79" i="33"/>
  <c r="P79" i="33" s="1"/>
  <c r="O84" i="33"/>
  <c r="P84" i="33" s="1"/>
  <c r="O94" i="33"/>
  <c r="P94" i="33" s="1"/>
  <c r="O95" i="33"/>
  <c r="P95" i="33" s="1"/>
  <c r="O96" i="33"/>
  <c r="P96" i="33" s="1"/>
  <c r="Z11" i="17"/>
  <c r="AA11" i="17"/>
  <c r="Z14" i="17"/>
  <c r="AA14" i="17"/>
  <c r="AB14" i="17" s="1"/>
  <c r="AB12" i="17"/>
  <c r="AB13" i="17"/>
  <c r="AB15" i="17"/>
  <c r="AB16" i="17"/>
  <c r="AB17" i="17"/>
  <c r="AB18" i="17"/>
  <c r="AB19" i="17"/>
  <c r="AB20" i="17"/>
  <c r="AB21" i="17"/>
  <c r="AB22" i="17"/>
  <c r="AB23" i="17"/>
  <c r="AB24" i="17"/>
  <c r="AB25" i="17"/>
  <c r="AB26" i="17"/>
  <c r="AB27" i="17"/>
  <c r="AB28" i="17"/>
  <c r="AB11" i="17"/>
  <c r="AA12" i="17"/>
  <c r="AA13" i="17"/>
  <c r="AA15" i="17"/>
  <c r="AA16" i="17"/>
  <c r="AA17" i="17"/>
  <c r="AA18" i="17"/>
  <c r="AA19" i="17"/>
  <c r="AA20" i="17"/>
  <c r="AA21" i="17"/>
  <c r="AA22" i="17"/>
  <c r="AA23" i="17"/>
  <c r="AA24" i="17"/>
  <c r="AA25" i="17"/>
  <c r="AA26" i="17"/>
  <c r="AA27" i="17"/>
  <c r="AA28" i="17"/>
  <c r="AH29" i="17"/>
  <c r="Z12" i="17"/>
  <c r="Z13" i="17"/>
  <c r="Z15" i="17"/>
  <c r="Z16" i="17"/>
  <c r="Z17" i="17"/>
  <c r="Z18" i="17"/>
  <c r="Z19" i="17"/>
  <c r="Z20" i="17"/>
  <c r="Z21" i="17"/>
  <c r="Z22" i="17"/>
  <c r="Z23" i="17"/>
  <c r="Z24" i="17"/>
  <c r="Z25" i="17"/>
  <c r="Z26" i="17"/>
  <c r="Z27" i="17"/>
  <c r="Z28" i="17"/>
  <c r="Y16" i="17"/>
  <c r="Y17" i="17"/>
  <c r="X17" i="17"/>
  <c r="X16" i="17"/>
  <c r="X15" i="17"/>
  <c r="W24" i="17"/>
  <c r="W23" i="17"/>
  <c r="W22" i="17"/>
  <c r="W20" i="17"/>
  <c r="W19" i="17"/>
  <c r="W18" i="17"/>
  <c r="W17" i="17"/>
  <c r="W16" i="17"/>
  <c r="W15" i="17"/>
  <c r="W14" i="17"/>
  <c r="W13" i="17"/>
  <c r="W12" i="17"/>
  <c r="W11" i="17"/>
  <c r="E24" i="32"/>
  <c r="G24" i="32" s="1"/>
  <c r="H24" i="32" s="1"/>
  <c r="H22" i="32"/>
  <c r="H23" i="32"/>
  <c r="H21" i="32"/>
  <c r="G22" i="32"/>
  <c r="G23" i="32"/>
  <c r="G21" i="32"/>
  <c r="F21" i="32"/>
  <c r="E21" i="32"/>
  <c r="E22" i="32"/>
  <c r="E23" i="32"/>
  <c r="D24" i="32"/>
  <c r="F22" i="32"/>
  <c r="F23" i="32"/>
  <c r="D23" i="32"/>
  <c r="D22" i="32"/>
  <c r="D21" i="32"/>
  <c r="J18" i="32"/>
  <c r="J21" i="32" s="1"/>
  <c r="AB29" i="17" l="1"/>
  <c r="AH30" i="17" s="1"/>
  <c r="K18" i="32"/>
  <c r="K21" i="32" s="1"/>
  <c r="L21" i="32" s="1"/>
  <c r="F13" i="32"/>
  <c r="D14" i="32"/>
  <c r="F14" i="32" s="1"/>
  <c r="D13" i="32"/>
  <c r="A10" i="32"/>
  <c r="A11" i="32" s="1"/>
  <c r="H5" i="32"/>
  <c r="H3" i="32"/>
  <c r="E2" i="32"/>
  <c r="F4" i="32"/>
  <c r="H4" i="32" s="1"/>
  <c r="F5" i="32"/>
  <c r="F6" i="32"/>
  <c r="H6" i="32" s="1"/>
  <c r="F3" i="32"/>
  <c r="G25" i="32" l="1"/>
  <c r="H25" i="32" s="1"/>
  <c r="H7" i="32"/>
  <c r="F15" i="32"/>
  <c r="B167" i="1"/>
  <c r="D173" i="1"/>
  <c r="B171" i="1"/>
  <c r="B170" i="1"/>
  <c r="B169" i="1"/>
  <c r="B168" i="1"/>
  <c r="B165" i="1"/>
  <c r="B164" i="1"/>
  <c r="B163" i="1"/>
  <c r="B162" i="1"/>
  <c r="B159" i="1"/>
  <c r="B158" i="1"/>
  <c r="B154" i="1"/>
  <c r="B152" i="1"/>
  <c r="B151" i="1"/>
  <c r="D147" i="1"/>
  <c r="D146" i="1"/>
  <c r="B145" i="1"/>
  <c r="B144" i="1"/>
  <c r="B143" i="1"/>
  <c r="B142" i="1"/>
  <c r="D140" i="1"/>
  <c r="D136" i="1"/>
  <c r="D135" i="1"/>
  <c r="C119" i="1"/>
  <c r="E118" i="1"/>
  <c r="B139" i="1"/>
  <c r="D138" i="1"/>
  <c r="D139" i="1" s="1"/>
  <c r="I131" i="1"/>
  <c r="I132" i="1"/>
  <c r="I133" i="1"/>
  <c r="I134" i="1"/>
  <c r="I130" i="1"/>
  <c r="B138" i="1"/>
  <c r="B127" i="1"/>
  <c r="F90" i="30" l="1"/>
  <c r="F54" i="30"/>
  <c r="F72" i="30"/>
  <c r="F108" i="30"/>
  <c r="H103" i="30"/>
  <c r="H85" i="30"/>
  <c r="I20" i="17"/>
  <c r="H67" i="30"/>
  <c r="H12" i="30"/>
  <c r="H11" i="30"/>
  <c r="H49" i="30"/>
  <c r="B101" i="1"/>
  <c r="B102" i="1"/>
  <c r="B103" i="1"/>
  <c r="B100" i="1"/>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11" i="17"/>
  <c r="I13" i="17"/>
  <c r="I14" i="17"/>
  <c r="I15" i="17"/>
  <c r="I16" i="17"/>
  <c r="I17" i="17"/>
  <c r="I18" i="17"/>
  <c r="I19" i="17"/>
  <c r="I21" i="17"/>
  <c r="I22" i="17"/>
  <c r="I23" i="17"/>
  <c r="I25" i="17"/>
  <c r="I26" i="17"/>
  <c r="I27" i="17"/>
  <c r="I28" i="17"/>
  <c r="I29" i="17"/>
  <c r="I30" i="17"/>
  <c r="I31" i="17"/>
  <c r="I33" i="17"/>
  <c r="I34" i="17"/>
  <c r="I35" i="17"/>
  <c r="I37" i="17"/>
  <c r="I38" i="17"/>
  <c r="I39" i="17"/>
  <c r="I40" i="17"/>
  <c r="I41" i="17"/>
  <c r="I42" i="17"/>
  <c r="I43" i="17"/>
  <c r="I45" i="17"/>
  <c r="I46" i="17"/>
  <c r="I11" i="17"/>
  <c r="D12" i="17" a="1"/>
  <c r="D12" i="17" s="1"/>
  <c r="D13" i="17" a="1"/>
  <c r="D13" i="17" s="1"/>
  <c r="D14" i="17" a="1"/>
  <c r="D14" i="17" s="1"/>
  <c r="D15" i="17" a="1"/>
  <c r="D15" i="17" s="1"/>
  <c r="D16" i="17" a="1"/>
  <c r="D16" i="17" s="1"/>
  <c r="D17" i="17" a="1"/>
  <c r="D17" i="17" s="1"/>
  <c r="D18" i="17" a="1"/>
  <c r="D18" i="17" s="1"/>
  <c r="D19" i="17" a="1"/>
  <c r="D19" i="17" s="1"/>
  <c r="D20" i="17" a="1"/>
  <c r="D20" i="17" s="1"/>
  <c r="D21" i="17" a="1"/>
  <c r="D21" i="17" s="1"/>
  <c r="D22" i="17" a="1"/>
  <c r="D22" i="17" s="1"/>
  <c r="D23" i="17" a="1"/>
  <c r="D23" i="17" s="1"/>
  <c r="D24" i="17" a="1"/>
  <c r="D24" i="17" s="1"/>
  <c r="D25" i="17" a="1"/>
  <c r="D25" i="17" s="1"/>
  <c r="D26" i="17" a="1"/>
  <c r="D26" i="17" s="1"/>
  <c r="D27" i="17" a="1"/>
  <c r="D27" i="17" s="1"/>
  <c r="D28" i="17" a="1"/>
  <c r="D28" i="17" s="1"/>
  <c r="D29" i="17" a="1"/>
  <c r="D29" i="17" s="1"/>
  <c r="D30" i="17" a="1"/>
  <c r="D30" i="17" s="1"/>
  <c r="D31" i="17" a="1"/>
  <c r="D31" i="17" s="1"/>
  <c r="D32" i="17" a="1"/>
  <c r="D32" i="17" s="1"/>
  <c r="D33" i="17" a="1"/>
  <c r="D33" i="17" s="1"/>
  <c r="D34" i="17" a="1"/>
  <c r="D34" i="17" s="1"/>
  <c r="D35" i="17" a="1"/>
  <c r="D35" i="17" s="1"/>
  <c r="D36" i="17" a="1"/>
  <c r="D36" i="17" s="1"/>
  <c r="D37" i="17" a="1"/>
  <c r="D37" i="17" s="1"/>
  <c r="D38" i="17" a="1"/>
  <c r="D38" i="17" s="1"/>
  <c r="D39" i="17" a="1"/>
  <c r="D39" i="17" s="1"/>
  <c r="D40" i="17" a="1"/>
  <c r="D40" i="17" s="1"/>
  <c r="D41" i="17" a="1"/>
  <c r="D41" i="17" s="1"/>
  <c r="D42" i="17" a="1"/>
  <c r="D42" i="17" s="1"/>
  <c r="D43" i="17" a="1"/>
  <c r="D43" i="17" s="1"/>
  <c r="D44" i="17" a="1"/>
  <c r="D44" i="17" s="1"/>
  <c r="D45" i="17" a="1"/>
  <c r="D45" i="17" s="1"/>
  <c r="D46" i="17" a="1"/>
  <c r="D46" i="17" s="1"/>
  <c r="D11" i="17" a="1"/>
  <c r="D11" i="17" s="1"/>
  <c r="E46" i="17"/>
  <c r="E45" i="17"/>
  <c r="E44" i="17"/>
  <c r="I44" i="17" s="1"/>
  <c r="E43" i="17"/>
  <c r="E42" i="17"/>
  <c r="E41" i="17"/>
  <c r="E40" i="17"/>
  <c r="E39" i="17"/>
  <c r="E38" i="17"/>
  <c r="E37" i="17"/>
  <c r="E36" i="17"/>
  <c r="I36" i="17" s="1"/>
  <c r="E35" i="17"/>
  <c r="E34" i="17"/>
  <c r="E33" i="17"/>
  <c r="E32" i="17"/>
  <c r="I32" i="17" s="1"/>
  <c r="E31" i="17"/>
  <c r="E30" i="17"/>
  <c r="E29" i="17"/>
  <c r="E28" i="17"/>
  <c r="E27" i="17"/>
  <c r="E26" i="17"/>
  <c r="E25" i="17"/>
  <c r="E24" i="17"/>
  <c r="I24" i="17" s="1"/>
  <c r="E23" i="17"/>
  <c r="E22" i="17"/>
  <c r="E21" i="17"/>
  <c r="E20" i="17"/>
  <c r="E19" i="17"/>
  <c r="E18" i="17"/>
  <c r="E17" i="17"/>
  <c r="E16" i="17"/>
  <c r="E15" i="17"/>
  <c r="E14" i="17"/>
  <c r="E13" i="17"/>
  <c r="E12" i="17"/>
  <c r="I12" i="17" s="1"/>
  <c r="E11"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C15" i="30"/>
  <c r="C14" i="30"/>
  <c r="B75" i="1"/>
  <c r="B76" i="1"/>
  <c r="B83" i="1"/>
  <c r="G74" i="1"/>
  <c r="G75" i="1"/>
  <c r="E23" i="27"/>
  <c r="E16" i="27"/>
  <c r="E9" i="27"/>
  <c r="B81" i="1"/>
  <c r="R12" i="13"/>
  <c r="R13" i="13"/>
  <c r="R14" i="13"/>
  <c r="R15" i="13"/>
  <c r="R16" i="13"/>
  <c r="R11" i="13"/>
  <c r="E43" i="31" l="1"/>
  <c r="D11" i="13"/>
  <c r="D12" i="13"/>
  <c r="D13" i="13"/>
  <c r="D14" i="13"/>
  <c r="D15" i="13"/>
  <c r="D16" i="13"/>
  <c r="D18" i="13"/>
  <c r="D19" i="13"/>
  <c r="D20" i="13"/>
  <c r="D17" i="13"/>
  <c r="H16" i="12"/>
  <c r="H15" i="12"/>
  <c r="H12" i="12"/>
  <c r="H11" i="12"/>
  <c r="H10" i="12"/>
  <c r="H9" i="12"/>
  <c r="H8" i="12"/>
  <c r="H7" i="12"/>
  <c r="H14" i="12"/>
  <c r="H13" i="12"/>
  <c r="B67" i="1"/>
  <c r="B66" i="1"/>
  <c r="B65" i="1"/>
  <c r="E12" i="13"/>
  <c r="E13" i="13"/>
  <c r="E14" i="13"/>
  <c r="E15" i="13"/>
  <c r="E16" i="13"/>
  <c r="E17" i="13"/>
  <c r="E18" i="13"/>
  <c r="E19" i="13"/>
  <c r="E20" i="13"/>
  <c r="E11" i="13"/>
  <c r="G12" i="13"/>
  <c r="G13" i="13"/>
  <c r="G14" i="13"/>
  <c r="G15" i="13"/>
  <c r="G16" i="13"/>
  <c r="G17" i="13"/>
  <c r="G18" i="13"/>
  <c r="G19" i="13"/>
  <c r="G20" i="13"/>
  <c r="G11" i="13"/>
  <c r="D18" i="11"/>
  <c r="C18" i="11"/>
  <c r="D17" i="11"/>
  <c r="C17" i="11"/>
  <c r="D16" i="11"/>
  <c r="C16" i="11"/>
  <c r="D15" i="11"/>
  <c r="C15" i="11"/>
  <c r="D14" i="11"/>
  <c r="C14" i="11"/>
  <c r="D13" i="11"/>
  <c r="C13" i="11"/>
  <c r="D12" i="11"/>
  <c r="C12" i="11"/>
  <c r="D11" i="11"/>
  <c r="C11" i="11"/>
  <c r="D10" i="11"/>
  <c r="D9" i="11"/>
  <c r="D8" i="11"/>
  <c r="D7" i="11"/>
  <c r="D6" i="11"/>
  <c r="D5" i="11"/>
  <c r="C10" i="11"/>
  <c r="C9" i="11"/>
  <c r="C8" i="11"/>
  <c r="C7" i="11"/>
  <c r="C6" i="11"/>
  <c r="C5" i="11"/>
  <c r="D12" i="30"/>
  <c r="D11" i="30"/>
  <c r="C41" i="1"/>
  <c r="C40" i="1"/>
  <c r="F16" i="30"/>
  <c r="D59" i="31"/>
  <c r="E61" i="31" s="1"/>
  <c r="H61" i="31" s="1"/>
  <c r="D41" i="31"/>
  <c r="H43" i="31" s="1"/>
  <c r="F10" i="31"/>
  <c r="C10" i="31"/>
  <c r="H14" i="13" s="1"/>
  <c r="K14" i="13" s="1"/>
  <c r="B10" i="31"/>
  <c r="D104" i="30"/>
  <c r="D86" i="30"/>
  <c r="E88" i="30" s="1"/>
  <c r="H88" i="30" s="1"/>
  <c r="D68" i="30"/>
  <c r="E70" i="30" s="1"/>
  <c r="H70" i="30" s="1"/>
  <c r="D50" i="30"/>
  <c r="E52" i="30" s="1"/>
  <c r="H52" i="30" s="1"/>
  <c r="C19" i="30"/>
  <c r="B24" i="30" s="1"/>
  <c r="C16" i="30"/>
  <c r="C28" i="30" s="1"/>
  <c r="F10" i="30"/>
  <c r="E106" i="30" s="1"/>
  <c r="H106" i="30" s="1"/>
  <c r="C10" i="30"/>
  <c r="B10" i="30"/>
  <c r="A61" i="28"/>
  <c r="A62" i="28" s="1"/>
  <c r="A63" i="28" s="1"/>
  <c r="A64" i="28" s="1"/>
  <c r="A65" i="28" s="1"/>
  <c r="A66" i="28" s="1"/>
  <c r="A67" i="28" s="1"/>
  <c r="A68" i="28" s="1"/>
  <c r="A69" i="28" s="1"/>
  <c r="A70" i="28" s="1"/>
  <c r="A71" i="28" s="1"/>
  <c r="A72" i="28" s="1"/>
  <c r="A73" i="28" s="1"/>
  <c r="F18" i="11"/>
  <c r="F17" i="11"/>
  <c r="E18" i="11"/>
  <c r="E17" i="11"/>
  <c r="F6" i="11"/>
  <c r="F7" i="11"/>
  <c r="F8" i="11"/>
  <c r="F9" i="11"/>
  <c r="F10" i="11"/>
  <c r="F11" i="11"/>
  <c r="F12" i="11"/>
  <c r="F13" i="11"/>
  <c r="F14" i="11"/>
  <c r="F15" i="11"/>
  <c r="F16" i="11"/>
  <c r="F5" i="11"/>
  <c r="E6" i="11"/>
  <c r="E7" i="11"/>
  <c r="E8" i="11"/>
  <c r="E9" i="11"/>
  <c r="E10" i="11"/>
  <c r="E11" i="11"/>
  <c r="E12" i="11"/>
  <c r="E13" i="11"/>
  <c r="E14" i="11"/>
  <c r="E15" i="11"/>
  <c r="E16" i="11"/>
  <c r="E5" i="11"/>
  <c r="H19" i="13" l="1"/>
  <c r="K19" i="13" s="1"/>
  <c r="H13" i="13"/>
  <c r="K13" i="13" s="1"/>
  <c r="H18" i="13"/>
  <c r="K18" i="13" s="1"/>
  <c r="H12" i="13"/>
  <c r="K12" i="13" s="1"/>
  <c r="H17" i="13"/>
  <c r="K17" i="13" s="1"/>
  <c r="H16" i="13"/>
  <c r="K16" i="13" s="1"/>
  <c r="H11" i="13"/>
  <c r="K11" i="13" s="1"/>
  <c r="H15" i="13"/>
  <c r="K15" i="13" s="1"/>
  <c r="H20" i="13"/>
  <c r="K20" i="13" s="1"/>
  <c r="B23" i="30"/>
  <c r="B25" i="30"/>
  <c r="Q39" i="5"/>
  <c r="O30" i="5"/>
  <c r="Q30" i="5"/>
  <c r="K31" i="5"/>
  <c r="K30" i="5"/>
  <c r="M31" i="5"/>
  <c r="M30" i="5"/>
  <c r="D3" i="5"/>
  <c r="G30" i="27"/>
  <c r="G31" i="27"/>
  <c r="G29" i="27"/>
  <c r="G23" i="27"/>
  <c r="E22" i="27"/>
  <c r="G22" i="27" s="1"/>
  <c r="G16" i="27"/>
  <c r="E15" i="27"/>
  <c r="G9" i="27"/>
  <c r="E8" i="27"/>
  <c r="E6" i="27"/>
  <c r="G6" i="27" s="1"/>
  <c r="E5" i="27"/>
  <c r="G5" i="27" s="1"/>
  <c r="E4" i="27"/>
  <c r="G4" i="27" s="1"/>
  <c r="F25" i="30" l="1"/>
  <c r="E25" i="30"/>
  <c r="D25" i="30"/>
  <c r="C25" i="30"/>
  <c r="E23" i="30"/>
  <c r="D23" i="30"/>
  <c r="C23" i="30"/>
  <c r="F23" i="30"/>
  <c r="O31" i="5"/>
  <c r="Q31" i="5" s="1"/>
  <c r="E27" i="27"/>
  <c r="E20" i="27"/>
  <c r="E13" i="27"/>
  <c r="G8" i="27"/>
  <c r="G15" i="27"/>
  <c r="E24" i="30" l="1"/>
  <c r="D33" i="30" s="1"/>
  <c r="C73" i="30" s="1"/>
  <c r="C76" i="30" s="1"/>
  <c r="F24" i="30"/>
  <c r="D34" i="30" s="1"/>
  <c r="C91" i="30" s="1"/>
  <c r="C94" i="30" s="1"/>
  <c r="C24" i="30"/>
  <c r="D31" i="30" s="1"/>
  <c r="C37" i="30" s="1"/>
  <c r="D24" i="30"/>
  <c r="D32" i="30" s="1"/>
  <c r="C55" i="30" s="1"/>
  <c r="C58" i="30" s="1"/>
  <c r="H259" i="1"/>
  <c r="J254" i="1"/>
  <c r="I254" i="1"/>
  <c r="H254" i="1"/>
  <c r="D232" i="1"/>
  <c r="D254" i="1"/>
  <c r="D255" i="1"/>
  <c r="E227" i="1"/>
  <c r="D227" i="1"/>
  <c r="D253" i="1" s="1"/>
  <c r="D250" i="1"/>
  <c r="B250" i="1"/>
  <c r="D233" i="1"/>
  <c r="D234" i="1"/>
  <c r="D235" i="1"/>
  <c r="D236" i="1"/>
  <c r="D237" i="1"/>
  <c r="D238" i="1"/>
  <c r="D239" i="1"/>
  <c r="D240" i="1"/>
  <c r="D247" i="1"/>
  <c r="B246" i="1"/>
  <c r="C246" i="1" s="1"/>
  <c r="B245" i="1"/>
  <c r="B243" i="1"/>
  <c r="E228" i="1"/>
  <c r="B229" i="1"/>
  <c r="D229" i="1" s="1"/>
  <c r="C247" i="1" s="1"/>
  <c r="C40" i="30" l="1"/>
  <c r="C96" i="30"/>
  <c r="C97" i="30" s="1"/>
  <c r="D100" i="30" s="1"/>
  <c r="H100" i="30" s="1"/>
  <c r="E94" i="30"/>
  <c r="C78" i="30"/>
  <c r="C79" i="30" s="1"/>
  <c r="D82" i="30" s="1"/>
  <c r="H82" i="30" s="1"/>
  <c r="E76" i="30"/>
  <c r="B247" i="1"/>
  <c r="B248" i="1" s="1"/>
  <c r="B249" i="1" s="1"/>
  <c r="F253" i="1" s="1"/>
  <c r="B230" i="1"/>
  <c r="D230" i="1" s="1"/>
  <c r="B244" i="1" s="1"/>
  <c r="U29" i="7"/>
  <c r="U30" i="7"/>
  <c r="U31" i="7"/>
  <c r="R39" i="7"/>
  <c r="R40" i="7"/>
  <c r="R41" i="7"/>
  <c r="R38" i="7"/>
  <c r="R30" i="7"/>
  <c r="R29" i="7"/>
  <c r="R28" i="7"/>
  <c r="R27" i="7"/>
  <c r="U28" i="7" s="1"/>
  <c r="N16" i="7"/>
  <c r="N17" i="7"/>
  <c r="N18" i="7"/>
  <c r="N19" i="7"/>
  <c r="N20" i="7"/>
  <c r="N21" i="7"/>
  <c r="N15" i="7"/>
  <c r="B212" i="1"/>
  <c r="B219" i="1"/>
  <c r="B214" i="1"/>
  <c r="B213" i="1"/>
  <c r="C211" i="1"/>
  <c r="B211" i="1"/>
  <c r="E215" i="1"/>
  <c r="D215" i="1"/>
  <c r="B216" i="1" s="1"/>
  <c r="D208" i="1"/>
  <c r="B224" i="1"/>
  <c r="B208" i="1"/>
  <c r="B205" i="1"/>
  <c r="B209" i="1" s="1"/>
  <c r="B201" i="1"/>
  <c r="B196" i="1"/>
  <c r="B193" i="1"/>
  <c r="E192" i="1"/>
  <c r="D192" i="1"/>
  <c r="C188" i="1"/>
  <c r="B188" i="1"/>
  <c r="C60" i="30" l="1"/>
  <c r="C61" i="30" s="1"/>
  <c r="D64" i="30" s="1"/>
  <c r="H64" i="30" s="1"/>
  <c r="E58" i="30"/>
  <c r="C42" i="30"/>
  <c r="C43" i="30" s="1"/>
  <c r="D46" i="30" s="1"/>
  <c r="H46" i="30" s="1"/>
  <c r="E40" i="30"/>
  <c r="S28" i="7"/>
  <c r="B251" i="1"/>
  <c r="B252" i="1" s="1"/>
  <c r="H253" i="1" s="1"/>
  <c r="R32" i="7"/>
  <c r="B185" i="1"/>
  <c r="B182" i="1"/>
  <c r="T28" i="7" l="1"/>
  <c r="S29" i="7"/>
  <c r="I253" i="1"/>
  <c r="B253" i="1"/>
  <c r="G253" i="1"/>
  <c r="J253" i="1"/>
  <c r="B186" i="1"/>
  <c r="D185" i="1"/>
  <c r="B16" i="5"/>
  <c r="B5" i="5"/>
  <c r="S30" i="7" l="1"/>
  <c r="T29" i="7"/>
  <c r="V28" i="7"/>
  <c r="W28" i="7"/>
  <c r="B190" i="1"/>
  <c r="B191" i="1" s="1"/>
  <c r="B189" i="1"/>
  <c r="B49" i="1"/>
  <c r="W29" i="7" l="1"/>
  <c r="V29" i="7"/>
  <c r="S31" i="7"/>
  <c r="T31" i="7" s="1"/>
  <c r="T30" i="7"/>
  <c r="B56" i="1"/>
  <c r="B57" i="1"/>
  <c r="B48" i="1"/>
  <c r="B52" i="1" s="1"/>
  <c r="B59" i="1"/>
  <c r="B60" i="1"/>
  <c r="B51" i="1"/>
  <c r="D9" i="24"/>
  <c r="D11" i="24"/>
  <c r="D12" i="24"/>
  <c r="C7" i="24"/>
  <c r="D7" i="24" s="1"/>
  <c r="C8" i="24"/>
  <c r="D8" i="24" s="1"/>
  <c r="C9" i="24"/>
  <c r="C10" i="24"/>
  <c r="D10" i="24" s="1"/>
  <c r="C11" i="24"/>
  <c r="C12" i="24"/>
  <c r="C6" i="24"/>
  <c r="C7" i="21"/>
  <c r="D7" i="21" s="1"/>
  <c r="C8" i="21"/>
  <c r="C9" i="21"/>
  <c r="C6" i="21"/>
  <c r="H15" i="22"/>
  <c r="I15" i="22" s="1"/>
  <c r="H16" i="22"/>
  <c r="I16" i="22" s="1"/>
  <c r="H17" i="22"/>
  <c r="I17" i="22"/>
  <c r="H18" i="22"/>
  <c r="I18" i="22" s="1"/>
  <c r="H8" i="22"/>
  <c r="I8" i="22" s="1"/>
  <c r="H10" i="22"/>
  <c r="I10" i="22" s="1"/>
  <c r="H19" i="22"/>
  <c r="I19" i="22" s="1"/>
  <c r="H20" i="22"/>
  <c r="I20" i="22" s="1"/>
  <c r="H21" i="22"/>
  <c r="I21" i="22" s="1"/>
  <c r="H22" i="22"/>
  <c r="I22" i="22" s="1"/>
  <c r="H23" i="22"/>
  <c r="I23" i="22" s="1"/>
  <c r="H24" i="22"/>
  <c r="I24" i="22" s="1"/>
  <c r="H25" i="22"/>
  <c r="I25" i="22"/>
  <c r="H26" i="22"/>
  <c r="I26" i="22" s="1"/>
  <c r="H27" i="22"/>
  <c r="I27" i="22" s="1"/>
  <c r="H28" i="22"/>
  <c r="I28" i="22"/>
  <c r="D6" i="24"/>
  <c r="H11" i="19"/>
  <c r="I11" i="19"/>
  <c r="H12" i="19"/>
  <c r="I12" i="19"/>
  <c r="H13" i="19"/>
  <c r="I13" i="19"/>
  <c r="H14" i="19"/>
  <c r="I14" i="19"/>
  <c r="H15" i="19"/>
  <c r="I15" i="19"/>
  <c r="H16" i="19"/>
  <c r="I16" i="19"/>
  <c r="H17" i="19"/>
  <c r="I17" i="19"/>
  <c r="H18" i="19"/>
  <c r="I18" i="19" s="1"/>
  <c r="H18" i="21"/>
  <c r="E18" i="21"/>
  <c r="H10" i="19"/>
  <c r="I10" i="19" s="1"/>
  <c r="I6" i="20"/>
  <c r="I9" i="23"/>
  <c r="H9" i="23"/>
  <c r="H8" i="23"/>
  <c r="I8" i="23" s="1"/>
  <c r="I7" i="23"/>
  <c r="H7" i="23"/>
  <c r="H6" i="23"/>
  <c r="I6" i="23" s="1"/>
  <c r="H14" i="22"/>
  <c r="I14" i="22" s="1"/>
  <c r="H13" i="22"/>
  <c r="I13" i="22" s="1"/>
  <c r="I12" i="22"/>
  <c r="H12" i="22"/>
  <c r="H11" i="22"/>
  <c r="I11" i="22" s="1"/>
  <c r="H9" i="22"/>
  <c r="I9" i="22" s="1"/>
  <c r="H7" i="22"/>
  <c r="I7" i="22" s="1"/>
  <c r="I6" i="22"/>
  <c r="H6" i="22"/>
  <c r="D9" i="21"/>
  <c r="K10" i="21"/>
  <c r="K11" i="21"/>
  <c r="I10" i="21"/>
  <c r="I11" i="21"/>
  <c r="J11" i="21" s="1"/>
  <c r="D8" i="21"/>
  <c r="D10" i="21"/>
  <c r="D11" i="21"/>
  <c r="D6" i="21"/>
  <c r="H7" i="20"/>
  <c r="I7" i="20" s="1"/>
  <c r="H8" i="20"/>
  <c r="I8" i="20" s="1"/>
  <c r="H9" i="20"/>
  <c r="I9" i="20" s="1"/>
  <c r="H6" i="20"/>
  <c r="H9" i="19"/>
  <c r="H8" i="19"/>
  <c r="H7" i="19"/>
  <c r="I7" i="19" s="1"/>
  <c r="H6" i="19"/>
  <c r="I8" i="19"/>
  <c r="I9" i="19"/>
  <c r="I6" i="19"/>
  <c r="D175" i="1"/>
  <c r="D22" i="1"/>
  <c r="D23" i="1"/>
  <c r="D31" i="1"/>
  <c r="D27" i="1"/>
  <c r="C175" i="1"/>
  <c r="D28" i="1"/>
  <c r="J173" i="1"/>
  <c r="I173" i="1"/>
  <c r="S10" i="14"/>
  <c r="S11" i="14"/>
  <c r="S12" i="14"/>
  <c r="S13" i="14"/>
  <c r="S14" i="14"/>
  <c r="S15" i="14"/>
  <c r="S16" i="14"/>
  <c r="S17" i="14"/>
  <c r="S9" i="14"/>
  <c r="F171" i="1"/>
  <c r="J171" i="1" s="1"/>
  <c r="J162" i="1"/>
  <c r="D171" i="1"/>
  <c r="V30" i="7" l="1"/>
  <c r="W30" i="7"/>
  <c r="V31" i="7"/>
  <c r="W31" i="7"/>
  <c r="B178" i="1"/>
  <c r="J10" i="21"/>
  <c r="F168" i="1"/>
  <c r="F129" i="1"/>
  <c r="C128" i="1"/>
  <c r="J156" i="1"/>
  <c r="I156" i="1" s="1"/>
  <c r="J155" i="1"/>
  <c r="I155" i="1" s="1"/>
  <c r="D152" i="1"/>
  <c r="B149" i="1"/>
  <c r="J147" i="1"/>
  <c r="I147" i="1" s="1"/>
  <c r="J146" i="1"/>
  <c r="I146" i="1" s="1"/>
  <c r="D121" i="1"/>
  <c r="H121" i="1" s="1"/>
  <c r="G46" i="1"/>
  <c r="B122" i="1"/>
  <c r="C127" i="1" s="1"/>
  <c r="H134" i="1" l="1"/>
  <c r="H133" i="1" l="1"/>
  <c r="H131" i="1"/>
  <c r="H130" i="1"/>
  <c r="G133" i="1"/>
  <c r="G131" i="1"/>
  <c r="G134" i="1"/>
  <c r="G130" i="1"/>
  <c r="C134" i="1"/>
  <c r="C133" i="1"/>
  <c r="C129" i="1"/>
  <c r="B129" i="1"/>
  <c r="B117" i="1"/>
  <c r="B118" i="1" s="1"/>
  <c r="B120" i="1" s="1"/>
  <c r="D120" i="1" s="1"/>
  <c r="G17" i="11"/>
  <c r="H17" i="11" s="1"/>
  <c r="C15" i="12"/>
  <c r="B15" i="12"/>
  <c r="C13" i="12"/>
  <c r="N20" i="13"/>
  <c r="O20" i="13" s="1"/>
  <c r="N19" i="13"/>
  <c r="O19" i="13" s="1"/>
  <c r="N18" i="13"/>
  <c r="O18" i="13" s="1"/>
  <c r="N17" i="13"/>
  <c r="O17" i="13" s="1"/>
  <c r="M27" i="8"/>
  <c r="N27" i="8"/>
  <c r="O27" i="8"/>
  <c r="P27" i="8"/>
  <c r="M28" i="8"/>
  <c r="N28" i="8"/>
  <c r="O28" i="8"/>
  <c r="P28" i="8"/>
  <c r="M29" i="8"/>
  <c r="N29" i="8"/>
  <c r="O29" i="8"/>
  <c r="P29" i="8"/>
  <c r="I27" i="8"/>
  <c r="I28" i="8"/>
  <c r="I29" i="8"/>
  <c r="F27" i="8"/>
  <c r="F28" i="8"/>
  <c r="F29" i="8"/>
  <c r="H27" i="8"/>
  <c r="H28" i="8"/>
  <c r="H29" i="8"/>
  <c r="F130" i="1" l="1"/>
  <c r="F120" i="1"/>
  <c r="D15" i="12"/>
  <c r="G18" i="11"/>
  <c r="H18" i="11" s="1"/>
  <c r="B13" i="12"/>
  <c r="D13" i="12" s="1"/>
  <c r="D114" i="1"/>
  <c r="B113" i="1"/>
  <c r="D108" i="1"/>
  <c r="B107" i="1"/>
  <c r="D100" i="1"/>
  <c r="P22" i="17"/>
  <c r="Q22" i="17" s="1"/>
  <c r="N22" i="17"/>
  <c r="B22" i="17"/>
  <c r="P21" i="17"/>
  <c r="Q21" i="17" s="1"/>
  <c r="N21" i="17"/>
  <c r="B21" i="17"/>
  <c r="P20" i="17"/>
  <c r="Q20" i="17" s="1"/>
  <c r="N20" i="17"/>
  <c r="B20" i="17"/>
  <c r="P19" i="17"/>
  <c r="Q19" i="17" s="1"/>
  <c r="N19" i="17"/>
  <c r="P18" i="17"/>
  <c r="Q18" i="17" s="1"/>
  <c r="N18" i="17"/>
  <c r="B18" i="17"/>
  <c r="P17" i="17"/>
  <c r="Q17" i="17" s="1"/>
  <c r="N17" i="17"/>
  <c r="B17" i="17"/>
  <c r="P16" i="17"/>
  <c r="Q16" i="17" s="1"/>
  <c r="N16" i="17"/>
  <c r="B16" i="17"/>
  <c r="P15" i="17"/>
  <c r="Q15" i="17" s="1"/>
  <c r="N15" i="17"/>
  <c r="P14" i="17"/>
  <c r="Q14" i="17" s="1"/>
  <c r="N14" i="17"/>
  <c r="B14" i="17"/>
  <c r="P13" i="17"/>
  <c r="Q13" i="17" s="1"/>
  <c r="N13" i="17"/>
  <c r="B13" i="17"/>
  <c r="P12" i="17"/>
  <c r="Q12" i="17" s="1"/>
  <c r="N12" i="17"/>
  <c r="B12" i="17"/>
  <c r="P11" i="17"/>
  <c r="Q11" i="17" s="1"/>
  <c r="N11" i="17"/>
  <c r="P46" i="17"/>
  <c r="Q46" i="17" s="1"/>
  <c r="N46" i="17"/>
  <c r="B46" i="17"/>
  <c r="P45" i="17"/>
  <c r="Q45" i="17" s="1"/>
  <c r="N45" i="17"/>
  <c r="B45" i="17"/>
  <c r="P44" i="17"/>
  <c r="Q44" i="17" s="1"/>
  <c r="N44" i="17"/>
  <c r="B44" i="17"/>
  <c r="P43" i="17"/>
  <c r="Q43" i="17" s="1"/>
  <c r="N43" i="17"/>
  <c r="P42" i="17"/>
  <c r="Q42" i="17" s="1"/>
  <c r="N42" i="17"/>
  <c r="B42" i="17"/>
  <c r="P41" i="17"/>
  <c r="Q41" i="17" s="1"/>
  <c r="N41" i="17"/>
  <c r="D112" i="1" s="1"/>
  <c r="B41" i="17"/>
  <c r="P40" i="17"/>
  <c r="Q40" i="17" s="1"/>
  <c r="N40" i="17"/>
  <c r="B40" i="17"/>
  <c r="P39" i="17"/>
  <c r="Q39" i="17" s="1"/>
  <c r="N39" i="17"/>
  <c r="P38" i="17"/>
  <c r="Q38" i="17" s="1"/>
  <c r="N38" i="17"/>
  <c r="B38" i="17"/>
  <c r="P37" i="17"/>
  <c r="Q37" i="17" s="1"/>
  <c r="N37" i="17"/>
  <c r="B37" i="17"/>
  <c r="P36" i="17"/>
  <c r="Q36" i="17" s="1"/>
  <c r="N36" i="17"/>
  <c r="B36" i="17"/>
  <c r="P35" i="17"/>
  <c r="Q35" i="17" s="1"/>
  <c r="N35" i="17"/>
  <c r="D106" i="1" s="1"/>
  <c r="P34" i="17"/>
  <c r="Q34" i="17" s="1"/>
  <c r="N34" i="17"/>
  <c r="B34" i="17"/>
  <c r="P33" i="17"/>
  <c r="Q33" i="17" s="1"/>
  <c r="N33" i="17"/>
  <c r="B33" i="17"/>
  <c r="P32" i="17"/>
  <c r="Q32" i="17" s="1"/>
  <c r="N32" i="17"/>
  <c r="B32" i="17"/>
  <c r="P31" i="17"/>
  <c r="Q31" i="17" s="1"/>
  <c r="N31" i="17"/>
  <c r="P30" i="17"/>
  <c r="Q30" i="17" s="1"/>
  <c r="N30" i="17"/>
  <c r="B30" i="17"/>
  <c r="P29" i="17"/>
  <c r="Q29" i="17" s="1"/>
  <c r="N29" i="17"/>
  <c r="B29" i="17"/>
  <c r="P28" i="17"/>
  <c r="Q28" i="17" s="1"/>
  <c r="N28" i="17"/>
  <c r="B28" i="17"/>
  <c r="P27" i="17"/>
  <c r="Q27" i="17" s="1"/>
  <c r="N27" i="17"/>
  <c r="P24" i="17"/>
  <c r="Q24" i="17" s="1"/>
  <c r="P25" i="17"/>
  <c r="Q25" i="17" s="1"/>
  <c r="P26" i="17"/>
  <c r="Q26" i="17" s="1"/>
  <c r="P23" i="17"/>
  <c r="Q23" i="17" s="1"/>
  <c r="N24" i="17"/>
  <c r="N25" i="17"/>
  <c r="N26" i="17"/>
  <c r="N23" i="17"/>
  <c r="H6" i="17"/>
  <c r="B26" i="17"/>
  <c r="B25" i="17"/>
  <c r="B24" i="17"/>
  <c r="C47" i="16"/>
  <c r="C46" i="16"/>
  <c r="C45" i="16"/>
  <c r="C43" i="16"/>
  <c r="C42" i="16"/>
  <c r="C41" i="16"/>
  <c r="C39" i="16"/>
  <c r="C38" i="16"/>
  <c r="C37" i="16"/>
  <c r="C35" i="16"/>
  <c r="C34" i="16"/>
  <c r="C33" i="16"/>
  <c r="C31" i="16"/>
  <c r="C30" i="16"/>
  <c r="C29" i="16"/>
  <c r="C27" i="16"/>
  <c r="C26" i="16"/>
  <c r="C25" i="16"/>
  <c r="C23" i="16"/>
  <c r="C22" i="16"/>
  <c r="C21" i="16"/>
  <c r="C19" i="16"/>
  <c r="C18" i="16"/>
  <c r="C17" i="16"/>
  <c r="C15" i="16"/>
  <c r="C14" i="16"/>
  <c r="C13" i="16"/>
  <c r="B95" i="1"/>
  <c r="B134" i="1" l="1"/>
  <c r="B150" i="1"/>
  <c r="B133" i="1"/>
  <c r="B130" i="1"/>
  <c r="B132" i="1"/>
  <c r="B131" i="1"/>
  <c r="E112" i="1"/>
  <c r="E106" i="1"/>
  <c r="B84" i="1"/>
  <c r="N12" i="13"/>
  <c r="N13" i="13"/>
  <c r="O13" i="13" s="1"/>
  <c r="N14" i="13"/>
  <c r="O14" i="13" s="1"/>
  <c r="N15" i="13"/>
  <c r="O15" i="13" s="1"/>
  <c r="N16" i="13"/>
  <c r="O16" i="13" s="1"/>
  <c r="P12" i="13"/>
  <c r="P13" i="13"/>
  <c r="Q13" i="13" s="1"/>
  <c r="P14" i="13"/>
  <c r="Q14" i="13" s="1"/>
  <c r="P15" i="13"/>
  <c r="Q15" i="13" s="1"/>
  <c r="P16" i="13"/>
  <c r="Q16" i="13" s="1"/>
  <c r="P11" i="13"/>
  <c r="N11" i="13"/>
  <c r="F6" i="13"/>
  <c r="H6" i="13" s="1"/>
  <c r="B15" i="13"/>
  <c r="B13" i="13"/>
  <c r="B11" i="13"/>
  <c r="F16" i="16"/>
  <c r="F20" i="16"/>
  <c r="F24" i="16"/>
  <c r="F28" i="16"/>
  <c r="C7" i="12"/>
  <c r="F32" i="16"/>
  <c r="C9" i="12"/>
  <c r="C11" i="12"/>
  <c r="F40" i="16"/>
  <c r="F44" i="16"/>
  <c r="F12" i="16"/>
  <c r="G6" i="11"/>
  <c r="H6" i="11" s="1"/>
  <c r="G7" i="11"/>
  <c r="H7" i="11" s="1"/>
  <c r="E24" i="16"/>
  <c r="E28" i="16"/>
  <c r="E32" i="16"/>
  <c r="B9" i="12"/>
  <c r="G13" i="11"/>
  <c r="H13" i="11" s="1"/>
  <c r="G14" i="11"/>
  <c r="H14" i="11" s="1"/>
  <c r="E12" i="16"/>
  <c r="M46" i="5"/>
  <c r="O46" i="5"/>
  <c r="Q46" i="5" s="1"/>
  <c r="M37" i="5"/>
  <c r="K37" i="5"/>
  <c r="D6" i="7"/>
  <c r="I16" i="16" s="1"/>
  <c r="D5" i="7"/>
  <c r="I20" i="16" s="1"/>
  <c r="P3" i="8"/>
  <c r="P4" i="8"/>
  <c r="P5" i="8"/>
  <c r="P6" i="8"/>
  <c r="P7" i="8"/>
  <c r="P8" i="8"/>
  <c r="P9" i="8"/>
  <c r="P10" i="8"/>
  <c r="P11" i="8"/>
  <c r="P12" i="8"/>
  <c r="P13" i="8"/>
  <c r="P14" i="8"/>
  <c r="P15" i="8"/>
  <c r="P16" i="8"/>
  <c r="P17" i="8"/>
  <c r="P18" i="8"/>
  <c r="P19" i="8"/>
  <c r="P20" i="8"/>
  <c r="P21" i="8"/>
  <c r="P22" i="8"/>
  <c r="P23" i="8"/>
  <c r="P24" i="8"/>
  <c r="P25" i="8"/>
  <c r="P26" i="8"/>
  <c r="P30" i="8"/>
  <c r="P2" i="8"/>
  <c r="N2" i="8"/>
  <c r="M2" i="8"/>
  <c r="N3" i="8"/>
  <c r="O3" i="8"/>
  <c r="N4" i="8"/>
  <c r="O4" i="8"/>
  <c r="N5" i="8"/>
  <c r="O5" i="8"/>
  <c r="N6" i="8"/>
  <c r="O6" i="8"/>
  <c r="N7" i="8"/>
  <c r="O7" i="8"/>
  <c r="N8" i="8"/>
  <c r="O8" i="8"/>
  <c r="N9" i="8"/>
  <c r="O9" i="8"/>
  <c r="N10" i="8"/>
  <c r="O10" i="8"/>
  <c r="N11" i="8"/>
  <c r="O11" i="8"/>
  <c r="N12" i="8"/>
  <c r="O12" i="8"/>
  <c r="N13" i="8"/>
  <c r="O13" i="8"/>
  <c r="N14" i="8"/>
  <c r="O14" i="8"/>
  <c r="N15" i="8"/>
  <c r="O15" i="8"/>
  <c r="N16" i="8"/>
  <c r="O16" i="8"/>
  <c r="N17" i="8"/>
  <c r="O17" i="8"/>
  <c r="N18" i="8"/>
  <c r="O18" i="8"/>
  <c r="N19" i="8"/>
  <c r="O19" i="8"/>
  <c r="N20" i="8"/>
  <c r="O20" i="8"/>
  <c r="N21" i="8"/>
  <c r="O21" i="8"/>
  <c r="N22" i="8"/>
  <c r="O22" i="8"/>
  <c r="N23" i="8"/>
  <c r="O23" i="8"/>
  <c r="N24" i="8"/>
  <c r="O24" i="8"/>
  <c r="N25" i="8"/>
  <c r="O25" i="8"/>
  <c r="N26" i="8"/>
  <c r="O26" i="8"/>
  <c r="N30" i="8"/>
  <c r="O30" i="8"/>
  <c r="O2" i="8"/>
  <c r="M26" i="8"/>
  <c r="M30" i="8"/>
  <c r="I30" i="8"/>
  <c r="M3" i="8"/>
  <c r="M4" i="8"/>
  <c r="M5" i="8"/>
  <c r="M6" i="8"/>
  <c r="M7" i="8"/>
  <c r="M8" i="8"/>
  <c r="M9" i="8"/>
  <c r="M10" i="8"/>
  <c r="M11" i="8"/>
  <c r="M12" i="8"/>
  <c r="M13" i="8"/>
  <c r="M14" i="8"/>
  <c r="M15" i="8"/>
  <c r="M16" i="8"/>
  <c r="M17" i="8"/>
  <c r="M18" i="8"/>
  <c r="M19" i="8"/>
  <c r="M20" i="8"/>
  <c r="M21" i="8"/>
  <c r="M22" i="8"/>
  <c r="M23" i="8"/>
  <c r="M24" i="8"/>
  <c r="M25" i="8"/>
  <c r="I2" i="8"/>
  <c r="H2" i="8"/>
  <c r="H3" i="8"/>
  <c r="H4" i="8"/>
  <c r="H5" i="8"/>
  <c r="H6" i="8"/>
  <c r="H7" i="8"/>
  <c r="H8" i="8"/>
  <c r="H9" i="8"/>
  <c r="H10" i="8"/>
  <c r="H11" i="8"/>
  <c r="H12" i="8"/>
  <c r="H13" i="8"/>
  <c r="H14" i="8"/>
  <c r="H15" i="8"/>
  <c r="H16" i="8"/>
  <c r="H17" i="8"/>
  <c r="H18" i="8"/>
  <c r="H19" i="8"/>
  <c r="H20" i="8"/>
  <c r="H21" i="8"/>
  <c r="H22" i="8"/>
  <c r="H23" i="8"/>
  <c r="H24" i="8"/>
  <c r="H25" i="8"/>
  <c r="H26" i="8"/>
  <c r="H30" i="8"/>
  <c r="F30" i="8"/>
  <c r="F26" i="8"/>
  <c r="F25" i="8"/>
  <c r="F24" i="8"/>
  <c r="F23" i="8"/>
  <c r="F22" i="8"/>
  <c r="F21" i="8"/>
  <c r="F20" i="8"/>
  <c r="F19" i="8"/>
  <c r="F18" i="8"/>
  <c r="F17" i="8"/>
  <c r="F16" i="8"/>
  <c r="F15" i="8"/>
  <c r="F14" i="8"/>
  <c r="F13" i="8"/>
  <c r="F12" i="8"/>
  <c r="F11" i="8"/>
  <c r="F10" i="8"/>
  <c r="F9" i="8"/>
  <c r="F8" i="8"/>
  <c r="F7" i="8"/>
  <c r="F6" i="8"/>
  <c r="F5" i="8"/>
  <c r="F4" i="8"/>
  <c r="F3" i="8"/>
  <c r="F2" i="8"/>
  <c r="I3" i="8"/>
  <c r="I4" i="8"/>
  <c r="I5" i="8"/>
  <c r="I6" i="8"/>
  <c r="I7" i="8"/>
  <c r="I8" i="8"/>
  <c r="I9" i="8"/>
  <c r="I10" i="8"/>
  <c r="I11" i="8"/>
  <c r="I12" i="8"/>
  <c r="I13" i="8"/>
  <c r="I14" i="8"/>
  <c r="I15" i="8"/>
  <c r="I16" i="8"/>
  <c r="I17" i="8"/>
  <c r="I18" i="8"/>
  <c r="I19" i="8"/>
  <c r="I20" i="8"/>
  <c r="I21" i="8"/>
  <c r="I22" i="8"/>
  <c r="I23" i="8"/>
  <c r="I24" i="8"/>
  <c r="I25" i="8"/>
  <c r="I26" i="8"/>
  <c r="O11" i="13" l="1"/>
  <c r="D75" i="1"/>
  <c r="Q11" i="13"/>
  <c r="E75" i="1"/>
  <c r="I10" i="11"/>
  <c r="K7" i="11"/>
  <c r="K6" i="11"/>
  <c r="D150" i="1"/>
  <c r="D151" i="1" s="1"/>
  <c r="H152" i="1" s="1"/>
  <c r="E149" i="1"/>
  <c r="B135" i="1"/>
  <c r="B136" i="1" s="1"/>
  <c r="B140" i="1" s="1"/>
  <c r="I6" i="11"/>
  <c r="J2" i="8"/>
  <c r="G28" i="16"/>
  <c r="H28" i="16" s="1"/>
  <c r="G24" i="16"/>
  <c r="H25" i="16" s="1"/>
  <c r="G8" i="11"/>
  <c r="H8" i="11" s="1"/>
  <c r="G12" i="16"/>
  <c r="H14" i="16" s="1"/>
  <c r="G32" i="16"/>
  <c r="H35" i="16" s="1"/>
  <c r="G12" i="11"/>
  <c r="H12" i="11" s="1"/>
  <c r="G10" i="11"/>
  <c r="H10" i="11" s="1"/>
  <c r="G5" i="11"/>
  <c r="H5" i="11" s="1"/>
  <c r="E44" i="16"/>
  <c r="B88" i="1"/>
  <c r="E36" i="16"/>
  <c r="B89" i="1"/>
  <c r="D89" i="1" s="1"/>
  <c r="F36" i="16"/>
  <c r="G16" i="11"/>
  <c r="H16" i="11" s="1"/>
  <c r="G9" i="11"/>
  <c r="H9" i="11" s="1"/>
  <c r="B7" i="12"/>
  <c r="D7" i="12" s="1"/>
  <c r="E40" i="16"/>
  <c r="Q2" i="8"/>
  <c r="R2" i="8" s="1"/>
  <c r="D66" i="1" s="1"/>
  <c r="E20" i="16"/>
  <c r="B11" i="12"/>
  <c r="D11" i="12" s="1"/>
  <c r="E16" i="16"/>
  <c r="G15" i="11"/>
  <c r="H15" i="11" s="1"/>
  <c r="G11" i="11"/>
  <c r="H11" i="11" s="1"/>
  <c r="O12" i="13"/>
  <c r="D83" i="1"/>
  <c r="Q12" i="13"/>
  <c r="E83" i="1"/>
  <c r="D9" i="12"/>
  <c r="I7" i="11"/>
  <c r="K2" i="8"/>
  <c r="L2" i="8"/>
  <c r="D3" i="7"/>
  <c r="I12" i="16" s="1"/>
  <c r="D4" i="7"/>
  <c r="D7" i="7"/>
  <c r="D2" i="7"/>
  <c r="O37" i="5"/>
  <c r="Q37" i="5" s="1"/>
  <c r="D27" i="5"/>
  <c r="F27" i="5" s="1"/>
  <c r="D28" i="5"/>
  <c r="F28" i="5" s="1"/>
  <c r="D29" i="5"/>
  <c r="F29" i="5" s="1"/>
  <c r="F30" i="5"/>
  <c r="F19" i="5"/>
  <c r="F20" i="5" s="1"/>
  <c r="D18" i="5"/>
  <c r="F18" i="5" s="1"/>
  <c r="D17" i="5"/>
  <c r="F17" i="5" s="1"/>
  <c r="D16" i="5"/>
  <c r="F16" i="5" s="1"/>
  <c r="D15" i="5"/>
  <c r="F15" i="5" s="1"/>
  <c r="D14" i="5"/>
  <c r="F14" i="5" s="1"/>
  <c r="F7" i="5"/>
  <c r="D6" i="5"/>
  <c r="F6" i="5" s="1"/>
  <c r="D5" i="5"/>
  <c r="F5" i="5" s="1"/>
  <c r="D4" i="5"/>
  <c r="F4" i="5" s="1"/>
  <c r="F3" i="5"/>
  <c r="H150" i="1" l="1"/>
  <c r="H151" i="1"/>
  <c r="H154" i="1"/>
  <c r="H153" i="1"/>
  <c r="D12" i="31"/>
  <c r="K10" i="11"/>
  <c r="K12" i="24" s="1"/>
  <c r="Q13" i="22"/>
  <c r="R13" i="22" s="1"/>
  <c r="H19" i="24" s="1"/>
  <c r="K6" i="21"/>
  <c r="Q6" i="19"/>
  <c r="R6" i="19" s="1"/>
  <c r="Q20" i="22"/>
  <c r="R20" i="22" s="1"/>
  <c r="H33" i="24" s="1"/>
  <c r="Q10" i="19"/>
  <c r="R10" i="19" s="1"/>
  <c r="H17" i="21" s="1"/>
  <c r="J17" i="21" s="1"/>
  <c r="B70" i="1"/>
  <c r="C15" i="31" s="1"/>
  <c r="K11" i="11"/>
  <c r="K5" i="11"/>
  <c r="Q14" i="19" s="1"/>
  <c r="R14" i="19" s="1"/>
  <c r="I5" i="11"/>
  <c r="Q21" i="22"/>
  <c r="R21" i="22" s="1"/>
  <c r="H18" i="24" s="1"/>
  <c r="Q28" i="22"/>
  <c r="R28" i="22" s="1"/>
  <c r="H32" i="24" s="1"/>
  <c r="Q11" i="19"/>
  <c r="R11" i="19" s="1"/>
  <c r="H19" i="21" s="1"/>
  <c r="E7" i="12"/>
  <c r="H24" i="16"/>
  <c r="H29" i="16"/>
  <c r="B156" i="1"/>
  <c r="B155" i="1"/>
  <c r="D155" i="1" s="1"/>
  <c r="H27" i="16"/>
  <c r="H34" i="16"/>
  <c r="H26" i="16"/>
  <c r="H32" i="16"/>
  <c r="S2" i="8"/>
  <c r="D67" i="1" s="1"/>
  <c r="D11" i="31" s="1"/>
  <c r="H31" i="16"/>
  <c r="H15" i="16"/>
  <c r="H30" i="16"/>
  <c r="H12" i="16"/>
  <c r="H13" i="16"/>
  <c r="H33" i="16"/>
  <c r="B68" i="1"/>
  <c r="T2" i="8"/>
  <c r="G40" i="16"/>
  <c r="B90" i="1"/>
  <c r="B114" i="1"/>
  <c r="D88" i="1"/>
  <c r="B108" i="1"/>
  <c r="G16" i="16"/>
  <c r="G20" i="16"/>
  <c r="G44" i="16"/>
  <c r="G36" i="16"/>
  <c r="F8" i="5"/>
  <c r="Q48" i="5" s="1"/>
  <c r="D20" i="5"/>
  <c r="D31" i="5"/>
  <c r="F31" i="5"/>
  <c r="D8" i="5"/>
  <c r="C19" i="31" l="1"/>
  <c r="H8" i="5"/>
  <c r="Q6" i="22"/>
  <c r="R6" i="22" s="1"/>
  <c r="J32" i="24"/>
  <c r="J18" i="24"/>
  <c r="Q13" i="19"/>
  <c r="R13" i="19" s="1"/>
  <c r="V6" i="20" s="1"/>
  <c r="Q12" i="19"/>
  <c r="R12" i="19" s="1"/>
  <c r="H21" i="21" s="1"/>
  <c r="K6" i="24"/>
  <c r="Q12" i="22"/>
  <c r="R12" i="22" s="1"/>
  <c r="E9" i="12"/>
  <c r="I12" i="11"/>
  <c r="K12" i="11"/>
  <c r="I44" i="16"/>
  <c r="I16" i="11"/>
  <c r="K16" i="11"/>
  <c r="I28" i="16"/>
  <c r="I9" i="11"/>
  <c r="E15" i="12"/>
  <c r="I18" i="11"/>
  <c r="K18" i="11"/>
  <c r="V8" i="20"/>
  <c r="H25" i="21"/>
  <c r="E11" i="12"/>
  <c r="I13" i="11"/>
  <c r="K13" i="11"/>
  <c r="E13" i="12"/>
  <c r="I17" i="11"/>
  <c r="K17" i="11"/>
  <c r="I32" i="16"/>
  <c r="I11" i="11"/>
  <c r="K9" i="11"/>
  <c r="I14" i="11"/>
  <c r="B92" i="1"/>
  <c r="I36" i="16"/>
  <c r="K14" i="11"/>
  <c r="I24" i="16"/>
  <c r="K8" i="11"/>
  <c r="K9" i="21" s="1"/>
  <c r="I8" i="11"/>
  <c r="I40" i="16"/>
  <c r="I15" i="11"/>
  <c r="K15" i="11"/>
  <c r="J12" i="16"/>
  <c r="K12" i="16" s="1"/>
  <c r="L14" i="16" s="1"/>
  <c r="H20" i="5"/>
  <c r="D156" i="1"/>
  <c r="E156" i="1" s="1"/>
  <c r="F156" i="1" s="1"/>
  <c r="B69" i="1"/>
  <c r="B91" i="1"/>
  <c r="E155" i="1"/>
  <c r="F155" i="1" s="1"/>
  <c r="B77" i="1"/>
  <c r="B85" i="1"/>
  <c r="H44" i="16"/>
  <c r="H45" i="16"/>
  <c r="H46" i="16"/>
  <c r="H47" i="16"/>
  <c r="H20" i="16"/>
  <c r="H21" i="16"/>
  <c r="H23" i="16"/>
  <c r="H22" i="16"/>
  <c r="B99" i="1"/>
  <c r="B98" i="1"/>
  <c r="B96" i="1"/>
  <c r="B97" i="1"/>
  <c r="H36" i="16"/>
  <c r="H37" i="16"/>
  <c r="H38" i="16"/>
  <c r="H39" i="16"/>
  <c r="H42" i="16"/>
  <c r="H40" i="16"/>
  <c r="H43" i="16"/>
  <c r="H41" i="16"/>
  <c r="H18" i="16"/>
  <c r="H19" i="16"/>
  <c r="H16" i="16"/>
  <c r="H17" i="16"/>
  <c r="B45" i="1"/>
  <c r="E47" i="1" s="1"/>
  <c r="B42" i="1"/>
  <c r="B16" i="1"/>
  <c r="C14" i="31" l="1"/>
  <c r="C16" i="31" s="1"/>
  <c r="B71" i="1"/>
  <c r="L5" i="11"/>
  <c r="N14" i="19" s="1"/>
  <c r="D187" i="1"/>
  <c r="D210" i="1"/>
  <c r="C91" i="1"/>
  <c r="H23" i="21"/>
  <c r="Q9" i="19"/>
  <c r="R9" i="19" s="1"/>
  <c r="K7" i="24"/>
  <c r="K11" i="24"/>
  <c r="Q18" i="19"/>
  <c r="R18" i="19" s="1"/>
  <c r="H26" i="21" s="1"/>
  <c r="J25" i="21" s="1"/>
  <c r="Q15" i="19"/>
  <c r="R15" i="19" s="1"/>
  <c r="H20" i="21" s="1"/>
  <c r="J19" i="21" s="1"/>
  <c r="Q7" i="22"/>
  <c r="R7" i="22" s="1"/>
  <c r="Q11" i="22"/>
  <c r="R11" i="22" s="1"/>
  <c r="Q16" i="19"/>
  <c r="R16" i="19" s="1"/>
  <c r="H22" i="21" s="1"/>
  <c r="J21" i="21" s="1"/>
  <c r="K9" i="24"/>
  <c r="Q9" i="22"/>
  <c r="R9" i="22" s="1"/>
  <c r="U6" i="20"/>
  <c r="U6" i="23"/>
  <c r="U8" i="23"/>
  <c r="U8" i="20"/>
  <c r="Q14" i="22"/>
  <c r="R14" i="22" s="1"/>
  <c r="H21" i="24" s="1"/>
  <c r="Q19" i="22"/>
  <c r="R19" i="22" s="1"/>
  <c r="H31" i="24" s="1"/>
  <c r="Q23" i="22"/>
  <c r="R23" i="22" s="1"/>
  <c r="H22" i="24" s="1"/>
  <c r="Q26" i="22"/>
  <c r="R26" i="22" s="1"/>
  <c r="H28" i="24" s="1"/>
  <c r="Q8" i="19"/>
  <c r="R8" i="19" s="1"/>
  <c r="Q27" i="22"/>
  <c r="R27" i="22" s="1"/>
  <c r="H30" i="24" s="1"/>
  <c r="K8" i="21"/>
  <c r="Q22" i="22"/>
  <c r="R22" i="22" s="1"/>
  <c r="H20" i="24" s="1"/>
  <c r="U9" i="20"/>
  <c r="U7" i="23"/>
  <c r="Q8" i="22"/>
  <c r="R8" i="22" s="1"/>
  <c r="U9" i="23"/>
  <c r="K10" i="24"/>
  <c r="Q10" i="22"/>
  <c r="R10" i="22" s="1"/>
  <c r="K8" i="24"/>
  <c r="U7" i="20"/>
  <c r="Q24" i="22"/>
  <c r="R24" i="22" s="1"/>
  <c r="H24" i="24" s="1"/>
  <c r="Q25" i="22"/>
  <c r="R25" i="22" s="1"/>
  <c r="H26" i="24" s="1"/>
  <c r="Q15" i="22"/>
  <c r="R15" i="22" s="1"/>
  <c r="Q18" i="22"/>
  <c r="R18" i="22" s="1"/>
  <c r="Q7" i="19"/>
  <c r="R7" i="19" s="1"/>
  <c r="K7" i="21"/>
  <c r="E187" i="1"/>
  <c r="E210" i="1"/>
  <c r="Q17" i="19"/>
  <c r="R17" i="19" s="1"/>
  <c r="H24" i="21" s="1"/>
  <c r="Q16" i="22"/>
  <c r="R16" i="22" s="1"/>
  <c r="H25" i="24" s="1"/>
  <c r="Q17" i="22"/>
  <c r="R17" i="22" s="1"/>
  <c r="H27" i="24" s="1"/>
  <c r="J5" i="11"/>
  <c r="L13" i="16"/>
  <c r="L15" i="16"/>
  <c r="L12" i="16"/>
  <c r="J8" i="11"/>
  <c r="J24" i="16"/>
  <c r="K24" i="16" s="1"/>
  <c r="L8" i="11"/>
  <c r="J44" i="16"/>
  <c r="K44" i="16" s="1"/>
  <c r="L45" i="16" s="1"/>
  <c r="J16" i="11"/>
  <c r="L16" i="11"/>
  <c r="F11" i="12"/>
  <c r="G11" i="12" s="1"/>
  <c r="L13" i="11"/>
  <c r="J13" i="11"/>
  <c r="J28" i="16"/>
  <c r="K28" i="16" s="1"/>
  <c r="J9" i="11"/>
  <c r="L9" i="11"/>
  <c r="J20" i="16"/>
  <c r="K20" i="16" s="1"/>
  <c r="L23" i="16" s="1"/>
  <c r="J7" i="11"/>
  <c r="L7" i="11"/>
  <c r="F15" i="12"/>
  <c r="G15" i="12" s="1"/>
  <c r="J18" i="11"/>
  <c r="L18" i="11"/>
  <c r="F7" i="12"/>
  <c r="G7" i="12" s="1"/>
  <c r="J10" i="11"/>
  <c r="L10" i="11"/>
  <c r="J32" i="16"/>
  <c r="K32" i="16" s="1"/>
  <c r="J11" i="11"/>
  <c r="L11" i="11"/>
  <c r="B72" i="1"/>
  <c r="B73" i="1" s="1"/>
  <c r="B80" i="1"/>
  <c r="B79" i="1"/>
  <c r="J16" i="16"/>
  <c r="K16" i="16" s="1"/>
  <c r="L18" i="16" s="1"/>
  <c r="L6" i="11"/>
  <c r="J6" i="11"/>
  <c r="J40" i="16"/>
  <c r="K40" i="16" s="1"/>
  <c r="L43" i="16" s="1"/>
  <c r="J15" i="11"/>
  <c r="L15" i="11"/>
  <c r="F13" i="12"/>
  <c r="G13" i="12" s="1"/>
  <c r="J17" i="11"/>
  <c r="L17" i="11"/>
  <c r="J36" i="16"/>
  <c r="K36" i="16" s="1"/>
  <c r="L39" i="16" s="1"/>
  <c r="J14" i="11"/>
  <c r="L14" i="11"/>
  <c r="F9" i="12"/>
  <c r="G9" i="12" s="1"/>
  <c r="J12" i="11"/>
  <c r="L12" i="11"/>
  <c r="E12" i="19"/>
  <c r="E13" i="19"/>
  <c r="E14" i="19"/>
  <c r="E15" i="19"/>
  <c r="E16" i="19"/>
  <c r="E6" i="23"/>
  <c r="E8" i="20"/>
  <c r="E8" i="19"/>
  <c r="E24" i="22"/>
  <c r="E21" i="22"/>
  <c r="E18" i="22"/>
  <c r="E15" i="22"/>
  <c r="E17" i="19"/>
  <c r="E10" i="19"/>
  <c r="E7" i="22"/>
  <c r="E6" i="22"/>
  <c r="E6" i="20"/>
  <c r="E27" i="22"/>
  <c r="E10" i="22"/>
  <c r="E9" i="22"/>
  <c r="E9" i="19"/>
  <c r="E22" i="22"/>
  <c r="E16" i="22"/>
  <c r="E8" i="22"/>
  <c r="E26" i="22"/>
  <c r="E23" i="22"/>
  <c r="E20" i="22"/>
  <c r="E17" i="22"/>
  <c r="E18" i="19"/>
  <c r="E8" i="23"/>
  <c r="E11" i="22"/>
  <c r="E6" i="19"/>
  <c r="E13" i="22"/>
  <c r="E12" i="22"/>
  <c r="E7" i="19"/>
  <c r="E25" i="22"/>
  <c r="E19" i="22"/>
  <c r="E11" i="19"/>
  <c r="E14" i="22"/>
  <c r="E28" i="22"/>
  <c r="B160" i="1"/>
  <c r="B147" i="1"/>
  <c r="E147" i="1" s="1"/>
  <c r="F147" i="1" s="1"/>
  <c r="B146" i="1"/>
  <c r="I45" i="1"/>
  <c r="I46" i="1" s="1"/>
  <c r="E46" i="1"/>
  <c r="B24" i="31" l="1"/>
  <c r="C28" i="31" s="1"/>
  <c r="C31" i="31" s="1"/>
  <c r="B25" i="31"/>
  <c r="C46" i="31" s="1"/>
  <c r="C49" i="31" s="1"/>
  <c r="B187" i="1"/>
  <c r="B195" i="1" s="1"/>
  <c r="B197" i="1" s="1"/>
  <c r="B198" i="1" s="1"/>
  <c r="B210" i="1"/>
  <c r="B218" i="1" s="1"/>
  <c r="B220" i="1" s="1"/>
  <c r="B221" i="1" s="1"/>
  <c r="J23" i="21"/>
  <c r="J30" i="24"/>
  <c r="J20" i="24"/>
  <c r="J24" i="24"/>
  <c r="H29" i="24"/>
  <c r="J28" i="24" s="1"/>
  <c r="V8" i="23"/>
  <c r="X8" i="23" s="1"/>
  <c r="X6" i="20"/>
  <c r="W6" i="20"/>
  <c r="H23" i="24"/>
  <c r="J22" i="24" s="1"/>
  <c r="V6" i="23"/>
  <c r="W6" i="23" s="1"/>
  <c r="J26" i="24"/>
  <c r="W8" i="20"/>
  <c r="X8" i="20"/>
  <c r="L16" i="16"/>
  <c r="L37" i="16"/>
  <c r="L36" i="16"/>
  <c r="L38" i="16"/>
  <c r="L41" i="16"/>
  <c r="L19" i="16"/>
  <c r="L44" i="16"/>
  <c r="L20" i="16"/>
  <c r="L21" i="16"/>
  <c r="L17" i="16"/>
  <c r="L22" i="16"/>
  <c r="L46" i="16"/>
  <c r="L47" i="16"/>
  <c r="N9" i="22"/>
  <c r="I9" i="24"/>
  <c r="J9" i="24" s="1"/>
  <c r="L25" i="16"/>
  <c r="L24" i="16"/>
  <c r="L26" i="16"/>
  <c r="L27" i="16"/>
  <c r="I14" i="13"/>
  <c r="J14" i="13" s="1"/>
  <c r="I13" i="13"/>
  <c r="J13" i="13" s="1"/>
  <c r="O8" i="23"/>
  <c r="P8" i="23" s="1"/>
  <c r="O8" i="20"/>
  <c r="P8" i="20" s="1"/>
  <c r="O6" i="23"/>
  <c r="N23" i="22"/>
  <c r="N26" i="22"/>
  <c r="I11" i="13"/>
  <c r="J11" i="13" s="1"/>
  <c r="I12" i="13"/>
  <c r="J12" i="13" s="1"/>
  <c r="N12" i="22"/>
  <c r="I12" i="24"/>
  <c r="J12" i="24" s="1"/>
  <c r="N12" i="19"/>
  <c r="N6" i="22"/>
  <c r="N11" i="19"/>
  <c r="I6" i="24"/>
  <c r="J6" i="24" s="1"/>
  <c r="L35" i="16"/>
  <c r="L33" i="16"/>
  <c r="L32" i="16"/>
  <c r="L34" i="16"/>
  <c r="N6" i="19"/>
  <c r="O6" i="19" s="1"/>
  <c r="P6" i="19" s="1"/>
  <c r="N14" i="22"/>
  <c r="I6" i="21"/>
  <c r="J6" i="21" s="1"/>
  <c r="I7" i="21"/>
  <c r="J7" i="21" s="1"/>
  <c r="N19" i="22"/>
  <c r="N10" i="19"/>
  <c r="N7" i="19"/>
  <c r="N20" i="22"/>
  <c r="N13" i="22"/>
  <c r="I15" i="13"/>
  <c r="J15" i="13" s="1"/>
  <c r="I16" i="13"/>
  <c r="J16" i="13" s="1"/>
  <c r="N15" i="22"/>
  <c r="N18" i="22"/>
  <c r="N9" i="19"/>
  <c r="I9" i="21"/>
  <c r="J9" i="21" s="1"/>
  <c r="C92" i="1"/>
  <c r="B93" i="1"/>
  <c r="L40" i="16"/>
  <c r="O6" i="20"/>
  <c r="N8" i="22"/>
  <c r="I8" i="24"/>
  <c r="J8" i="24" s="1"/>
  <c r="N10" i="22"/>
  <c r="I10" i="24"/>
  <c r="J10" i="24" s="1"/>
  <c r="O7" i="20"/>
  <c r="P7" i="20" s="1"/>
  <c r="O9" i="23"/>
  <c r="P9" i="23" s="1"/>
  <c r="O9" i="20"/>
  <c r="P9" i="20" s="1"/>
  <c r="O7" i="23"/>
  <c r="P7" i="23" s="1"/>
  <c r="L42" i="16"/>
  <c r="N11" i="22"/>
  <c r="N7" i="22"/>
  <c r="I11" i="24"/>
  <c r="J11" i="24" s="1"/>
  <c r="I7" i="24"/>
  <c r="J7" i="24" s="1"/>
  <c r="N16" i="19"/>
  <c r="N15" i="19"/>
  <c r="N18" i="19"/>
  <c r="N8" i="19"/>
  <c r="N13" i="19"/>
  <c r="N16" i="22"/>
  <c r="N17" i="22"/>
  <c r="N25" i="22"/>
  <c r="N24" i="22"/>
  <c r="I18" i="13"/>
  <c r="J18" i="13" s="1"/>
  <c r="I17" i="13"/>
  <c r="J17" i="13" s="1"/>
  <c r="N17" i="19"/>
  <c r="I8" i="21"/>
  <c r="J8" i="21" s="1"/>
  <c r="N22" i="22"/>
  <c r="N27" i="22"/>
  <c r="N28" i="22"/>
  <c r="N21" i="22"/>
  <c r="I20" i="13"/>
  <c r="J20" i="13" s="1"/>
  <c r="I19" i="13"/>
  <c r="J19" i="13" s="1"/>
  <c r="L28" i="16"/>
  <c r="L29" i="16"/>
  <c r="L30" i="16"/>
  <c r="L31" i="16"/>
  <c r="R36" i="17"/>
  <c r="B54" i="1"/>
  <c r="D28" i="22"/>
  <c r="F28" i="22" s="1"/>
  <c r="D25" i="22"/>
  <c r="F25" i="22" s="1"/>
  <c r="D22" i="22"/>
  <c r="F22" i="22" s="1"/>
  <c r="D19" i="22"/>
  <c r="F19" i="22" s="1"/>
  <c r="D16" i="22"/>
  <c r="F16" i="22" s="1"/>
  <c r="D17" i="19"/>
  <c r="F17" i="19" s="1"/>
  <c r="D10" i="19"/>
  <c r="F10" i="19" s="1"/>
  <c r="D14" i="22"/>
  <c r="F14" i="22" s="1"/>
  <c r="D6" i="23"/>
  <c r="F6" i="23" s="1"/>
  <c r="D27" i="22"/>
  <c r="F27" i="22" s="1"/>
  <c r="D24" i="22"/>
  <c r="F24" i="22" s="1"/>
  <c r="D21" i="22"/>
  <c r="F21" i="22" s="1"/>
  <c r="D18" i="22"/>
  <c r="F18" i="22" s="1"/>
  <c r="D15" i="22"/>
  <c r="F15" i="22" s="1"/>
  <c r="D18" i="19"/>
  <c r="F18" i="19" s="1"/>
  <c r="D7" i="22"/>
  <c r="F7" i="22" s="1"/>
  <c r="D6" i="22"/>
  <c r="F6" i="22" s="1"/>
  <c r="D6" i="20"/>
  <c r="F6" i="20" s="1"/>
  <c r="D11" i="22"/>
  <c r="F11" i="22" s="1"/>
  <c r="D6" i="19"/>
  <c r="F6" i="19" s="1"/>
  <c r="D12" i="19"/>
  <c r="F12" i="19" s="1"/>
  <c r="D14" i="19"/>
  <c r="F14" i="19" s="1"/>
  <c r="O14" i="19" s="1"/>
  <c r="P14" i="19" s="1"/>
  <c r="E25" i="21" s="1"/>
  <c r="D16" i="19"/>
  <c r="F16" i="19" s="1"/>
  <c r="D10" i="22"/>
  <c r="F10" i="22" s="1"/>
  <c r="D9" i="22"/>
  <c r="F9" i="22" s="1"/>
  <c r="D7" i="19"/>
  <c r="F7" i="19" s="1"/>
  <c r="D8" i="23"/>
  <c r="D13" i="19"/>
  <c r="F13" i="19" s="1"/>
  <c r="D15" i="19"/>
  <c r="F15" i="19" s="1"/>
  <c r="D13" i="22"/>
  <c r="F13" i="22" s="1"/>
  <c r="D12" i="22"/>
  <c r="F12" i="22" s="1"/>
  <c r="D8" i="20"/>
  <c r="D8" i="19"/>
  <c r="F8" i="19" s="1"/>
  <c r="D9" i="19"/>
  <c r="F9" i="19" s="1"/>
  <c r="D8" i="22"/>
  <c r="F8" i="22" s="1"/>
  <c r="D26" i="22"/>
  <c r="F26" i="22" s="1"/>
  <c r="D23" i="22"/>
  <c r="F23" i="22" s="1"/>
  <c r="D20" i="22"/>
  <c r="F20" i="22" s="1"/>
  <c r="D17" i="22"/>
  <c r="F17" i="22" s="1"/>
  <c r="D11" i="19"/>
  <c r="F11" i="19" s="1"/>
  <c r="R29" i="17"/>
  <c r="R34" i="17"/>
  <c r="R24" i="17"/>
  <c r="E146" i="1"/>
  <c r="F146" i="1" s="1"/>
  <c r="B82" i="1"/>
  <c r="B74" i="1"/>
  <c r="R22" i="17"/>
  <c r="R28" i="17"/>
  <c r="R44" i="17"/>
  <c r="R18" i="17"/>
  <c r="R43" i="17"/>
  <c r="R14" i="17"/>
  <c r="R25" i="17"/>
  <c r="R33" i="17"/>
  <c r="R35" i="17"/>
  <c r="R15" i="17"/>
  <c r="R30" i="17"/>
  <c r="R31" i="17"/>
  <c r="R17" i="17"/>
  <c r="R46" i="17"/>
  <c r="R16" i="17"/>
  <c r="R38" i="17"/>
  <c r="R26" i="17"/>
  <c r="R39" i="17"/>
  <c r="R23" i="17"/>
  <c r="R19" i="17"/>
  <c r="E100" i="1"/>
  <c r="D76" i="1" s="1"/>
  <c r="R27" i="17"/>
  <c r="R21" i="17"/>
  <c r="R12" i="17"/>
  <c r="B62" i="1"/>
  <c r="C93" i="1" l="1"/>
  <c r="B94" i="1"/>
  <c r="E49" i="31"/>
  <c r="C51" i="31"/>
  <c r="C52" i="31" s="1"/>
  <c r="D55" i="31" s="1"/>
  <c r="H55" i="31" s="1"/>
  <c r="E31" i="31"/>
  <c r="C33" i="31"/>
  <c r="C34" i="31" s="1"/>
  <c r="D37" i="31" s="1"/>
  <c r="H37" i="31" s="1"/>
  <c r="O12" i="22"/>
  <c r="P12" i="22" s="1"/>
  <c r="J11" i="17"/>
  <c r="O9" i="22"/>
  <c r="P9" i="22" s="1"/>
  <c r="O7" i="22"/>
  <c r="P7" i="22" s="1"/>
  <c r="O10" i="22"/>
  <c r="P10" i="22" s="1"/>
  <c r="J19" i="17"/>
  <c r="O19" i="22"/>
  <c r="P19" i="22" s="1"/>
  <c r="E31" i="24" s="1"/>
  <c r="O11" i="22"/>
  <c r="P11" i="22" s="1"/>
  <c r="O17" i="19"/>
  <c r="P17" i="19" s="1"/>
  <c r="E24" i="21" s="1"/>
  <c r="J17" i="17"/>
  <c r="X6" i="23"/>
  <c r="O26" i="22"/>
  <c r="P26" i="22" s="1"/>
  <c r="E28" i="24" s="1"/>
  <c r="O6" i="22"/>
  <c r="P6" i="22" s="1"/>
  <c r="W8" i="23"/>
  <c r="J13" i="17"/>
  <c r="O18" i="19"/>
  <c r="P18" i="19" s="1"/>
  <c r="E26" i="21" s="1"/>
  <c r="F25" i="21" s="1"/>
  <c r="O25" i="21" s="1"/>
  <c r="J16" i="17"/>
  <c r="J21" i="17"/>
  <c r="O8" i="22"/>
  <c r="P8" i="22" s="1"/>
  <c r="O9" i="19"/>
  <c r="P9" i="19" s="1"/>
  <c r="O20" i="22"/>
  <c r="P20" i="22" s="1"/>
  <c r="E33" i="24" s="1"/>
  <c r="O14" i="22"/>
  <c r="P14" i="22" s="1"/>
  <c r="E21" i="24" s="1"/>
  <c r="R13" i="17"/>
  <c r="O18" i="22"/>
  <c r="P18" i="22" s="1"/>
  <c r="R8" i="23" s="1"/>
  <c r="O28" i="22"/>
  <c r="P28" i="22" s="1"/>
  <c r="E32" i="24" s="1"/>
  <c r="J27" i="17"/>
  <c r="O15" i="19"/>
  <c r="P15" i="19" s="1"/>
  <c r="E20" i="21" s="1"/>
  <c r="D82" i="1"/>
  <c r="O11" i="19"/>
  <c r="P11" i="19" s="1"/>
  <c r="E19" i="21" s="1"/>
  <c r="O13" i="19"/>
  <c r="P13" i="19" s="1"/>
  <c r="R6" i="20" s="1"/>
  <c r="O7" i="19"/>
  <c r="P7" i="19" s="1"/>
  <c r="O27" i="22"/>
  <c r="P27" i="22" s="1"/>
  <c r="E30" i="24" s="1"/>
  <c r="O8" i="19"/>
  <c r="P8" i="19" s="1"/>
  <c r="J22" i="17"/>
  <c r="J18" i="17"/>
  <c r="J20" i="17"/>
  <c r="K20" i="17" s="1"/>
  <c r="O15" i="22"/>
  <c r="P15" i="22" s="1"/>
  <c r="E23" i="24" s="1"/>
  <c r="O25" i="22"/>
  <c r="P25" i="22" s="1"/>
  <c r="E26" i="24" s="1"/>
  <c r="J41" i="17"/>
  <c r="J30" i="17"/>
  <c r="J32" i="17"/>
  <c r="J24" i="17"/>
  <c r="J26" i="17"/>
  <c r="O23" i="22"/>
  <c r="P23" i="22" s="1"/>
  <c r="E22" i="24" s="1"/>
  <c r="O10" i="19"/>
  <c r="P10" i="19" s="1"/>
  <c r="E17" i="21" s="1"/>
  <c r="J34" i="17"/>
  <c r="J43" i="17"/>
  <c r="P6" i="20"/>
  <c r="O21" i="22"/>
  <c r="P21" i="22" s="1"/>
  <c r="E18" i="24" s="1"/>
  <c r="J35" i="17"/>
  <c r="C100" i="1"/>
  <c r="J28" i="17"/>
  <c r="J37" i="17"/>
  <c r="J45" i="17"/>
  <c r="J31" i="17"/>
  <c r="J38" i="17"/>
  <c r="J42" i="17"/>
  <c r="O13" i="22"/>
  <c r="P13" i="22" s="1"/>
  <c r="E19" i="24" s="1"/>
  <c r="O16" i="19"/>
  <c r="P16" i="19" s="1"/>
  <c r="E22" i="21" s="1"/>
  <c r="O24" i="22"/>
  <c r="P24" i="22" s="1"/>
  <c r="E24" i="24" s="1"/>
  <c r="O16" i="22"/>
  <c r="P16" i="22" s="1"/>
  <c r="E25" i="24" s="1"/>
  <c r="J44" i="17"/>
  <c r="J25" i="17"/>
  <c r="J23" i="17"/>
  <c r="J40" i="17"/>
  <c r="J33" i="17"/>
  <c r="J29" i="17"/>
  <c r="O17" i="22"/>
  <c r="P17" i="22" s="1"/>
  <c r="E27" i="24" s="1"/>
  <c r="O12" i="19"/>
  <c r="P12" i="19" s="1"/>
  <c r="E21" i="21" s="1"/>
  <c r="P6" i="23"/>
  <c r="O22" i="22"/>
  <c r="P22" i="22" s="1"/>
  <c r="E20" i="24" s="1"/>
  <c r="J36" i="17"/>
  <c r="J39" i="17"/>
  <c r="J46" i="17"/>
  <c r="R20" i="17"/>
  <c r="J15" i="17"/>
  <c r="R41" i="17"/>
  <c r="R42" i="17"/>
  <c r="R8" i="20"/>
  <c r="B172" i="1"/>
  <c r="B173" i="1" s="1"/>
  <c r="E173" i="1" s="1"/>
  <c r="F173" i="1" s="1"/>
  <c r="R37" i="17"/>
  <c r="J14" i="17"/>
  <c r="R32" i="17"/>
  <c r="R40" i="17"/>
  <c r="R45" i="17"/>
  <c r="R11" i="17"/>
  <c r="D84" i="1"/>
  <c r="J12" i="17"/>
  <c r="D107" i="1"/>
  <c r="D74" i="1"/>
  <c r="D113" i="1"/>
  <c r="K24" i="17" l="1"/>
  <c r="S24" i="17" s="1"/>
  <c r="S20" i="17"/>
  <c r="K21" i="17"/>
  <c r="S21" i="17" s="1"/>
  <c r="K19" i="17"/>
  <c r="S19" i="17" s="1"/>
  <c r="K16" i="17"/>
  <c r="S16" i="17" s="1"/>
  <c r="K40" i="17"/>
  <c r="S40" i="17" s="1"/>
  <c r="K12" i="17"/>
  <c r="S12" i="17" s="1"/>
  <c r="K42" i="17"/>
  <c r="S42" i="17" s="1"/>
  <c r="S17" i="17"/>
  <c r="K17" i="17"/>
  <c r="K14" i="17"/>
  <c r="S14" i="17" s="1"/>
  <c r="K28" i="17"/>
  <c r="S28" i="17" s="1"/>
  <c r="K18" i="17"/>
  <c r="S18" i="17" s="1"/>
  <c r="K34" i="17"/>
  <c r="S34" i="17" s="1"/>
  <c r="K41" i="17"/>
  <c r="S41" i="17" s="1"/>
  <c r="K13" i="17"/>
  <c r="S13" i="17" s="1"/>
  <c r="K23" i="17"/>
  <c r="S23" i="17" s="1"/>
  <c r="K43" i="17"/>
  <c r="S43" i="17" s="1"/>
  <c r="S30" i="17"/>
  <c r="K30" i="17"/>
  <c r="K44" i="17"/>
  <c r="S44" i="17" s="1"/>
  <c r="K39" i="17"/>
  <c r="S39" i="17" s="1"/>
  <c r="K31" i="17"/>
  <c r="S31" i="17" s="1"/>
  <c r="K35" i="17"/>
  <c r="S35" i="17" s="1"/>
  <c r="K27" i="17"/>
  <c r="S27" i="17" s="1"/>
  <c r="K37" i="17"/>
  <c r="S37" i="17" s="1"/>
  <c r="K15" i="17"/>
  <c r="S15" i="17" s="1"/>
  <c r="K32" i="17"/>
  <c r="S32" i="17" s="1"/>
  <c r="S25" i="17"/>
  <c r="K25" i="17"/>
  <c r="K22" i="17"/>
  <c r="S22" i="17" s="1"/>
  <c r="K46" i="17"/>
  <c r="S46" i="17" s="1"/>
  <c r="K38" i="17"/>
  <c r="S38" i="17" s="1"/>
  <c r="K29" i="17"/>
  <c r="S29" i="17" s="1"/>
  <c r="K36" i="17"/>
  <c r="S36" i="17" s="1"/>
  <c r="K33" i="17"/>
  <c r="S33" i="17" s="1"/>
  <c r="K45" i="17"/>
  <c r="S45" i="17" s="1"/>
  <c r="K26" i="17"/>
  <c r="S26" i="17" s="1"/>
  <c r="K11" i="17"/>
  <c r="S11" i="17" s="1"/>
  <c r="C102" i="1"/>
  <c r="B110" i="1" s="1"/>
  <c r="B111" i="1" s="1"/>
  <c r="R6" i="23"/>
  <c r="S6" i="23" s="1"/>
  <c r="F30" i="24"/>
  <c r="B104" i="1"/>
  <c r="B105" i="1" s="1"/>
  <c r="E29" i="24"/>
  <c r="F28" i="24" s="1"/>
  <c r="F32" i="24"/>
  <c r="F19" i="21"/>
  <c r="O19" i="21" s="1"/>
  <c r="E23" i="21"/>
  <c r="F23" i="21" s="1"/>
  <c r="O23" i="21" s="1"/>
  <c r="F18" i="24"/>
  <c r="F22" i="24"/>
  <c r="F20" i="24"/>
  <c r="F24" i="24"/>
  <c r="F21" i="21"/>
  <c r="O21" i="21" s="1"/>
  <c r="F26" i="24"/>
  <c r="F17" i="21"/>
  <c r="O17" i="21" s="1"/>
  <c r="T8" i="23"/>
  <c r="S8" i="23"/>
  <c r="T8" i="20"/>
  <c r="S8" i="20"/>
  <c r="T6" i="20"/>
  <c r="S6" i="20"/>
  <c r="D111" i="1" l="1"/>
  <c r="B112" i="1" s="1"/>
  <c r="T6" i="23"/>
  <c r="D105" i="1"/>
  <c r="B106"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121D2-A6E0-4C0F-9FFD-82F718A7A110}" keepAlive="1" name="Query - KY HIEU O SAN 2" description="Connection to the 'KY HIEU O SAN 2' query in the workbook." type="5" refreshedVersion="6" background="1">
    <dbPr connection="Provider=Microsoft.Mashup.OleDb.1;Data Source=$Workbook$;Location=KY HIEU O SAN 2;Extended Properties=&quot;&quot;" command="SELECT * FROM [KY HIEU O SAN 2]"/>
  </connection>
  <connection id="2" xr16:uid="{DF687F01-7F58-4C86-9DED-975B3550BE12}" keepAlive="1" name="Query - KY HIEU O SAN 2 (2)" description="Connection to the 'KY HIEU O SAN 2 (2)' query in the workbook." type="5" refreshedVersion="6" background="1" saveData="1">
    <dbPr connection="Provider=Microsoft.Mashup.OleDb.1;Data Source=$Workbook$;Location=&quot;KY HIEU O SAN 2 (2)&quot;;Extended Properties=&quot;&quot;" command="SELECT * FROM [KY HIEU O SAN 2 (2)]"/>
  </connection>
</connections>
</file>

<file path=xl/sharedStrings.xml><?xml version="1.0" encoding="utf-8"?>
<sst xmlns="http://schemas.openxmlformats.org/spreadsheetml/2006/main" count="2803" uniqueCount="1003">
  <si>
    <t>Tên công trình:</t>
  </si>
  <si>
    <t>Số tầng:</t>
  </si>
  <si>
    <t>Diện tích xây dựng</t>
  </si>
  <si>
    <t>m2</t>
  </si>
  <si>
    <t>tầng</t>
  </si>
  <si>
    <t>Cao độ mỗi tầng:</t>
  </si>
  <si>
    <t>m</t>
  </si>
  <si>
    <t>Tầng 2</t>
  </si>
  <si>
    <t>Tầng 1</t>
  </si>
  <si>
    <t>Tầng trệt</t>
  </si>
  <si>
    <t>Mái</t>
  </si>
  <si>
    <t>Chiều cao công trình</t>
  </si>
  <si>
    <t>Cấu tạo sàn</t>
  </si>
  <si>
    <r>
      <t>g</t>
    </r>
    <r>
      <rPr>
        <b/>
        <vertAlign val="superscript"/>
        <sz val="13"/>
        <color rgb="FF000000"/>
        <rFont val="Times New Roman"/>
        <family val="1"/>
      </rPr>
      <t>tc</t>
    </r>
  </si>
  <si>
    <t>n</t>
  </si>
  <si>
    <t>Lớp gạch ceramic</t>
  </si>
  <si>
    <t>Lớp vữa lót +tạo dốc</t>
  </si>
  <si>
    <t>Lớp sàn BTCT</t>
  </si>
  <si>
    <t>Lớp chống thấm</t>
  </si>
  <si>
    <t>Lớp vữa trát trần</t>
  </si>
  <si>
    <t>Hệ thống kỹ thuật</t>
  </si>
  <si>
    <t xml:space="preserve">Tổng tĩnh tải </t>
  </si>
  <si>
    <t>Bảng 0‑2: Trọng lượng bản thân sàn khu vệ sinh</t>
  </si>
  <si>
    <t>Các lớp cấu tạo sàn</t>
  </si>
  <si>
    <r>
      <t>h</t>
    </r>
    <r>
      <rPr>
        <b/>
        <vertAlign val="subscript"/>
        <sz val="13"/>
        <color rgb="FF000000"/>
        <rFont val="Times New Roman"/>
        <family val="1"/>
      </rPr>
      <t>i</t>
    </r>
    <r>
      <rPr>
        <b/>
        <sz val="13"/>
        <color rgb="FF000000"/>
        <rFont val="Times New Roman"/>
        <family val="1"/>
      </rPr>
      <t>( mm )</t>
    </r>
  </si>
  <si>
    <r>
      <t>g</t>
    </r>
    <r>
      <rPr>
        <b/>
        <vertAlign val="subscript"/>
        <sz val="13"/>
        <color rgb="FF000000"/>
        <rFont val="Times New Roman"/>
        <family val="1"/>
      </rPr>
      <t>bt</t>
    </r>
    <r>
      <rPr>
        <b/>
        <vertAlign val="superscript"/>
        <sz val="13"/>
        <color rgb="FF000000"/>
        <rFont val="Times New Roman"/>
        <family val="1"/>
      </rPr>
      <t>tt</t>
    </r>
    <r>
      <rPr>
        <b/>
        <sz val="13"/>
        <color rgb="FF000000"/>
        <rFont val="Times New Roman"/>
        <family val="1"/>
      </rPr>
      <t xml:space="preserve"> </t>
    </r>
  </si>
  <si>
    <t>Lớp vữa lót</t>
  </si>
  <si>
    <t>Bảng 0‑1: Trọng lượng bản thân sàn phòng làm việc, hành lang</t>
  </si>
  <si>
    <t>Sử dụng cốt thép nhóm CB300-T (</t>
  </si>
  <si>
    <t>) với các thông số kĩ thuật:</t>
  </si>
  <si>
    <r>
      <t>+</t>
    </r>
    <r>
      <rPr>
        <sz val="7"/>
        <color theme="1"/>
        <rFont val="Times New Roman"/>
        <family val="1"/>
      </rPr>
      <t xml:space="preserve">    </t>
    </r>
    <r>
      <rPr>
        <sz val="13"/>
        <color theme="1"/>
        <rFont val="Times New Roman"/>
        <family val="1"/>
      </rPr>
      <t xml:space="preserve">Cường độ tính toán chịu nén, kéo: </t>
    </r>
  </si>
  <si>
    <t>.</t>
  </si>
  <si>
    <r>
      <t>+</t>
    </r>
    <r>
      <rPr>
        <sz val="7"/>
        <color theme="1"/>
        <rFont val="Times New Roman"/>
        <family val="1"/>
      </rPr>
      <t xml:space="preserve">    </t>
    </r>
    <r>
      <rPr>
        <sz val="13"/>
        <color theme="1"/>
        <rFont val="Times New Roman"/>
        <family val="1"/>
      </rPr>
      <t xml:space="preserve">Cường độ tính toán chịu kéo cho cốt đai: </t>
    </r>
  </si>
  <si>
    <r>
      <t>+</t>
    </r>
    <r>
      <rPr>
        <sz val="7"/>
        <color theme="1"/>
        <rFont val="Times New Roman"/>
        <family val="1"/>
      </rPr>
      <t xml:space="preserve">    </t>
    </r>
    <r>
      <rPr>
        <sz val="13"/>
        <color theme="1"/>
        <rFont val="Times New Roman"/>
        <family val="1"/>
      </rPr>
      <t xml:space="preserve">Modul đàn hồi: </t>
    </r>
  </si>
  <si>
    <t>Sử dụng cốt thép nhóm CB300-V (</t>
  </si>
  <si>
    <t>) với các thông số kỹ thuật:</t>
  </si>
  <si>
    <t xml:space="preserve">Cường độ tính toán chịu nén, kéo: </t>
  </si>
  <si>
    <t xml:space="preserve">Cường độ tính toán chịu kéo cho cốt đai: </t>
  </si>
  <si>
    <t xml:space="preserve">Modul đàn hồi: </t>
  </si>
  <si>
    <t>Sử dụng cốt thép nhóm CB400-V (</t>
  </si>
  <si>
    <r>
      <t xml:space="preserve">Bê tông dùng trong nhà cao tầng có cấp độ bền từ </t>
    </r>
    <r>
      <rPr>
        <sz val="13"/>
        <color rgb="FFFF0000"/>
        <rFont val="Times New Roman"/>
        <family val="1"/>
      </rPr>
      <t>B25</t>
    </r>
  </si>
  <si>
    <t>B60.</t>
  </si>
  <si>
    <t>Dựa vào đặc điểm của công trình và khả năng chế tạo vật liệu ta chọn bê tông để sử dụng cấp độ bền B25 với các thông số kỹ thuật như:</t>
  </si>
  <si>
    <r>
      <t>+</t>
    </r>
    <r>
      <rPr>
        <sz val="7"/>
        <color theme="1"/>
        <rFont val="Times New Roman"/>
        <family val="1"/>
      </rPr>
      <t xml:space="preserve">    </t>
    </r>
    <r>
      <rPr>
        <sz val="13"/>
        <color theme="1"/>
        <rFont val="Times New Roman"/>
        <family val="1"/>
      </rPr>
      <t xml:space="preserve">Cường độ tính toán chịu nén: </t>
    </r>
  </si>
  <si>
    <r>
      <t>+</t>
    </r>
    <r>
      <rPr>
        <sz val="7"/>
        <color theme="1"/>
        <rFont val="Times New Roman"/>
        <family val="1"/>
      </rPr>
      <t xml:space="preserve">    </t>
    </r>
    <r>
      <rPr>
        <sz val="13"/>
        <color theme="1"/>
        <rFont val="Times New Roman"/>
        <family val="1"/>
      </rPr>
      <t xml:space="preserve">Cường độ tính toán chịu kéo: </t>
    </r>
  </si>
  <si>
    <t>Bảng 0‑3: Trọng lượng bản thân sàn trệt</t>
  </si>
  <si>
    <t>Các lớp hoàn thiện sàn và trần</t>
  </si>
  <si>
    <t>- Gạch Ceramic</t>
  </si>
  <si>
    <t>- Vữa lát nền</t>
  </si>
  <si>
    <t>- Vữa lát trần</t>
  </si>
  <si>
    <t>TT</t>
  </si>
  <si>
    <t>Loại tường</t>
  </si>
  <si>
    <r>
      <t>B</t>
    </r>
    <r>
      <rPr>
        <b/>
        <vertAlign val="subscript"/>
        <sz val="13"/>
        <color rgb="FF000000"/>
        <rFont val="Times New Roman"/>
        <family val="1"/>
      </rPr>
      <t>t</t>
    </r>
  </si>
  <si>
    <r>
      <t>L</t>
    </r>
    <r>
      <rPr>
        <b/>
        <vertAlign val="subscript"/>
        <sz val="13"/>
        <color rgb="FF000000"/>
        <rFont val="Times New Roman"/>
        <family val="1"/>
      </rPr>
      <t>t</t>
    </r>
  </si>
  <si>
    <r>
      <t>H</t>
    </r>
    <r>
      <rPr>
        <b/>
        <vertAlign val="subscript"/>
        <sz val="13"/>
        <color rgb="FF000000"/>
        <rFont val="Times New Roman"/>
        <family val="1"/>
      </rPr>
      <t>t</t>
    </r>
  </si>
  <si>
    <r>
      <t>S</t>
    </r>
    <r>
      <rPr>
        <b/>
        <vertAlign val="subscript"/>
        <sz val="13"/>
        <color rgb="FF000000"/>
        <rFont val="Times New Roman"/>
        <family val="1"/>
      </rPr>
      <t>s</t>
    </r>
  </si>
  <si>
    <r>
      <t>g</t>
    </r>
    <r>
      <rPr>
        <b/>
        <vertAlign val="subscript"/>
        <sz val="13"/>
        <color rgb="FF000000"/>
        <rFont val="Times New Roman"/>
        <family val="1"/>
      </rPr>
      <t>t</t>
    </r>
    <r>
      <rPr>
        <b/>
        <vertAlign val="superscript"/>
        <sz val="13"/>
        <color rgb="FF000000"/>
        <rFont val="Times New Roman"/>
        <family val="1"/>
      </rPr>
      <t>tc</t>
    </r>
  </si>
  <si>
    <r>
      <t>g</t>
    </r>
    <r>
      <rPr>
        <b/>
        <vertAlign val="subscript"/>
        <sz val="13"/>
        <color rgb="FF000000"/>
        <rFont val="Times New Roman"/>
        <family val="1"/>
      </rPr>
      <t>t</t>
    </r>
    <r>
      <rPr>
        <b/>
        <vertAlign val="superscript"/>
        <sz val="13"/>
        <color rgb="FF000000"/>
        <rFont val="Times New Roman"/>
        <family val="1"/>
      </rPr>
      <t>tt</t>
    </r>
  </si>
  <si>
    <t>(m)</t>
  </si>
  <si>
    <r>
      <t>(</t>
    </r>
    <r>
      <rPr>
        <b/>
        <sz val="13"/>
        <color rgb="FF000000"/>
        <rFont val="Times New Roman"/>
        <family val="1"/>
      </rPr>
      <t>m)</t>
    </r>
  </si>
  <si>
    <r>
      <t>(m</t>
    </r>
    <r>
      <rPr>
        <b/>
        <vertAlign val="superscript"/>
        <sz val="13"/>
        <color rgb="FF000000"/>
        <rFont val="Times New Roman"/>
        <family val="1"/>
      </rPr>
      <t>2</t>
    </r>
    <r>
      <rPr>
        <b/>
        <sz val="13"/>
        <color rgb="FF000000"/>
        <rFont val="Times New Roman"/>
        <family val="1"/>
      </rPr>
      <t>)</t>
    </r>
  </si>
  <si>
    <t>Tường 100</t>
  </si>
  <si>
    <t>số lẻ thập phân</t>
  </si>
  <si>
    <t>Chức năng phòng</t>
  </si>
  <si>
    <t>Hành lang, sảnh</t>
  </si>
  <si>
    <t>Nhà vệ sinh</t>
  </si>
  <si>
    <t>Phòng làm việc</t>
  </si>
  <si>
    <t>Cầu thang</t>
  </si>
  <si>
    <t>Bảng 0‑6: Hoạt tải theo bảng 3 TCVN 2737-1995</t>
  </si>
  <si>
    <t>Ngày thực hiện luận văn</t>
  </si>
  <si>
    <t>ngày 02 tháng 07 năm 2020</t>
  </si>
  <si>
    <t>Địa điểm:</t>
  </si>
  <si>
    <t>Xã Tân Ân -Huyện Ngọc Hiển-Tỉnh Cà Mau</t>
  </si>
  <si>
    <t>Đặc điểm công trình:</t>
  </si>
  <si>
    <t>1 tầng trệt, 2 tầng lầu</t>
  </si>
  <si>
    <t>Cấp công trình</t>
  </si>
  <si>
    <t xml:space="preserve">Tổng diện tích </t>
  </si>
  <si>
    <t>Trong đó:</t>
  </si>
  <si>
    <t>tầng trệt: s=435,7 m², lầu 1: s=378,6 m²</t>
  </si>
  <si>
    <t>Chiều cao nèn từ tầng trệt:</t>
  </si>
  <si>
    <t>Sàn lầu 1</t>
  </si>
  <si>
    <t>Trần lầu 2</t>
  </si>
  <si>
    <t>mái</t>
  </si>
  <si>
    <t>BÊ TÔNG:</t>
  </si>
  <si>
    <t>Cấp độ bền</t>
  </si>
  <si>
    <t>B25</t>
  </si>
  <si>
    <t>Cường độ tính toán chịu nén</t>
  </si>
  <si>
    <t>Cường độ tính toán chịu kéo</t>
  </si>
  <si>
    <t>Modul đàn hồi</t>
  </si>
  <si>
    <t>Cốt thép</t>
  </si>
  <si>
    <t>Loại thép</t>
  </si>
  <si>
    <t xml:space="preserve">CB300-T </t>
  </si>
  <si>
    <t>Cường độ tính toán chịu nén, kéo</t>
  </si>
  <si>
    <t>Cường độ tính toán chịu kéo cho cốt đai</t>
  </si>
  <si>
    <t>Mpa</t>
  </si>
  <si>
    <t xml:space="preserve">CB300-V </t>
  </si>
  <si>
    <t xml:space="preserve">CB400-V </t>
  </si>
  <si>
    <t>γ</t>
  </si>
  <si>
    <t>HANDLE</t>
  </si>
  <si>
    <t>BLOCKNAME</t>
  </si>
  <si>
    <t>KH_O_SAN</t>
  </si>
  <si>
    <t>L1</t>
  </si>
  <si>
    <t>L2</t>
  </si>
  <si>
    <t>S2</t>
  </si>
  <si>
    <t>S3</t>
  </si>
  <si>
    <t>S1</t>
  </si>
  <si>
    <t>S6</t>
  </si>
  <si>
    <t>S5</t>
  </si>
  <si>
    <t>S4</t>
  </si>
  <si>
    <t>S7</t>
  </si>
  <si>
    <t>S8</t>
  </si>
  <si>
    <t>S10</t>
  </si>
  <si>
    <t>S9</t>
  </si>
  <si>
    <t>S</t>
  </si>
  <si>
    <t>Ô sàn lớn nhất</t>
  </si>
  <si>
    <t>PHƯƠNG PHÁP TÍNH TOÁN</t>
  </si>
  <si>
    <t>Kích thước sơ bộ của sàn</t>
  </si>
  <si>
    <t>Kích thước ô bản chọn</t>
  </si>
  <si>
    <t>L1 chọn</t>
  </si>
  <si>
    <t>L2 chọn</t>
  </si>
  <si>
    <t>STT</t>
  </si>
  <si>
    <t>'2A7A57</t>
  </si>
  <si>
    <t>*U3740</t>
  </si>
  <si>
    <t>'2A7FF5</t>
  </si>
  <si>
    <t>'2A9557</t>
  </si>
  <si>
    <t>'2A957F</t>
  </si>
  <si>
    <t>'2A97CF</t>
  </si>
  <si>
    <t>'2A97F7</t>
  </si>
  <si>
    <t>'2A78A8</t>
  </si>
  <si>
    <t>*U3778</t>
  </si>
  <si>
    <t>'2A7AA7</t>
  </si>
  <si>
    <t>*U3750</t>
  </si>
  <si>
    <t>'2A7F58</t>
  </si>
  <si>
    <t>'2A803F</t>
  </si>
  <si>
    <t>'2A96F1</t>
  </si>
  <si>
    <t>*U3794</t>
  </si>
  <si>
    <t>'2A78F8</t>
  </si>
  <si>
    <t>*U3774</t>
  </si>
  <si>
    <t>'2A7FA5</t>
  </si>
  <si>
    <t>'2A962D</t>
  </si>
  <si>
    <t>'2A9761</t>
  </si>
  <si>
    <t>'2A7A2F</t>
  </si>
  <si>
    <t>*U3736</t>
  </si>
  <si>
    <t>'2A7FCD</t>
  </si>
  <si>
    <t>'2A7EE8</t>
  </si>
  <si>
    <t>*U3786</t>
  </si>
  <si>
    <t>'2A7ACF</t>
  </si>
  <si>
    <t>*U3754</t>
  </si>
  <si>
    <t>'2A8067</t>
  </si>
  <si>
    <t>'2A7B47</t>
  </si>
  <si>
    <t>*U3766</t>
  </si>
  <si>
    <t>'2A7EC0</t>
  </si>
  <si>
    <t>'2A7AF7</t>
  </si>
  <si>
    <t>*U3758</t>
  </si>
  <si>
    <t>'2A808F</t>
  </si>
  <si>
    <t>'2A9655</t>
  </si>
  <si>
    <t>*U3792</t>
  </si>
  <si>
    <t>'2A978F</t>
  </si>
  <si>
    <t>hệ số phụ thuộc tải trọng</t>
  </si>
  <si>
    <t>hs</t>
  </si>
  <si>
    <t>mm</t>
  </si>
  <si>
    <t>Chọn kích thước sơ bộ cho dầm</t>
  </si>
  <si>
    <t>Dầm chính</t>
  </si>
  <si>
    <t>hd1</t>
  </si>
  <si>
    <t>hd2</t>
  </si>
  <si>
    <t>hd chọn</t>
  </si>
  <si>
    <t>bd1</t>
  </si>
  <si>
    <t>bd2</t>
  </si>
  <si>
    <t>bd chọn</t>
  </si>
  <si>
    <t>Kích thước dầm chính chọn</t>
  </si>
  <si>
    <t>Dầm phụ</t>
  </si>
  <si>
    <t>Kích thước dầm phụ chọn</t>
  </si>
  <si>
    <t>h chọn</t>
  </si>
  <si>
    <t>a=</t>
  </si>
  <si>
    <t>h0=</t>
  </si>
  <si>
    <t>Tính thép sàn</t>
  </si>
  <si>
    <t>Bản sàn 1 phương</t>
  </si>
  <si>
    <t>l2</t>
  </si>
  <si>
    <t>l1</t>
  </si>
  <si>
    <t>α</t>
  </si>
  <si>
    <t>Tên sàn chọn</t>
  </si>
  <si>
    <t>Ô sàn 1 phương chọn</t>
  </si>
  <si>
    <t>L1_</t>
  </si>
  <si>
    <t>L2_</t>
  </si>
  <si>
    <t>Tên Ô Sàn</t>
  </si>
  <si>
    <t>Tên Ô Sàn chọn</t>
  </si>
  <si>
    <t>CI (AI)</t>
  </si>
  <si>
    <t>CII(AII)</t>
  </si>
  <si>
    <t>CIII(AIII)</t>
  </si>
  <si>
    <t>TẢI SÀN TRUYỀN VÀO DẦM QUI THÀNH PHÂN BỐ ĐỀU</t>
  </si>
  <si>
    <t>Số hiệu ô sàn</t>
  </si>
  <si>
    <r>
      <rPr>
        <b/>
        <sz val="12"/>
        <rFont val="Times New Roman"/>
        <family val="1"/>
      </rPr>
      <t>Hoạt tải sàn
p</t>
    </r>
    <r>
      <rPr>
        <b/>
        <vertAlign val="subscript"/>
        <sz val="12"/>
        <rFont val="Times New Roman"/>
        <family val="1"/>
      </rPr>
      <t>tt</t>
    </r>
  </si>
  <si>
    <r>
      <rPr>
        <b/>
        <sz val="12"/>
        <rFont val="Times New Roman"/>
        <family val="1"/>
      </rPr>
      <t>Tĩnh tải sàn
g</t>
    </r>
    <r>
      <rPr>
        <b/>
        <vertAlign val="subscript"/>
        <sz val="12"/>
        <rFont val="Times New Roman"/>
        <family val="1"/>
      </rPr>
      <t>tt</t>
    </r>
    <r>
      <rPr>
        <b/>
        <sz val="12"/>
        <rFont val="Times New Roman"/>
        <family val="1"/>
      </rPr>
      <t xml:space="preserve"> </t>
    </r>
  </si>
  <si>
    <r>
      <rPr>
        <b/>
        <sz val="12"/>
        <rFont val="Times New Roman"/>
        <family val="1"/>
      </rPr>
      <t xml:space="preserve">Cạnh ngắn 
L1  </t>
    </r>
    <r>
      <rPr>
        <sz val="12"/>
        <rFont val="Times New Roman"/>
        <family val="1"/>
      </rPr>
      <t>(m)</t>
    </r>
  </si>
  <si>
    <r>
      <rPr>
        <b/>
        <sz val="12"/>
        <rFont val="Times New Roman"/>
        <family val="1"/>
      </rPr>
      <t>Cạnh dài  
L2</t>
    </r>
    <r>
      <rPr>
        <sz val="12"/>
        <rFont val="Times New Roman"/>
        <family val="1"/>
      </rPr>
      <t xml:space="preserve"> (m)</t>
    </r>
  </si>
  <si>
    <t>Hệ số β</t>
  </si>
  <si>
    <t>Hệ số  k</t>
  </si>
  <si>
    <t>Truyền tải
tam giác (TG)</t>
  </si>
  <si>
    <t>Truyền tải 
hình thang (HT)</t>
  </si>
  <si>
    <t>Hoạt tải</t>
  </si>
  <si>
    <t>Tĩnh tải</t>
  </si>
  <si>
    <t>S1A</t>
  </si>
  <si>
    <t>Hội trường</t>
  </si>
  <si>
    <t>Sân khấu</t>
  </si>
  <si>
    <t>S1B</t>
  </si>
  <si>
    <t>Ký</t>
  </si>
  <si>
    <t>Cạnh</t>
  </si>
  <si>
    <r>
      <t>a</t>
    </r>
    <r>
      <rPr>
        <sz val="13"/>
        <color indexed="8"/>
        <rFont val="Times New Roman"/>
        <family val="1"/>
      </rPr>
      <t>=L</t>
    </r>
    <r>
      <rPr>
        <vertAlign val="subscript"/>
        <sz val="13"/>
        <color indexed="8"/>
        <rFont val="Times New Roman"/>
        <family val="1"/>
      </rPr>
      <t>2</t>
    </r>
    <r>
      <rPr>
        <sz val="13"/>
        <color indexed="8"/>
        <rFont val="Times New Roman"/>
        <family val="1"/>
      </rPr>
      <t>/L</t>
    </r>
    <r>
      <rPr>
        <vertAlign val="subscript"/>
        <sz val="13"/>
        <color indexed="8"/>
        <rFont val="Times New Roman"/>
        <family val="1"/>
      </rPr>
      <t>1</t>
    </r>
  </si>
  <si>
    <t>Hoạt</t>
  </si>
  <si>
    <t>Tĩnh</t>
  </si>
  <si>
    <t>Tải</t>
  </si>
  <si>
    <r>
      <t>M</t>
    </r>
    <r>
      <rPr>
        <vertAlign val="subscript"/>
        <sz val="13"/>
        <color indexed="8"/>
        <rFont val="Times New Roman"/>
        <family val="1"/>
      </rPr>
      <t>1</t>
    </r>
  </si>
  <si>
    <t>hiệu</t>
  </si>
  <si>
    <t>ngắn</t>
  </si>
  <si>
    <t>dài</t>
  </si>
  <si>
    <t>tải</t>
  </si>
  <si>
    <t>toàn</t>
  </si>
  <si>
    <r>
      <t>M</t>
    </r>
    <r>
      <rPr>
        <vertAlign val="subscript"/>
        <sz val="13"/>
        <color indexed="8"/>
        <rFont val="Times New Roman"/>
        <family val="1"/>
      </rPr>
      <t>I</t>
    </r>
  </si>
  <si>
    <t>ô</t>
  </si>
  <si>
    <r>
      <t>L</t>
    </r>
    <r>
      <rPr>
        <vertAlign val="subscript"/>
        <sz val="13"/>
        <color indexed="8"/>
        <rFont val="Times New Roman"/>
        <family val="1"/>
      </rPr>
      <t>1</t>
    </r>
  </si>
  <si>
    <r>
      <t>L</t>
    </r>
    <r>
      <rPr>
        <vertAlign val="subscript"/>
        <sz val="13"/>
        <color indexed="8"/>
        <rFont val="Times New Roman"/>
        <family val="1"/>
      </rPr>
      <t>2</t>
    </r>
  </si>
  <si>
    <r>
      <t>P</t>
    </r>
    <r>
      <rPr>
        <vertAlign val="superscript"/>
        <sz val="13"/>
        <color indexed="8"/>
        <rFont val="Times New Roman"/>
        <family val="1"/>
      </rPr>
      <t>tt</t>
    </r>
  </si>
  <si>
    <r>
      <t>G</t>
    </r>
    <r>
      <rPr>
        <vertAlign val="superscript"/>
        <sz val="13"/>
        <color indexed="8"/>
        <rFont val="Times New Roman"/>
        <family val="1"/>
      </rPr>
      <t>tt</t>
    </r>
  </si>
  <si>
    <t>phần</t>
  </si>
  <si>
    <t>(daNm)</t>
  </si>
  <si>
    <t>sàn</t>
  </si>
  <si>
    <r>
      <t>(daN/m</t>
    </r>
    <r>
      <rPr>
        <vertAlign val="superscript"/>
        <sz val="13"/>
        <color indexed="8"/>
        <rFont val="Times New Roman"/>
        <family val="1"/>
      </rPr>
      <t>2</t>
    </r>
    <r>
      <rPr>
        <sz val="13"/>
        <color indexed="8"/>
        <rFont val="Times New Roman"/>
        <family val="1"/>
      </rPr>
      <t>)</t>
    </r>
  </si>
  <si>
    <t>q</t>
  </si>
  <si>
    <t>Bảng 0‑5: Tải tường qui về phân bố đều trên sàn S1A</t>
  </si>
  <si>
    <t>3,8x2 + 4,3x2 +  1,375x2</t>
  </si>
  <si>
    <t>L</t>
  </si>
  <si>
    <t>Bảng 0‑5: Tải tường qui về phân bố đều trên sàn S3</t>
  </si>
  <si>
    <t>BẢNG TÍNH và BỐ TRÍ THÉP SÀN</t>
  </si>
  <si>
    <r>
      <t>Ghi chú:</t>
    </r>
    <r>
      <rPr>
        <i/>
        <sz val="12"/>
        <rFont val="Times New Roman"/>
        <family val="1"/>
      </rPr>
      <t xml:space="preserve"> </t>
    </r>
  </si>
  <si>
    <r>
      <t xml:space="preserve">    -  Hàm lượng </t>
    </r>
    <r>
      <rPr>
        <sz val="12"/>
        <rFont val="Symbol"/>
        <family val="1"/>
        <charset val="2"/>
      </rPr>
      <t>m</t>
    </r>
    <r>
      <rPr>
        <vertAlign val="subscript"/>
        <sz val="12"/>
        <rFont val="Times New Roman"/>
        <family val="1"/>
      </rPr>
      <t>min</t>
    </r>
    <r>
      <rPr>
        <sz val="12"/>
        <rFont val="Times New Roman"/>
        <family val="1"/>
      </rPr>
      <t>= 0.1%</t>
    </r>
  </si>
  <si>
    <r>
      <t xml:space="preserve">    -  Hàm lượng </t>
    </r>
    <r>
      <rPr>
        <sz val="12"/>
        <rFont val="Symbol"/>
        <family val="1"/>
        <charset val="2"/>
      </rPr>
      <t>m</t>
    </r>
    <r>
      <rPr>
        <vertAlign val="subscript"/>
        <sz val="12"/>
        <rFont val="Times New Roman"/>
        <family val="1"/>
      </rPr>
      <t>max</t>
    </r>
    <r>
      <rPr>
        <sz val="12"/>
        <rFont val="Times New Roman"/>
        <family val="1"/>
      </rPr>
      <t xml:space="preserve"> = 1.5%</t>
    </r>
  </si>
  <si>
    <r>
      <t xml:space="preserve">    -  Cấp độ bền BT   </t>
    </r>
    <r>
      <rPr>
        <b/>
        <sz val="12"/>
        <color indexed="10"/>
        <rFont val="Times New Roman"/>
        <family val="1"/>
      </rPr>
      <t>B</t>
    </r>
  </si>
  <si>
    <r>
      <t>R</t>
    </r>
    <r>
      <rPr>
        <vertAlign val="subscript"/>
        <sz val="12"/>
        <rFont val="Times New Roman"/>
        <family val="1"/>
      </rPr>
      <t>b</t>
    </r>
    <r>
      <rPr>
        <sz val="12"/>
        <rFont val="Times New Roman"/>
        <family val="1"/>
      </rPr>
      <t xml:space="preserve"> =</t>
    </r>
  </si>
  <si>
    <t>MPa</t>
  </si>
  <si>
    <t xml:space="preserve">    -  Có thể toàn bộ sàn có thép thuộc nhóm CI (A-I) hoặc có cả CI (A-I) lẫn CII (A-II)</t>
  </si>
  <si>
    <t xml:space="preserve">Ký hiệu </t>
  </si>
  <si>
    <t>Momen</t>
  </si>
  <si>
    <t>Giá trị M</t>
  </si>
  <si>
    <r>
      <t>h</t>
    </r>
    <r>
      <rPr>
        <vertAlign val="subscript"/>
        <sz val="12"/>
        <rFont val="Times New Roman"/>
        <family val="1"/>
      </rPr>
      <t>o</t>
    </r>
  </si>
  <si>
    <t>b</t>
  </si>
  <si>
    <r>
      <t>R</t>
    </r>
    <r>
      <rPr>
        <vertAlign val="subscript"/>
        <sz val="12"/>
        <rFont val="Times New Roman"/>
        <family val="1"/>
      </rPr>
      <t>b</t>
    </r>
  </si>
  <si>
    <r>
      <t>R</t>
    </r>
    <r>
      <rPr>
        <vertAlign val="subscript"/>
        <sz val="12"/>
        <rFont val="Times New Roman"/>
        <family val="1"/>
      </rPr>
      <t>s</t>
    </r>
  </si>
  <si>
    <r>
      <t>a</t>
    </r>
    <r>
      <rPr>
        <vertAlign val="subscript"/>
        <sz val="12"/>
        <rFont val="Times New Roman"/>
        <family val="1"/>
      </rPr>
      <t>m</t>
    </r>
  </si>
  <si>
    <t>z</t>
  </si>
  <si>
    <r>
      <t>A</t>
    </r>
    <r>
      <rPr>
        <vertAlign val="subscript"/>
        <sz val="12"/>
        <rFont val="Times New Roman"/>
        <family val="1"/>
      </rPr>
      <t>s</t>
    </r>
  </si>
  <si>
    <t xml:space="preserve">              Chọn thép</t>
  </si>
  <si>
    <t>m%</t>
  </si>
  <si>
    <t>Chọn</t>
  </si>
  <si>
    <r>
      <t>F</t>
    </r>
    <r>
      <rPr>
        <b/>
        <vertAlign val="subscript"/>
        <sz val="11"/>
        <rFont val="Times New Roman"/>
        <family val="1"/>
      </rPr>
      <t>a</t>
    </r>
  </si>
  <si>
    <t>ô sàn</t>
  </si>
  <si>
    <r>
      <t>(cm</t>
    </r>
    <r>
      <rPr>
        <i/>
        <vertAlign val="superscript"/>
        <sz val="12"/>
        <rFont val="Times New Roman"/>
        <family val="1"/>
      </rPr>
      <t>2</t>
    </r>
    <r>
      <rPr>
        <i/>
        <sz val="12"/>
        <rFont val="Times New Roman"/>
        <family val="1"/>
      </rPr>
      <t>)</t>
    </r>
  </si>
  <si>
    <t>f</t>
  </si>
  <si>
    <t>a (m.m)</t>
  </si>
  <si>
    <t>chọn</t>
  </si>
  <si>
    <t>thép</t>
  </si>
  <si>
    <r>
      <t>M</t>
    </r>
    <r>
      <rPr>
        <vertAlign val="subscript"/>
        <sz val="12"/>
        <rFont val="Times New Roman"/>
        <family val="1"/>
      </rPr>
      <t>1</t>
    </r>
  </si>
  <si>
    <t>Ø6a200</t>
  </si>
  <si>
    <r>
      <t>M</t>
    </r>
    <r>
      <rPr>
        <vertAlign val="subscript"/>
        <sz val="12"/>
        <rFont val="Times New Roman"/>
        <family val="1"/>
      </rPr>
      <t>I</t>
    </r>
  </si>
  <si>
    <t>Ø6a150</t>
  </si>
  <si>
    <t>As</t>
  </si>
  <si>
    <t>BẢNG TRA THÉP SÀN THEO SỔ TAY TRANG 115</t>
  </si>
  <si>
    <t>Khoảng cách thép</t>
  </si>
  <si>
    <t>Đường kính mm</t>
  </si>
  <si>
    <t>Cm</t>
  </si>
  <si>
    <t>Ø6a100</t>
  </si>
  <si>
    <t>Ø8a100</t>
  </si>
  <si>
    <t>Ø10a100</t>
  </si>
  <si>
    <t>Ø12a100</t>
  </si>
  <si>
    <t>Ø14a100</t>
  </si>
  <si>
    <t>Ø16a100</t>
  </si>
  <si>
    <t>ØØ6a110</t>
  </si>
  <si>
    <t>Ø8a110</t>
  </si>
  <si>
    <t>Ø10a110</t>
  </si>
  <si>
    <t>Ø12a110</t>
  </si>
  <si>
    <t>Ø14a110</t>
  </si>
  <si>
    <t>Ø16a110</t>
  </si>
  <si>
    <t>Ø6a120</t>
  </si>
  <si>
    <t>Ø8a120</t>
  </si>
  <si>
    <t>Ø10a120</t>
  </si>
  <si>
    <t>Ø12a120</t>
  </si>
  <si>
    <t>Ø14a120</t>
  </si>
  <si>
    <t>Ø16a120</t>
  </si>
  <si>
    <t>Ø6a130</t>
  </si>
  <si>
    <t>Ø8a130</t>
  </si>
  <si>
    <t>Ø10a130</t>
  </si>
  <si>
    <t>Ø12a130</t>
  </si>
  <si>
    <t>Ø14a130</t>
  </si>
  <si>
    <t>Ø16a130</t>
  </si>
  <si>
    <t>Ø6a140</t>
  </si>
  <si>
    <t>Ø8a140</t>
  </si>
  <si>
    <t>Ø10a140</t>
  </si>
  <si>
    <t>Ø12a140</t>
  </si>
  <si>
    <t>Ø14a140</t>
  </si>
  <si>
    <t>Ø16a140</t>
  </si>
  <si>
    <t>Ø8a150</t>
  </si>
  <si>
    <t>Ø10a150</t>
  </si>
  <si>
    <t>Ø12a150</t>
  </si>
  <si>
    <t>Ø14a150</t>
  </si>
  <si>
    <t>Ø16a150</t>
  </si>
  <si>
    <t>Ø8a200</t>
  </si>
  <si>
    <t>Ø10a200</t>
  </si>
  <si>
    <t>Ø12a200</t>
  </si>
  <si>
    <t>Ø14a200</t>
  </si>
  <si>
    <t>Ø16a200</t>
  </si>
  <si>
    <t>qtt</t>
  </si>
  <si>
    <t>qht</t>
  </si>
  <si>
    <t>Mn</t>
  </si>
  <si>
    <t>Knm</t>
  </si>
  <si>
    <t>Mg</t>
  </si>
  <si>
    <t>αm</t>
  </si>
  <si>
    <t>ξ</t>
  </si>
  <si>
    <t>y</t>
  </si>
  <si>
    <t>số thanh thép theo chiều ngắn</t>
  </si>
  <si>
    <t>@</t>
  </si>
  <si>
    <t>Thép gối</t>
  </si>
  <si>
    <t>Thép nhịp</t>
  </si>
  <si>
    <t>số thanh thép theo chiều dài</t>
  </si>
  <si>
    <t>Trụ Sở Làm Việc Xã Tân Ân -Huyện Ngọc Hiển-Tỉnh Cà Mau</t>
  </si>
  <si>
    <t>SƠ ĐỒ 1 (bản kê 4 cạnh)</t>
  </si>
  <si>
    <t>SƠ ĐỒ 2 (bản kê 3 cạnh)</t>
  </si>
  <si>
    <t>SƠ ĐỒ 3 (bản kê 3 cạnh)</t>
  </si>
  <si>
    <t>SƠ ĐỒ 4 (bản kê 2 cạnh)</t>
  </si>
  <si>
    <t>SƠ ĐỒ 5 (bản kê 2 cạnh)</t>
  </si>
  <si>
    <t>SƠ ĐỒ 6 (bản kê 2 cạnh)</t>
  </si>
  <si>
    <t>SƠ ĐỒ 7 (bản kê 1 cạnh)</t>
  </si>
  <si>
    <t>SƠ ĐỒ 8 (bản kê 1 cạnh)</t>
  </si>
  <si>
    <t>SƠ ĐỒ 9(ngàm 4 cạnh)</t>
  </si>
  <si>
    <t>SƠ ĐỒ 10 (bản kê 1 cạnh)</t>
  </si>
  <si>
    <t>SƠ ĐỒ 11 (bản kê 1 cạnh)</t>
  </si>
  <si>
    <t>L2/L1</t>
  </si>
  <si>
    <t>m11</t>
  </si>
  <si>
    <t>m12</t>
  </si>
  <si>
    <t>k11</t>
  </si>
  <si>
    <t>k12</t>
  </si>
  <si>
    <t>m21</t>
  </si>
  <si>
    <t>m22</t>
  </si>
  <si>
    <t>k21</t>
  </si>
  <si>
    <t>k22</t>
  </si>
  <si>
    <t>m31</t>
  </si>
  <si>
    <t>m32</t>
  </si>
  <si>
    <t>k31</t>
  </si>
  <si>
    <t>k32</t>
  </si>
  <si>
    <t>m41</t>
  </si>
  <si>
    <t>m42</t>
  </si>
  <si>
    <t>k41</t>
  </si>
  <si>
    <t>k42</t>
  </si>
  <si>
    <t>m51</t>
  </si>
  <si>
    <t>m52</t>
  </si>
  <si>
    <t>k51</t>
  </si>
  <si>
    <t>k52</t>
  </si>
  <si>
    <t>m61</t>
  </si>
  <si>
    <t>m62</t>
  </si>
  <si>
    <t>k61</t>
  </si>
  <si>
    <t>k62</t>
  </si>
  <si>
    <t>m71</t>
  </si>
  <si>
    <t>m72</t>
  </si>
  <si>
    <t>k71</t>
  </si>
  <si>
    <t>k72</t>
  </si>
  <si>
    <t>m81</t>
  </si>
  <si>
    <t>m82</t>
  </si>
  <si>
    <t>k81</t>
  </si>
  <si>
    <t>k82</t>
  </si>
  <si>
    <t>m91</t>
  </si>
  <si>
    <t>m92</t>
  </si>
  <si>
    <t>k91</t>
  </si>
  <si>
    <t>k92</t>
  </si>
  <si>
    <t>m101</t>
  </si>
  <si>
    <t>m102</t>
  </si>
  <si>
    <t>k101</t>
  </si>
  <si>
    <t>k102</t>
  </si>
  <si>
    <t>m111</t>
  </si>
  <si>
    <t>m112</t>
  </si>
  <si>
    <t>k111</t>
  </si>
  <si>
    <t>k112</t>
  </si>
  <si>
    <t># bêtông</t>
  </si>
  <si>
    <t>Rn</t>
  </si>
  <si>
    <t>CI</t>
  </si>
  <si>
    <t>CII</t>
  </si>
  <si>
    <t>CIII</t>
  </si>
  <si>
    <t>CIV</t>
  </si>
  <si>
    <t>Ra</t>
  </si>
  <si>
    <t>AI</t>
  </si>
  <si>
    <t>AII</t>
  </si>
  <si>
    <t>AIII</t>
  </si>
  <si>
    <t>AIV</t>
  </si>
  <si>
    <t>SƠ ĐỒ</t>
  </si>
  <si>
    <r>
      <t>m</t>
    </r>
    <r>
      <rPr>
        <b/>
        <vertAlign val="subscript"/>
        <sz val="11"/>
        <rFont val="Times New Roman"/>
        <family val="1"/>
      </rPr>
      <t>11</t>
    </r>
  </si>
  <si>
    <r>
      <t>m</t>
    </r>
    <r>
      <rPr>
        <b/>
        <vertAlign val="subscript"/>
        <sz val="11"/>
        <rFont val="Times New Roman"/>
        <family val="1"/>
      </rPr>
      <t>21</t>
    </r>
  </si>
  <si>
    <r>
      <t>m</t>
    </r>
    <r>
      <rPr>
        <b/>
        <vertAlign val="subscript"/>
        <sz val="11"/>
        <rFont val="Times New Roman"/>
        <family val="1"/>
      </rPr>
      <t>31</t>
    </r>
    <r>
      <rPr>
        <sz val="10"/>
        <rFont val="Arial"/>
        <family val="2"/>
      </rPr>
      <t/>
    </r>
  </si>
  <si>
    <r>
      <t>m</t>
    </r>
    <r>
      <rPr>
        <b/>
        <vertAlign val="subscript"/>
        <sz val="11"/>
        <rFont val="Times New Roman"/>
        <family val="1"/>
      </rPr>
      <t>41</t>
    </r>
    <r>
      <rPr>
        <sz val="10"/>
        <rFont val="Arial"/>
        <family val="2"/>
      </rPr>
      <t/>
    </r>
  </si>
  <si>
    <r>
      <t>m</t>
    </r>
    <r>
      <rPr>
        <b/>
        <vertAlign val="subscript"/>
        <sz val="11"/>
        <rFont val="Times New Roman"/>
        <family val="1"/>
      </rPr>
      <t>51</t>
    </r>
    <r>
      <rPr>
        <sz val="10"/>
        <rFont val="Arial"/>
        <family val="2"/>
      </rPr>
      <t/>
    </r>
  </si>
  <si>
    <r>
      <t>m</t>
    </r>
    <r>
      <rPr>
        <b/>
        <vertAlign val="subscript"/>
        <sz val="11"/>
        <rFont val="Times New Roman"/>
        <family val="1"/>
      </rPr>
      <t>61</t>
    </r>
    <r>
      <rPr>
        <sz val="10"/>
        <rFont val="Arial"/>
        <family val="2"/>
      </rPr>
      <t/>
    </r>
  </si>
  <si>
    <r>
      <t>m</t>
    </r>
    <r>
      <rPr>
        <b/>
        <vertAlign val="subscript"/>
        <sz val="11"/>
        <rFont val="Times New Roman"/>
        <family val="1"/>
      </rPr>
      <t>71</t>
    </r>
    <r>
      <rPr>
        <sz val="10"/>
        <rFont val="Arial"/>
        <family val="2"/>
      </rPr>
      <t/>
    </r>
  </si>
  <si>
    <r>
      <t>m</t>
    </r>
    <r>
      <rPr>
        <b/>
        <vertAlign val="subscript"/>
        <sz val="11"/>
        <rFont val="Times New Roman"/>
        <family val="1"/>
      </rPr>
      <t>81</t>
    </r>
    <r>
      <rPr>
        <sz val="10"/>
        <rFont val="Arial"/>
        <family val="2"/>
      </rPr>
      <t/>
    </r>
  </si>
  <si>
    <r>
      <t>m</t>
    </r>
    <r>
      <rPr>
        <b/>
        <vertAlign val="subscript"/>
        <sz val="11"/>
        <rFont val="Times New Roman"/>
        <family val="1"/>
      </rPr>
      <t>91</t>
    </r>
    <r>
      <rPr>
        <sz val="10"/>
        <rFont val="Arial"/>
        <family val="2"/>
      </rPr>
      <t/>
    </r>
  </si>
  <si>
    <r>
      <t>m</t>
    </r>
    <r>
      <rPr>
        <b/>
        <vertAlign val="subscript"/>
        <sz val="11"/>
        <rFont val="Times New Roman"/>
        <family val="1"/>
      </rPr>
      <t>101</t>
    </r>
    <r>
      <rPr>
        <sz val="10"/>
        <rFont val="Arial"/>
        <family val="2"/>
      </rPr>
      <t/>
    </r>
  </si>
  <si>
    <r>
      <t>m</t>
    </r>
    <r>
      <rPr>
        <b/>
        <vertAlign val="subscript"/>
        <sz val="11"/>
        <rFont val="Times New Roman"/>
        <family val="1"/>
      </rPr>
      <t>111</t>
    </r>
    <r>
      <rPr>
        <sz val="10"/>
        <rFont val="Arial"/>
        <family val="2"/>
      </rPr>
      <t/>
    </r>
  </si>
  <si>
    <r>
      <t>m</t>
    </r>
    <r>
      <rPr>
        <b/>
        <vertAlign val="subscript"/>
        <sz val="11"/>
        <rFont val="Times New Roman"/>
        <family val="1"/>
      </rPr>
      <t>12</t>
    </r>
  </si>
  <si>
    <r>
      <t>m</t>
    </r>
    <r>
      <rPr>
        <b/>
        <vertAlign val="subscript"/>
        <sz val="11"/>
        <rFont val="Times New Roman"/>
        <family val="1"/>
      </rPr>
      <t>22</t>
    </r>
  </si>
  <si>
    <r>
      <t>m</t>
    </r>
    <r>
      <rPr>
        <b/>
        <vertAlign val="subscript"/>
        <sz val="11"/>
        <rFont val="Times New Roman"/>
        <family val="1"/>
      </rPr>
      <t>32</t>
    </r>
    <r>
      <rPr>
        <sz val="10"/>
        <rFont val="Arial"/>
        <family val="2"/>
      </rPr>
      <t/>
    </r>
  </si>
  <si>
    <r>
      <t>m</t>
    </r>
    <r>
      <rPr>
        <b/>
        <vertAlign val="subscript"/>
        <sz val="11"/>
        <rFont val="Times New Roman"/>
        <family val="1"/>
      </rPr>
      <t>42</t>
    </r>
    <r>
      <rPr>
        <sz val="10"/>
        <rFont val="Arial"/>
        <family val="2"/>
      </rPr>
      <t/>
    </r>
  </si>
  <si>
    <r>
      <t>m</t>
    </r>
    <r>
      <rPr>
        <b/>
        <vertAlign val="subscript"/>
        <sz val="11"/>
        <rFont val="Times New Roman"/>
        <family val="1"/>
      </rPr>
      <t>52</t>
    </r>
    <r>
      <rPr>
        <sz val="10"/>
        <rFont val="Arial"/>
        <family val="2"/>
      </rPr>
      <t/>
    </r>
  </si>
  <si>
    <r>
      <t>m</t>
    </r>
    <r>
      <rPr>
        <b/>
        <vertAlign val="subscript"/>
        <sz val="11"/>
        <rFont val="Times New Roman"/>
        <family val="1"/>
      </rPr>
      <t>62</t>
    </r>
    <r>
      <rPr>
        <sz val="10"/>
        <rFont val="Arial"/>
        <family val="2"/>
      </rPr>
      <t/>
    </r>
  </si>
  <si>
    <r>
      <t>m</t>
    </r>
    <r>
      <rPr>
        <b/>
        <vertAlign val="subscript"/>
        <sz val="11"/>
        <rFont val="Times New Roman"/>
        <family val="1"/>
      </rPr>
      <t>72</t>
    </r>
    <r>
      <rPr>
        <sz val="10"/>
        <rFont val="Arial"/>
        <family val="2"/>
      </rPr>
      <t/>
    </r>
  </si>
  <si>
    <r>
      <t>m</t>
    </r>
    <r>
      <rPr>
        <b/>
        <vertAlign val="subscript"/>
        <sz val="11"/>
        <rFont val="Times New Roman"/>
        <family val="1"/>
      </rPr>
      <t>82</t>
    </r>
    <r>
      <rPr>
        <sz val="10"/>
        <rFont val="Arial"/>
        <family val="2"/>
      </rPr>
      <t/>
    </r>
  </si>
  <si>
    <r>
      <t>m</t>
    </r>
    <r>
      <rPr>
        <b/>
        <vertAlign val="subscript"/>
        <sz val="11"/>
        <rFont val="Times New Roman"/>
        <family val="1"/>
      </rPr>
      <t>92</t>
    </r>
    <r>
      <rPr>
        <sz val="10"/>
        <rFont val="Arial"/>
        <family val="2"/>
      </rPr>
      <t/>
    </r>
  </si>
  <si>
    <r>
      <t>m</t>
    </r>
    <r>
      <rPr>
        <b/>
        <vertAlign val="subscript"/>
        <sz val="11"/>
        <rFont val="Times New Roman"/>
        <family val="1"/>
      </rPr>
      <t>102</t>
    </r>
    <r>
      <rPr>
        <sz val="10"/>
        <rFont val="Arial"/>
        <family val="2"/>
      </rPr>
      <t/>
    </r>
  </si>
  <si>
    <r>
      <t>m</t>
    </r>
    <r>
      <rPr>
        <b/>
        <vertAlign val="subscript"/>
        <sz val="11"/>
        <rFont val="Times New Roman"/>
        <family val="1"/>
      </rPr>
      <t>112</t>
    </r>
    <r>
      <rPr>
        <sz val="10"/>
        <rFont val="Arial"/>
        <family val="2"/>
      </rPr>
      <t/>
    </r>
  </si>
  <si>
    <r>
      <t>k</t>
    </r>
    <r>
      <rPr>
        <b/>
        <vertAlign val="subscript"/>
        <sz val="11"/>
        <rFont val="Times New Roman"/>
        <family val="1"/>
      </rPr>
      <t>11</t>
    </r>
  </si>
  <si>
    <r>
      <t>k</t>
    </r>
    <r>
      <rPr>
        <b/>
        <vertAlign val="subscript"/>
        <sz val="11"/>
        <rFont val="Times New Roman"/>
        <family val="1"/>
      </rPr>
      <t>21</t>
    </r>
  </si>
  <si>
    <r>
      <t>k</t>
    </r>
    <r>
      <rPr>
        <b/>
        <vertAlign val="subscript"/>
        <sz val="11"/>
        <rFont val="Times New Roman"/>
        <family val="1"/>
      </rPr>
      <t>31</t>
    </r>
    <r>
      <rPr>
        <sz val="10"/>
        <rFont val="Arial"/>
        <family val="2"/>
      </rPr>
      <t/>
    </r>
  </si>
  <si>
    <r>
      <t>k</t>
    </r>
    <r>
      <rPr>
        <b/>
        <vertAlign val="subscript"/>
        <sz val="11"/>
        <rFont val="Times New Roman"/>
        <family val="1"/>
      </rPr>
      <t>41</t>
    </r>
  </si>
  <si>
    <r>
      <t>k</t>
    </r>
    <r>
      <rPr>
        <b/>
        <vertAlign val="subscript"/>
        <sz val="11"/>
        <rFont val="Times New Roman"/>
        <family val="1"/>
      </rPr>
      <t>51</t>
    </r>
    <r>
      <rPr>
        <sz val="10"/>
        <rFont val="Arial"/>
        <family val="2"/>
      </rPr>
      <t/>
    </r>
  </si>
  <si>
    <r>
      <t>k</t>
    </r>
    <r>
      <rPr>
        <b/>
        <vertAlign val="subscript"/>
        <sz val="11"/>
        <rFont val="Times New Roman"/>
        <family val="1"/>
      </rPr>
      <t>61</t>
    </r>
    <r>
      <rPr>
        <sz val="10"/>
        <rFont val="Arial"/>
        <family val="2"/>
      </rPr>
      <t/>
    </r>
  </si>
  <si>
    <r>
      <t>k</t>
    </r>
    <r>
      <rPr>
        <b/>
        <vertAlign val="subscript"/>
        <sz val="11"/>
        <rFont val="Times New Roman"/>
        <family val="1"/>
      </rPr>
      <t>71</t>
    </r>
    <r>
      <rPr>
        <sz val="10"/>
        <rFont val="Arial"/>
        <family val="2"/>
      </rPr>
      <t/>
    </r>
  </si>
  <si>
    <r>
      <t>k</t>
    </r>
    <r>
      <rPr>
        <b/>
        <vertAlign val="subscript"/>
        <sz val="11"/>
        <rFont val="Times New Roman"/>
        <family val="1"/>
      </rPr>
      <t>81</t>
    </r>
    <r>
      <rPr>
        <sz val="10"/>
        <rFont val="Arial"/>
        <family val="2"/>
      </rPr>
      <t/>
    </r>
  </si>
  <si>
    <r>
      <t>k</t>
    </r>
    <r>
      <rPr>
        <b/>
        <vertAlign val="subscript"/>
        <sz val="11"/>
        <rFont val="Times New Roman"/>
        <family val="1"/>
      </rPr>
      <t>91</t>
    </r>
    <r>
      <rPr>
        <sz val="10"/>
        <rFont val="Arial"/>
        <family val="2"/>
      </rPr>
      <t/>
    </r>
  </si>
  <si>
    <r>
      <t>k</t>
    </r>
    <r>
      <rPr>
        <b/>
        <vertAlign val="subscript"/>
        <sz val="11"/>
        <rFont val="Times New Roman"/>
        <family val="1"/>
      </rPr>
      <t>101</t>
    </r>
    <r>
      <rPr>
        <sz val="10"/>
        <rFont val="Arial"/>
        <family val="2"/>
      </rPr>
      <t/>
    </r>
  </si>
  <si>
    <r>
      <t>k</t>
    </r>
    <r>
      <rPr>
        <b/>
        <vertAlign val="subscript"/>
        <sz val="11"/>
        <rFont val="Times New Roman"/>
        <family val="1"/>
      </rPr>
      <t>111</t>
    </r>
    <r>
      <rPr>
        <sz val="10"/>
        <rFont val="Arial"/>
        <family val="2"/>
      </rPr>
      <t/>
    </r>
  </si>
  <si>
    <r>
      <t>k</t>
    </r>
    <r>
      <rPr>
        <b/>
        <vertAlign val="subscript"/>
        <sz val="11"/>
        <rFont val="Times New Roman"/>
        <family val="1"/>
      </rPr>
      <t>12</t>
    </r>
  </si>
  <si>
    <r>
      <t>k</t>
    </r>
    <r>
      <rPr>
        <b/>
        <vertAlign val="subscript"/>
        <sz val="11"/>
        <rFont val="Times New Roman"/>
        <family val="1"/>
      </rPr>
      <t>22</t>
    </r>
  </si>
  <si>
    <r>
      <t>k</t>
    </r>
    <r>
      <rPr>
        <b/>
        <vertAlign val="subscript"/>
        <sz val="11"/>
        <rFont val="Times New Roman"/>
        <family val="1"/>
      </rPr>
      <t>32</t>
    </r>
  </si>
  <si>
    <r>
      <t>k</t>
    </r>
    <r>
      <rPr>
        <b/>
        <vertAlign val="subscript"/>
        <sz val="11"/>
        <rFont val="Times New Roman"/>
        <family val="1"/>
      </rPr>
      <t>42</t>
    </r>
    <r>
      <rPr>
        <sz val="10"/>
        <rFont val="Arial"/>
        <family val="2"/>
      </rPr>
      <t/>
    </r>
  </si>
  <si>
    <r>
      <t>k</t>
    </r>
    <r>
      <rPr>
        <b/>
        <vertAlign val="subscript"/>
        <sz val="11"/>
        <rFont val="Times New Roman"/>
        <family val="1"/>
      </rPr>
      <t>52</t>
    </r>
    <r>
      <rPr>
        <sz val="10"/>
        <rFont val="Arial"/>
        <family val="2"/>
      </rPr>
      <t/>
    </r>
  </si>
  <si>
    <r>
      <t>k</t>
    </r>
    <r>
      <rPr>
        <b/>
        <vertAlign val="subscript"/>
        <sz val="11"/>
        <rFont val="Times New Roman"/>
        <family val="1"/>
      </rPr>
      <t>62</t>
    </r>
    <r>
      <rPr>
        <sz val="10"/>
        <rFont val="Arial"/>
        <family val="2"/>
      </rPr>
      <t/>
    </r>
  </si>
  <si>
    <r>
      <t>k</t>
    </r>
    <r>
      <rPr>
        <b/>
        <vertAlign val="subscript"/>
        <sz val="11"/>
        <rFont val="Times New Roman"/>
        <family val="1"/>
      </rPr>
      <t>72</t>
    </r>
    <r>
      <rPr>
        <sz val="10"/>
        <rFont val="Arial"/>
        <family val="2"/>
      </rPr>
      <t/>
    </r>
  </si>
  <si>
    <r>
      <t>k</t>
    </r>
    <r>
      <rPr>
        <b/>
        <vertAlign val="subscript"/>
        <sz val="11"/>
        <rFont val="Times New Roman"/>
        <family val="1"/>
      </rPr>
      <t>82</t>
    </r>
    <r>
      <rPr>
        <sz val="10"/>
        <rFont val="Arial"/>
        <family val="2"/>
      </rPr>
      <t/>
    </r>
  </si>
  <si>
    <r>
      <t>k</t>
    </r>
    <r>
      <rPr>
        <b/>
        <vertAlign val="subscript"/>
        <sz val="11"/>
        <rFont val="Times New Roman"/>
        <family val="1"/>
      </rPr>
      <t>92</t>
    </r>
    <r>
      <rPr>
        <sz val="10"/>
        <rFont val="Arial"/>
        <family val="2"/>
      </rPr>
      <t/>
    </r>
  </si>
  <si>
    <r>
      <t>k</t>
    </r>
    <r>
      <rPr>
        <b/>
        <vertAlign val="subscript"/>
        <sz val="11"/>
        <rFont val="Times New Roman"/>
        <family val="1"/>
      </rPr>
      <t>102</t>
    </r>
    <r>
      <rPr>
        <sz val="10"/>
        <rFont val="Arial"/>
        <family val="2"/>
      </rPr>
      <t/>
    </r>
  </si>
  <si>
    <r>
      <t>k</t>
    </r>
    <r>
      <rPr>
        <b/>
        <vertAlign val="subscript"/>
        <sz val="11"/>
        <rFont val="Times New Roman"/>
        <family val="1"/>
      </rPr>
      <t>112</t>
    </r>
    <r>
      <rPr>
        <sz val="10"/>
        <rFont val="Arial"/>
        <family val="2"/>
      </rPr>
      <t/>
    </r>
  </si>
  <si>
    <t>m1</t>
  </si>
  <si>
    <t>k1</t>
  </si>
  <si>
    <t>k2</t>
  </si>
  <si>
    <t>(Chú ý kiểm tra lại trước khi sử dụng)</t>
  </si>
  <si>
    <t>Sơ đồ</t>
  </si>
  <si>
    <t>BẢNG TÍNH NỘI LỰC SÀN HAI PHƯƠNG</t>
  </si>
  <si>
    <t>Số</t>
  </si>
  <si>
    <r>
      <t>M</t>
    </r>
    <r>
      <rPr>
        <b/>
        <vertAlign val="subscript"/>
        <sz val="11"/>
        <rFont val="Times New Roman"/>
        <family val="1"/>
      </rPr>
      <t>1</t>
    </r>
  </si>
  <si>
    <r>
      <t>M</t>
    </r>
    <r>
      <rPr>
        <b/>
        <vertAlign val="subscript"/>
        <sz val="11"/>
        <rFont val="Times New Roman"/>
        <family val="1"/>
      </rPr>
      <t>2</t>
    </r>
  </si>
  <si>
    <r>
      <t>L</t>
    </r>
    <r>
      <rPr>
        <b/>
        <vertAlign val="subscript"/>
        <sz val="11"/>
        <rFont val="Times New Roman"/>
        <family val="1"/>
      </rPr>
      <t>1</t>
    </r>
  </si>
  <si>
    <r>
      <t>L</t>
    </r>
    <r>
      <rPr>
        <b/>
        <vertAlign val="subscript"/>
        <sz val="11"/>
        <rFont val="Times New Roman"/>
        <family val="1"/>
      </rPr>
      <t>2</t>
    </r>
  </si>
  <si>
    <r>
      <t>p</t>
    </r>
    <r>
      <rPr>
        <vertAlign val="subscript"/>
        <sz val="12"/>
        <rFont val="Times New Roman"/>
        <family val="1"/>
      </rPr>
      <t>tt</t>
    </r>
  </si>
  <si>
    <r>
      <t>g</t>
    </r>
    <r>
      <rPr>
        <vertAlign val="subscript"/>
        <sz val="12"/>
        <rFont val="Times New Roman"/>
        <family val="1"/>
      </rPr>
      <t>tt</t>
    </r>
  </si>
  <si>
    <r>
      <t>M</t>
    </r>
    <r>
      <rPr>
        <b/>
        <vertAlign val="subscript"/>
        <sz val="11"/>
        <rFont val="Times New Roman"/>
        <family val="1"/>
      </rPr>
      <t>I</t>
    </r>
  </si>
  <si>
    <r>
      <t>M</t>
    </r>
    <r>
      <rPr>
        <b/>
        <vertAlign val="subscript"/>
        <sz val="11"/>
        <rFont val="Times New Roman"/>
        <family val="1"/>
      </rPr>
      <t>II</t>
    </r>
  </si>
  <si>
    <r>
      <t>daN/m</t>
    </r>
    <r>
      <rPr>
        <i/>
        <vertAlign val="superscript"/>
        <sz val="11"/>
        <rFont val="Times New Roman"/>
        <family val="1"/>
      </rPr>
      <t>2</t>
    </r>
  </si>
  <si>
    <t>(daN.m)</t>
  </si>
  <si>
    <t>Bản sàn 2 phương</t>
  </si>
  <si>
    <t>M1</t>
  </si>
  <si>
    <t>M2</t>
  </si>
  <si>
    <t>MI</t>
  </si>
  <si>
    <t>MII</t>
  </si>
  <si>
    <t>P</t>
  </si>
  <si>
    <t>RS</t>
  </si>
  <si>
    <t>As chọn</t>
  </si>
  <si>
    <t>u</t>
  </si>
  <si>
    <t>S11</t>
  </si>
  <si>
    <t>S12</t>
  </si>
  <si>
    <t>'2AB23D</t>
  </si>
  <si>
    <t>*U3506</t>
  </si>
  <si>
    <t>'2AB318</t>
  </si>
  <si>
    <t>'2AB38E</t>
  </si>
  <si>
    <t>CẦU THANG</t>
  </si>
  <si>
    <t>Số bậc</t>
  </si>
  <si>
    <t>Chiều cao tầng</t>
  </si>
  <si>
    <t>hb</t>
  </si>
  <si>
    <t>bb</t>
  </si>
  <si>
    <t>góc nghiên tgα</t>
  </si>
  <si>
    <t>α=</t>
  </si>
  <si>
    <t>bề dày thang hs</t>
  </si>
  <si>
    <t>L0</t>
  </si>
  <si>
    <t>L3</t>
  </si>
  <si>
    <t>L3'</t>
  </si>
  <si>
    <t>hdt</t>
  </si>
  <si>
    <t>hdt chọn</t>
  </si>
  <si>
    <t>bdt</t>
  </si>
  <si>
    <t>Chiều dày tương đương lớp gạch lát</t>
  </si>
  <si>
    <t>Chiều dày tương đương lớp vữa trát</t>
  </si>
  <si>
    <t>Chiều dày tương đương lớp vữa xi măng</t>
  </si>
  <si>
    <t>Chiều dày tương đương bản bê tông</t>
  </si>
  <si>
    <t>Chiều dày tương đương lop bac thang</t>
  </si>
  <si>
    <t>cos</t>
  </si>
  <si>
    <t>g2'</t>
  </si>
  <si>
    <t>Tải trọng lên bản thang</t>
  </si>
  <si>
    <t>Chiếu nghỉ</t>
  </si>
  <si>
    <t>daN/m2</t>
  </si>
  <si>
    <r>
      <t>T</t>
    </r>
    <r>
      <rPr>
        <sz val="13"/>
        <color rgb="FF000000"/>
        <rFont val="Times New Roman"/>
        <family val="1"/>
      </rPr>
      <t>ải trọng</t>
    </r>
  </si>
  <si>
    <t>Vật liệu</t>
  </si>
  <si>
    <t>Chiều dày</t>
  </si>
  <si>
    <t>tương đương</t>
  </si>
  <si>
    <t>ɣ</t>
  </si>
  <si>
    <r>
      <t>(daN/m</t>
    </r>
    <r>
      <rPr>
        <vertAlign val="superscript"/>
        <sz val="13"/>
        <color rgb="FF000000"/>
        <rFont val="Times New Roman"/>
        <family val="1"/>
      </rPr>
      <t>3</t>
    </r>
    <r>
      <rPr>
        <sz val="13"/>
        <color rgb="FF000000"/>
        <rFont val="Times New Roman"/>
        <family val="1"/>
      </rPr>
      <t>)</t>
    </r>
  </si>
  <si>
    <t>HSVT</t>
  </si>
  <si>
    <t>Tải tính toán</t>
  </si>
  <si>
    <r>
      <t>(daN/m</t>
    </r>
    <r>
      <rPr>
        <vertAlign val="superscript"/>
        <sz val="13"/>
        <color rgb="FF000000"/>
        <rFont val="Times New Roman"/>
        <family val="1"/>
      </rPr>
      <t>2</t>
    </r>
    <r>
      <rPr>
        <sz val="13"/>
        <color rgb="FF000000"/>
        <rFont val="Times New Roman"/>
        <family val="1"/>
      </rPr>
      <t>)</t>
    </r>
  </si>
  <si>
    <t>0.02</t>
  </si>
  <si>
    <t>0.027</t>
  </si>
  <si>
    <t>77.76</t>
  </si>
  <si>
    <t>Vữa trát</t>
  </si>
  <si>
    <t>63.18</t>
  </si>
  <si>
    <t>0.12</t>
  </si>
  <si>
    <t>0.069</t>
  </si>
  <si>
    <t>149.04</t>
  </si>
  <si>
    <t>Lớp bê tông cốt thép</t>
  </si>
  <si>
    <t>0.13</t>
  </si>
  <si>
    <t>0.175</t>
  </si>
  <si>
    <t>481.25</t>
  </si>
  <si>
    <t>Vữa xi măng</t>
  </si>
  <si>
    <t>0.015</t>
  </si>
  <si>
    <t>0.020</t>
  </si>
  <si>
    <t>46.8</t>
  </si>
  <si>
    <t>Tổng cộng</t>
  </si>
  <si>
    <t>818.03</t>
  </si>
  <si>
    <t>Gạch lát</t>
  </si>
  <si>
    <t>Bậc thang</t>
  </si>
  <si>
    <t>q1</t>
  </si>
  <si>
    <t>q2</t>
  </si>
  <si>
    <t>RA</t>
  </si>
  <si>
    <t>RB</t>
  </si>
  <si>
    <t>x</t>
  </si>
  <si>
    <t>Mmax</t>
  </si>
  <si>
    <t>a</t>
  </si>
  <si>
    <t>h0</t>
  </si>
  <si>
    <t>A</t>
  </si>
  <si>
    <t>Fa</t>
  </si>
  <si>
    <t>Fa chọn</t>
  </si>
  <si>
    <t>Tính bản thang vế 1</t>
  </si>
  <si>
    <t>RD</t>
  </si>
  <si>
    <t>Tính bản thang vế 3</t>
  </si>
  <si>
    <t>l2/l1</t>
  </si>
  <si>
    <t>f0</t>
  </si>
  <si>
    <t>Mx</t>
  </si>
  <si>
    <t>My</t>
  </si>
  <si>
    <t>fr</t>
  </si>
  <si>
    <t>Mry</t>
  </si>
  <si>
    <t>M21</t>
  </si>
  <si>
    <t>Mn21</t>
  </si>
  <si>
    <t>Tính dầm chiếu nghỉ D1</t>
  </si>
  <si>
    <t>gd</t>
  </si>
  <si>
    <t>gt</t>
  </si>
  <si>
    <t>đoạn AB</t>
  </si>
  <si>
    <t>đoạn BC</t>
  </si>
  <si>
    <t>đoạn CD</t>
  </si>
  <si>
    <t>qb</t>
  </si>
  <si>
    <t>q3</t>
  </si>
  <si>
    <t>b=</t>
  </si>
  <si>
    <t>h=</t>
  </si>
  <si>
    <t>cm2</t>
  </si>
  <si>
    <t>Tính cốt đai</t>
  </si>
  <si>
    <t>Qd</t>
  </si>
  <si>
    <t>*U3501</t>
  </si>
  <si>
    <t>*U3500</t>
  </si>
  <si>
    <t>*U3494</t>
  </si>
  <si>
    <t>*U3495</t>
  </si>
  <si>
    <t>*U3496</t>
  </si>
  <si>
    <t>*U3497</t>
  </si>
  <si>
    <t>*U3498</t>
  </si>
  <si>
    <t>*U3499</t>
  </si>
  <si>
    <t>*U3502</t>
  </si>
  <si>
    <t>*U3503</t>
  </si>
  <si>
    <t>*U3504</t>
  </si>
  <si>
    <t>S1.B</t>
  </si>
  <si>
    <t>S1.A</t>
  </si>
  <si>
    <t>*U3505</t>
  </si>
  <si>
    <t>TÍNH TOÁN VÀ CẤU TẠO KHUNG TRỤC 2 &amp; c</t>
  </si>
  <si>
    <t>Dầm thứ i</t>
  </si>
  <si>
    <t>Chiều dài dầm L</t>
  </si>
  <si>
    <t>Tiết diện dầm</t>
  </si>
  <si>
    <t>Tải bản thân</t>
  </si>
  <si>
    <t>Tường xây</t>
  </si>
  <si>
    <t>Sàn truyền tải/
dạng truyền</t>
  </si>
  <si>
    <r>
      <rPr>
        <b/>
        <sz val="12"/>
        <rFont val="Times New Roman"/>
        <family val="1"/>
      </rPr>
      <t>Tĩnh tải q</t>
    </r>
    <r>
      <rPr>
        <b/>
        <vertAlign val="subscript"/>
        <sz val="12"/>
        <rFont val="Times New Roman"/>
        <family val="1"/>
      </rPr>
      <t>td</t>
    </r>
  </si>
  <si>
    <r>
      <rPr>
        <b/>
        <sz val="12"/>
        <rFont val="Times New Roman"/>
        <family val="1"/>
      </rPr>
      <t>Hoạt tải q</t>
    </r>
    <r>
      <rPr>
        <b/>
        <vertAlign val="subscript"/>
        <sz val="12"/>
        <rFont val="Times New Roman"/>
        <family val="1"/>
      </rPr>
      <t>td</t>
    </r>
  </si>
  <si>
    <r>
      <rPr>
        <b/>
        <sz val="12"/>
        <rFont val="Times New Roman"/>
        <family val="1"/>
      </rPr>
      <t>Sàn q</t>
    </r>
    <r>
      <rPr>
        <b/>
        <vertAlign val="subscript"/>
        <sz val="12"/>
        <rFont val="Times New Roman"/>
        <family val="1"/>
      </rPr>
      <t>s</t>
    </r>
  </si>
  <si>
    <t>Tổng tải</t>
  </si>
  <si>
    <r>
      <rPr>
        <b/>
        <sz val="12"/>
        <rFont val="Times New Roman"/>
        <family val="1"/>
      </rPr>
      <t>R</t>
    </r>
    <r>
      <rPr>
        <b/>
        <vertAlign val="subscript"/>
        <sz val="12"/>
        <rFont val="Times New Roman"/>
        <family val="1"/>
      </rPr>
      <t>i</t>
    </r>
  </si>
  <si>
    <t>b (cm)</t>
  </si>
  <si>
    <t>h (cm)</t>
  </si>
  <si>
    <t>daN/m</t>
  </si>
  <si>
    <t>co/ko</t>
  </si>
  <si>
    <t>cao</t>
  </si>
  <si>
    <t>daN</t>
  </si>
  <si>
    <t>TG</t>
  </si>
  <si>
    <t>HT</t>
  </si>
  <si>
    <t>TÍNH TẢI TÁC DỤNG VÀO DẦM LOẠI TRỤC 2, C VÀ PHẢN LỰC</t>
  </si>
  <si>
    <t>TÍNH TẢI TÁC DỤNG VÀO DẦM CHÍNH LOẠI 2 VÀ PHẢN LỰC</t>
  </si>
  <si>
    <t>C.dài</t>
  </si>
  <si>
    <t>T.diện</t>
  </si>
  <si>
    <t>Tải tác dụng</t>
  </si>
  <si>
    <r>
      <t>Tĩnh tải q</t>
    </r>
    <r>
      <rPr>
        <b/>
        <vertAlign val="subscript"/>
        <sz val="12"/>
        <rFont val="Times New Roman"/>
        <family val="1"/>
      </rPr>
      <t>td</t>
    </r>
  </si>
  <si>
    <r>
      <t>Hoạt tải q</t>
    </r>
    <r>
      <rPr>
        <b/>
        <vertAlign val="subscript"/>
        <sz val="12"/>
        <rFont val="Times New Roman"/>
        <family val="1"/>
      </rPr>
      <t>td</t>
    </r>
  </si>
  <si>
    <t>L1
(m)</t>
  </si>
  <si>
    <t>L2
(m)</t>
  </si>
  <si>
    <t>b 
(cm)</t>
  </si>
  <si>
    <t>h
(cm)</t>
  </si>
  <si>
    <t>co/ ko</t>
  </si>
  <si>
    <t>cao
(m)</t>
  </si>
  <si>
    <t>Tải
daN/m</t>
  </si>
  <si>
    <r>
      <t>Tải
sàn q</t>
    </r>
    <r>
      <rPr>
        <b/>
        <vertAlign val="subscript"/>
        <sz val="12"/>
        <rFont val="Times New Roman"/>
        <family val="1"/>
      </rPr>
      <t>s</t>
    </r>
  </si>
  <si>
    <r>
      <t xml:space="preserve">Giá trị
</t>
    </r>
    <r>
      <rPr>
        <sz val="12"/>
        <rFont val="Times New Roman"/>
        <family val="1"/>
        <charset val="163"/>
      </rPr>
      <t>q1</t>
    </r>
  </si>
  <si>
    <t>Dầm t.dụng tải Pi</t>
  </si>
  <si>
    <t>Tải Pi</t>
  </si>
  <si>
    <r>
      <t>R</t>
    </r>
    <r>
      <rPr>
        <b/>
        <vertAlign val="subscript"/>
        <sz val="12"/>
        <rFont val="Times New Roman"/>
        <family val="1"/>
      </rPr>
      <t>i</t>
    </r>
  </si>
  <si>
    <r>
      <t>R</t>
    </r>
    <r>
      <rPr>
        <b/>
        <vertAlign val="subscript"/>
        <sz val="12"/>
        <rFont val="Times New Roman"/>
        <family val="1"/>
      </rPr>
      <t>j</t>
    </r>
  </si>
  <si>
    <t>Đoạn dầm</t>
  </si>
  <si>
    <t>D-E</t>
  </si>
  <si>
    <t>Nút</t>
  </si>
  <si>
    <t>Dầm tác dụng</t>
  </si>
  <si>
    <t>Loại dầm/
(Ri, Rj)</t>
  </si>
  <si>
    <t>Tổng 
Tĩnh tải</t>
  </si>
  <si>
    <t>Tổng 
Hoạt tải</t>
  </si>
  <si>
    <t>C</t>
  </si>
  <si>
    <t>Rj</t>
  </si>
  <si>
    <t>D</t>
  </si>
  <si>
    <t>E</t>
  </si>
  <si>
    <r>
      <t xml:space="preserve">TỔNG HỢP TẢI PHÂN BỐ TÁC DỤNG VÀO KHUNG </t>
    </r>
    <r>
      <rPr>
        <b/>
        <sz val="14"/>
        <color indexed="10"/>
        <rFont val="Times New Roman"/>
        <family val="1"/>
      </rPr>
      <t>2</t>
    </r>
  </si>
  <si>
    <t>A-C</t>
  </si>
  <si>
    <t>C-D</t>
  </si>
  <si>
    <t>E-F</t>
  </si>
  <si>
    <r>
      <t>TỔNG HỢP TẢI TẬP TRUNG TÁC DỤNG VÀO KHUNG</t>
    </r>
    <r>
      <rPr>
        <b/>
        <sz val="14"/>
        <color indexed="10"/>
        <rFont val="Times New Roman"/>
        <family val="1"/>
      </rPr>
      <t xml:space="preserve"> 2</t>
    </r>
  </si>
  <si>
    <t>F</t>
  </si>
  <si>
    <t>TÍNH TẢI TÁC DỤNG VÀO DẦM CHÍNH LOẠI 3 VÀ PHẢN LỰC</t>
  </si>
  <si>
    <t>Dầm t.dụng tải Pi/ Ri (Rj)</t>
  </si>
  <si>
    <t>Ri</t>
  </si>
  <si>
    <t>!!!</t>
  </si>
  <si>
    <t>1-2</t>
  </si>
  <si>
    <t>2-3</t>
  </si>
  <si>
    <t>3-4</t>
  </si>
  <si>
    <t>4-5</t>
  </si>
  <si>
    <t>5-6</t>
  </si>
  <si>
    <t>6-7</t>
  </si>
  <si>
    <t>7-8</t>
  </si>
  <si>
    <t xml:space="preserve">                                                                                                                                                                                                                                                                                                                                                                                                                                                                                                                                                                                                                                                                                                                                                                                                                                                                                                                                                                                                                                                                                                                                                                                                                                                                                                                                                                                                                                                                                                                                                                                                                                                                                                                                                                                                                                                                                                                                                                                                                                                                                                                                                                                                                                                                                                                                                                                                                                                                                                                                                                                                                                                                                                                                                                                                                                                                                                                                                                                                                                                                                                                                                                                                                                                                                                                                                                                                                                                                                                                                                                                                                                                                                                                                                                                                                                                                                                                                                                                                                                                                                                                                                                                                                                                                                                                                                                                                                                                                                                                                                                                                                                                                                                                                                                                                                                                                                                                                                                                                                                                                                                                                                                  </t>
  </si>
  <si>
    <t>B1</t>
  </si>
  <si>
    <t>B2</t>
  </si>
  <si>
    <t>B</t>
  </si>
  <si>
    <t>Si</t>
  </si>
  <si>
    <t>Q</t>
  </si>
  <si>
    <t>KT dầm chọn</t>
  </si>
  <si>
    <t>L tường xây trên dầm</t>
  </si>
  <si>
    <t>KT cột chọn sơ bộ</t>
  </si>
  <si>
    <t>gc</t>
  </si>
  <si>
    <t>N</t>
  </si>
  <si>
    <t>Rb</t>
  </si>
  <si>
    <t>k</t>
  </si>
  <si>
    <t>cm</t>
  </si>
  <si>
    <t>b chọn</t>
  </si>
  <si>
    <t>Cột biên</t>
  </si>
  <si>
    <t>Tên sàn</t>
  </si>
  <si>
    <r>
      <t>Giá trị tiêu chuẩn (kN/m</t>
    </r>
    <r>
      <rPr>
        <vertAlign val="superscript"/>
        <sz val="13"/>
        <color rgb="FF000000"/>
        <rFont val="Times New Roman"/>
        <family val="1"/>
      </rPr>
      <t>2</t>
    </r>
    <r>
      <rPr>
        <sz val="13"/>
        <color rgb="FF000000"/>
        <rFont val="Times New Roman"/>
        <family val="1"/>
      </rPr>
      <t>)</t>
    </r>
  </si>
  <si>
    <t>Hệ số</t>
  </si>
  <si>
    <t>vượt tải</t>
  </si>
  <si>
    <t>Toàn phần</t>
  </si>
  <si>
    <t>Nhà để xe</t>
  </si>
  <si>
    <t>Showroom</t>
  </si>
  <si>
    <t>Kho</t>
  </si>
  <si>
    <t>Phòng ở, WC</t>
  </si>
  <si>
    <t>Mái bằng có sử dụng</t>
  </si>
  <si>
    <t>Mái bằng không có sử dụng</t>
  </si>
  <si>
    <t>tính toán kN/m2</t>
  </si>
  <si>
    <t>Phần ngắn hạn</t>
  </si>
  <si>
    <t>Phần dài hạn</t>
  </si>
  <si>
    <t>Thang, sảnh, hành lang, phòng kĩ thuật</t>
  </si>
  <si>
    <t>Tầng</t>
  </si>
  <si>
    <t>H (m)</t>
  </si>
  <si>
    <r>
      <t>Z</t>
    </r>
    <r>
      <rPr>
        <vertAlign val="subscript"/>
        <sz val="13"/>
        <color rgb="FF000000"/>
        <rFont val="Times New Roman"/>
        <family val="1"/>
      </rPr>
      <t xml:space="preserve">j </t>
    </r>
    <r>
      <rPr>
        <sz val="13"/>
        <color rgb="FF000000"/>
        <rFont val="Times New Roman"/>
        <family val="1"/>
      </rPr>
      <t>(m)</t>
    </r>
  </si>
  <si>
    <r>
      <t>k</t>
    </r>
    <r>
      <rPr>
        <vertAlign val="subscript"/>
        <sz val="13"/>
        <color rgb="FF000000"/>
        <rFont val="Times New Roman"/>
        <family val="1"/>
      </rPr>
      <t>j</t>
    </r>
  </si>
  <si>
    <t xml:space="preserve">Bề rộng </t>
  </si>
  <si>
    <r>
      <t>đón gió</t>
    </r>
    <r>
      <rPr>
        <b/>
        <sz val="13"/>
        <color rgb="FF000000"/>
        <rFont val="Times New Roman"/>
        <family val="1"/>
      </rPr>
      <t xml:space="preserve"> B </t>
    </r>
    <r>
      <rPr>
        <sz val="13"/>
        <color rgb="FF000000"/>
        <rFont val="Times New Roman"/>
        <family val="1"/>
      </rPr>
      <t>(m)</t>
    </r>
  </si>
  <si>
    <r>
      <t>W</t>
    </r>
    <r>
      <rPr>
        <b/>
        <vertAlign val="subscript"/>
        <sz val="13"/>
        <color rgb="FF000000"/>
        <rFont val="Times New Roman"/>
        <family val="1"/>
      </rPr>
      <t>j_đẩy</t>
    </r>
  </si>
  <si>
    <r>
      <t>W</t>
    </r>
    <r>
      <rPr>
        <b/>
        <vertAlign val="subscript"/>
        <sz val="13"/>
        <color rgb="FF000000"/>
        <rFont val="Times New Roman"/>
        <family val="1"/>
      </rPr>
      <t>j_hút</t>
    </r>
  </si>
  <si>
    <t>SUM</t>
  </si>
  <si>
    <t>Tầng Trệt</t>
  </si>
  <si>
    <t>Tải gió</t>
  </si>
  <si>
    <t>W0</t>
  </si>
  <si>
    <t>(dN/m)</t>
  </si>
  <si>
    <t>Tính cột khung C</t>
  </si>
  <si>
    <t>cột tính</t>
  </si>
  <si>
    <t>C2</t>
  </si>
  <si>
    <t>chiều cao tầng trệt</t>
  </si>
  <si>
    <t>Nội lực theo phương canh h</t>
  </si>
  <si>
    <t>Nmax</t>
  </si>
  <si>
    <t>Mtu</t>
  </si>
  <si>
    <t>Ntu</t>
  </si>
  <si>
    <t>T</t>
  </si>
  <si>
    <t>Nội lực theo phương canh b</t>
  </si>
  <si>
    <t>Tm</t>
  </si>
  <si>
    <t>td</t>
  </si>
  <si>
    <t>độ mảnh</t>
  </si>
  <si>
    <t>i=0,288b</t>
  </si>
  <si>
    <t>gh=</t>
  </si>
  <si>
    <t>e1</t>
  </si>
  <si>
    <t>ea</t>
  </si>
  <si>
    <t>e0</t>
  </si>
  <si>
    <t>e</t>
  </si>
  <si>
    <t>ε_0</t>
  </si>
  <si>
    <t>x'</t>
  </si>
  <si>
    <t>I. Thông số cột bê tông cốt thép</t>
  </si>
  <si>
    <t>a. Vật liệu</t>
  </si>
  <si>
    <t>- Mác bê tông:</t>
  </si>
  <si>
    <t>Cường độ nén</t>
  </si>
  <si>
    <t>Rb =</t>
  </si>
  <si>
    <t>Cường độ kéo</t>
  </si>
  <si>
    <t>Rbt =</t>
  </si>
  <si>
    <t>Modun đàn hồi</t>
  </si>
  <si>
    <t>Ebt =</t>
  </si>
  <si>
    <t>Rs =</t>
  </si>
  <si>
    <t>Rsc =</t>
  </si>
  <si>
    <t>-</t>
  </si>
  <si>
    <t>Đổ bê tông theo</t>
  </si>
  <si>
    <t>phương đứng, mỗi lớp dày trên 1,5 m</t>
  </si>
  <si>
    <t xml:space="preserve">Hàm lượng thép cột: </t>
  </si>
  <si>
    <t>(%)</t>
  </si>
  <si>
    <t>THIẾT LẬP DỮ LIỆU</t>
  </si>
  <si>
    <t>1. BÊ TÔNG</t>
  </si>
  <si>
    <t>Bảng1: Đặc Trưng vật liệu bê tông nặng tính theo TTGH thứ nhất</t>
  </si>
  <si>
    <t>Mác bê tông (B)</t>
  </si>
  <si>
    <t>B7,5</t>
  </si>
  <si>
    <t>B10</t>
  </si>
  <si>
    <t>B12,5</t>
  </si>
  <si>
    <t>B15</t>
  </si>
  <si>
    <t>B20</t>
  </si>
  <si>
    <t>B22,5</t>
  </si>
  <si>
    <t>B30</t>
  </si>
  <si>
    <t>B35</t>
  </si>
  <si>
    <t>B40</t>
  </si>
  <si>
    <t>B45</t>
  </si>
  <si>
    <t>Mác bê tông (M)</t>
  </si>
  <si>
    <t>Cường độ chịu nén Rb (Mpa)</t>
  </si>
  <si>
    <t>Cường độ chịu kéo Rbt (Mpa)</t>
  </si>
  <si>
    <t>2. CỐT THÉP</t>
  </si>
  <si>
    <t>Bảng2: Đặc Trưng vật liệu cốt thép tính theo TTGH thứ nhất</t>
  </si>
  <si>
    <t>Mác thép(A)</t>
  </si>
  <si>
    <t>AV</t>
  </si>
  <si>
    <t>AVI</t>
  </si>
  <si>
    <t>AVII</t>
  </si>
  <si>
    <t>Mác thép (C)</t>
  </si>
  <si>
    <t>Thép dọc chịu kéo Rs (Mpa)</t>
  </si>
  <si>
    <t>Thép ngang chịu kéo Rsw (Mpa)</t>
  </si>
  <si>
    <t>cường độ chịu nén Rsc (Mpa)</t>
  </si>
  <si>
    <t>Modun đàn hồi Eb(Mpa)</t>
  </si>
  <si>
    <t>Modun đàn hồi Es (Mpa)</t>
  </si>
  <si>
    <r>
      <t>m</t>
    </r>
    <r>
      <rPr>
        <vertAlign val="subscript"/>
        <sz val="13"/>
        <color indexed="8"/>
        <rFont val="Times New Roman"/>
        <family val="1"/>
      </rPr>
      <t xml:space="preserve">3 </t>
    </r>
    <r>
      <rPr>
        <sz val="13"/>
        <color indexed="8"/>
        <rFont val="Times New Roman"/>
        <family val="1"/>
      </rPr>
      <t>=</t>
    </r>
  </si>
  <si>
    <r>
      <t>m</t>
    </r>
    <r>
      <rPr>
        <vertAlign val="subscript"/>
        <sz val="13"/>
        <color indexed="8"/>
        <rFont val="Times New Roman"/>
        <family val="1"/>
      </rPr>
      <t xml:space="preserve">min </t>
    </r>
    <r>
      <rPr>
        <sz val="13"/>
        <color indexed="8"/>
        <rFont val="Times New Roman"/>
        <family val="1"/>
      </rPr>
      <t>=</t>
    </r>
  </si>
  <si>
    <r>
      <t>ξ</t>
    </r>
    <r>
      <rPr>
        <vertAlign val="subscript"/>
        <sz val="13"/>
        <color indexed="8"/>
        <rFont val="Times New Roman"/>
        <family val="1"/>
      </rPr>
      <t xml:space="preserve">R </t>
    </r>
    <r>
      <rPr>
        <sz val="13"/>
        <color indexed="8"/>
        <rFont val="Times New Roman"/>
        <family val="1"/>
      </rPr>
      <t>=</t>
    </r>
  </si>
  <si>
    <t>T/m2</t>
  </si>
  <si>
    <t>T/m3</t>
  </si>
  <si>
    <t>Mpa =</t>
  </si>
  <si>
    <t>- Thép nhóm (Φ&lt;10mm):</t>
  </si>
  <si>
    <t>- Thép nhóm (Φ≥10mm):</t>
  </si>
  <si>
    <t>- Vật liệu khác</t>
  </si>
  <si>
    <t>Gạch</t>
  </si>
  <si>
    <t>γ=</t>
  </si>
  <si>
    <t>Gạch lát nền Ceramic</t>
  </si>
  <si>
    <t>Vữa xây</t>
  </si>
  <si>
    <t>kN/m3⁡=</t>
  </si>
  <si>
    <t>γ
(T/m3)</t>
  </si>
  <si>
    <r>
      <t xml:space="preserve"> </t>
    </r>
    <r>
      <rPr>
        <b/>
        <sz val="13"/>
        <color rgb="FF000000"/>
        <rFont val="Times New Roman"/>
        <family val="1"/>
      </rPr>
      <t>(T/m</t>
    </r>
    <r>
      <rPr>
        <b/>
        <vertAlign val="superscript"/>
        <sz val="13"/>
        <color rgb="FF000000"/>
        <rFont val="Times New Roman"/>
        <family val="1"/>
      </rPr>
      <t>2</t>
    </r>
    <r>
      <rPr>
        <b/>
        <sz val="13"/>
        <color rgb="FF000000"/>
        <rFont val="Times New Roman"/>
        <family val="1"/>
      </rPr>
      <t xml:space="preserve"> )</t>
    </r>
  </si>
  <si>
    <r>
      <t>( T/m</t>
    </r>
    <r>
      <rPr>
        <b/>
        <vertAlign val="superscript"/>
        <sz val="13"/>
        <color rgb="FF000000"/>
        <rFont val="Times New Roman"/>
        <family val="1"/>
      </rPr>
      <t>2</t>
    </r>
    <r>
      <rPr>
        <b/>
        <sz val="13"/>
        <color rgb="FF000000"/>
        <rFont val="Times New Roman"/>
        <family val="1"/>
      </rPr>
      <t xml:space="preserve"> )</t>
    </r>
  </si>
  <si>
    <r>
      <t>p</t>
    </r>
    <r>
      <rPr>
        <b/>
        <vertAlign val="superscript"/>
        <sz val="13"/>
        <color rgb="FF000000"/>
        <rFont val="Times New Roman"/>
        <family val="1"/>
      </rPr>
      <t>tc</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</si>
  <si>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</si>
  <si>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t>Bảng 0‑5: Tải tường qui về phân bố đều trên sàn các trường hợp còn lịa</t>
  </si>
  <si>
    <t>Tường 200</t>
  </si>
  <si>
    <r>
      <t>(T/m</t>
    </r>
    <r>
      <rPr>
        <b/>
        <vertAlign val="superscript"/>
        <sz val="13"/>
        <color rgb="FF000000"/>
        <rFont val="Times New Roman"/>
        <family val="1"/>
      </rPr>
      <t>3</t>
    </r>
    <r>
      <rPr>
        <b/>
        <sz val="13"/>
        <color rgb="FF000000"/>
        <rFont val="Times New Roman"/>
        <family val="1"/>
      </rPr>
      <t>)</t>
    </r>
  </si>
  <si>
    <r>
      <t>T/m</t>
    </r>
    <r>
      <rPr>
        <b/>
        <vertAlign val="superscript"/>
        <sz val="13"/>
        <color rgb="FF000000"/>
        <rFont val="Times New Roman"/>
        <family val="1"/>
      </rPr>
      <t>2</t>
    </r>
    <r>
      <rPr>
        <b/>
        <sz val="13"/>
        <color rgb="FF000000"/>
        <rFont val="Times New Roman"/>
        <family val="1"/>
      </rPr>
      <t>)</t>
    </r>
  </si>
  <si>
    <t>Phô lôc 1: C­êng ®é tÝnh to¸n gèc cña bª t«ng khi tÝnh theo tr¹ng th¸i giíi h¹n thø nhÊt (§¬n vÞ Mpa)</t>
  </si>
  <si>
    <t>Tr¹ng th¸i</t>
  </si>
  <si>
    <t>Lo¹i bª t«ng</t>
  </si>
  <si>
    <t>CÊp ®é bÒn chÞu nÐn</t>
  </si>
  <si>
    <t>NÐn däc trôc Rb</t>
  </si>
  <si>
    <t>BT nÆng,BT h¹t nhá</t>
  </si>
  <si>
    <t>BT nhÑ</t>
  </si>
  <si>
    <t>BT tæ ong</t>
  </si>
  <si>
    <t>KÐo däc trôc Rbt</t>
  </si>
  <si>
    <t>BT nÆng</t>
  </si>
  <si>
    <t>BT h¹t nhá nhãm:</t>
  </si>
  <si>
    <t>BT nhÑ cèt liÖu</t>
  </si>
  <si>
    <t>§Æc</t>
  </si>
  <si>
    <t>Rçng</t>
  </si>
  <si>
    <t>Ghi chó</t>
  </si>
  <si>
    <t>*&gt; Công thức chuyển đổi giữa cấp độ bền và mác bê tông</t>
  </si>
  <si>
    <t xml:space="preserve">                                                                                 1MPa=10 KG/cm2; α=0,1; β=1-1,64v ;với v=0,135 =&gt;β=0,778</t>
  </si>
  <si>
    <t>Phô lôc 2: C­êng ®é tÝnh to¸n cña cèt thÐp(§¬n vÞ Mpa)</t>
  </si>
  <si>
    <t>Nhãm lo¹i cèt thÐp</t>
  </si>
  <si>
    <t>C­êng ®é chÞu kÐo</t>
  </si>
  <si>
    <t>C­êng ®é chÞu nÐn Rsc</t>
  </si>
  <si>
    <t>Cèt thÐp Rs</t>
  </si>
  <si>
    <t>Cèt thÐp ngang (CT ®ai,CT xiªn) Rsw</t>
  </si>
  <si>
    <t>CII,RB300</t>
  </si>
  <si>
    <t>(d=6-8)mm</t>
  </si>
  <si>
    <t>AIII1</t>
  </si>
  <si>
    <t>285(255)</t>
  </si>
  <si>
    <t>CIII,RB400,RB400W cã ®­êng kÝnh 10-40 mm</t>
  </si>
  <si>
    <t>AIII2</t>
  </si>
  <si>
    <t>290(225)</t>
  </si>
  <si>
    <t>RB500,RB500W</t>
  </si>
  <si>
    <t>450(400)</t>
  </si>
  <si>
    <t>500(400)</t>
  </si>
  <si>
    <t>Cã kiÓm so¸t ®é gi·n dµi vµ øng suÊt</t>
  </si>
  <si>
    <t>ChØ kiÓm so¸t ®é gi·n dµi</t>
  </si>
  <si>
    <t>Ghi Chó:</t>
  </si>
  <si>
    <t>1.C­êng ®é tÝnh to¸n cña cèt thÐp Rs,Rsw,Rsc lÊy theo gi¸ trÞ t­¬ng øng trong b¶ng.Trong 1 sè</t>
  </si>
  <si>
    <t>tr­êng hîp cÇn ph¶i nh©n c¸c gi¸ trÞ ®· cho víi c¸c hÖ sè ®k lµm viÖc</t>
  </si>
  <si>
    <t>2.Trong khung cèt thÐp hµn,víi cèt thÐp ®ai CIII,AIII,RB400,RB400W cã ®­êng kÝnh nhá h¬n</t>
  </si>
  <si>
    <t>1/3 ®­êng kÝnh cèt thÐp däc th× Rsw=255</t>
  </si>
  <si>
    <t>3.Gi¸ trÞ Rsc=450 vµ 500 cho trong b¶ng lµ dïng cho kÕt cÊu lµm b»ng bª t«ng nÆng,BT h¹t nhá,Bt nhÑ</t>
  </si>
  <si>
    <t>khi trong tÝnh to¸n kÓ ®Õn t¶i träng theo môc 2a ë phô lôc 14, cÇn lÊy Rsc=400 khi kÓ ®Ðn t¶i träng theo môc 2b.</t>
  </si>
  <si>
    <t>§èi víi kc lµm tõ bª t«ng tæ ong vµ BT rçng trong mäi tr­êng hîp lÊy Rsc=400</t>
  </si>
  <si>
    <t xml:space="preserve">Phô lôc 3: B¶ng tra diÖn tÝch cèt thÐp cña b¶n </t>
  </si>
  <si>
    <t>Kho¶ng c¸ch a(mm)</t>
  </si>
  <si>
    <t>DiÖn tÝch: mm2 øng víi ®­êng kÝnh cèt thÐp</t>
  </si>
  <si>
    <t>6\8</t>
  </si>
  <si>
    <t>8\10</t>
  </si>
  <si>
    <t>10\12</t>
  </si>
  <si>
    <t>KÝ hiÖu 6\8 lµ dïng c¸c thanh phi 6 vµ phi 8 ®Æt xen kÏ nhau</t>
  </si>
  <si>
    <t>Phô lôc 4: Moduyn ®µn håi Eb cña bª t«ng</t>
  </si>
  <si>
    <t>M300</t>
  </si>
  <si>
    <t>Phô lôc 5</t>
  </si>
  <si>
    <t>( HÖ sè ®Ó tÝnh momen d¶i bµn nhiÒu nhÞp b»ng nhau, chÞu t¶i träng ph©n bè ®Òu )</t>
  </si>
  <si>
    <t>theo s¬ ®å ®µn håi</t>
  </si>
  <si>
    <t>M</t>
  </si>
  <si>
    <t>D¶i 5 nhÞp</t>
  </si>
  <si>
    <t>D¶i 4 nhÞp</t>
  </si>
  <si>
    <t>D¶i 3 nhÞp</t>
  </si>
  <si>
    <t>D¶i 2 nhÞp</t>
  </si>
  <si>
    <r>
      <t>M</t>
    </r>
    <r>
      <rPr>
        <b/>
        <sz val="8"/>
        <rFont val=".VnArial"/>
        <family val="2"/>
      </rPr>
      <t>B</t>
    </r>
  </si>
  <si>
    <r>
      <t>M</t>
    </r>
    <r>
      <rPr>
        <b/>
        <sz val="8"/>
        <rFont val=".VnArial"/>
        <family val="2"/>
      </rPr>
      <t>C</t>
    </r>
  </si>
  <si>
    <t>M3</t>
  </si>
  <si>
    <t>S¬ ®å 1</t>
  </si>
  <si>
    <t>S¬ ®å 2</t>
  </si>
  <si>
    <t>S¬ ®å 3</t>
  </si>
  <si>
    <t>S¬ ®å 4</t>
  </si>
  <si>
    <t>S¬ ®å 5</t>
  </si>
  <si>
    <t>S¬ ®å 6</t>
  </si>
  <si>
    <t>S¬ ®å 7</t>
  </si>
  <si>
    <t>S¬ ®å 8</t>
  </si>
  <si>
    <t>S¬ ®å 9</t>
  </si>
  <si>
    <t>S¬ ®å 10</t>
  </si>
  <si>
    <t>S¬ ®å 11</t>
  </si>
  <si>
    <t>TÝnh To¸n ThÐp Sµn T1-T9 Cèt: +0,000 §Õn +26,400</t>
  </si>
  <si>
    <t>¤ 3,57 x 3,3 m</t>
  </si>
  <si>
    <t>1.Th«ng sè ®Çu vµo.</t>
  </si>
  <si>
    <t>+ Bª t«ng cÊp ®é bÒn</t>
  </si>
  <si>
    <t>B25(M350)</t>
  </si>
  <si>
    <t>+ ThÐp nhãm</t>
  </si>
  <si>
    <t>Rb (T/m2)</t>
  </si>
  <si>
    <t>Rs (T/m2)</t>
  </si>
  <si>
    <t>H (mm)</t>
  </si>
  <si>
    <t>a (mm)</t>
  </si>
  <si>
    <t>Ho (mm)</t>
  </si>
  <si>
    <t>+ KÝch th­íc « sµn:</t>
  </si>
  <si>
    <t xml:space="preserve"> L2 = </t>
  </si>
  <si>
    <t>( m )</t>
  </si>
  <si>
    <t>L1 =</t>
  </si>
  <si>
    <t>2.T¶i träng t¸c dông</t>
  </si>
  <si>
    <t>+TÜnh t¶i</t>
  </si>
  <si>
    <t>=</t>
  </si>
  <si>
    <t>T/m</t>
  </si>
  <si>
    <t>+Ho¹t t¶i</t>
  </si>
  <si>
    <t>+Céng q</t>
  </si>
  <si>
    <t>3.S¬ ®å tÝnh-C¸c hÖ sè</t>
  </si>
  <si>
    <t>+  L2/L1</t>
  </si>
  <si>
    <t xml:space="preserve"> &lt; 2</t>
  </si>
  <si>
    <t>+ S¬ ®å tÝnh:</t>
  </si>
  <si>
    <t>SƠ ĐỒ 9</t>
  </si>
  <si>
    <t>+ Tra c¸c hÖ sè:</t>
  </si>
  <si>
    <t>CËn d­íi</t>
  </si>
  <si>
    <t>Tra b¶ng</t>
  </si>
  <si>
    <t>CËn trªn</t>
  </si>
  <si>
    <t>4.Tæng t¶i träng t¸c dông lªn sµn</t>
  </si>
  <si>
    <t>P=q.L1.L2</t>
  </si>
  <si>
    <t>( TÊn )</t>
  </si>
  <si>
    <t>5.Néi lùc trong b¶n sµn</t>
  </si>
  <si>
    <t>Mn1=</t>
  </si>
  <si>
    <t>P.m1</t>
  </si>
  <si>
    <t>( Tm )</t>
  </si>
  <si>
    <t>Mn2=</t>
  </si>
  <si>
    <t>P.m2</t>
  </si>
  <si>
    <t>Mg1=</t>
  </si>
  <si>
    <t>P.k1</t>
  </si>
  <si>
    <t>Mg2=</t>
  </si>
  <si>
    <t>P.k2</t>
  </si>
  <si>
    <t>6.KiÓm tra cèt thÐp</t>
  </si>
  <si>
    <t>a.ThÐp chÞu Mn1=</t>
  </si>
  <si>
    <t>=&gt;</t>
  </si>
  <si>
    <t xml:space="preserve">   ( Cm2)   ;</t>
  </si>
  <si>
    <t>( % )</t>
  </si>
  <si>
    <t xml:space="preserve">-ThiÕt kÕ bè trÝ thÐp </t>
  </si>
  <si>
    <t>As(tk) =</t>
  </si>
  <si>
    <t>( Cm2 )</t>
  </si>
  <si>
    <t xml:space="preserve">               =</t>
  </si>
  <si>
    <t xml:space="preserve">- Ta thÊy : </t>
  </si>
  <si>
    <t>As(tk) &gt; As(yc)</t>
  </si>
  <si>
    <t>b.ThÐp chÞu Mn2=</t>
  </si>
  <si>
    <t>( Cm2)  ;</t>
  </si>
  <si>
    <t>c.ThÐp chÞu Mg1=</t>
  </si>
  <si>
    <t xml:space="preserve">  ( Cm2)  ;</t>
  </si>
  <si>
    <t>d.ThÐp chÞu Mg2=</t>
  </si>
  <si>
    <t>7.KÕt LuËn</t>
  </si>
  <si>
    <t>-Sµn thiÕt kÕ bè trÝ ®ñ cèt thÐp.Sµn ®¶m b¶o kh¶ n¨ng chÞu t¶i</t>
  </si>
  <si>
    <t>¤ 2,18 x 6,86</t>
  </si>
  <si>
    <t>+TÜnh t¶i g</t>
  </si>
  <si>
    <t>+Ho¹t t¶i p</t>
  </si>
  <si>
    <t xml:space="preserve"> &gt; 2</t>
  </si>
  <si>
    <t>LV 2 Ph­¬ng</t>
  </si>
  <si>
    <t>4.Néi lùc trong b¶n sµn</t>
  </si>
  <si>
    <t>TiÕt DiÖn</t>
  </si>
  <si>
    <t xml:space="preserve">M </t>
  </si>
  <si>
    <t>§¬n VÞ</t>
  </si>
  <si>
    <t xml:space="preserve">M (Gèi) </t>
  </si>
  <si>
    <t>M (NhÞp)</t>
  </si>
  <si>
    <t>a.ThÐp chÞu Mn=</t>
  </si>
  <si>
    <t>b.ThÐp chÞu Mg=</t>
  </si>
  <si>
    <t>Hs</t>
  </si>
  <si>
    <r>
      <t>(T/m</t>
    </r>
    <r>
      <rPr>
        <vertAlign val="superscript"/>
        <sz val="12"/>
        <rFont val="Times New Roman"/>
        <family val="1"/>
      </rPr>
      <t>2</t>
    </r>
    <r>
      <rPr>
        <sz val="12"/>
        <rFont val="Times New Roman"/>
        <family val="1"/>
      </rPr>
      <t>)</t>
    </r>
  </si>
  <si>
    <t>(T/m)</t>
  </si>
  <si>
    <r>
      <rPr>
        <sz val="14"/>
        <color indexed="10"/>
        <rFont val=".VnTime"/>
        <family val="2"/>
      </rPr>
      <t>Mµu ®á</t>
    </r>
    <r>
      <rPr>
        <sz val="11"/>
        <color theme="1"/>
        <rFont val=".VnTime"/>
        <family val="2"/>
      </rPr>
      <t>: lµ nhËp d÷ liÖu</t>
    </r>
  </si>
  <si>
    <r>
      <rPr>
        <sz val="14"/>
        <color indexed="17"/>
        <rFont val=".VnTime"/>
        <family val="2"/>
      </rPr>
      <t xml:space="preserve">Mµu xanh: </t>
    </r>
    <r>
      <rPr>
        <sz val="11"/>
        <color theme="1"/>
        <rFont val=".VnTime"/>
        <family val="2"/>
      </rPr>
      <t>Kh«ng cÇn nhËp, d÷ liÖu tù tÝnh</t>
    </r>
  </si>
  <si>
    <t>(T/m2)</t>
  </si>
  <si>
    <t>(Tm)</t>
  </si>
  <si>
    <r>
      <t>B12,5(</t>
    </r>
    <r>
      <rPr>
        <sz val="13"/>
        <color indexed="30"/>
        <rFont val=".VnTime"/>
        <family val="2"/>
      </rPr>
      <t>M150</t>
    </r>
    <r>
      <rPr>
        <sz val="13"/>
        <color theme="1"/>
        <rFont val=".VnTime"/>
        <family val="2"/>
      </rPr>
      <t>)</t>
    </r>
  </si>
  <si>
    <r>
      <t>B15(</t>
    </r>
    <r>
      <rPr>
        <sz val="13"/>
        <color indexed="30"/>
        <rFont val=".VnTime"/>
        <family val="2"/>
      </rPr>
      <t>M200</t>
    </r>
    <r>
      <rPr>
        <sz val="13"/>
        <color theme="1"/>
        <rFont val=".VnTime"/>
        <family val="2"/>
      </rPr>
      <t>)</t>
    </r>
  </si>
  <si>
    <r>
      <t>B20(</t>
    </r>
    <r>
      <rPr>
        <sz val="13"/>
        <color indexed="30"/>
        <rFont val=".VnTime"/>
        <family val="2"/>
      </rPr>
      <t>M250</t>
    </r>
    <r>
      <rPr>
        <sz val="13"/>
        <color theme="1"/>
        <rFont val=".VnTime"/>
        <family val="2"/>
      </rPr>
      <t>)</t>
    </r>
  </si>
  <si>
    <r>
      <t>B22,5(</t>
    </r>
    <r>
      <rPr>
        <sz val="13"/>
        <color indexed="30"/>
        <rFont val=".VnTime"/>
        <family val="2"/>
      </rPr>
      <t>M300</t>
    </r>
    <r>
      <rPr>
        <sz val="13"/>
        <color theme="1"/>
        <rFont val=".VnTime"/>
        <family val="2"/>
      </rPr>
      <t>)</t>
    </r>
  </si>
  <si>
    <r>
      <t>B25(</t>
    </r>
    <r>
      <rPr>
        <sz val="13"/>
        <color indexed="30"/>
        <rFont val=".VnTime"/>
        <family val="2"/>
      </rPr>
      <t>M350</t>
    </r>
    <r>
      <rPr>
        <sz val="13"/>
        <color theme="1"/>
        <rFont val=".VnTime"/>
        <family val="2"/>
      </rPr>
      <t>)</t>
    </r>
  </si>
  <si>
    <r>
      <t>B30(</t>
    </r>
    <r>
      <rPr>
        <sz val="13"/>
        <color indexed="30"/>
        <rFont val=".VnTime"/>
        <family val="2"/>
      </rPr>
      <t>M400</t>
    </r>
    <r>
      <rPr>
        <sz val="13"/>
        <color theme="1"/>
        <rFont val=".VnTime"/>
        <family val="2"/>
      </rPr>
      <t>)</t>
    </r>
  </si>
  <si>
    <r>
      <t>B35(</t>
    </r>
    <r>
      <rPr>
        <sz val="13"/>
        <color indexed="30"/>
        <rFont val=".VnTime"/>
        <family val="2"/>
      </rPr>
      <t>M450</t>
    </r>
    <r>
      <rPr>
        <sz val="13"/>
        <color theme="1"/>
        <rFont val=".VnTime"/>
        <family val="2"/>
      </rPr>
      <t>)</t>
    </r>
  </si>
  <si>
    <r>
      <t>B40(</t>
    </r>
    <r>
      <rPr>
        <sz val="13"/>
        <color indexed="30"/>
        <rFont val=".VnTime"/>
        <family val="2"/>
      </rPr>
      <t>M500</t>
    </r>
    <r>
      <rPr>
        <sz val="13"/>
        <color theme="1"/>
        <rFont val=".VnTime"/>
        <family val="2"/>
      </rPr>
      <t>)</t>
    </r>
  </si>
  <si>
    <r>
      <t>B45(</t>
    </r>
    <r>
      <rPr>
        <sz val="13"/>
        <color indexed="30"/>
        <rFont val=".VnTime"/>
        <family val="2"/>
      </rPr>
      <t>M600</t>
    </r>
    <r>
      <rPr>
        <sz val="13"/>
        <color theme="1"/>
        <rFont val=".VnTime"/>
        <family val="2"/>
      </rPr>
      <t>)</t>
    </r>
  </si>
  <si>
    <r>
      <t>B50(</t>
    </r>
    <r>
      <rPr>
        <sz val="13"/>
        <color indexed="30"/>
        <rFont val=".VnTime"/>
        <family val="2"/>
      </rPr>
      <t>M700</t>
    </r>
    <r>
      <rPr>
        <sz val="13"/>
        <color theme="1"/>
        <rFont val=".VnTime"/>
        <family val="2"/>
      </rPr>
      <t>)</t>
    </r>
  </si>
  <si>
    <r>
      <t>B55(</t>
    </r>
    <r>
      <rPr>
        <sz val="13"/>
        <color indexed="30"/>
        <rFont val=".VnTime"/>
        <family val="2"/>
      </rPr>
      <t>M750</t>
    </r>
    <r>
      <rPr>
        <sz val="13"/>
        <color theme="1"/>
        <rFont val=".VnTime"/>
        <family val="2"/>
      </rPr>
      <t>)</t>
    </r>
  </si>
  <si>
    <r>
      <t>B60(</t>
    </r>
    <r>
      <rPr>
        <sz val="13"/>
        <color indexed="30"/>
        <rFont val=".VnTime"/>
        <family val="2"/>
      </rPr>
      <t>M800</t>
    </r>
    <r>
      <rPr>
        <sz val="13"/>
        <color theme="1"/>
        <rFont val=".VnTime"/>
        <family val="2"/>
      </rPr>
      <t>)</t>
    </r>
  </si>
  <si>
    <r>
      <rPr>
        <sz val="13"/>
        <color indexed="10"/>
        <rFont val=".VnTime"/>
        <family val="2"/>
      </rPr>
      <t>1</t>
    </r>
    <r>
      <rPr>
        <sz val="13"/>
        <color theme="1"/>
        <rFont val=".VnTime"/>
        <family val="2"/>
      </rPr>
      <t>.</t>
    </r>
    <r>
      <rPr>
        <sz val="13"/>
        <color indexed="8"/>
        <rFont val=".VnTime"/>
        <family val="2"/>
      </rPr>
      <t xml:space="preserve">Nhãm bª t«ng h¹t nhá xem ®iÒu </t>
    </r>
    <r>
      <rPr>
        <b/>
        <sz val="13"/>
        <color indexed="8"/>
        <rFont val=".VnTime"/>
        <family val="2"/>
      </rPr>
      <t>5.1.1.3</t>
    </r>
    <r>
      <rPr>
        <sz val="13"/>
        <color indexed="8"/>
        <rFont val=".VnTime"/>
        <family val="2"/>
      </rPr>
      <t>. TCVN 356-2005</t>
    </r>
  </si>
  <si>
    <r>
      <rPr>
        <sz val="13"/>
        <color indexed="10"/>
        <rFont val=".VnTime"/>
        <family val="2"/>
      </rPr>
      <t>2</t>
    </r>
    <r>
      <rPr>
        <sz val="13"/>
        <color theme="1"/>
        <rFont val=".VnTime"/>
        <family val="2"/>
      </rPr>
      <t xml:space="preserve">.Ký hiÖu M ®Ó chØ m¸c bª t«ng theo quy ®Þnh tr­íc ®©y. </t>
    </r>
    <r>
      <rPr>
        <sz val="13"/>
        <color indexed="8"/>
        <rFont val=".VnTime"/>
        <family val="2"/>
      </rPr>
      <t>T</t>
    </r>
    <r>
      <rPr>
        <sz val="13"/>
        <color theme="1"/>
        <rFont val=".VnTime"/>
        <family val="2"/>
      </rPr>
      <t>­¬ng quan gi÷a c¸c gi¸ trÞ cÊp ®é bÒn cña bª t«ng vµ m¸c bª t«ng cho trong B¶ng A.1 vµ A.2, Phô lôc A trong tiªu chuÈn nµy.</t>
    </r>
  </si>
  <si>
    <r>
      <rPr>
        <sz val="13"/>
        <color indexed="10"/>
        <rFont val=".VnTime"/>
        <family val="2"/>
      </rPr>
      <t>3</t>
    </r>
    <r>
      <rPr>
        <sz val="13"/>
        <color indexed="8"/>
        <rFont val=".VnTime"/>
        <family val="2"/>
      </rPr>
      <t>.C¸c gi¸ trÞ c­êng ®é cña bª t«ng tæ ong trong b¶ng øng víi bª t«ng tæ ong cã ®é Èm lµ 10%.</t>
    </r>
  </si>
  <si>
    <r>
      <rPr>
        <sz val="13"/>
        <color indexed="10"/>
        <rFont val=".VnTime"/>
        <family val="2"/>
      </rPr>
      <t>4</t>
    </r>
    <r>
      <rPr>
        <sz val="13"/>
        <color theme="1"/>
        <rFont val=".VnTime"/>
        <family val="2"/>
      </rPr>
      <t>.§èi víi bª t«ng Keramzit – Perlit cã cèt liÖu b»ng c¸t Perlit, gi¸ trÞ Rbt ®­îc lÊy b»ng gi¸ trÞ cña bª t«ng nhÑ cã cèt liÖu c¸t h¹t xèp nh©n víi 0,85.</t>
    </r>
  </si>
  <si>
    <r>
      <rPr>
        <sz val="13"/>
        <color indexed="10"/>
        <rFont val=".VnTime"/>
        <family val="2"/>
      </rPr>
      <t>5</t>
    </r>
    <r>
      <rPr>
        <sz val="13"/>
        <color theme="1"/>
        <rFont val=".VnTime"/>
        <family val="2"/>
      </rPr>
      <t>.§èi víi bª t«ng rçng, gi¸ trÞ Rb ®­îc lÊy nh­ ®èi víi bª t«ng nhÑ; cßn gi¸ trÞ Rbt  nh©n thªm víi 0,7.</t>
    </r>
  </si>
  <si>
    <r>
      <rPr>
        <sz val="13"/>
        <color indexed="10"/>
        <rFont val=".VnTime"/>
        <family val="2"/>
      </rPr>
      <t>6</t>
    </r>
    <r>
      <rPr>
        <sz val="13"/>
        <color theme="1"/>
        <rFont val=".VnTime"/>
        <family val="2"/>
      </rPr>
      <t xml:space="preserve">.§èi víi bª t«ng tù øng suÊt, gi¸ trÞ Rb ®­îc lÊy nh­ ®èi víi bª t«ng nÆng, cßn gi¸ trÞ Rbt </t>
    </r>
    <r>
      <rPr>
        <b/>
        <sz val="13"/>
        <color indexed="8"/>
        <rFont val=".VnTime"/>
        <family val="2"/>
      </rPr>
      <t xml:space="preserve"> </t>
    </r>
    <r>
      <rPr>
        <sz val="13"/>
        <color theme="1"/>
        <rFont val=".VnTime"/>
        <family val="2"/>
      </rPr>
      <t>nh©n víi 1,2.</t>
    </r>
  </si>
  <si>
    <r>
      <t xml:space="preserve">                    </t>
    </r>
    <r>
      <rPr>
        <b/>
        <sz val="13"/>
        <rFont val=".VnTime"/>
        <family val="2"/>
      </rPr>
      <t xml:space="preserve">               B=αβM</t>
    </r>
  </si>
  <si>
    <r>
      <t>AIII</t>
    </r>
    <r>
      <rPr>
        <sz val="13"/>
        <color indexed="8"/>
        <rFont val=".VnTime"/>
        <family val="2"/>
      </rPr>
      <t>B</t>
    </r>
  </si>
  <si>
    <t>BẢNG TÍNH VÀ BỐ TRÍ THÉP SÀN</t>
  </si>
  <si>
    <r>
      <rPr>
        <sz val="13"/>
        <color indexed="10"/>
        <rFont val="Times New Roman"/>
        <family val="1"/>
      </rPr>
      <t>Mµu ®á</t>
    </r>
    <r>
      <rPr>
        <sz val="13"/>
        <color indexed="8"/>
        <rFont val="Times New Roman"/>
        <family val="1"/>
      </rPr>
      <t>: lµ nhËp d÷ liÖu</t>
    </r>
  </si>
  <si>
    <r>
      <rPr>
        <sz val="13"/>
        <color indexed="17"/>
        <rFont val="Times New Roman"/>
        <family val="1"/>
      </rPr>
      <t xml:space="preserve">Mµu xanh: </t>
    </r>
    <r>
      <rPr>
        <sz val="13"/>
        <color indexed="8"/>
        <rFont val="Times New Roman"/>
        <family val="1"/>
      </rPr>
      <t>Kh«ng cÇn nhËp, d÷ liÖu tù tÝnh</t>
    </r>
  </si>
  <si>
    <r>
      <t xml:space="preserve">a =   </t>
    </r>
    <r>
      <rPr>
        <sz val="13"/>
        <color indexed="10"/>
        <rFont val="Times New Roman"/>
        <family val="1"/>
      </rPr>
      <t xml:space="preserve"> </t>
    </r>
  </si>
  <si>
    <r>
      <t>cấp 3: S</t>
    </r>
    <r>
      <rPr>
        <vertAlign val="subscript"/>
        <sz val="13"/>
        <color rgb="FF00B050"/>
        <rFont val="Times New Roman"/>
        <family val="1"/>
      </rPr>
      <t xml:space="preserve">sàn </t>
    </r>
    <r>
      <rPr>
        <sz val="13"/>
        <color rgb="FF00B050"/>
        <rFont val="Times New Roman"/>
        <family val="1"/>
      </rPr>
      <t>&lt;5000m</t>
    </r>
    <r>
      <rPr>
        <vertAlign val="superscript"/>
        <sz val="13"/>
        <color rgb="FF00B050"/>
        <rFont val="Times New Roman"/>
        <family val="1"/>
      </rPr>
      <t>2</t>
    </r>
  </si>
  <si>
    <t>1.1.1.1. Tính toán theo phương cạnh h</t>
  </si>
  <si>
    <t>Thống kê thép</t>
  </si>
  <si>
    <t>Thép cọc</t>
  </si>
  <si>
    <t>Dọc</t>
  </si>
  <si>
    <t>Mũi</t>
  </si>
  <si>
    <t>Đai</t>
  </si>
  <si>
    <t>Lưới</t>
  </si>
  <si>
    <t>số cọc</t>
  </si>
  <si>
    <t>số tim</t>
  </si>
  <si>
    <t>Thép móng</t>
  </si>
  <si>
    <t>THEP DAM</t>
  </si>
  <si>
    <t>Phi</t>
  </si>
  <si>
    <t>Chieu dai</t>
  </si>
  <si>
    <t>so thanh</t>
  </si>
  <si>
    <t>so cau kien</t>
  </si>
  <si>
    <t>tong chieu dai</t>
  </si>
  <si>
    <t>1A</t>
  </si>
  <si>
    <t>2A</t>
  </si>
  <si>
    <t>3A</t>
  </si>
  <si>
    <t>4A</t>
  </si>
  <si>
    <t>PHI</t>
  </si>
  <si>
    <t>CHIEU DAI</t>
  </si>
  <si>
    <t>SO THANH</t>
  </si>
  <si>
    <t>TONG CHIEU DAI</t>
  </si>
  <si>
    <t>KHOI LUONG</t>
  </si>
  <si>
    <t>Tên cột</t>
  </si>
  <si>
    <t>Phần tử</t>
  </si>
  <si>
    <t>h</t>
  </si>
  <si>
    <t>Chiều dài</t>
  </si>
  <si>
    <t>Vị trí</t>
  </si>
  <si>
    <t>Mômen M2</t>
  </si>
  <si>
    <t>(T.m)</t>
  </si>
  <si>
    <t>Mômen M3</t>
  </si>
  <si>
    <t>Lực dọc</t>
  </si>
  <si>
    <t>(T)</t>
  </si>
  <si>
    <r>
      <t>A</t>
    </r>
    <r>
      <rPr>
        <b/>
        <vertAlign val="subscript"/>
        <sz val="10"/>
        <color rgb="FF000000"/>
        <rFont val="Tahoma"/>
        <family val="2"/>
      </rPr>
      <t>S</t>
    </r>
  </si>
  <si>
    <r>
      <t>(cm</t>
    </r>
    <r>
      <rPr>
        <b/>
        <vertAlign val="superscript"/>
        <sz val="10"/>
        <color rgb="FF000000"/>
        <rFont val="Tahoma"/>
        <family val="2"/>
      </rPr>
      <t>2</t>
    </r>
    <r>
      <rPr>
        <b/>
        <sz val="10"/>
        <color rgb="FF000000"/>
        <rFont val="Tahoma"/>
        <family val="2"/>
      </rPr>
      <t>)</t>
    </r>
  </si>
  <si>
    <t>TVTK Bố trí thép</t>
  </si>
  <si>
    <r>
      <t>A</t>
    </r>
    <r>
      <rPr>
        <b/>
        <vertAlign val="subscript"/>
        <sz val="10"/>
        <color theme="1"/>
        <rFont val="Tahoma"/>
        <family val="2"/>
      </rPr>
      <t>Sbt</t>
    </r>
  </si>
  <si>
    <r>
      <t>(cm</t>
    </r>
    <r>
      <rPr>
        <b/>
        <vertAlign val="superscript"/>
        <sz val="10"/>
        <color theme="1"/>
        <rFont val="Tahoma"/>
        <family val="2"/>
      </rPr>
      <t>2</t>
    </r>
    <r>
      <rPr>
        <b/>
        <sz val="10"/>
        <color theme="1"/>
        <rFont val="Tahoma"/>
        <family val="2"/>
      </rPr>
      <t>)</t>
    </r>
  </si>
  <si>
    <r>
      <t>m</t>
    </r>
    <r>
      <rPr>
        <b/>
        <vertAlign val="subscript"/>
        <sz val="8.5"/>
        <color theme="1"/>
        <rFont val="Tahoma"/>
        <family val="2"/>
      </rPr>
      <t>bt</t>
    </r>
  </si>
  <si>
    <r>
      <t>A</t>
    </r>
    <r>
      <rPr>
        <b/>
        <vertAlign val="subscript"/>
        <sz val="10"/>
        <color theme="1"/>
        <rFont val="Tahoma"/>
        <family val="2"/>
      </rPr>
      <t xml:space="preserve">sbt </t>
    </r>
    <r>
      <rPr>
        <b/>
        <sz val="10"/>
        <color theme="1"/>
        <rFont val="Tahoma"/>
        <family val="2"/>
      </rPr>
      <t>- A</t>
    </r>
    <r>
      <rPr>
        <b/>
        <vertAlign val="subscript"/>
        <sz val="10"/>
        <color theme="1"/>
        <rFont val="Tahoma"/>
        <family val="2"/>
      </rPr>
      <t>s</t>
    </r>
  </si>
  <si>
    <t>TẦNG TRỆT</t>
  </si>
  <si>
    <t>C1</t>
  </si>
  <si>
    <t>4F18</t>
  </si>
  <si>
    <t>TẦNG 1</t>
  </si>
  <si>
    <t>TẦNG 2</t>
  </si>
  <si>
    <t>C3</t>
  </si>
  <si>
    <t>C4</t>
  </si>
  <si>
    <t>C5</t>
  </si>
  <si>
    <t>C6</t>
  </si>
  <si>
    <t>C7</t>
  </si>
  <si>
    <t>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</si>
</sst>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3" formatCode="_-* #,##0.00_-;\-* #,##0.00_-;_-* &quot;-&quot;??_-;_-@_-"/>
    <numFmt numFmtId="164" formatCode="_-* #,##0.0_-;\-* #,##0.0_-;_-* &quot;-&quot;??_-;_-@_-"/>
    <numFmt numFmtId="165" formatCode="_-* #,##0.00\ _₫_-;\-* #,##0.00\ _₫_-;_-* &quot;-&quot;??\ _₫_-;_-@_-"/>
    <numFmt numFmtId="166" formatCode="0.0"/>
    <numFmt numFmtId="167" formatCode="0.000"/>
    <numFmt numFmtId="168" formatCode="_-* #,##0.000_-;\-* #,##0.000_-;_-* &quot;-&quot;??_-;_-@_-"/>
    <numFmt numFmtId="169" formatCode="_-* #,##0_-;\-* #,##0_-;_-* &quot;-&quot;??_-;_-@_-"/>
    <numFmt numFmtId="170" formatCode="0.00;[Red]0.00"/>
    <numFmt numFmtId="171" formatCode="_-* #,##0.000\ _₫_-;\-* #,##0.000\ _₫_-;_-* &quot;-&quot;??\ _₫_-;_-@_-"/>
    <numFmt numFmtId="172" formatCode="_-* #,##0\ _₫_-;\-* #,##0\ _₫_-;_-* &quot;-&quot;??\ _₫_-;_-@_-"/>
    <numFmt numFmtId="173" formatCode="0.0000"/>
    <numFmt numFmtId="174" formatCode="0.00000"/>
    <numFmt numFmtId="175" formatCode="_-* #,##0.0\ _₫_-;\-* #,##0.0\ _₫_-;_-* &quot;-&quot;?\ _₫_-;_-@_-"/>
    <numFmt numFmtId="176" formatCode="_-* #,##0.00000_-;\-* #,##0.00000_-;_-* &quot;-&quot;??_-;_-@_-"/>
    <numFmt numFmtId="177" formatCode="_-* #,##0.000\ _₫_-;\-* #,##0.000\ _₫_-;_-* &quot;-&quot;???\ _₫_-;_-@_-"/>
    <numFmt numFmtId="178" formatCode="&quot;S¬ ®å &quot;0"/>
    <numFmt numFmtId="179" formatCode="_(* #,##0_);_(* \(#,##0\);_(* &quot;-&quot;??_);_(@_)"/>
    <numFmt numFmtId="180" formatCode="_(* #,##0.0000_);_(* \(#,##0.0000\);_(* &quot;-&quot;??_);_(@_)"/>
    <numFmt numFmtId="181" formatCode="_(* #,##0.000_);_(* \(#,##0.000\);_(* &quot;-&quot;??_);_(@_)"/>
  </numFmts>
  <fonts count="117">
    <font>
      <sz val="11"/>
      <color theme="1"/>
      <name val="Calibri"/>
      <family val="2"/>
      <scheme val="minor"/>
    </font>
    <font>
      <sz val="11"/>
      <color theme="1"/>
      <name val="Calibri"/>
      <family val="2"/>
      <charset val="163"/>
      <scheme val="minor"/>
    </font>
    <font>
      <sz val="11"/>
      <color theme="1"/>
      <name val="Calibri"/>
      <family val="2"/>
      <scheme val="minor"/>
    </font>
    <font>
      <sz val="13"/>
      <color theme="1"/>
      <name val="Times New Roman"/>
      <family val="1"/>
    </font>
    <font>
      <b/>
      <sz val="13"/>
      <color theme="1"/>
      <name val="Times New Roman"/>
      <family val="1"/>
    </font>
    <font>
      <b/>
      <sz val="13"/>
      <color rgb="FF000000"/>
      <name val="Times New Roman"/>
      <family val="1"/>
    </font>
    <font>
      <b/>
      <vertAlign val="subscript"/>
      <sz val="13"/>
      <color rgb="FF000000"/>
      <name val="Times New Roman"/>
      <family val="1"/>
    </font>
    <font>
      <b/>
      <vertAlign val="superscript"/>
      <sz val="13"/>
      <color rgb="FF000000"/>
      <name val="Times New Roman"/>
      <family val="1"/>
    </font>
    <font>
      <sz val="13"/>
      <color rgb="FF000000"/>
      <name val="Times New Roman"/>
      <family val="1"/>
    </font>
    <font>
      <b/>
      <i/>
      <sz val="13"/>
      <color theme="1"/>
      <name val="Times New Roman"/>
      <family val="1"/>
    </font>
    <font>
      <sz val="13"/>
      <color rgb="FFFF0000"/>
      <name val="Times New Roman"/>
      <family val="1"/>
    </font>
    <font>
      <sz val="12"/>
      <color theme="1"/>
      <name val="Times New Roman"/>
      <family val="1"/>
    </font>
    <font>
      <sz val="7"/>
      <color theme="1"/>
      <name val="Times New Roman"/>
      <family val="1"/>
    </font>
    <font>
      <b/>
      <i/>
      <sz val="13"/>
      <color rgb="FF000000"/>
      <name val="Times New Roman"/>
      <family val="1"/>
    </font>
    <font>
      <b/>
      <sz val="11"/>
      <color theme="1"/>
      <name val="Calibri"/>
      <family val="2"/>
      <scheme val="minor"/>
    </font>
    <font>
      <sz val="10"/>
      <name val="Times New Roman"/>
      <family val="1"/>
    </font>
    <font>
      <sz val="10"/>
      <name val="Arial"/>
      <family val="2"/>
    </font>
    <font>
      <sz val="12"/>
      <name val="Times New Roman"/>
      <family val="1"/>
    </font>
    <font>
      <b/>
      <sz val="14"/>
      <name val="Times New Roman"/>
      <family val="1"/>
    </font>
    <font>
      <b/>
      <sz val="12"/>
      <name val="Times New Roman"/>
      <family val="1"/>
    </font>
    <font>
      <b/>
      <vertAlign val="subscript"/>
      <sz val="12"/>
      <name val="Times New Roman"/>
      <family val="1"/>
    </font>
    <font>
      <vertAlign val="superscript"/>
      <sz val="12"/>
      <name val="Times New Roman"/>
      <family val="1"/>
    </font>
    <font>
      <b/>
      <sz val="12"/>
      <color indexed="10"/>
      <name val="Times New Roman"/>
      <family val="1"/>
    </font>
    <font>
      <sz val="13"/>
      <color indexed="8"/>
      <name val="Times New Roman"/>
      <family val="1"/>
    </font>
    <font>
      <sz val="12"/>
      <color indexed="10"/>
      <name val="Times New Roman"/>
      <family val="1"/>
    </font>
    <font>
      <sz val="11"/>
      <name val="Times New Roman"/>
      <family val="1"/>
    </font>
    <font>
      <vertAlign val="subscript"/>
      <sz val="13"/>
      <color indexed="8"/>
      <name val="Times New Roman"/>
      <family val="1"/>
    </font>
    <font>
      <vertAlign val="superscript"/>
      <sz val="13"/>
      <color indexed="8"/>
      <name val="Times New Roman"/>
      <family val="1"/>
    </font>
    <font>
      <sz val="13"/>
      <color rgb="FF000000"/>
      <name val="Symbol"/>
      <family val="1"/>
      <charset val="2"/>
    </font>
    <font>
      <sz val="11"/>
      <name val="VNbook-Antiqua"/>
      <family val="2"/>
    </font>
    <font>
      <sz val="12"/>
      <name val="Symbol"/>
      <family val="1"/>
      <charset val="2"/>
    </font>
    <font>
      <sz val="10"/>
      <name val="VNI-Times"/>
    </font>
    <font>
      <b/>
      <sz val="10"/>
      <name val="Times New Roman"/>
      <family val="1"/>
    </font>
    <font>
      <sz val="11"/>
      <color indexed="10"/>
      <name val="Times New Roman"/>
      <family val="1"/>
    </font>
    <font>
      <b/>
      <sz val="11"/>
      <name val="Times New Roman"/>
      <family val="1"/>
    </font>
    <font>
      <b/>
      <vertAlign val="subscript"/>
      <sz val="11"/>
      <name val="Times New Roman"/>
      <family val="1"/>
    </font>
    <font>
      <i/>
      <sz val="12"/>
      <name val="Times New Roman"/>
      <family val="1"/>
    </font>
    <font>
      <b/>
      <i/>
      <u/>
      <sz val="12"/>
      <name val="Times New Roman"/>
      <family val="1"/>
    </font>
    <font>
      <b/>
      <sz val="11"/>
      <name val="Symbol"/>
      <family val="1"/>
      <charset val="2"/>
    </font>
    <font>
      <vertAlign val="subscript"/>
      <sz val="12"/>
      <name val="Times New Roman"/>
      <family val="1"/>
    </font>
    <font>
      <i/>
      <vertAlign val="superscript"/>
      <sz val="12"/>
      <name val="Times New Roman"/>
      <family val="1"/>
    </font>
    <font>
      <i/>
      <sz val="12"/>
      <name val="Symbol"/>
      <family val="1"/>
      <charset val="2"/>
    </font>
    <font>
      <b/>
      <u/>
      <sz val="12"/>
      <name val="Times New Roman"/>
      <family val="1"/>
    </font>
    <font>
      <i/>
      <sz val="11"/>
      <name val="Times New Roman"/>
      <family val="1"/>
    </font>
    <font>
      <i/>
      <vertAlign val="superscript"/>
      <sz val="11"/>
      <name val="Times New Roman"/>
      <family val="1"/>
    </font>
    <font>
      <sz val="8"/>
      <name val="Calibri"/>
      <family val="2"/>
      <scheme val="minor"/>
    </font>
    <font>
      <sz val="12"/>
      <color theme="0"/>
      <name val="Times New Roman"/>
      <family val="1"/>
    </font>
    <font>
      <sz val="11"/>
      <color theme="0"/>
      <name val="Times New Roman"/>
      <family val="1"/>
    </font>
    <font>
      <sz val="10"/>
      <color theme="0"/>
      <name val="Times New Roman"/>
      <family val="1"/>
    </font>
    <font>
      <vertAlign val="superscript"/>
      <sz val="13"/>
      <color rgb="FF000000"/>
      <name val="Times New Roman"/>
      <family val="1"/>
    </font>
    <font>
      <sz val="12"/>
      <color indexed="12"/>
      <name val="Times New Roman"/>
      <family val="1"/>
    </font>
    <font>
      <b/>
      <sz val="14"/>
      <color indexed="10"/>
      <name val="Times New Roman"/>
      <family val="1"/>
    </font>
    <font>
      <b/>
      <sz val="12"/>
      <color indexed="12"/>
      <name val="Times New Roman"/>
      <family val="1"/>
    </font>
    <font>
      <sz val="14"/>
      <name val="Times New Roman"/>
      <family val="1"/>
    </font>
    <font>
      <sz val="12"/>
      <name val="Times New Roman"/>
      <family val="1"/>
      <charset val="163"/>
    </font>
    <font>
      <b/>
      <sz val="12"/>
      <name val="Times New Roman"/>
      <family val="1"/>
      <charset val="163"/>
    </font>
    <font>
      <b/>
      <sz val="14"/>
      <name val="Times New Roman"/>
      <family val="1"/>
      <charset val="163"/>
    </font>
    <font>
      <b/>
      <sz val="12"/>
      <color indexed="10"/>
      <name val="Times New Roman"/>
      <family val="1"/>
      <charset val="163"/>
    </font>
    <font>
      <b/>
      <sz val="11"/>
      <color indexed="10"/>
      <name val="Times New Roman"/>
      <family val="1"/>
      <charset val="163"/>
    </font>
    <font>
      <b/>
      <sz val="12"/>
      <color indexed="12"/>
      <name val="Times New Roman"/>
      <family val="1"/>
      <charset val="163"/>
    </font>
    <font>
      <sz val="10"/>
      <color theme="1"/>
      <name val="Times New Roman"/>
      <family val="1"/>
    </font>
    <font>
      <vertAlign val="subscript"/>
      <sz val="13"/>
      <color rgb="FF000000"/>
      <name val="Times New Roman"/>
      <family val="1"/>
    </font>
    <font>
      <sz val="14"/>
      <color theme="1"/>
      <name val=".VnTime"/>
      <family val="2"/>
    </font>
    <font>
      <b/>
      <sz val="13"/>
      <color rgb="FFFF0000"/>
      <name val="Times New Roman"/>
      <family val="1"/>
    </font>
    <font>
      <sz val="13"/>
      <name val="Times New Roman"/>
      <family val="1"/>
    </font>
    <font>
      <sz val="13"/>
      <color indexed="10"/>
      <name val="Times New Roman"/>
      <family val="1"/>
    </font>
    <font>
      <b/>
      <sz val="13"/>
      <color indexed="8"/>
      <name val="Times New Roman"/>
      <family val="1"/>
    </font>
    <font>
      <b/>
      <sz val="13"/>
      <name val="Times New Roman"/>
      <family val="1"/>
    </font>
    <font>
      <b/>
      <sz val="13"/>
      <color indexed="10"/>
      <name val="Times New Roman"/>
      <family val="1"/>
    </font>
    <font>
      <sz val="14"/>
      <color indexed="30"/>
      <name val=".VnTime"/>
      <family val="2"/>
    </font>
    <font>
      <sz val="14"/>
      <color indexed="10"/>
      <name val=".VnTime"/>
      <family val="2"/>
    </font>
    <font>
      <sz val="14"/>
      <name val=".VnArialH"/>
      <family val="2"/>
    </font>
    <font>
      <sz val="10"/>
      <name val=".VnArial"/>
      <family val="2"/>
    </font>
    <font>
      <b/>
      <sz val="10"/>
      <name val=".VnArial"/>
      <family val="2"/>
    </font>
    <font>
      <sz val="12"/>
      <name val=".VnArial"/>
      <family val="2"/>
    </font>
    <font>
      <sz val="12"/>
      <color indexed="8"/>
      <name val=".VnTime"/>
      <family val="2"/>
    </font>
    <font>
      <b/>
      <sz val="8"/>
      <name val=".VnArial"/>
      <family val="2"/>
    </font>
    <font>
      <b/>
      <sz val="12"/>
      <name val=".VnArialH"/>
      <family val="2"/>
    </font>
    <font>
      <sz val="13"/>
      <color theme="1"/>
      <name val=".VnTime"/>
      <family val="2"/>
    </font>
    <font>
      <sz val="13"/>
      <color indexed="10"/>
      <name val=".VnTime"/>
      <family val="2"/>
    </font>
    <font>
      <sz val="13"/>
      <color indexed="8"/>
      <name val=".VnTime"/>
      <family val="2"/>
    </font>
    <font>
      <b/>
      <sz val="13"/>
      <color indexed="10"/>
      <name val=".VnTime"/>
      <family val="2"/>
    </font>
    <font>
      <sz val="13"/>
      <color indexed="30"/>
      <name val=".VnTime"/>
      <family val="2"/>
    </font>
    <font>
      <sz val="13"/>
      <name val=".VnTime"/>
      <family val="2"/>
    </font>
    <font>
      <sz val="14"/>
      <color indexed="17"/>
      <name val=".VnTime"/>
      <family val="2"/>
    </font>
    <font>
      <b/>
      <sz val="20"/>
      <color indexed="10"/>
      <name val=".VnTime"/>
      <family val="2"/>
    </font>
    <font>
      <b/>
      <sz val="14"/>
      <color indexed="30"/>
      <name val=".VnTime"/>
      <family val="2"/>
    </font>
    <font>
      <b/>
      <sz val="16"/>
      <color indexed="30"/>
      <name val=".VnTime"/>
      <family val="2"/>
    </font>
    <font>
      <sz val="12"/>
      <color indexed="10"/>
      <name val=".VnTime"/>
      <family val="2"/>
    </font>
    <font>
      <b/>
      <sz val="14"/>
      <color indexed="17"/>
      <name val=".VnTime"/>
      <family val="2"/>
    </font>
    <font>
      <b/>
      <sz val="12"/>
      <color indexed="17"/>
      <name val=".VnTime"/>
      <family val="2"/>
    </font>
    <font>
      <sz val="14"/>
      <name val=".VnTime"/>
      <family val="2"/>
    </font>
    <font>
      <sz val="11"/>
      <color theme="1"/>
      <name val=".VnTime"/>
      <family val="2"/>
    </font>
    <font>
      <b/>
      <sz val="13"/>
      <color indexed="8"/>
      <name val=".VnTime"/>
      <family val="2"/>
    </font>
    <font>
      <u/>
      <sz val="13"/>
      <name val=".VnTime"/>
      <family val="2"/>
    </font>
    <font>
      <b/>
      <sz val="13"/>
      <name val=".VnTime"/>
      <family val="2"/>
    </font>
    <font>
      <sz val="13"/>
      <color indexed="17"/>
      <name val="Times New Roman"/>
      <family val="1"/>
    </font>
    <font>
      <b/>
      <sz val="13"/>
      <color indexed="30"/>
      <name val="Times New Roman"/>
      <family val="1"/>
    </font>
    <font>
      <b/>
      <sz val="13"/>
      <color indexed="17"/>
      <name val="Times New Roman"/>
      <family val="1"/>
    </font>
    <font>
      <sz val="13"/>
      <color indexed="30"/>
      <name val="Times New Roman"/>
      <family val="1"/>
    </font>
    <font>
      <sz val="13"/>
      <color rgb="FF00B050"/>
      <name val="Times New Roman"/>
      <family val="1"/>
    </font>
    <font>
      <b/>
      <sz val="13"/>
      <color rgb="FF00B050"/>
      <name val="Times New Roman"/>
      <family val="1"/>
    </font>
    <font>
      <vertAlign val="subscript"/>
      <sz val="13"/>
      <color rgb="FF00B050"/>
      <name val="Times New Roman"/>
      <family val="1"/>
    </font>
    <font>
      <vertAlign val="superscript"/>
      <sz val="13"/>
      <color rgb="FF00B050"/>
      <name val="Times New Roman"/>
      <family val="1"/>
    </font>
    <font>
      <b/>
      <sz val="10"/>
      <color rgb="FF000000"/>
      <name val="Tahoma"/>
      <family val="2"/>
    </font>
    <font>
      <b/>
      <sz val="10"/>
      <color theme="1"/>
      <name val="Tahoma"/>
      <family val="2"/>
    </font>
    <font>
      <b/>
      <vertAlign val="subscript"/>
      <sz val="10"/>
      <color rgb="FF000000"/>
      <name val="Tahoma"/>
      <family val="2"/>
    </font>
    <font>
      <b/>
      <vertAlign val="superscript"/>
      <sz val="10"/>
      <color rgb="FF000000"/>
      <name val="Tahoma"/>
      <family val="2"/>
    </font>
    <font>
      <b/>
      <vertAlign val="subscript"/>
      <sz val="10"/>
      <color theme="1"/>
      <name val="Tahoma"/>
      <family val="2"/>
    </font>
    <font>
      <b/>
      <vertAlign val="superscript"/>
      <sz val="10"/>
      <color theme="1"/>
      <name val="Tahoma"/>
      <family val="2"/>
    </font>
    <font>
      <b/>
      <sz val="12"/>
      <color theme="1"/>
      <name val="Symbol"/>
      <family val="1"/>
      <charset val="2"/>
    </font>
    <font>
      <b/>
      <vertAlign val="subscript"/>
      <sz val="8.5"/>
      <color theme="1"/>
      <name val="Tahoma"/>
      <family val="2"/>
    </font>
    <font>
      <sz val="10"/>
      <color rgb="FFFF0000"/>
      <name val="Tahoma"/>
      <family val="2"/>
    </font>
    <font>
      <sz val="10"/>
      <color theme="1"/>
      <name val="Tahoma"/>
      <family val="2"/>
    </font>
    <font>
      <sz val="10"/>
      <color rgb="FF000000"/>
      <name val="Tahoma"/>
      <family val="2"/>
    </font>
    <font>
      <sz val="10"/>
      <color rgb="FF0000FF"/>
      <name val="Tahoma"/>
      <family val="2"/>
    </font>
    <font>
      <sz val="10"/>
      <color rgb="FFFF0000"/>
      <name val="Symbol"/>
      <family val="1"/>
      <charset val="2"/>
    </font>
  </fonts>
  <fills count="20">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indexed="22"/>
        <bgColor indexed="31"/>
      </patternFill>
    </fill>
    <fill>
      <patternFill patternType="solid">
        <fgColor rgb="FFFFFFFF"/>
        <bgColor indexed="64"/>
      </patternFill>
    </fill>
    <fill>
      <patternFill patternType="solid">
        <fgColor indexed="40"/>
        <bgColor indexed="64"/>
      </patternFill>
    </fill>
    <fill>
      <patternFill patternType="solid">
        <fgColor indexed="22"/>
        <bgColor indexed="64"/>
      </patternFill>
    </fill>
    <fill>
      <patternFill patternType="solid">
        <fgColor indexed="14"/>
        <bgColor indexed="64"/>
      </patternFill>
    </fill>
    <fill>
      <patternFill patternType="solid">
        <fgColor indexed="44"/>
        <bgColor indexed="64"/>
      </patternFill>
    </fill>
    <fill>
      <patternFill patternType="solid">
        <fgColor rgb="FF00B050"/>
        <bgColor indexed="64"/>
      </patternFill>
    </fill>
    <fill>
      <patternFill patternType="solid">
        <fgColor indexed="15"/>
        <bgColor indexed="64"/>
      </patternFill>
    </fill>
    <fill>
      <patternFill patternType="solid">
        <fgColor indexed="52"/>
        <bgColor indexed="64"/>
      </patternFill>
    </fill>
    <fill>
      <patternFill patternType="solid">
        <fgColor theme="0"/>
        <bgColor indexed="64"/>
      </patternFill>
    </fill>
    <fill>
      <patternFill patternType="solid">
        <fgColor rgb="FFD9D9D9"/>
        <bgColor indexed="64"/>
      </patternFill>
    </fill>
    <fill>
      <patternFill patternType="solid">
        <fgColor indexed="27"/>
        <bgColor indexed="64"/>
      </patternFill>
    </fill>
    <fill>
      <patternFill patternType="solid">
        <fgColor rgb="FFBFBFBF"/>
        <bgColor indexed="64"/>
      </patternFill>
    </fill>
    <fill>
      <patternFill patternType="solid">
        <fgColor indexed="9"/>
        <bgColor indexed="64"/>
      </patternFill>
    </fill>
    <fill>
      <patternFill patternType="solid">
        <fgColor rgb="FF92D050"/>
        <bgColor indexed="64"/>
      </patternFill>
    </fill>
    <fill>
      <patternFill patternType="solid">
        <fgColor theme="9" tint="0.79998168889431442"/>
        <bgColor indexed="64"/>
      </patternFill>
    </fill>
  </fills>
  <borders count="8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31"/>
      </left>
      <right style="thin">
        <color indexed="31"/>
      </right>
      <top style="thin">
        <color indexed="31"/>
      </top>
      <bottom style="thin">
        <color indexed="31"/>
      </bottom>
      <diagonal/>
    </border>
    <border>
      <left style="medium">
        <color indexed="31"/>
      </left>
      <right style="medium">
        <color indexed="31"/>
      </right>
      <top style="medium">
        <color indexed="31"/>
      </top>
      <bottom style="medium">
        <color indexed="31"/>
      </bottom>
      <diagonal/>
    </border>
    <border>
      <left style="thin">
        <color indexed="31"/>
      </left>
      <right style="thin">
        <color indexed="31"/>
      </right>
      <top/>
      <bottom style="thin">
        <color indexed="3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indexed="64"/>
      </top>
      <bottom style="medium">
        <color indexed="64"/>
      </bottom>
      <diagonal/>
    </border>
    <border>
      <left style="thin">
        <color indexed="31"/>
      </left>
      <right/>
      <top style="thin">
        <color indexed="31"/>
      </top>
      <bottom style="thin">
        <color indexed="31"/>
      </bottom>
      <diagonal/>
    </border>
    <border>
      <left/>
      <right style="thin">
        <color indexed="31"/>
      </right>
      <top style="thin">
        <color indexed="31"/>
      </top>
      <bottom style="thin">
        <color indexed="31"/>
      </bottom>
      <diagonal/>
    </border>
    <border>
      <left style="thin">
        <color indexed="31"/>
      </left>
      <right style="thin">
        <color indexed="31"/>
      </right>
      <top style="medium">
        <color indexed="31"/>
      </top>
      <bottom style="thin">
        <color indexed="31"/>
      </bottom>
      <diagonal/>
    </border>
    <border>
      <left style="thin">
        <color indexed="31"/>
      </left>
      <right style="thin">
        <color indexed="31"/>
      </right>
      <top/>
      <bottom/>
      <diagonal/>
    </border>
    <border>
      <left style="thin">
        <color indexed="31"/>
      </left>
      <right/>
      <top/>
      <bottom/>
      <diagonal/>
    </border>
    <border>
      <left/>
      <right style="thin">
        <color indexed="31"/>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thick">
        <color rgb="FF666666"/>
      </bottom>
      <diagonal/>
    </border>
    <border>
      <left/>
      <right style="medium">
        <color rgb="FF999999"/>
      </right>
      <top style="medium">
        <color rgb="FF999999"/>
      </top>
      <bottom/>
      <diagonal/>
    </border>
    <border>
      <left/>
      <right style="medium">
        <color rgb="FF999999"/>
      </right>
      <top/>
      <bottom/>
      <diagonal/>
    </border>
    <border>
      <left/>
      <right style="medium">
        <color rgb="FF999999"/>
      </right>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s>
  <cellStyleXfs count="8">
    <xf numFmtId="0" fontId="0" fillId="0" borderId="0"/>
    <xf numFmtId="43" fontId="2" fillId="0" borderId="0" applyFont="0" applyFill="0" applyBorder="0" applyAlignment="0" applyProtection="0"/>
    <xf numFmtId="0" fontId="15" fillId="0" borderId="0"/>
    <xf numFmtId="0" fontId="16" fillId="0" borderId="0"/>
    <xf numFmtId="0" fontId="62" fillId="0" borderId="0"/>
    <xf numFmtId="0" fontId="1" fillId="0" borderId="0"/>
    <xf numFmtId="0" fontId="16" fillId="0" borderId="0"/>
    <xf numFmtId="0" fontId="25" fillId="0" borderId="0"/>
  </cellStyleXfs>
  <cellXfs count="809">
    <xf numFmtId="0" fontId="0" fillId="0" borderId="0" xfId="0"/>
    <xf numFmtId="164" fontId="0" fillId="0" borderId="0" xfId="1" applyNumberFormat="1" applyFont="1"/>
    <xf numFmtId="43" fontId="0" fillId="0" borderId="0" xfId="1" applyFont="1" applyAlignment="1">
      <alignment horizontal="center"/>
    </xf>
    <xf numFmtId="0" fontId="3"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justify" vertical="center"/>
    </xf>
    <xf numFmtId="43" fontId="0" fillId="0" borderId="0" xfId="1" applyFont="1"/>
    <xf numFmtId="0" fontId="3" fillId="0" borderId="0" xfId="0" applyFont="1"/>
    <xf numFmtId="0" fontId="9" fillId="0" borderId="0" xfId="0" applyFont="1" applyAlignment="1">
      <alignment vertical="center"/>
    </xf>
    <xf numFmtId="43" fontId="0" fillId="0" borderId="0" xfId="0" applyNumberFormat="1"/>
    <xf numFmtId="0" fontId="0" fillId="3" borderId="0" xfId="0" applyFill="1"/>
    <xf numFmtId="0" fontId="14" fillId="3" borderId="0" xfId="0" applyFont="1" applyFill="1"/>
    <xf numFmtId="0" fontId="0" fillId="0" borderId="0" xfId="0" applyNumberFormat="1"/>
    <xf numFmtId="43" fontId="0" fillId="3" borderId="0" xfId="1" applyFont="1" applyFill="1"/>
    <xf numFmtId="0" fontId="15" fillId="0" borderId="0" xfId="2"/>
    <xf numFmtId="0" fontId="17" fillId="4" borderId="8" xfId="2" applyFont="1" applyFill="1" applyBorder="1" applyAlignment="1">
      <alignment horizontal="center" vertical="center" wrapText="1"/>
    </xf>
    <xf numFmtId="166" fontId="17" fillId="0" borderId="0" xfId="2" applyNumberFormat="1" applyFont="1"/>
    <xf numFmtId="0" fontId="17" fillId="0" borderId="8" xfId="2" applyFont="1" applyFill="1" applyBorder="1" applyAlignment="1">
      <alignment horizontal="center" wrapText="1"/>
    </xf>
    <xf numFmtId="166" fontId="17" fillId="0" borderId="8" xfId="2" applyNumberFormat="1" applyFont="1" applyFill="1" applyBorder="1" applyAlignment="1">
      <alignment horizontal="center" wrapText="1"/>
    </xf>
    <xf numFmtId="167" fontId="17" fillId="0" borderId="8" xfId="2" applyNumberFormat="1" applyFont="1" applyFill="1" applyBorder="1" applyAlignment="1">
      <alignment horizontal="center" wrapText="1"/>
    </xf>
    <xf numFmtId="0" fontId="17" fillId="0" borderId="0" xfId="2" applyFont="1" applyFill="1" applyBorder="1" applyAlignment="1">
      <alignment horizontal="center" wrapText="1"/>
    </xf>
    <xf numFmtId="1" fontId="17" fillId="0" borderId="8" xfId="2" applyNumberFormat="1" applyFont="1" applyFill="1" applyBorder="1" applyAlignment="1">
      <alignment horizontal="right" wrapText="1"/>
    </xf>
    <xf numFmtId="1" fontId="17" fillId="0" borderId="8" xfId="2" applyNumberFormat="1" applyFont="1" applyFill="1" applyBorder="1" applyAlignment="1">
      <alignment horizontal="right"/>
    </xf>
    <xf numFmtId="1" fontId="17" fillId="0" borderId="0" xfId="2" applyNumberFormat="1" applyFont="1"/>
    <xf numFmtId="169" fontId="17" fillId="0" borderId="8" xfId="1" applyNumberFormat="1" applyFont="1" applyFill="1" applyBorder="1" applyAlignment="1">
      <alignment horizontal="center" wrapText="1"/>
    </xf>
    <xf numFmtId="169" fontId="0" fillId="0" borderId="0" xfId="1" applyNumberFormat="1" applyFont="1"/>
    <xf numFmtId="1" fontId="22" fillId="0" borderId="8" xfId="2" applyNumberFormat="1" applyFont="1" applyFill="1" applyBorder="1" applyAlignment="1">
      <alignment horizontal="right" wrapText="1"/>
    </xf>
    <xf numFmtId="1" fontId="22" fillId="0" borderId="8" xfId="2" applyNumberFormat="1" applyFont="1" applyFill="1" applyBorder="1" applyAlignment="1">
      <alignment horizontal="right"/>
    </xf>
    <xf numFmtId="166" fontId="17" fillId="0" borderId="8" xfId="2" applyNumberFormat="1" applyFont="1" applyFill="1" applyBorder="1" applyAlignment="1">
      <alignment horizontal="center" wrapText="1"/>
    </xf>
    <xf numFmtId="167" fontId="17" fillId="0" borderId="8" xfId="2" applyNumberFormat="1" applyFont="1" applyFill="1" applyBorder="1" applyAlignment="1">
      <alignment horizontal="center" wrapText="1"/>
    </xf>
    <xf numFmtId="0" fontId="8" fillId="5" borderId="11" xfId="2" applyFont="1" applyFill="1" applyBorder="1" applyAlignment="1">
      <alignment horizontal="center" vertical="center" wrapText="1"/>
    </xf>
    <xf numFmtId="0" fontId="8" fillId="5" borderId="12" xfId="2" applyFont="1" applyFill="1" applyBorder="1" applyAlignment="1">
      <alignment horizontal="center" vertical="center" wrapText="1"/>
    </xf>
    <xf numFmtId="0" fontId="15" fillId="5" borderId="13" xfId="2" applyFill="1" applyBorder="1" applyAlignment="1">
      <alignment vertical="center" wrapText="1"/>
    </xf>
    <xf numFmtId="0" fontId="8" fillId="5" borderId="13" xfId="2" applyFont="1" applyFill="1" applyBorder="1" applyAlignment="1">
      <alignment horizontal="center" vertical="center" wrapText="1"/>
    </xf>
    <xf numFmtId="0" fontId="8" fillId="5" borderId="14" xfId="2" applyFont="1" applyFill="1" applyBorder="1" applyAlignment="1">
      <alignment horizontal="center" vertical="center" wrapText="1"/>
    </xf>
    <xf numFmtId="0" fontId="8" fillId="5" borderId="15" xfId="2" applyFont="1" applyFill="1" applyBorder="1" applyAlignment="1">
      <alignment horizontal="center" vertical="center" wrapText="1"/>
    </xf>
    <xf numFmtId="0" fontId="15" fillId="5" borderId="15" xfId="2" applyFill="1" applyBorder="1" applyAlignment="1">
      <alignment vertical="center" wrapText="1"/>
    </xf>
    <xf numFmtId="0" fontId="15" fillId="5" borderId="16" xfId="2" applyFill="1" applyBorder="1" applyAlignment="1">
      <alignment vertical="center" wrapText="1"/>
    </xf>
    <xf numFmtId="0" fontId="5" fillId="0" borderId="12" xfId="2" applyFont="1" applyBorder="1" applyAlignment="1">
      <alignment horizontal="center" vertical="center" wrapText="1"/>
    </xf>
    <xf numFmtId="0" fontId="5" fillId="0" borderId="16" xfId="2" applyFont="1" applyBorder="1" applyAlignment="1">
      <alignment horizontal="center" vertical="center" wrapText="1"/>
    </xf>
    <xf numFmtId="165" fontId="0" fillId="0" borderId="0" xfId="0" applyNumberFormat="1"/>
    <xf numFmtId="0" fontId="16" fillId="0" borderId="0" xfId="3"/>
    <xf numFmtId="0" fontId="29" fillId="0" borderId="0" xfId="3" applyFont="1" applyProtection="1">
      <protection locked="0"/>
    </xf>
    <xf numFmtId="0" fontId="25" fillId="0" borderId="0" xfId="3" applyFont="1" applyProtection="1">
      <protection locked="0"/>
    </xf>
    <xf numFmtId="0" fontId="15" fillId="0" borderId="0" xfId="3" applyFont="1" applyProtection="1">
      <protection locked="0"/>
    </xf>
    <xf numFmtId="0" fontId="29" fillId="0" borderId="0" xfId="3" applyFont="1" applyAlignment="1" applyProtection="1">
      <alignment horizontal="center"/>
      <protection locked="0"/>
    </xf>
    <xf numFmtId="0" fontId="25" fillId="0" borderId="0" xfId="3" applyFont="1" applyAlignment="1" applyProtection="1">
      <alignment horizontal="center"/>
      <protection locked="0"/>
    </xf>
    <xf numFmtId="2" fontId="25" fillId="7" borderId="19" xfId="3" applyNumberFormat="1" applyFont="1" applyFill="1" applyBorder="1" applyAlignment="1" applyProtection="1">
      <alignment horizontal="center"/>
      <protection locked="0"/>
    </xf>
    <xf numFmtId="0" fontId="34" fillId="9" borderId="18" xfId="3" applyFont="1" applyFill="1" applyBorder="1" applyAlignment="1" applyProtection="1">
      <alignment horizontal="center" vertical="center"/>
      <protection locked="0"/>
    </xf>
    <xf numFmtId="0" fontId="34" fillId="9" borderId="23" xfId="3" applyFont="1" applyFill="1" applyBorder="1" applyAlignment="1" applyProtection="1">
      <alignment horizontal="center" vertical="center"/>
      <protection locked="0"/>
    </xf>
    <xf numFmtId="0" fontId="25" fillId="0" borderId="0" xfId="3" applyFont="1" applyFill="1" applyProtection="1">
      <protection locked="0"/>
    </xf>
    <xf numFmtId="1" fontId="33" fillId="7" borderId="19" xfId="3" applyNumberFormat="1" applyFont="1" applyFill="1" applyBorder="1" applyAlignment="1" applyProtection="1">
      <alignment horizontal="center"/>
      <protection locked="0"/>
    </xf>
    <xf numFmtId="1" fontId="25" fillId="0" borderId="0" xfId="3" applyNumberFormat="1" applyFont="1" applyProtection="1">
      <protection locked="0"/>
    </xf>
    <xf numFmtId="170" fontId="29" fillId="0" borderId="0" xfId="3" applyNumberFormat="1" applyFont="1" applyProtection="1">
      <protection locked="0"/>
    </xf>
    <xf numFmtId="170" fontId="15" fillId="0" borderId="0" xfId="3" applyNumberFormat="1" applyFont="1" applyProtection="1">
      <protection locked="0"/>
    </xf>
    <xf numFmtId="170" fontId="34" fillId="9" borderId="23" xfId="3" applyNumberFormat="1" applyFont="1" applyFill="1" applyBorder="1" applyAlignment="1" applyProtection="1">
      <alignment horizontal="center" vertical="center"/>
      <protection locked="0"/>
    </xf>
    <xf numFmtId="0" fontId="38" fillId="9" borderId="23" xfId="3" applyFont="1" applyFill="1" applyBorder="1" applyAlignment="1" applyProtection="1">
      <alignment horizontal="center" vertical="center"/>
      <protection locked="0"/>
    </xf>
    <xf numFmtId="170" fontId="34" fillId="9" borderId="18" xfId="3" applyNumberFormat="1" applyFont="1" applyFill="1" applyBorder="1" applyAlignment="1" applyProtection="1">
      <alignment horizontal="center" vertical="center"/>
      <protection locked="0"/>
    </xf>
    <xf numFmtId="170" fontId="25" fillId="7" borderId="19" xfId="3" applyNumberFormat="1" applyFont="1" applyFill="1" applyBorder="1" applyAlignment="1" applyProtection="1">
      <alignment horizontal="center"/>
      <protection locked="0"/>
    </xf>
    <xf numFmtId="170" fontId="25" fillId="0" borderId="0" xfId="3" applyNumberFormat="1" applyFont="1" applyProtection="1">
      <protection locked="0"/>
    </xf>
    <xf numFmtId="170" fontId="25" fillId="0" borderId="0" xfId="3" applyNumberFormat="1" applyFont="1" applyFill="1" applyProtection="1">
      <protection locked="0"/>
    </xf>
    <xf numFmtId="0" fontId="29" fillId="0" borderId="0" xfId="3" applyFont="1" applyProtection="1">
      <protection locked="0"/>
    </xf>
    <xf numFmtId="0" fontId="25" fillId="0" borderId="0" xfId="3" applyFont="1" applyFill="1" applyProtection="1">
      <protection locked="0"/>
    </xf>
    <xf numFmtId="0" fontId="25" fillId="0" borderId="0" xfId="3" applyFont="1" applyFill="1" applyAlignment="1" applyProtection="1">
      <alignment horizontal="center"/>
      <protection locked="0"/>
    </xf>
    <xf numFmtId="0" fontId="15" fillId="0" borderId="0" xfId="3" applyFont="1" applyFill="1" applyProtection="1">
      <protection locked="0"/>
    </xf>
    <xf numFmtId="0" fontId="17" fillId="9" borderId="23" xfId="3" applyFont="1" applyFill="1" applyBorder="1" applyAlignment="1" applyProtection="1">
      <alignment horizontal="center" vertical="center"/>
      <protection locked="0"/>
    </xf>
    <xf numFmtId="0" fontId="17" fillId="9" borderId="24" xfId="3" applyFont="1" applyFill="1" applyBorder="1" applyAlignment="1" applyProtection="1">
      <alignment horizontal="center" vertical="center"/>
      <protection locked="0"/>
    </xf>
    <xf numFmtId="0" fontId="30" fillId="9" borderId="23" xfId="3" applyFont="1" applyFill="1" applyBorder="1" applyAlignment="1" applyProtection="1">
      <alignment horizontal="center" vertical="center"/>
      <protection locked="0"/>
    </xf>
    <xf numFmtId="0" fontId="17" fillId="9" borderId="27" xfId="3" applyFont="1" applyFill="1" applyBorder="1" applyAlignment="1" applyProtection="1">
      <alignment horizontal="center" vertical="center"/>
      <protection locked="0"/>
    </xf>
    <xf numFmtId="0" fontId="17" fillId="9" borderId="25" xfId="3" applyFont="1" applyFill="1" applyBorder="1" applyAlignment="1" applyProtection="1">
      <alignment horizontal="center" vertical="center"/>
      <protection locked="0"/>
    </xf>
    <xf numFmtId="0" fontId="17" fillId="9" borderId="18" xfId="3" applyFont="1" applyFill="1" applyBorder="1" applyAlignment="1" applyProtection="1">
      <alignment horizontal="center" vertical="center"/>
      <protection locked="0"/>
    </xf>
    <xf numFmtId="0" fontId="36" fillId="9" borderId="20" xfId="3" applyFont="1" applyFill="1" applyBorder="1" applyAlignment="1" applyProtection="1">
      <alignment horizontal="center" vertical="center"/>
      <protection locked="0"/>
    </xf>
    <xf numFmtId="0" fontId="36" fillId="9" borderId="18" xfId="3" applyFont="1" applyFill="1" applyBorder="1" applyAlignment="1" applyProtection="1">
      <alignment horizontal="center" vertical="center"/>
      <protection locked="0"/>
    </xf>
    <xf numFmtId="0" fontId="41" fillId="9" borderId="19" xfId="3" applyFont="1" applyFill="1" applyBorder="1" applyAlignment="1" applyProtection="1">
      <alignment horizontal="center" vertical="center"/>
      <protection locked="0"/>
    </xf>
    <xf numFmtId="0" fontId="36" fillId="9" borderId="19" xfId="3" applyFont="1" applyFill="1" applyBorder="1" applyAlignment="1" applyProtection="1">
      <alignment horizontal="center" vertical="center"/>
      <protection locked="0"/>
    </xf>
    <xf numFmtId="0" fontId="17" fillId="9" borderId="22" xfId="3" applyFont="1" applyFill="1" applyBorder="1" applyAlignment="1" applyProtection="1">
      <alignment horizontal="center" vertical="center"/>
      <protection locked="0"/>
    </xf>
    <xf numFmtId="0" fontId="19" fillId="6" borderId="17" xfId="3" applyFont="1" applyFill="1" applyBorder="1" applyAlignment="1" applyProtection="1">
      <alignment horizontal="center"/>
      <protection locked="0"/>
    </xf>
    <xf numFmtId="0" fontId="19" fillId="6" borderId="18" xfId="3" applyFont="1" applyFill="1" applyBorder="1" applyAlignment="1" applyProtection="1">
      <alignment horizontal="center"/>
      <protection locked="0"/>
    </xf>
    <xf numFmtId="0" fontId="16" fillId="0" borderId="0" xfId="3"/>
    <xf numFmtId="0" fontId="31" fillId="0" borderId="0" xfId="3" applyFont="1" applyProtection="1">
      <protection locked="0"/>
    </xf>
    <xf numFmtId="0" fontId="15" fillId="0" borderId="0" xfId="3" applyFont="1" applyProtection="1">
      <protection locked="0"/>
    </xf>
    <xf numFmtId="2" fontId="25" fillId="7" borderId="19" xfId="3" applyNumberFormat="1" applyFont="1" applyFill="1" applyBorder="1" applyAlignment="1" applyProtection="1">
      <alignment horizontal="center"/>
      <protection locked="0"/>
    </xf>
    <xf numFmtId="0" fontId="32" fillId="0" borderId="0" xfId="3" applyFont="1" applyBorder="1" applyProtection="1"/>
    <xf numFmtId="0" fontId="15" fillId="6" borderId="23" xfId="3" applyFont="1" applyFill="1" applyBorder="1" applyAlignment="1" applyProtection="1">
      <alignment horizontal="center" wrapText="1"/>
    </xf>
    <xf numFmtId="0" fontId="15" fillId="6" borderId="24" xfId="3" applyFont="1" applyFill="1" applyBorder="1" applyAlignment="1" applyProtection="1">
      <alignment horizontal="center"/>
    </xf>
    <xf numFmtId="0" fontId="15" fillId="6" borderId="18" xfId="3" applyFont="1" applyFill="1" applyBorder="1" applyAlignment="1" applyProtection="1">
      <alignment horizontal="center"/>
    </xf>
    <xf numFmtId="0" fontId="15" fillId="0" borderId="19" xfId="3" applyFont="1" applyBorder="1" applyProtection="1"/>
    <xf numFmtId="0" fontId="15" fillId="7" borderId="19" xfId="3" applyFont="1" applyFill="1" applyBorder="1" applyProtection="1"/>
    <xf numFmtId="0" fontId="15" fillId="7" borderId="18" xfId="3" applyFont="1" applyFill="1" applyBorder="1" applyProtection="1">
      <protection locked="0"/>
    </xf>
    <xf numFmtId="0" fontId="15" fillId="7" borderId="19" xfId="3" applyFont="1" applyFill="1" applyBorder="1" applyProtection="1">
      <protection locked="0"/>
    </xf>
    <xf numFmtId="0" fontId="15" fillId="7" borderId="18" xfId="3" applyFont="1" applyFill="1" applyBorder="1" applyProtection="1"/>
    <xf numFmtId="0" fontId="15" fillId="0" borderId="0" xfId="3" applyFont="1" applyProtection="1"/>
    <xf numFmtId="0" fontId="15" fillId="0" borderId="0" xfId="3" applyFont="1" applyBorder="1" applyProtection="1"/>
    <xf numFmtId="0" fontId="15" fillId="0" borderId="20" xfId="3" applyFont="1" applyBorder="1" applyProtection="1"/>
    <xf numFmtId="0" fontId="15" fillId="6" borderId="25" xfId="3" applyFont="1" applyFill="1" applyBorder="1" applyAlignment="1" applyProtection="1">
      <alignment horizontal="center"/>
    </xf>
    <xf numFmtId="0" fontId="15" fillId="6" borderId="25" xfId="3" applyFont="1" applyFill="1" applyBorder="1" applyProtection="1">
      <protection locked="0"/>
    </xf>
    <xf numFmtId="0" fontId="15" fillId="6" borderId="26" xfId="3" applyFont="1" applyFill="1" applyBorder="1" applyAlignment="1" applyProtection="1">
      <alignment horizontal="center"/>
    </xf>
    <xf numFmtId="0" fontId="15" fillId="6" borderId="22" xfId="3" applyFont="1" applyFill="1" applyBorder="1" applyAlignment="1" applyProtection="1">
      <alignment horizontal="center"/>
    </xf>
    <xf numFmtId="0" fontId="15" fillId="6" borderId="20" xfId="3" applyFont="1" applyFill="1" applyBorder="1" applyAlignment="1" applyProtection="1">
      <alignment horizontal="center"/>
    </xf>
    <xf numFmtId="0" fontId="15" fillId="6" borderId="22" xfId="3" applyFont="1" applyFill="1" applyBorder="1" applyProtection="1">
      <protection locked="0"/>
    </xf>
    <xf numFmtId="0" fontId="15" fillId="6" borderId="23" xfId="3" applyFont="1" applyFill="1" applyBorder="1" applyAlignment="1" applyProtection="1">
      <alignment horizontal="center"/>
    </xf>
    <xf numFmtId="0" fontId="15" fillId="6" borderId="17" xfId="3" applyFont="1" applyFill="1" applyBorder="1" applyAlignment="1" applyProtection="1">
      <alignment horizontal="center"/>
    </xf>
    <xf numFmtId="0" fontId="15" fillId="6" borderId="19" xfId="3" applyFont="1" applyFill="1" applyBorder="1" applyAlignment="1" applyProtection="1">
      <alignment horizontal="center"/>
    </xf>
    <xf numFmtId="0" fontId="15" fillId="0" borderId="19" xfId="3" applyFont="1" applyBorder="1" applyAlignment="1" applyProtection="1">
      <alignment horizontal="center"/>
    </xf>
    <xf numFmtId="0" fontId="15" fillId="7" borderId="19" xfId="3" applyFont="1" applyFill="1" applyBorder="1" applyAlignment="1" applyProtection="1">
      <alignment horizontal="center"/>
    </xf>
    <xf numFmtId="0" fontId="15" fillId="8" borderId="27" xfId="3" applyFont="1" applyFill="1" applyBorder="1" applyProtection="1"/>
    <xf numFmtId="0" fontId="15" fillId="8" borderId="0" xfId="3" applyFont="1" applyFill="1" applyProtection="1"/>
    <xf numFmtId="0" fontId="15" fillId="8" borderId="25" xfId="3" applyFont="1" applyFill="1" applyBorder="1" applyProtection="1"/>
    <xf numFmtId="0" fontId="15" fillId="8" borderId="26" xfId="3" applyFont="1" applyFill="1" applyBorder="1" applyProtection="1"/>
    <xf numFmtId="0" fontId="15" fillId="8" borderId="0" xfId="3" applyFont="1" applyFill="1" applyAlignment="1" applyProtection="1">
      <alignment horizontal="center"/>
    </xf>
    <xf numFmtId="0" fontId="15" fillId="8" borderId="22" xfId="3" applyFont="1" applyFill="1" applyBorder="1" applyProtection="1"/>
    <xf numFmtId="0" fontId="15" fillId="8" borderId="21" xfId="3" applyFont="1" applyFill="1" applyBorder="1" applyProtection="1"/>
    <xf numFmtId="1" fontId="33" fillId="7" borderId="19" xfId="3" applyNumberFormat="1" applyFont="1" applyFill="1" applyBorder="1" applyAlignment="1" applyProtection="1">
      <alignment horizontal="center"/>
      <protection locked="0"/>
    </xf>
    <xf numFmtId="170" fontId="25" fillId="7" borderId="19" xfId="3" applyNumberFormat="1" applyFont="1" applyFill="1" applyBorder="1" applyAlignment="1" applyProtection="1">
      <alignment horizontal="center"/>
      <protection locked="0"/>
    </xf>
    <xf numFmtId="0" fontId="19" fillId="6" borderId="18" xfId="3" applyFont="1" applyFill="1" applyBorder="1" applyAlignment="1" applyProtection="1">
      <alignment horizontal="center"/>
      <protection locked="0"/>
    </xf>
    <xf numFmtId="0" fontId="16" fillId="0" borderId="0" xfId="3"/>
    <xf numFmtId="0" fontId="17" fillId="0" borderId="0" xfId="3" applyFont="1" applyProtection="1">
      <protection hidden="1"/>
    </xf>
    <xf numFmtId="0" fontId="19" fillId="0" borderId="0" xfId="3" applyFont="1" applyProtection="1">
      <protection hidden="1"/>
    </xf>
    <xf numFmtId="0" fontId="22" fillId="0" borderId="0" xfId="3" applyFont="1" applyProtection="1">
      <protection hidden="1"/>
    </xf>
    <xf numFmtId="0" fontId="17" fillId="0" borderId="0" xfId="3" applyFont="1" applyAlignment="1" applyProtection="1">
      <alignment horizontal="center"/>
      <protection hidden="1"/>
    </xf>
    <xf numFmtId="0" fontId="19" fillId="0" borderId="0" xfId="3" applyFont="1" applyAlignment="1" applyProtection="1">
      <alignment horizontal="center"/>
      <protection hidden="1"/>
    </xf>
    <xf numFmtId="0" fontId="22" fillId="0" borderId="0" xfId="3" applyFont="1" applyAlignment="1" applyProtection="1">
      <alignment horizontal="center"/>
      <protection hidden="1"/>
    </xf>
    <xf numFmtId="0" fontId="19" fillId="0" borderId="19" xfId="3" applyFont="1" applyBorder="1" applyProtection="1">
      <protection hidden="1"/>
    </xf>
    <xf numFmtId="0" fontId="19" fillId="0" borderId="19" xfId="3" applyFont="1" applyBorder="1" applyAlignment="1" applyProtection="1">
      <alignment horizontal="center"/>
      <protection hidden="1"/>
    </xf>
    <xf numFmtId="0" fontId="22" fillId="0" borderId="19" xfId="3" applyFont="1" applyBorder="1" applyProtection="1">
      <protection hidden="1"/>
    </xf>
    <xf numFmtId="0" fontId="22" fillId="0" borderId="19" xfId="3" applyFont="1" applyBorder="1" applyAlignment="1" applyProtection="1">
      <alignment horizontal="center"/>
      <protection hidden="1"/>
    </xf>
    <xf numFmtId="2" fontId="24" fillId="0" borderId="19" xfId="3" applyNumberFormat="1" applyFont="1" applyBorder="1" applyAlignment="1" applyProtection="1">
      <alignment horizontal="center"/>
      <protection hidden="1"/>
    </xf>
    <xf numFmtId="173" fontId="24" fillId="0" borderId="19" xfId="3" applyNumberFormat="1" applyFont="1" applyBorder="1" applyAlignment="1" applyProtection="1">
      <alignment horizontal="center"/>
      <protection hidden="1"/>
    </xf>
    <xf numFmtId="2" fontId="17" fillId="0" borderId="19" xfId="3" applyNumberFormat="1" applyFont="1" applyBorder="1" applyAlignment="1" applyProtection="1">
      <alignment horizontal="center"/>
      <protection hidden="1"/>
    </xf>
    <xf numFmtId="173" fontId="17" fillId="0" borderId="19" xfId="3" applyNumberFormat="1" applyFont="1" applyBorder="1" applyAlignment="1" applyProtection="1">
      <alignment horizontal="center"/>
      <protection hidden="1"/>
    </xf>
    <xf numFmtId="0" fontId="17" fillId="0" borderId="0" xfId="3" applyFont="1" applyBorder="1" applyProtection="1">
      <protection hidden="1"/>
    </xf>
    <xf numFmtId="0" fontId="17" fillId="0" borderId="19" xfId="3" applyFont="1" applyBorder="1" applyAlignment="1" applyProtection="1">
      <alignment horizontal="center"/>
      <protection hidden="1"/>
    </xf>
    <xf numFmtId="174" fontId="17" fillId="0" borderId="19" xfId="3" applyNumberFormat="1" applyFont="1" applyBorder="1" applyAlignment="1" applyProtection="1">
      <alignment horizontal="center"/>
      <protection hidden="1"/>
    </xf>
    <xf numFmtId="174" fontId="17" fillId="0" borderId="0" xfId="3" applyNumberFormat="1" applyFont="1" applyAlignment="1" applyProtection="1">
      <alignment horizontal="center"/>
      <protection hidden="1"/>
    </xf>
    <xf numFmtId="0" fontId="34" fillId="0" borderId="19" xfId="3" applyFont="1" applyFill="1" applyBorder="1" applyAlignment="1" applyProtection="1">
      <alignment horizontal="center" vertical="center" wrapText="1"/>
      <protection hidden="1"/>
    </xf>
    <xf numFmtId="0" fontId="17" fillId="0" borderId="19" xfId="3" applyFont="1" applyBorder="1" applyProtection="1">
      <protection hidden="1"/>
    </xf>
    <xf numFmtId="0" fontId="16" fillId="0" borderId="0" xfId="3"/>
    <xf numFmtId="0" fontId="25" fillId="0" borderId="0" xfId="3" applyFont="1" applyProtection="1">
      <protection locked="0"/>
    </xf>
    <xf numFmtId="0" fontId="25" fillId="0" borderId="0" xfId="3" applyFont="1" applyBorder="1" applyProtection="1">
      <protection locked="0"/>
    </xf>
    <xf numFmtId="0" fontId="42" fillId="0" borderId="0" xfId="3" applyFont="1" applyProtection="1">
      <protection locked="0"/>
    </xf>
    <xf numFmtId="0" fontId="34" fillId="0" borderId="0" xfId="3" applyFont="1" applyAlignment="1" applyProtection="1">
      <alignment horizontal="center" vertical="center"/>
      <protection locked="0"/>
    </xf>
    <xf numFmtId="0" fontId="34" fillId="0" borderId="0" xfId="3" applyFont="1" applyAlignment="1" applyProtection="1">
      <alignment horizontal="center"/>
      <protection locked="0"/>
    </xf>
    <xf numFmtId="0" fontId="25" fillId="0" borderId="0" xfId="3" applyFont="1" applyAlignment="1" applyProtection="1">
      <alignment horizontal="center"/>
      <protection locked="0"/>
    </xf>
    <xf numFmtId="0" fontId="15" fillId="0" borderId="0" xfId="3" applyFont="1" applyBorder="1" applyProtection="1">
      <protection locked="0"/>
    </xf>
    <xf numFmtId="1" fontId="15" fillId="0" borderId="0" xfId="3" applyNumberFormat="1" applyFont="1" applyBorder="1" applyProtection="1">
      <protection locked="0"/>
    </xf>
    <xf numFmtId="0" fontId="34" fillId="0" borderId="0" xfId="3" applyFont="1" applyFill="1" applyBorder="1" applyAlignment="1" applyProtection="1">
      <alignment horizontal="center" vertical="top" wrapText="1"/>
      <protection locked="0"/>
    </xf>
    <xf numFmtId="0" fontId="25" fillId="0" borderId="0" xfId="3" applyFont="1" applyFill="1" applyProtection="1">
      <protection locked="0"/>
    </xf>
    <xf numFmtId="0" fontId="25" fillId="0" borderId="0" xfId="3" applyFont="1" applyFill="1" applyBorder="1" applyAlignment="1" applyProtection="1">
      <alignment horizontal="center" vertical="top" wrapText="1"/>
      <protection locked="0"/>
    </xf>
    <xf numFmtId="0" fontId="15" fillId="0" borderId="0" xfId="3" applyFont="1" applyAlignment="1" applyProtection="1">
      <alignment vertical="center"/>
      <protection locked="0"/>
    </xf>
    <xf numFmtId="0" fontId="15" fillId="0" borderId="0" xfId="3" applyFont="1" applyAlignment="1" applyProtection="1">
      <alignment horizontal="center" vertical="center"/>
      <protection locked="0"/>
    </xf>
    <xf numFmtId="0" fontId="25" fillId="0" borderId="0" xfId="3" applyFont="1" applyAlignment="1" applyProtection="1">
      <alignment vertical="center"/>
      <protection locked="0"/>
    </xf>
    <xf numFmtId="0" fontId="25" fillId="0" borderId="0" xfId="3" applyFont="1" applyFill="1" applyBorder="1" applyProtection="1">
      <protection locked="0"/>
    </xf>
    <xf numFmtId="0" fontId="22" fillId="11" borderId="19" xfId="3" applyFont="1" applyFill="1" applyBorder="1" applyAlignment="1" applyProtection="1">
      <alignment horizontal="center"/>
      <protection locked="0"/>
    </xf>
    <xf numFmtId="0" fontId="22" fillId="11" borderId="19" xfId="3" applyFont="1" applyFill="1" applyBorder="1" applyAlignment="1" applyProtection="1">
      <alignment horizontal="center"/>
    </xf>
    <xf numFmtId="0" fontId="34" fillId="9" borderId="27" xfId="3" applyFont="1" applyFill="1" applyBorder="1" applyAlignment="1" applyProtection="1">
      <alignment horizontal="center" vertical="center"/>
    </xf>
    <xf numFmtId="0" fontId="34" fillId="9" borderId="27" xfId="3" applyFont="1" applyFill="1" applyBorder="1" applyAlignment="1" applyProtection="1">
      <alignment horizontal="center" vertical="center" wrapText="1"/>
    </xf>
    <xf numFmtId="0" fontId="34" fillId="9" borderId="23" xfId="3" applyFont="1" applyFill="1" applyBorder="1" applyAlignment="1" applyProtection="1">
      <alignment horizontal="center" vertical="center" wrapText="1"/>
    </xf>
    <xf numFmtId="0" fontId="34" fillId="9" borderId="24" xfId="3" applyFont="1" applyFill="1" applyBorder="1" applyAlignment="1" applyProtection="1">
      <alignment vertical="center" wrapText="1"/>
    </xf>
    <xf numFmtId="0" fontId="19" fillId="9" borderId="23" xfId="3" applyFont="1" applyFill="1" applyBorder="1" applyAlignment="1" applyProtection="1">
      <alignment horizontal="center" vertical="center" wrapText="1"/>
    </xf>
    <xf numFmtId="0" fontId="34" fillId="9" borderId="25" xfId="3" applyFont="1" applyFill="1" applyBorder="1" applyAlignment="1" applyProtection="1">
      <alignment horizontal="center" vertical="center"/>
    </xf>
    <xf numFmtId="0" fontId="34" fillId="9" borderId="25" xfId="3" applyFont="1" applyFill="1" applyBorder="1" applyAlignment="1" applyProtection="1">
      <alignment horizontal="center" vertical="center" wrapText="1"/>
    </xf>
    <xf numFmtId="0" fontId="34" fillId="9" borderId="29" xfId="3" applyFont="1" applyFill="1" applyBorder="1" applyAlignment="1" applyProtection="1">
      <alignment horizontal="center" vertical="top" wrapText="1"/>
    </xf>
    <xf numFmtId="0" fontId="34" fillId="9" borderId="17" xfId="3" applyFont="1" applyFill="1" applyBorder="1" applyAlignment="1" applyProtection="1">
      <alignment horizontal="center" vertical="center" wrapText="1"/>
    </xf>
    <xf numFmtId="0" fontId="32" fillId="9" borderId="0" xfId="3" applyFont="1" applyFill="1" applyBorder="1" applyAlignment="1" applyProtection="1"/>
    <xf numFmtId="0" fontId="34" fillId="9" borderId="29" xfId="3" applyFont="1" applyFill="1" applyBorder="1" applyAlignment="1" applyProtection="1">
      <alignment horizontal="center" vertical="center" wrapText="1"/>
    </xf>
    <xf numFmtId="0" fontId="19" fillId="9" borderId="17" xfId="3" applyFont="1" applyFill="1" applyBorder="1" applyAlignment="1" applyProtection="1">
      <alignment horizontal="center" vertical="center" wrapText="1"/>
    </xf>
    <xf numFmtId="0" fontId="34" fillId="9" borderId="21" xfId="3" applyFont="1" applyFill="1" applyBorder="1" applyAlignment="1" applyProtection="1">
      <alignment horizontal="center" vertical="top" wrapText="1"/>
    </xf>
    <xf numFmtId="0" fontId="34" fillId="9" borderId="21" xfId="3" applyFont="1" applyFill="1" applyBorder="1" applyAlignment="1" applyProtection="1">
      <alignment horizontal="center" vertical="center" wrapText="1"/>
    </xf>
    <xf numFmtId="0" fontId="32" fillId="9" borderId="21" xfId="3" applyFont="1" applyFill="1" applyBorder="1" applyAlignment="1" applyProtection="1">
      <alignment vertical="top" wrapText="1"/>
    </xf>
    <xf numFmtId="0" fontId="43" fillId="9" borderId="29" xfId="3" applyFont="1" applyFill="1" applyBorder="1" applyAlignment="1" applyProtection="1">
      <alignment horizontal="center" vertical="top" wrapText="1"/>
    </xf>
    <xf numFmtId="0" fontId="43" fillId="9" borderId="17" xfId="3" applyFont="1" applyFill="1" applyBorder="1" applyAlignment="1" applyProtection="1">
      <alignment horizontal="center" vertical="top" wrapText="1"/>
    </xf>
    <xf numFmtId="0" fontId="43" fillId="9" borderId="17" xfId="3" applyFont="1" applyFill="1" applyBorder="1" applyAlignment="1" applyProtection="1">
      <alignment horizontal="center" vertical="center" wrapText="1"/>
    </xf>
    <xf numFmtId="0" fontId="34" fillId="9" borderId="26" xfId="3" applyFont="1" applyFill="1" applyBorder="1" applyAlignment="1" applyProtection="1">
      <alignment horizontal="center" vertical="top" wrapText="1"/>
    </xf>
    <xf numFmtId="0" fontId="43" fillId="9" borderId="26" xfId="3" applyFont="1" applyFill="1" applyBorder="1" applyAlignment="1" applyProtection="1">
      <alignment horizontal="center" vertical="top" wrapText="1"/>
    </xf>
    <xf numFmtId="0" fontId="43" fillId="9" borderId="18" xfId="3" applyFont="1" applyFill="1" applyBorder="1" applyAlignment="1" applyProtection="1">
      <alignment horizontal="center" vertical="top" wrapText="1"/>
    </xf>
    <xf numFmtId="0" fontId="32" fillId="9" borderId="20" xfId="3" applyFont="1" applyFill="1" applyBorder="1" applyAlignment="1" applyProtection="1"/>
    <xf numFmtId="0" fontId="32" fillId="9" borderId="26" xfId="3" applyFont="1" applyFill="1" applyBorder="1" applyAlignment="1" applyProtection="1">
      <alignment vertical="top" wrapText="1"/>
    </xf>
    <xf numFmtId="0" fontId="43" fillId="9" borderId="18" xfId="3" applyFont="1" applyFill="1" applyBorder="1" applyAlignment="1" applyProtection="1">
      <alignment horizontal="center" vertical="center" wrapText="1"/>
    </xf>
    <xf numFmtId="0" fontId="32" fillId="9" borderId="22" xfId="3" applyFont="1" applyFill="1" applyBorder="1" applyAlignment="1" applyProtection="1">
      <alignment vertical="top" wrapText="1"/>
    </xf>
    <xf numFmtId="0" fontId="43" fillId="9" borderId="22" xfId="3" applyFont="1" applyFill="1" applyBorder="1" applyAlignment="1" applyProtection="1">
      <alignment horizontal="center" vertical="center" wrapText="1"/>
    </xf>
    <xf numFmtId="0" fontId="34" fillId="6" borderId="18" xfId="3" applyFont="1" applyFill="1" applyBorder="1" applyAlignment="1" applyProtection="1">
      <alignment horizontal="center" vertical="top" wrapText="1"/>
    </xf>
    <xf numFmtId="0" fontId="34" fillId="6" borderId="22" xfId="3" applyFont="1" applyFill="1" applyBorder="1" applyAlignment="1" applyProtection="1">
      <alignment horizontal="center" vertical="top" wrapText="1"/>
    </xf>
    <xf numFmtId="0" fontId="34" fillId="6" borderId="21" xfId="3" applyFont="1" applyFill="1" applyBorder="1" applyAlignment="1" applyProtection="1">
      <alignment horizontal="center" vertical="top" wrapText="1"/>
    </xf>
    <xf numFmtId="0" fontId="22" fillId="11" borderId="0" xfId="3" applyFont="1" applyFill="1" applyBorder="1" applyAlignment="1" applyProtection="1">
      <alignment horizontal="center"/>
      <protection locked="0"/>
    </xf>
    <xf numFmtId="0" fontId="16" fillId="0" borderId="0" xfId="3"/>
    <xf numFmtId="0" fontId="29" fillId="0" borderId="0" xfId="3" applyFont="1" applyProtection="1">
      <protection locked="0"/>
    </xf>
    <xf numFmtId="0" fontId="25" fillId="0" borderId="0" xfId="3" applyFont="1" applyProtection="1">
      <protection locked="0"/>
    </xf>
    <xf numFmtId="0" fontId="15" fillId="0" borderId="0" xfId="3" applyFont="1" applyProtection="1">
      <protection locked="0"/>
    </xf>
    <xf numFmtId="0" fontId="29" fillId="0" borderId="0" xfId="3" applyFont="1" applyAlignment="1" applyProtection="1">
      <alignment horizontal="center"/>
      <protection locked="0"/>
    </xf>
    <xf numFmtId="0" fontId="25" fillId="0" borderId="0" xfId="3" applyFont="1" applyAlignment="1" applyProtection="1">
      <alignment horizontal="center"/>
      <protection locked="0"/>
    </xf>
    <xf numFmtId="0" fontId="34" fillId="7" borderId="19" xfId="3" applyFont="1" applyFill="1" applyBorder="1" applyAlignment="1" applyProtection="1">
      <alignment horizontal="center"/>
      <protection locked="0"/>
    </xf>
    <xf numFmtId="0" fontId="34" fillId="9" borderId="18" xfId="3" applyFont="1" applyFill="1" applyBorder="1" applyAlignment="1" applyProtection="1">
      <alignment horizontal="center" vertical="center"/>
      <protection locked="0"/>
    </xf>
    <xf numFmtId="0" fontId="25" fillId="0" borderId="0" xfId="3" applyFont="1" applyFill="1" applyProtection="1">
      <protection locked="0"/>
    </xf>
    <xf numFmtId="2" fontId="25" fillId="0" borderId="19" xfId="3" applyNumberFormat="1" applyFont="1" applyFill="1" applyBorder="1" applyAlignment="1" applyProtection="1">
      <alignment horizontal="center"/>
      <protection locked="0"/>
    </xf>
    <xf numFmtId="0" fontId="15" fillId="0" borderId="0" xfId="3" applyFont="1" applyAlignment="1" applyProtection="1">
      <alignment vertical="center"/>
      <protection locked="0"/>
    </xf>
    <xf numFmtId="170" fontId="29" fillId="0" borderId="0" xfId="3" applyNumberFormat="1" applyFont="1" applyProtection="1">
      <protection locked="0"/>
    </xf>
    <xf numFmtId="170" fontId="15" fillId="0" borderId="0" xfId="3" applyNumberFormat="1" applyFont="1" applyProtection="1">
      <protection locked="0"/>
    </xf>
    <xf numFmtId="170" fontId="34" fillId="9" borderId="23" xfId="3" applyNumberFormat="1" applyFont="1" applyFill="1" applyBorder="1" applyAlignment="1" applyProtection="1">
      <alignment horizontal="center" vertical="center"/>
      <protection locked="0"/>
    </xf>
    <xf numFmtId="0" fontId="38" fillId="9" borderId="23" xfId="3" applyFont="1" applyFill="1" applyBorder="1" applyAlignment="1" applyProtection="1">
      <alignment horizontal="center" vertical="center"/>
      <protection locked="0"/>
    </xf>
    <xf numFmtId="170" fontId="34" fillId="9" borderId="18" xfId="3" applyNumberFormat="1" applyFont="1" applyFill="1" applyBorder="1" applyAlignment="1" applyProtection="1">
      <alignment horizontal="center" vertical="center"/>
      <protection locked="0"/>
    </xf>
    <xf numFmtId="170" fontId="25" fillId="0" borderId="19" xfId="3" applyNumberFormat="1" applyFont="1" applyFill="1" applyBorder="1" applyAlignment="1" applyProtection="1">
      <alignment horizontal="center"/>
      <protection locked="0"/>
    </xf>
    <xf numFmtId="170" fontId="25" fillId="0" borderId="0" xfId="3" applyNumberFormat="1" applyFont="1" applyProtection="1">
      <protection locked="0"/>
    </xf>
    <xf numFmtId="0" fontId="25" fillId="0" borderId="0" xfId="3" applyFont="1" applyFill="1" applyAlignment="1" applyProtection="1">
      <alignment horizontal="center"/>
      <protection locked="0"/>
    </xf>
    <xf numFmtId="0" fontId="15" fillId="0" borderId="0" xfId="3" applyFont="1" applyFill="1" applyProtection="1">
      <protection locked="0"/>
    </xf>
    <xf numFmtId="170" fontId="25" fillId="0" borderId="0" xfId="3" applyNumberFormat="1" applyFont="1" applyFill="1" applyProtection="1">
      <protection locked="0"/>
    </xf>
    <xf numFmtId="0" fontId="36" fillId="9" borderId="18" xfId="3" applyFont="1" applyFill="1" applyBorder="1" applyAlignment="1" applyProtection="1">
      <alignment horizontal="center" vertical="center"/>
      <protection locked="0"/>
    </xf>
    <xf numFmtId="0" fontId="34" fillId="9" borderId="27" xfId="3" applyFont="1" applyFill="1" applyBorder="1" applyAlignment="1" applyProtection="1">
      <alignment horizontal="center" vertical="center"/>
    </xf>
    <xf numFmtId="0" fontId="34" fillId="9" borderId="29" xfId="3" applyFont="1" applyFill="1" applyBorder="1" applyAlignment="1" applyProtection="1">
      <alignment horizontal="center" vertical="top" wrapText="1"/>
    </xf>
    <xf numFmtId="0" fontId="34" fillId="9" borderId="26" xfId="3" applyFont="1" applyFill="1" applyBorder="1" applyAlignment="1" applyProtection="1">
      <alignment horizontal="center" vertical="top" wrapText="1"/>
    </xf>
    <xf numFmtId="0" fontId="34" fillId="6" borderId="22" xfId="3" applyFont="1" applyFill="1" applyBorder="1" applyAlignment="1" applyProtection="1">
      <alignment horizontal="center" vertical="top" wrapText="1"/>
    </xf>
    <xf numFmtId="0" fontId="34" fillId="12" borderId="0" xfId="3" applyFont="1" applyFill="1" applyAlignment="1" applyProtection="1">
      <alignment horizontal="center" wrapText="1"/>
    </xf>
    <xf numFmtId="0" fontId="29" fillId="0" borderId="0" xfId="3" applyFont="1" applyFill="1" applyProtection="1">
      <protection locked="0"/>
    </xf>
    <xf numFmtId="0" fontId="0" fillId="0" borderId="0" xfId="0" applyFill="1"/>
    <xf numFmtId="1" fontId="17" fillId="13" borderId="23" xfId="3" applyNumberFormat="1" applyFont="1" applyFill="1" applyBorder="1" applyAlignment="1" applyProtection="1">
      <alignment horizontal="center" vertical="top" wrapText="1"/>
      <protection hidden="1"/>
    </xf>
    <xf numFmtId="0" fontId="17" fillId="13" borderId="28" xfId="3" applyFont="1" applyFill="1" applyBorder="1" applyAlignment="1" applyProtection="1">
      <alignment horizontal="center"/>
      <protection hidden="1"/>
    </xf>
    <xf numFmtId="169" fontId="17" fillId="13" borderId="19" xfId="1" applyNumberFormat="1" applyFont="1" applyFill="1" applyBorder="1" applyAlignment="1" applyProtection="1">
      <alignment horizontal="center"/>
      <protection locked="0"/>
    </xf>
    <xf numFmtId="1" fontId="17" fillId="13" borderId="19" xfId="3" applyNumberFormat="1" applyFont="1" applyFill="1" applyBorder="1" applyAlignment="1" applyProtection="1">
      <alignment horizontal="center"/>
      <protection hidden="1"/>
    </xf>
    <xf numFmtId="1" fontId="17" fillId="13" borderId="19" xfId="3" applyNumberFormat="1" applyFont="1" applyFill="1" applyBorder="1" applyAlignment="1" applyProtection="1">
      <alignment horizontal="center"/>
      <protection locked="0"/>
    </xf>
    <xf numFmtId="167" fontId="17" fillId="13" borderId="19" xfId="3" applyNumberFormat="1" applyFont="1" applyFill="1" applyBorder="1" applyAlignment="1" applyProtection="1">
      <alignment horizontal="center"/>
      <protection hidden="1"/>
    </xf>
    <xf numFmtId="167" fontId="17" fillId="13" borderId="19" xfId="3" applyNumberFormat="1" applyFont="1" applyFill="1" applyBorder="1" applyProtection="1">
      <protection hidden="1"/>
    </xf>
    <xf numFmtId="2" fontId="24" fillId="13" borderId="19" xfId="3" applyNumberFormat="1" applyFont="1" applyFill="1" applyBorder="1" applyAlignment="1" applyProtection="1">
      <alignment horizontal="center"/>
      <protection hidden="1"/>
    </xf>
    <xf numFmtId="2" fontId="17" fillId="13" borderId="19" xfId="3" applyNumberFormat="1" applyFont="1" applyFill="1" applyBorder="1" applyAlignment="1" applyProtection="1">
      <alignment horizontal="center"/>
      <protection hidden="1"/>
    </xf>
    <xf numFmtId="1" fontId="46" fillId="13" borderId="17" xfId="3" applyNumberFormat="1" applyFont="1" applyFill="1" applyBorder="1" applyAlignment="1" applyProtection="1">
      <alignment horizontal="center"/>
      <protection hidden="1"/>
    </xf>
    <xf numFmtId="1" fontId="46" fillId="13" borderId="18" xfId="3" applyNumberFormat="1" applyFont="1" applyFill="1" applyBorder="1" applyAlignment="1" applyProtection="1">
      <alignment horizontal="center"/>
      <protection hidden="1"/>
    </xf>
    <xf numFmtId="0" fontId="29" fillId="13" borderId="0" xfId="3" applyFont="1" applyFill="1" applyProtection="1">
      <protection locked="0"/>
    </xf>
    <xf numFmtId="0" fontId="18" fillId="13" borderId="0" xfId="3" applyFont="1" applyFill="1" applyProtection="1">
      <protection locked="0"/>
    </xf>
    <xf numFmtId="0" fontId="29" fillId="13" borderId="0" xfId="3" applyFont="1" applyFill="1" applyAlignment="1" applyProtection="1">
      <alignment horizontal="center"/>
      <protection locked="0"/>
    </xf>
    <xf numFmtId="0" fontId="16" fillId="13" borderId="0" xfId="3" applyFill="1"/>
    <xf numFmtId="0" fontId="37" fillId="13" borderId="0" xfId="3" applyFont="1" applyFill="1" applyProtection="1">
      <protection locked="0"/>
    </xf>
    <xf numFmtId="0" fontId="17" fillId="13" borderId="0" xfId="3" applyFont="1" applyFill="1" applyProtection="1">
      <protection locked="0"/>
    </xf>
    <xf numFmtId="0" fontId="25" fillId="13" borderId="0" xfId="3" applyFont="1" applyFill="1" applyBorder="1" applyAlignment="1" applyProtection="1">
      <alignment horizontal="center" vertical="top" wrapText="1"/>
      <protection locked="0"/>
    </xf>
    <xf numFmtId="166" fontId="25" fillId="13" borderId="0" xfId="3" applyNumberFormat="1" applyFont="1" applyFill="1" applyBorder="1" applyProtection="1">
      <protection locked="0"/>
    </xf>
    <xf numFmtId="0" fontId="25" fillId="13" borderId="0" xfId="3" applyFont="1" applyFill="1" applyProtection="1">
      <protection locked="0"/>
    </xf>
    <xf numFmtId="0" fontId="25" fillId="13" borderId="0" xfId="3" applyFont="1" applyFill="1" applyAlignment="1" applyProtection="1">
      <alignment horizontal="center"/>
      <protection locked="0"/>
    </xf>
    <xf numFmtId="0" fontId="15" fillId="13" borderId="0" xfId="3" applyFont="1" applyFill="1" applyProtection="1">
      <protection locked="0"/>
    </xf>
    <xf numFmtId="0" fontId="17" fillId="13" borderId="0" xfId="3" applyFont="1" applyFill="1" applyAlignment="1" applyProtection="1">
      <alignment vertical="center"/>
      <protection locked="0"/>
    </xf>
    <xf numFmtId="0" fontId="22" fillId="13" borderId="0" xfId="3" applyFont="1" applyFill="1" applyAlignment="1" applyProtection="1">
      <alignment horizontal="left" vertical="center"/>
      <protection locked="0"/>
    </xf>
    <xf numFmtId="0" fontId="17" fillId="13" borderId="0" xfId="3" applyFont="1" applyFill="1" applyAlignment="1" applyProtection="1">
      <alignment horizontal="right"/>
      <protection locked="0"/>
    </xf>
    <xf numFmtId="166" fontId="17" fillId="13" borderId="0" xfId="3" applyNumberFormat="1" applyFont="1" applyFill="1" applyBorder="1" applyAlignment="1" applyProtection="1">
      <alignment horizontal="center" vertical="center"/>
      <protection hidden="1"/>
    </xf>
    <xf numFmtId="0" fontId="17" fillId="13" borderId="0" xfId="3" applyFont="1" applyFill="1" applyAlignment="1" applyProtection="1">
      <alignment horizontal="left"/>
      <protection locked="0"/>
    </xf>
    <xf numFmtId="0" fontId="22" fillId="13" borderId="0" xfId="3" applyFont="1" applyFill="1" applyAlignment="1" applyProtection="1">
      <alignment horizontal="left"/>
      <protection locked="0"/>
    </xf>
    <xf numFmtId="0" fontId="25" fillId="13" borderId="17" xfId="3" applyFont="1" applyFill="1" applyBorder="1" applyAlignment="1" applyProtection="1">
      <alignment horizontal="center" vertical="top" wrapText="1"/>
      <protection locked="0"/>
    </xf>
    <xf numFmtId="0" fontId="25" fillId="13" borderId="21" xfId="3" applyFont="1" applyFill="1" applyBorder="1" applyAlignment="1" applyProtection="1">
      <alignment horizontal="center" vertical="top" wrapText="1"/>
      <protection locked="0"/>
    </xf>
    <xf numFmtId="166" fontId="25" fillId="13" borderId="21" xfId="3" applyNumberFormat="1" applyFont="1" applyFill="1" applyBorder="1" applyAlignment="1" applyProtection="1">
      <alignment horizontal="center" vertical="top" wrapText="1"/>
      <protection locked="0"/>
    </xf>
    <xf numFmtId="2" fontId="25" fillId="13" borderId="21" xfId="3" applyNumberFormat="1" applyFont="1" applyFill="1" applyBorder="1" applyAlignment="1" applyProtection="1">
      <alignment horizontal="center" vertical="top" wrapText="1"/>
    </xf>
    <xf numFmtId="173" fontId="25" fillId="13" borderId="21" xfId="3" applyNumberFormat="1" applyFont="1" applyFill="1" applyBorder="1" applyAlignment="1" applyProtection="1">
      <alignment horizontal="center" vertical="top" wrapText="1"/>
    </xf>
    <xf numFmtId="1" fontId="25" fillId="13" borderId="0" xfId="3" applyNumberFormat="1" applyFont="1" applyFill="1" applyBorder="1" applyAlignment="1" applyProtection="1">
      <alignment horizontal="center" vertical="top" wrapText="1"/>
    </xf>
    <xf numFmtId="0" fontId="47" fillId="13" borderId="17" xfId="3" applyFont="1" applyFill="1" applyBorder="1" applyAlignment="1" applyProtection="1">
      <alignment horizontal="center" vertical="top" wrapText="1"/>
      <protection locked="0"/>
    </xf>
    <xf numFmtId="0" fontId="15" fillId="13" borderId="21" xfId="3" applyFont="1" applyFill="1" applyBorder="1" applyAlignment="1" applyProtection="1">
      <alignment horizontal="center" vertical="top" wrapText="1"/>
      <protection locked="0"/>
    </xf>
    <xf numFmtId="166" fontId="25" fillId="13" borderId="21" xfId="3" quotePrefix="1" applyNumberFormat="1" applyFont="1" applyFill="1" applyBorder="1" applyAlignment="1" applyProtection="1">
      <alignment horizontal="center" vertical="top" wrapText="1"/>
      <protection locked="0"/>
    </xf>
    <xf numFmtId="0" fontId="15" fillId="13" borderId="21" xfId="3" applyFont="1" applyFill="1" applyBorder="1" applyAlignment="1" applyProtection="1">
      <alignment vertical="top" wrapText="1"/>
      <protection locked="0"/>
    </xf>
    <xf numFmtId="0" fontId="48" fillId="13" borderId="18" xfId="3" applyFont="1" applyFill="1" applyBorder="1" applyAlignment="1" applyProtection="1">
      <alignment vertical="top" wrapText="1"/>
      <protection locked="0"/>
    </xf>
    <xf numFmtId="0" fontId="15" fillId="13" borderId="22" xfId="3" applyFont="1" applyFill="1" applyBorder="1" applyAlignment="1" applyProtection="1">
      <alignment horizontal="center" vertical="top" wrapText="1"/>
      <protection locked="0"/>
    </xf>
    <xf numFmtId="166" fontId="15" fillId="13" borderId="22" xfId="3" applyNumberFormat="1" applyFont="1" applyFill="1" applyBorder="1" applyAlignment="1" applyProtection="1">
      <alignment vertical="top" wrapText="1"/>
      <protection locked="0"/>
    </xf>
    <xf numFmtId="166" fontId="15" fillId="13" borderId="22" xfId="3" applyNumberFormat="1" applyFont="1" applyFill="1" applyBorder="1" applyAlignment="1" applyProtection="1">
      <alignment horizontal="center" vertical="top" wrapText="1"/>
      <protection locked="0"/>
    </xf>
    <xf numFmtId="2" fontId="25" fillId="13" borderId="18" xfId="3" applyNumberFormat="1" applyFont="1" applyFill="1" applyBorder="1" applyAlignment="1" applyProtection="1">
      <alignment horizontal="center" vertical="top" wrapText="1"/>
    </xf>
    <xf numFmtId="173" fontId="25" fillId="13" borderId="18" xfId="3" applyNumberFormat="1" applyFont="1" applyFill="1" applyBorder="1" applyAlignment="1" applyProtection="1">
      <alignment horizontal="center" vertical="top" wrapText="1"/>
    </xf>
    <xf numFmtId="0" fontId="15" fillId="13" borderId="22" xfId="3" applyFont="1" applyFill="1" applyBorder="1" applyAlignment="1" applyProtection="1">
      <alignment vertical="top" wrapText="1"/>
      <protection locked="0"/>
    </xf>
    <xf numFmtId="1" fontId="25" fillId="13" borderId="27" xfId="3" applyNumberFormat="1" applyFont="1" applyFill="1" applyBorder="1" applyAlignment="1" applyProtection="1">
      <alignment horizontal="center" vertical="top" wrapText="1"/>
    </xf>
    <xf numFmtId="1" fontId="25" fillId="13" borderId="29" xfId="3" applyNumberFormat="1" applyFont="1" applyFill="1" applyBorder="1" applyAlignment="1" applyProtection="1">
      <alignment horizontal="center" vertical="top" wrapText="1"/>
    </xf>
    <xf numFmtId="1" fontId="25" fillId="13" borderId="26" xfId="3" applyNumberFormat="1" applyFont="1" applyFill="1" applyBorder="1" applyAlignment="1" applyProtection="1">
      <alignment horizontal="center" vertical="top" wrapText="1"/>
    </xf>
    <xf numFmtId="1" fontId="25" fillId="13" borderId="20" xfId="3" applyNumberFormat="1" applyFont="1" applyFill="1" applyBorder="1" applyAlignment="1" applyProtection="1">
      <alignment horizontal="center" vertical="top" wrapText="1"/>
    </xf>
    <xf numFmtId="0" fontId="25" fillId="13" borderId="17" xfId="3" quotePrefix="1" applyFont="1" applyFill="1" applyBorder="1" applyAlignment="1" applyProtection="1">
      <alignment horizontal="center" vertical="top" wrapText="1"/>
      <protection locked="0"/>
    </xf>
    <xf numFmtId="0" fontId="3" fillId="0" borderId="5" xfId="0" applyFont="1" applyBorder="1" applyAlignment="1">
      <alignment horizontal="justify" vertical="center"/>
    </xf>
    <xf numFmtId="0" fontId="8" fillId="14" borderId="4" xfId="0" applyFont="1" applyFill="1" applyBorder="1" applyAlignment="1">
      <alignment horizontal="center" vertical="center" wrapText="1"/>
    </xf>
    <xf numFmtId="0" fontId="8" fillId="14" borderId="31" xfId="0" applyFont="1" applyFill="1" applyBorder="1" applyAlignment="1">
      <alignment horizontal="center" vertical="center" wrapText="1"/>
    </xf>
    <xf numFmtId="0" fontId="0" fillId="14" borderId="5" xfId="0" applyFill="1" applyBorder="1" applyAlignment="1">
      <alignment horizontal="center" vertical="center" wrapText="1"/>
    </xf>
    <xf numFmtId="0" fontId="8" fillId="14" borderId="5" xfId="0" applyFont="1" applyFill="1" applyBorder="1" applyAlignment="1">
      <alignment horizontal="center" vertical="center" wrapText="1"/>
    </xf>
    <xf numFmtId="0" fontId="3" fillId="0" borderId="5" xfId="0" applyFont="1" applyBorder="1" applyAlignment="1">
      <alignment horizontal="left" vertical="center"/>
    </xf>
    <xf numFmtId="0" fontId="15" fillId="0" borderId="0" xfId="2"/>
    <xf numFmtId="0" fontId="17" fillId="0" borderId="8" xfId="2" applyFont="1" applyFill="1" applyBorder="1" applyAlignment="1">
      <alignment horizontal="center" wrapText="1"/>
    </xf>
    <xf numFmtId="166" fontId="17" fillId="0" borderId="8" xfId="2" applyNumberFormat="1" applyFont="1" applyFill="1" applyBorder="1" applyAlignment="1">
      <alignment horizontal="center" wrapText="1"/>
    </xf>
    <xf numFmtId="0" fontId="19" fillId="4" borderId="8" xfId="2" applyFont="1" applyFill="1" applyBorder="1" applyAlignment="1">
      <alignment horizontal="center" vertical="center" wrapText="1"/>
    </xf>
    <xf numFmtId="0" fontId="17" fillId="4" borderId="8" xfId="2" applyFont="1" applyFill="1" applyBorder="1" applyAlignment="1">
      <alignment horizontal="center" wrapText="1"/>
    </xf>
    <xf numFmtId="1" fontId="17" fillId="0" borderId="8" xfId="2" applyNumberFormat="1" applyFont="1" applyFill="1" applyBorder="1" applyAlignment="1">
      <alignment horizontal="center" wrapText="1"/>
    </xf>
    <xf numFmtId="0" fontId="24" fillId="0" borderId="8" xfId="2" applyFont="1" applyFill="1" applyBorder="1" applyAlignment="1">
      <alignment horizontal="center" wrapText="1"/>
    </xf>
    <xf numFmtId="1" fontId="24" fillId="0" borderId="33" xfId="2" applyNumberFormat="1" applyFont="1" applyFill="1" applyBorder="1" applyAlignment="1">
      <alignment horizontal="center" wrapText="1"/>
    </xf>
    <xf numFmtId="1" fontId="17" fillId="0" borderId="33" xfId="2" applyNumberFormat="1" applyFont="1" applyFill="1" applyBorder="1" applyAlignment="1">
      <alignment horizontal="center" wrapText="1"/>
    </xf>
    <xf numFmtId="1" fontId="17" fillId="0" borderId="34" xfId="2" applyNumberFormat="1" applyFont="1" applyFill="1" applyBorder="1" applyAlignment="1">
      <alignment horizontal="center" wrapText="1"/>
    </xf>
    <xf numFmtId="1" fontId="24" fillId="0" borderId="8" xfId="2" applyNumberFormat="1" applyFont="1" applyFill="1" applyBorder="1" applyAlignment="1">
      <alignment horizontal="right" wrapText="1"/>
    </xf>
    <xf numFmtId="1" fontId="50" fillId="0" borderId="8" xfId="2" applyNumberFormat="1" applyFont="1" applyFill="1" applyBorder="1" applyAlignment="1">
      <alignment horizontal="right" wrapText="1"/>
    </xf>
    <xf numFmtId="0" fontId="17" fillId="0" borderId="0" xfId="2" applyFont="1" applyAlignment="1">
      <alignment horizontal="justify"/>
    </xf>
    <xf numFmtId="0" fontId="19" fillId="0" borderId="0" xfId="2" applyFont="1" applyAlignment="1">
      <alignment horizontal="justify"/>
    </xf>
    <xf numFmtId="1" fontId="17" fillId="0" borderId="36" xfId="2" applyNumberFormat="1" applyFont="1" applyFill="1" applyBorder="1" applyAlignment="1">
      <alignment horizontal="center" wrapText="1"/>
    </xf>
    <xf numFmtId="166" fontId="17" fillId="0" borderId="36" xfId="2" applyNumberFormat="1" applyFont="1" applyFill="1" applyBorder="1" applyAlignment="1">
      <alignment horizontal="center" wrapText="1"/>
    </xf>
    <xf numFmtId="0" fontId="17" fillId="0" borderId="36" xfId="2" applyFont="1" applyFill="1" applyBorder="1" applyAlignment="1">
      <alignment horizontal="center" wrapText="1"/>
    </xf>
    <xf numFmtId="1" fontId="17" fillId="0" borderId="37" xfId="2" applyNumberFormat="1" applyFont="1" applyFill="1" applyBorder="1" applyAlignment="1">
      <alignment horizontal="center" wrapText="1"/>
    </xf>
    <xf numFmtId="1" fontId="17" fillId="0" borderId="38" xfId="2" applyNumberFormat="1" applyFont="1" applyFill="1" applyBorder="1" applyAlignment="1">
      <alignment horizontal="center" wrapText="1"/>
    </xf>
    <xf numFmtId="0" fontId="15" fillId="0" borderId="0" xfId="2"/>
    <xf numFmtId="0" fontId="19" fillId="7" borderId="19" xfId="2" applyFont="1" applyFill="1" applyBorder="1" applyAlignment="1">
      <alignment horizontal="center" vertical="center" wrapText="1"/>
    </xf>
    <xf numFmtId="0" fontId="17" fillId="7" borderId="19" xfId="2" applyFont="1" applyFill="1" applyBorder="1" applyAlignment="1">
      <alignment horizontal="center" wrapText="1"/>
    </xf>
    <xf numFmtId="1" fontId="24" fillId="0" borderId="19" xfId="2" applyNumberFormat="1" applyFont="1" applyFill="1" applyBorder="1" applyAlignment="1">
      <alignment horizontal="right" wrapText="1"/>
    </xf>
    <xf numFmtId="0" fontId="19" fillId="7" borderId="23" xfId="2" applyFont="1" applyFill="1" applyBorder="1" applyAlignment="1">
      <alignment horizontal="center" vertical="center" wrapText="1"/>
    </xf>
    <xf numFmtId="0" fontId="17" fillId="0" borderId="19" xfId="2" applyFont="1" applyFill="1" applyBorder="1" applyAlignment="1">
      <alignment horizontal="center" vertical="center" wrapText="1"/>
    </xf>
    <xf numFmtId="0" fontId="24" fillId="0" borderId="19" xfId="2" applyFont="1" applyFill="1" applyBorder="1" applyAlignment="1">
      <alignment horizontal="center" vertical="center" wrapText="1"/>
    </xf>
    <xf numFmtId="0" fontId="54" fillId="7" borderId="19" xfId="2" applyFont="1" applyFill="1" applyBorder="1" applyAlignment="1">
      <alignment horizontal="center" wrapText="1"/>
    </xf>
    <xf numFmtId="1" fontId="25" fillId="0" borderId="39" xfId="2" applyNumberFormat="1" applyFont="1" applyFill="1" applyBorder="1" applyAlignment="1">
      <alignment horizontal="center" wrapText="1"/>
    </xf>
    <xf numFmtId="1" fontId="25" fillId="0" borderId="28" xfId="2" applyNumberFormat="1" applyFont="1" applyFill="1" applyBorder="1" applyAlignment="1">
      <alignment horizontal="center" wrapText="1"/>
    </xf>
    <xf numFmtId="1" fontId="50" fillId="0" borderId="19" xfId="2" applyNumberFormat="1" applyFont="1" applyFill="1" applyBorder="1" applyAlignment="1">
      <alignment horizontal="right" wrapText="1"/>
    </xf>
    <xf numFmtId="0" fontId="15" fillId="0" borderId="0" xfId="2"/>
    <xf numFmtId="0" fontId="19" fillId="7" borderId="19" xfId="2" applyFont="1" applyFill="1" applyBorder="1" applyAlignment="1">
      <alignment horizontal="center" vertical="center" wrapText="1"/>
    </xf>
    <xf numFmtId="0" fontId="17" fillId="7" borderId="19" xfId="2" applyFont="1" applyFill="1" applyBorder="1" applyAlignment="1">
      <alignment horizontal="center" wrapText="1"/>
    </xf>
    <xf numFmtId="1" fontId="24" fillId="0" borderId="19" xfId="2" applyNumberFormat="1" applyFont="1" applyFill="1" applyBorder="1" applyAlignment="1">
      <alignment horizontal="right" wrapText="1"/>
    </xf>
    <xf numFmtId="0" fontId="19" fillId="7" borderId="23" xfId="2" applyFont="1" applyFill="1" applyBorder="1" applyAlignment="1">
      <alignment horizontal="center" vertical="center" wrapText="1"/>
    </xf>
    <xf numFmtId="0" fontId="17" fillId="0" borderId="19" xfId="2" applyFont="1" applyFill="1" applyBorder="1" applyAlignment="1">
      <alignment horizontal="center" vertical="center" wrapText="1"/>
    </xf>
    <xf numFmtId="0" fontId="24" fillId="0" borderId="19" xfId="2" applyFont="1" applyFill="1" applyBorder="1" applyAlignment="1">
      <alignment horizontal="center" vertical="center" wrapText="1"/>
    </xf>
    <xf numFmtId="0" fontId="54" fillId="7" borderId="19" xfId="2" applyFont="1" applyFill="1" applyBorder="1" applyAlignment="1">
      <alignment horizontal="center" wrapText="1"/>
    </xf>
    <xf numFmtId="1" fontId="25" fillId="0" borderId="39" xfId="2" applyNumberFormat="1" applyFont="1" applyFill="1" applyBorder="1" applyAlignment="1">
      <alignment horizontal="center" wrapText="1"/>
    </xf>
    <xf numFmtId="1" fontId="25" fillId="0" borderId="28" xfId="2" applyNumberFormat="1" applyFont="1" applyFill="1" applyBorder="1" applyAlignment="1">
      <alignment horizontal="center" wrapText="1"/>
    </xf>
    <xf numFmtId="0" fontId="54" fillId="7" borderId="18" xfId="2" applyFont="1" applyFill="1" applyBorder="1" applyAlignment="1">
      <alignment horizontal="center" vertical="center" wrapText="1"/>
    </xf>
    <xf numFmtId="0" fontId="17" fillId="0" borderId="39" xfId="2" applyFont="1" applyFill="1" applyBorder="1" applyAlignment="1">
      <alignment horizontal="center" vertical="center" wrapText="1"/>
    </xf>
    <xf numFmtId="0" fontId="17" fillId="0" borderId="28" xfId="2" applyFont="1" applyFill="1" applyBorder="1" applyAlignment="1">
      <alignment horizontal="center" vertical="center" wrapText="1"/>
    </xf>
    <xf numFmtId="1" fontId="57" fillId="0" borderId="28" xfId="2" applyNumberFormat="1" applyFont="1" applyFill="1" applyBorder="1" applyAlignment="1">
      <alignment horizontal="center" vertical="center" wrapText="1"/>
    </xf>
    <xf numFmtId="1" fontId="17" fillId="0" borderId="39" xfId="2" applyNumberFormat="1" applyFont="1" applyFill="1" applyBorder="1" applyAlignment="1">
      <alignment horizontal="center" vertical="center" wrapText="1"/>
    </xf>
    <xf numFmtId="0" fontId="53" fillId="0" borderId="0" xfId="2" applyNumberFormat="1" applyFont="1" applyAlignment="1">
      <alignment vertical="center" wrapText="1"/>
    </xf>
    <xf numFmtId="1" fontId="24" fillId="0" borderId="19" xfId="2" applyNumberFormat="1" applyFont="1" applyFill="1" applyBorder="1" applyAlignment="1">
      <alignment horizontal="center" vertical="center" wrapText="1"/>
    </xf>
    <xf numFmtId="1" fontId="50" fillId="0" borderId="19" xfId="2" applyNumberFormat="1" applyFont="1" applyFill="1" applyBorder="1" applyAlignment="1">
      <alignment horizontal="right" wrapText="1"/>
    </xf>
    <xf numFmtId="1" fontId="52" fillId="0" borderId="19" xfId="2" applyNumberFormat="1" applyFont="1" applyFill="1" applyBorder="1" applyAlignment="1">
      <alignment horizontal="right" wrapText="1"/>
    </xf>
    <xf numFmtId="0" fontId="15" fillId="0" borderId="0" xfId="2"/>
    <xf numFmtId="0" fontId="17" fillId="7" borderId="19" xfId="2" applyFont="1" applyFill="1" applyBorder="1" applyAlignment="1">
      <alignment horizontal="center" wrapText="1"/>
    </xf>
    <xf numFmtId="1" fontId="24" fillId="0" borderId="19" xfId="2" applyNumberFormat="1" applyFont="1" applyFill="1" applyBorder="1" applyAlignment="1">
      <alignment horizontal="right" wrapText="1"/>
    </xf>
    <xf numFmtId="0" fontId="19" fillId="7" borderId="23" xfId="2" applyFont="1" applyFill="1" applyBorder="1" applyAlignment="1">
      <alignment horizontal="center" vertical="center" wrapText="1"/>
    </xf>
    <xf numFmtId="0" fontId="17" fillId="0" borderId="19" xfId="2" applyFont="1" applyFill="1" applyBorder="1" applyAlignment="1">
      <alignment horizontal="center" vertical="center" wrapText="1"/>
    </xf>
    <xf numFmtId="0" fontId="24" fillId="0" borderId="19" xfId="2" applyFont="1" applyFill="1" applyBorder="1" applyAlignment="1">
      <alignment horizontal="center" vertical="center" wrapText="1"/>
    </xf>
    <xf numFmtId="0" fontId="54" fillId="7" borderId="19" xfId="2" applyFont="1" applyFill="1" applyBorder="1" applyAlignment="1">
      <alignment horizontal="center" wrapText="1"/>
    </xf>
    <xf numFmtId="1" fontId="25" fillId="0" borderId="39" xfId="2" applyNumberFormat="1" applyFont="1" applyFill="1" applyBorder="1" applyAlignment="1">
      <alignment horizontal="center" wrapText="1"/>
    </xf>
    <xf numFmtId="1" fontId="25" fillId="0" borderId="28" xfId="2" applyNumberFormat="1" applyFont="1" applyFill="1" applyBorder="1" applyAlignment="1">
      <alignment horizontal="center" wrapText="1"/>
    </xf>
    <xf numFmtId="0" fontId="54" fillId="7" borderId="18" xfId="2" applyFont="1" applyFill="1" applyBorder="1" applyAlignment="1">
      <alignment horizontal="center" vertical="center" wrapText="1"/>
    </xf>
    <xf numFmtId="0" fontId="17" fillId="0" borderId="39" xfId="2" applyFont="1" applyFill="1" applyBorder="1" applyAlignment="1">
      <alignment horizontal="center" vertical="center" wrapText="1"/>
    </xf>
    <xf numFmtId="0" fontId="17" fillId="0" borderId="28" xfId="2" applyFont="1" applyFill="1" applyBorder="1" applyAlignment="1">
      <alignment horizontal="center" vertical="center" wrapText="1"/>
    </xf>
    <xf numFmtId="1" fontId="57" fillId="0" borderId="28" xfId="2" applyNumberFormat="1" applyFont="1" applyFill="1" applyBorder="1" applyAlignment="1">
      <alignment horizontal="center" vertical="center" wrapText="1"/>
    </xf>
    <xf numFmtId="1" fontId="17" fillId="0" borderId="39" xfId="2" applyNumberFormat="1" applyFont="1" applyFill="1" applyBorder="1" applyAlignment="1">
      <alignment horizontal="center" vertical="center" wrapText="1"/>
    </xf>
    <xf numFmtId="1" fontId="17" fillId="0" borderId="23" xfId="2" applyNumberFormat="1" applyFont="1" applyFill="1" applyBorder="1" applyAlignment="1">
      <alignment horizontal="center" vertical="center" wrapText="1"/>
    </xf>
    <xf numFmtId="1" fontId="17" fillId="0" borderId="18" xfId="2" applyNumberFormat="1" applyFont="1" applyFill="1" applyBorder="1" applyAlignment="1">
      <alignment horizontal="center" vertical="center" wrapText="1"/>
    </xf>
    <xf numFmtId="0" fontId="15" fillId="0" borderId="0" xfId="2" applyNumberFormat="1"/>
    <xf numFmtId="1" fontId="24" fillId="0" borderId="19" xfId="2" applyNumberFormat="1" applyFont="1" applyFill="1" applyBorder="1" applyAlignment="1">
      <alignment horizontal="center" vertical="center" wrapText="1"/>
    </xf>
    <xf numFmtId="1" fontId="50" fillId="0" borderId="39" xfId="2" applyNumberFormat="1" applyFont="1" applyFill="1" applyBorder="1" applyAlignment="1">
      <alignment horizontal="right" wrapText="1"/>
    </xf>
    <xf numFmtId="1" fontId="52" fillId="0" borderId="19" xfId="2" applyNumberFormat="1" applyFont="1" applyFill="1" applyBorder="1" applyAlignment="1">
      <alignment horizontal="right" wrapText="1"/>
    </xf>
    <xf numFmtId="16" fontId="17" fillId="0" borderId="19" xfId="2" quotePrefix="1" applyNumberFormat="1" applyFont="1" applyFill="1" applyBorder="1" applyAlignment="1">
      <alignment horizontal="center" vertical="center" wrapText="1"/>
    </xf>
    <xf numFmtId="0" fontId="17" fillId="0" borderId="19" xfId="2" quotePrefix="1" applyFont="1" applyFill="1" applyBorder="1" applyAlignment="1">
      <alignment horizontal="center" vertical="center" wrapText="1"/>
    </xf>
    <xf numFmtId="0" fontId="15" fillId="0" borderId="0" xfId="2" quotePrefix="1"/>
    <xf numFmtId="0" fontId="3" fillId="0" borderId="19" xfId="0" applyFont="1" applyBorder="1" applyAlignment="1">
      <alignment horizontal="center" vertical="center"/>
    </xf>
    <xf numFmtId="0" fontId="3" fillId="0" borderId="19" xfId="0" applyFont="1" applyBorder="1" applyAlignment="1">
      <alignment horizontal="justify" vertical="center"/>
    </xf>
    <xf numFmtId="0" fontId="8" fillId="16" borderId="19" xfId="0" applyFont="1" applyFill="1" applyBorder="1" applyAlignment="1">
      <alignment horizontal="center" vertical="center" wrapText="1"/>
    </xf>
    <xf numFmtId="0" fontId="8" fillId="16" borderId="19" xfId="0" applyFont="1" applyFill="1" applyBorder="1" applyAlignment="1">
      <alignment horizontal="center" vertical="center"/>
    </xf>
    <xf numFmtId="1" fontId="3" fillId="0" borderId="0" xfId="0" applyNumberFormat="1" applyFont="1"/>
    <xf numFmtId="167" fontId="3" fillId="0" borderId="0" xfId="0" applyNumberFormat="1" applyFont="1"/>
    <xf numFmtId="0" fontId="23" fillId="13" borderId="0" xfId="0" applyFont="1" applyFill="1"/>
    <xf numFmtId="0" fontId="66" fillId="13" borderId="0" xfId="0" applyFont="1" applyFill="1"/>
    <xf numFmtId="0" fontId="67" fillId="13" borderId="0" xfId="0" applyFont="1" applyFill="1" applyAlignment="1">
      <alignment horizontal="left"/>
    </xf>
    <xf numFmtId="0" fontId="64" fillId="13" borderId="19" xfId="7" applyFont="1" applyFill="1" applyBorder="1" applyAlignment="1">
      <alignment horizontal="center"/>
    </xf>
    <xf numFmtId="0" fontId="64" fillId="13" borderId="48" xfId="7" applyFont="1" applyFill="1" applyBorder="1" applyAlignment="1">
      <alignment horizontal="center"/>
    </xf>
    <xf numFmtId="0" fontId="64" fillId="13" borderId="0" xfId="0" quotePrefix="1" applyFont="1" applyFill="1" applyAlignment="1">
      <alignment horizontal="left"/>
    </xf>
    <xf numFmtId="0" fontId="64" fillId="13" borderId="52" xfId="7" applyFont="1" applyFill="1" applyBorder="1" applyAlignment="1">
      <alignment horizontal="center"/>
    </xf>
    <xf numFmtId="0" fontId="64" fillId="13" borderId="53" xfId="7" applyFont="1" applyFill="1" applyBorder="1" applyAlignment="1">
      <alignment horizontal="center"/>
    </xf>
    <xf numFmtId="0" fontId="67" fillId="13" borderId="0" xfId="0" applyFont="1" applyFill="1" applyAlignment="1">
      <alignment horizontal="center"/>
    </xf>
    <xf numFmtId="0" fontId="68" fillId="13" borderId="0" xfId="0" applyFont="1" applyFill="1" applyAlignment="1">
      <alignment horizontal="right"/>
    </xf>
    <xf numFmtId="0" fontId="64" fillId="13" borderId="0" xfId="0" applyFont="1" applyFill="1"/>
    <xf numFmtId="0" fontId="64" fillId="13" borderId="0" xfId="0" applyFont="1" applyFill="1" applyAlignment="1">
      <alignment horizontal="right"/>
    </xf>
    <xf numFmtId="4" fontId="23" fillId="13" borderId="0" xfId="0" applyNumberFormat="1" applyFont="1" applyFill="1" applyAlignment="1">
      <alignment horizontal="center"/>
    </xf>
    <xf numFmtId="0" fontId="64" fillId="13" borderId="0" xfId="0" applyFont="1" applyFill="1" applyAlignment="1">
      <alignment horizontal="center"/>
    </xf>
    <xf numFmtId="0" fontId="66" fillId="17" borderId="0" xfId="0" applyFont="1" applyFill="1"/>
    <xf numFmtId="0" fontId="23" fillId="17" borderId="0" xfId="0" applyFont="1" applyFill="1"/>
    <xf numFmtId="0" fontId="67" fillId="17" borderId="0" xfId="0" applyFont="1" applyFill="1" applyAlignment="1">
      <alignment horizontal="left"/>
    </xf>
    <xf numFmtId="0" fontId="67" fillId="17" borderId="0" xfId="0" applyFont="1" applyFill="1" applyAlignment="1">
      <alignment horizontal="center"/>
    </xf>
    <xf numFmtId="0" fontId="64" fillId="17" borderId="0" xfId="0" quotePrefix="1" applyFont="1" applyFill="1" applyAlignment="1">
      <alignment horizontal="left"/>
    </xf>
    <xf numFmtId="0" fontId="68" fillId="3" borderId="0" xfId="0" applyFont="1" applyFill="1" applyAlignment="1">
      <alignment horizontal="right"/>
    </xf>
    <xf numFmtId="0" fontId="64" fillId="17" borderId="0" xfId="0" applyFont="1" applyFill="1"/>
    <xf numFmtId="0" fontId="64" fillId="17" borderId="0" xfId="0" applyFont="1" applyFill="1" applyAlignment="1">
      <alignment horizontal="right"/>
    </xf>
    <xf numFmtId="4" fontId="23" fillId="17" borderId="0" xfId="0" applyNumberFormat="1" applyFont="1" applyFill="1" applyAlignment="1">
      <alignment horizontal="center"/>
    </xf>
    <xf numFmtId="0" fontId="64" fillId="17" borderId="0" xfId="0" applyFont="1" applyFill="1" applyAlignment="1">
      <alignment horizontal="center"/>
    </xf>
    <xf numFmtId="11" fontId="23" fillId="17" borderId="0" xfId="0" applyNumberFormat="1" applyFont="1" applyFill="1" applyAlignment="1">
      <alignment horizontal="center"/>
    </xf>
    <xf numFmtId="3" fontId="23" fillId="17" borderId="0" xfId="0" applyNumberFormat="1" applyFont="1" applyFill="1" applyAlignment="1">
      <alignment horizontal="center"/>
    </xf>
    <xf numFmtId="0" fontId="63" fillId="17" borderId="0" xfId="0" applyFont="1" applyFill="1"/>
    <xf numFmtId="166" fontId="23" fillId="17" borderId="0" xfId="0" applyNumberFormat="1" applyFont="1" applyFill="1" applyAlignment="1">
      <alignment horizontal="right"/>
    </xf>
    <xf numFmtId="4" fontId="10" fillId="17" borderId="0" xfId="0" applyNumberFormat="1" applyFont="1" applyFill="1" applyAlignment="1">
      <alignment horizontal="center"/>
    </xf>
    <xf numFmtId="0" fontId="23" fillId="17" borderId="0" xfId="0" applyFont="1" applyFill="1" applyAlignment="1">
      <alignment vertical="top"/>
    </xf>
    <xf numFmtId="0" fontId="23" fillId="17" borderId="0" xfId="0" applyFont="1" applyFill="1" applyAlignment="1">
      <alignment vertical="top" wrapText="1"/>
    </xf>
    <xf numFmtId="0" fontId="23" fillId="17" borderId="0" xfId="0" applyFont="1" applyFill="1" applyAlignment="1">
      <alignment horizontal="right" vertical="center"/>
    </xf>
    <xf numFmtId="167" fontId="23" fillId="17" borderId="0" xfId="0" applyNumberFormat="1" applyFont="1" applyFill="1" applyAlignment="1">
      <alignment horizontal="center" vertical="center"/>
    </xf>
    <xf numFmtId="0" fontId="63" fillId="0" borderId="0" xfId="0" applyFont="1" applyFill="1" applyAlignment="1">
      <alignment horizontal="left"/>
    </xf>
    <xf numFmtId="0" fontId="64" fillId="17" borderId="0" xfId="0" quotePrefix="1" applyFont="1" applyFill="1" applyAlignment="1">
      <alignment horizontal="right"/>
    </xf>
    <xf numFmtId="0" fontId="64" fillId="17" borderId="0" xfId="0" quotePrefix="1" applyFont="1" applyFill="1" applyAlignment="1">
      <alignment horizontal="center"/>
    </xf>
    <xf numFmtId="43" fontId="5" fillId="13" borderId="19" xfId="1" applyFont="1" applyFill="1" applyBorder="1" applyAlignment="1">
      <alignment horizontal="center" vertical="center" wrapText="1"/>
    </xf>
    <xf numFmtId="0" fontId="5" fillId="13" borderId="19" xfId="0" applyFont="1" applyFill="1" applyBorder="1" applyAlignment="1">
      <alignment horizontal="center" vertical="center" wrapText="1"/>
    </xf>
    <xf numFmtId="0" fontId="8" fillId="13" borderId="19" xfId="0" applyFont="1" applyFill="1" applyBorder="1" applyAlignment="1">
      <alignment horizontal="justify" vertical="center" wrapText="1"/>
    </xf>
    <xf numFmtId="0" fontId="3" fillId="13" borderId="19" xfId="0" applyFont="1" applyFill="1" applyBorder="1" applyAlignment="1">
      <alignment horizontal="center" vertical="center" wrapText="1"/>
    </xf>
    <xf numFmtId="43" fontId="3" fillId="13" borderId="19" xfId="1" applyFont="1" applyFill="1" applyBorder="1" applyAlignment="1">
      <alignment horizontal="center" vertical="center" wrapText="1"/>
    </xf>
    <xf numFmtId="165" fontId="3" fillId="13" borderId="19" xfId="0" applyNumberFormat="1" applyFont="1" applyFill="1" applyBorder="1" applyAlignment="1">
      <alignment horizontal="center" vertical="center" wrapText="1"/>
    </xf>
    <xf numFmtId="0" fontId="10" fillId="13" borderId="19" xfId="0" applyFont="1" applyFill="1" applyBorder="1" applyAlignment="1">
      <alignment horizontal="center" vertical="center" wrapText="1"/>
    </xf>
    <xf numFmtId="0" fontId="4" fillId="13" borderId="19" xfId="0" applyFont="1" applyFill="1" applyBorder="1" applyAlignment="1">
      <alignment horizontal="justify" vertical="center" wrapText="1"/>
    </xf>
    <xf numFmtId="0" fontId="8" fillId="13" borderId="19" xfId="0" applyFont="1" applyFill="1" applyBorder="1" applyAlignment="1">
      <alignment horizontal="center" vertical="center" wrapText="1"/>
    </xf>
    <xf numFmtId="0" fontId="4" fillId="13" borderId="19" xfId="0" applyFont="1" applyFill="1" applyBorder="1" applyAlignment="1">
      <alignment horizontal="center" vertical="center" wrapText="1"/>
    </xf>
    <xf numFmtId="0" fontId="13" fillId="13" borderId="19" xfId="0" applyFont="1" applyFill="1" applyBorder="1" applyAlignment="1">
      <alignment horizontal="center" vertical="center" wrapText="1"/>
    </xf>
    <xf numFmtId="0" fontId="5" fillId="13" borderId="19" xfId="0" applyFont="1" applyFill="1" applyBorder="1" applyAlignment="1">
      <alignment horizontal="center" vertical="center"/>
    </xf>
    <xf numFmtId="0" fontId="3" fillId="13" borderId="19" xfId="0" applyFont="1" applyFill="1" applyBorder="1" applyAlignment="1">
      <alignment horizontal="center" vertical="center"/>
    </xf>
    <xf numFmtId="164" fontId="3" fillId="13" borderId="19" xfId="1" applyNumberFormat="1" applyFont="1" applyFill="1" applyBorder="1" applyAlignment="1">
      <alignment horizontal="center" vertical="center"/>
    </xf>
    <xf numFmtId="0" fontId="0" fillId="0" borderId="0" xfId="0" applyAlignment="1">
      <alignment horizontal="center"/>
    </xf>
    <xf numFmtId="2" fontId="3" fillId="13" borderId="19" xfId="0" applyNumberFormat="1" applyFont="1" applyFill="1" applyBorder="1" applyAlignment="1">
      <alignment horizontal="center" vertical="center"/>
    </xf>
    <xf numFmtId="0" fontId="0" fillId="0" borderId="19" xfId="0" applyBorder="1"/>
    <xf numFmtId="0" fontId="71" fillId="0" borderId="0" xfId="0" applyFont="1" applyAlignment="1">
      <alignment horizontal="center" vertical="center"/>
    </xf>
    <xf numFmtId="0" fontId="72" fillId="0" borderId="0" xfId="0" applyFont="1" applyAlignment="1">
      <alignment horizontal="center" vertical="center"/>
    </xf>
    <xf numFmtId="0" fontId="72" fillId="0" borderId="0" xfId="0" applyFont="1" applyAlignment="1">
      <alignment horizontal="left" vertical="center"/>
    </xf>
    <xf numFmtId="178" fontId="72" fillId="0" borderId="0" xfId="0" applyNumberFormat="1" applyFont="1" applyAlignment="1">
      <alignment horizontal="center" vertical="center"/>
    </xf>
    <xf numFmtId="0" fontId="72" fillId="0" borderId="19" xfId="0" applyFont="1" applyBorder="1" applyAlignment="1">
      <alignment horizontal="center" vertical="center"/>
    </xf>
    <xf numFmtId="0" fontId="73" fillId="0" borderId="19" xfId="0" applyFont="1" applyBorder="1" applyAlignment="1">
      <alignment horizontal="center" vertical="center"/>
    </xf>
    <xf numFmtId="0" fontId="74" fillId="0" borderId="19" xfId="0" applyFont="1" applyBorder="1" applyAlignment="1">
      <alignment horizontal="center" vertical="center"/>
    </xf>
    <xf numFmtId="0" fontId="75" fillId="0" borderId="19" xfId="0" applyFont="1" applyBorder="1" applyAlignment="1">
      <alignment horizontal="center" vertical="center"/>
    </xf>
    <xf numFmtId="0" fontId="75" fillId="0" borderId="0" xfId="0" applyFont="1" applyAlignment="1">
      <alignment horizontal="center" vertical="center"/>
    </xf>
    <xf numFmtId="0" fontId="0" fillId="0" borderId="0" xfId="0" applyAlignment="1">
      <alignment horizontal="center" vertical="center"/>
    </xf>
    <xf numFmtId="2" fontId="73" fillId="0" borderId="72" xfId="0" applyNumberFormat="1" applyFont="1" applyBorder="1" applyAlignment="1">
      <alignment horizontal="center" vertical="center"/>
    </xf>
    <xf numFmtId="173" fontId="73" fillId="0" borderId="72" xfId="0" applyNumberFormat="1" applyFont="1" applyBorder="1" applyAlignment="1">
      <alignment horizontal="center" vertical="center"/>
    </xf>
    <xf numFmtId="0" fontId="73" fillId="0" borderId="0" xfId="0" applyFont="1" applyAlignment="1">
      <alignment horizontal="center" vertical="center"/>
    </xf>
    <xf numFmtId="2" fontId="72" fillId="0" borderId="73" xfId="0" applyNumberFormat="1" applyFont="1" applyBorder="1" applyAlignment="1">
      <alignment horizontal="center" vertical="center"/>
    </xf>
    <xf numFmtId="173" fontId="72" fillId="0" borderId="73" xfId="0" applyNumberFormat="1" applyFont="1" applyBorder="1" applyAlignment="1">
      <alignment horizontal="center" vertical="center"/>
    </xf>
    <xf numFmtId="173" fontId="72" fillId="0" borderId="0" xfId="0" applyNumberFormat="1" applyFont="1" applyAlignment="1">
      <alignment horizontal="center" vertical="center"/>
    </xf>
    <xf numFmtId="2" fontId="72" fillId="0" borderId="74" xfId="0" applyNumberFormat="1" applyFont="1" applyBorder="1" applyAlignment="1">
      <alignment horizontal="center" vertical="center"/>
    </xf>
    <xf numFmtId="173" fontId="72" fillId="0" borderId="74" xfId="0" applyNumberFormat="1" applyFont="1" applyBorder="1" applyAlignment="1">
      <alignment horizontal="center" vertical="center"/>
    </xf>
    <xf numFmtId="2" fontId="72" fillId="0" borderId="0" xfId="0" applyNumberFormat="1" applyFont="1" applyAlignment="1">
      <alignment horizontal="center" vertical="center"/>
    </xf>
    <xf numFmtId="0" fontId="78" fillId="0" borderId="0" xfId="0" applyFont="1"/>
    <xf numFmtId="0" fontId="78" fillId="0" borderId="19" xfId="0" applyFont="1" applyBorder="1" applyAlignment="1">
      <alignment horizontal="center" vertical="center"/>
    </xf>
    <xf numFmtId="0" fontId="78" fillId="0" borderId="19" xfId="0" quotePrefix="1" applyFont="1" applyBorder="1" applyAlignment="1">
      <alignment horizontal="center" vertical="center"/>
    </xf>
    <xf numFmtId="0" fontId="83" fillId="0" borderId="0" xfId="0" applyFont="1" applyAlignment="1">
      <alignment horizontal="center"/>
    </xf>
    <xf numFmtId="0" fontId="87" fillId="0" borderId="0" xfId="0" applyFont="1"/>
    <xf numFmtId="0" fontId="86" fillId="0" borderId="0" xfId="0" applyFont="1"/>
    <xf numFmtId="0" fontId="88" fillId="0" borderId="0" xfId="0" applyFont="1" applyAlignment="1">
      <alignment horizontal="center" vertical="center"/>
    </xf>
    <xf numFmtId="0" fontId="70" fillId="0" borderId="0" xfId="0" applyFont="1" applyAlignment="1">
      <alignment horizontal="center" vertical="center"/>
    </xf>
    <xf numFmtId="0" fontId="84" fillId="0" borderId="19" xfId="0" applyFont="1" applyBorder="1" applyAlignment="1">
      <alignment horizontal="center" vertical="center"/>
    </xf>
    <xf numFmtId="0" fontId="70" fillId="0" borderId="19" xfId="0" applyFont="1" applyBorder="1" applyAlignment="1">
      <alignment horizontal="center" vertical="center"/>
    </xf>
    <xf numFmtId="0" fontId="89" fillId="0" borderId="24" xfId="0" applyFont="1" applyBorder="1" applyAlignment="1">
      <alignment horizontal="center"/>
    </xf>
    <xf numFmtId="0" fontId="84" fillId="0" borderId="0" xfId="0" applyFont="1"/>
    <xf numFmtId="0" fontId="69" fillId="0" borderId="0" xfId="0" applyFont="1" applyAlignment="1">
      <alignment horizontal="center"/>
    </xf>
    <xf numFmtId="0" fontId="90" fillId="0" borderId="0" xfId="0" applyFont="1" applyAlignment="1">
      <alignment horizontal="center"/>
    </xf>
    <xf numFmtId="0" fontId="91" fillId="0" borderId="77" xfId="0" applyFont="1" applyBorder="1" applyAlignment="1">
      <alignment horizontal="center" vertical="center"/>
    </xf>
    <xf numFmtId="0" fontId="84" fillId="0" borderId="52" xfId="0" applyFont="1" applyBorder="1" applyAlignment="1">
      <alignment horizontal="center" vertical="center"/>
    </xf>
    <xf numFmtId="0" fontId="84" fillId="0" borderId="0" xfId="0" applyFont="1" applyAlignment="1">
      <alignment horizontal="center" vertical="center"/>
    </xf>
    <xf numFmtId="0" fontId="69" fillId="0" borderId="0" xfId="0" applyFont="1"/>
    <xf numFmtId="0" fontId="84" fillId="0" borderId="0" xfId="0" applyFont="1" applyAlignment="1">
      <alignment vertical="center"/>
    </xf>
    <xf numFmtId="0" fontId="70" fillId="0" borderId="0" xfId="0" quotePrefix="1" applyFont="1" applyAlignment="1">
      <alignment horizontal="center"/>
    </xf>
    <xf numFmtId="0" fontId="84" fillId="0" borderId="21" xfId="0" applyFont="1" applyBorder="1" applyAlignment="1">
      <alignment vertical="center"/>
    </xf>
    <xf numFmtId="0" fontId="70" fillId="0" borderId="0" xfId="0" quotePrefix="1" applyFont="1"/>
    <xf numFmtId="0" fontId="70" fillId="0" borderId="0" xfId="0" applyFont="1" applyAlignment="1">
      <alignment horizontal="center"/>
    </xf>
    <xf numFmtId="0" fontId="84" fillId="0" borderId="0" xfId="0" applyFont="1" applyAlignment="1">
      <alignment horizontal="center"/>
    </xf>
    <xf numFmtId="167" fontId="24" fillId="13" borderId="19" xfId="3" applyNumberFormat="1" applyFont="1" applyFill="1" applyBorder="1" applyAlignment="1" applyProtection="1">
      <alignment horizontal="center"/>
      <protection hidden="1"/>
    </xf>
    <xf numFmtId="168" fontId="17" fillId="0" borderId="8" xfId="1" applyNumberFormat="1" applyFont="1" applyFill="1" applyBorder="1" applyAlignment="1">
      <alignment horizontal="center" wrapText="1"/>
    </xf>
    <xf numFmtId="167" fontId="22" fillId="0" borderId="8" xfId="2" applyNumberFormat="1" applyFont="1" applyFill="1" applyBorder="1" applyAlignment="1">
      <alignment horizontal="right" wrapText="1"/>
    </xf>
    <xf numFmtId="167" fontId="22" fillId="0" borderId="8" xfId="2" applyNumberFormat="1" applyFont="1" applyFill="1" applyBorder="1" applyAlignment="1">
      <alignment horizontal="right"/>
    </xf>
    <xf numFmtId="0" fontId="92" fillId="0" borderId="0" xfId="0" applyFont="1"/>
    <xf numFmtId="0" fontId="92" fillId="0" borderId="0" xfId="0" quotePrefix="1" applyFont="1"/>
    <xf numFmtId="0" fontId="92" fillId="0" borderId="0" xfId="0" applyFont="1" applyAlignment="1">
      <alignment horizontal="center" vertical="center"/>
    </xf>
    <xf numFmtId="0" fontId="92" fillId="0" borderId="19" xfId="0" applyFont="1" applyBorder="1" applyAlignment="1">
      <alignment horizontal="center" vertical="center"/>
    </xf>
    <xf numFmtId="0" fontId="92" fillId="0" borderId="0" xfId="0" applyFont="1" applyAlignment="1">
      <alignment horizontal="center"/>
    </xf>
    <xf numFmtId="0" fontId="92" fillId="0" borderId="75" xfId="0" applyFont="1" applyBorder="1" applyAlignment="1">
      <alignment horizontal="center" vertical="center"/>
    </xf>
    <xf numFmtId="0" fontId="92" fillId="0" borderId="66" xfId="0" applyFont="1" applyBorder="1" applyAlignment="1">
      <alignment horizontal="center" vertical="center"/>
    </xf>
    <xf numFmtId="0" fontId="92" fillId="0" borderId="76" xfId="0" applyFont="1" applyBorder="1" applyAlignment="1">
      <alignment horizontal="center" vertical="center"/>
    </xf>
    <xf numFmtId="0" fontId="92" fillId="0" borderId="67" xfId="0" applyFont="1" applyBorder="1" applyAlignment="1">
      <alignment horizontal="center" vertical="center"/>
    </xf>
    <xf numFmtId="0" fontId="92" fillId="0" borderId="48" xfId="0" applyFont="1" applyBorder="1" applyAlignment="1">
      <alignment horizontal="center" vertical="center"/>
    </xf>
    <xf numFmtId="0" fontId="92" fillId="0" borderId="53" xfId="0" applyFont="1" applyBorder="1" applyAlignment="1">
      <alignment horizontal="center" vertical="center"/>
    </xf>
    <xf numFmtId="0" fontId="92" fillId="0" borderId="0" xfId="0" applyFont="1" applyAlignment="1">
      <alignment vertical="center"/>
    </xf>
    <xf numFmtId="0" fontId="92" fillId="0" borderId="0" xfId="0" quotePrefix="1" applyFont="1" applyAlignment="1">
      <alignment horizontal="center"/>
    </xf>
    <xf numFmtId="169" fontId="17" fillId="13" borderId="19" xfId="1" applyNumberFormat="1" applyFont="1" applyFill="1" applyBorder="1" applyAlignment="1" applyProtection="1">
      <alignment horizontal="center"/>
      <protection hidden="1"/>
    </xf>
    <xf numFmtId="2" fontId="17" fillId="13" borderId="19" xfId="3" applyNumberFormat="1" applyFont="1" applyFill="1" applyBorder="1" applyAlignment="1" applyProtection="1">
      <alignment horizontal="center"/>
      <protection locked="0"/>
    </xf>
    <xf numFmtId="173" fontId="17" fillId="13" borderId="19" xfId="3" applyNumberFormat="1" applyFont="1" applyFill="1" applyBorder="1" applyAlignment="1" applyProtection="1">
      <alignment horizontal="center" vertical="top" wrapText="1"/>
      <protection hidden="1"/>
    </xf>
    <xf numFmtId="167" fontId="8" fillId="0" borderId="16" xfId="2" applyNumberFormat="1" applyFont="1" applyBorder="1" applyAlignment="1">
      <alignment horizontal="center" vertical="center" wrapText="1"/>
    </xf>
    <xf numFmtId="0" fontId="78" fillId="0" borderId="0" xfId="0" applyFont="1" applyAlignment="1">
      <alignment horizontal="center"/>
    </xf>
    <xf numFmtId="0" fontId="78" fillId="0" borderId="48" xfId="0" applyFont="1" applyBorder="1" applyAlignment="1">
      <alignment horizontal="center" vertical="center"/>
    </xf>
    <xf numFmtId="0" fontId="78" fillId="0" borderId="39" xfId="0" applyFont="1" applyBorder="1" applyAlignment="1">
      <alignment horizontal="center" vertical="center"/>
    </xf>
    <xf numFmtId="0" fontId="78" fillId="0" borderId="48" xfId="0" applyFont="1" applyBorder="1"/>
    <xf numFmtId="0" fontId="78" fillId="0" borderId="39" xfId="0" quotePrefix="1" applyFont="1" applyBorder="1" applyAlignment="1">
      <alignment horizontal="center" vertical="center"/>
    </xf>
    <xf numFmtId="0" fontId="78" fillId="0" borderId="19" xfId="0" quotePrefix="1" applyFont="1" applyBorder="1"/>
    <xf numFmtId="0" fontId="78" fillId="0" borderId="52" xfId="0" applyFont="1" applyBorder="1" applyAlignment="1">
      <alignment horizontal="center" vertical="center"/>
    </xf>
    <xf numFmtId="0" fontId="78" fillId="0" borderId="52" xfId="0" quotePrefix="1" applyFont="1" applyBorder="1" applyAlignment="1">
      <alignment horizontal="center" vertical="center"/>
    </xf>
    <xf numFmtId="0" fontId="78" fillId="0" borderId="23" xfId="0" quotePrefix="1" applyFont="1" applyBorder="1" applyAlignment="1">
      <alignment horizontal="center" vertical="center"/>
    </xf>
    <xf numFmtId="0" fontId="78" fillId="0" borderId="64" xfId="0" quotePrefix="1" applyFont="1" applyBorder="1" applyAlignment="1">
      <alignment horizontal="center" vertical="center"/>
    </xf>
    <xf numFmtId="0" fontId="78" fillId="0" borderId="66" xfId="0" applyFont="1" applyBorder="1" applyAlignment="1">
      <alignment horizontal="center" vertical="center"/>
    </xf>
    <xf numFmtId="0" fontId="78" fillId="0" borderId="48" xfId="0" applyFont="1" applyBorder="1" applyAlignment="1">
      <alignment horizontal="center"/>
    </xf>
    <xf numFmtId="0" fontId="78" fillId="0" borderId="56" xfId="0" applyFont="1" applyBorder="1" applyAlignment="1">
      <alignment horizontal="center" vertical="center"/>
    </xf>
    <xf numFmtId="0" fontId="78" fillId="0" borderId="23" xfId="0" applyFont="1" applyBorder="1" applyAlignment="1">
      <alignment horizontal="center" vertical="center"/>
    </xf>
    <xf numFmtId="0" fontId="78" fillId="0" borderId="19" xfId="0" applyFont="1" applyBorder="1"/>
    <xf numFmtId="0" fontId="78" fillId="0" borderId="24" xfId="0" applyFont="1" applyBorder="1"/>
    <xf numFmtId="0" fontId="78" fillId="0" borderId="31" xfId="0" applyFont="1" applyBorder="1"/>
    <xf numFmtId="0" fontId="80" fillId="0" borderId="0" xfId="0" applyFont="1"/>
    <xf numFmtId="0" fontId="78" fillId="0" borderId="58" xfId="0" applyFont="1" applyBorder="1" applyAlignment="1">
      <alignment horizontal="center" vertical="center"/>
    </xf>
    <xf numFmtId="0" fontId="83" fillId="0" borderId="24" xfId="0" applyFont="1" applyBorder="1" applyAlignment="1">
      <alignment horizontal="center"/>
    </xf>
    <xf numFmtId="0" fontId="94" fillId="0" borderId="24" xfId="0" applyFont="1" applyBorder="1"/>
    <xf numFmtId="0" fontId="94" fillId="0" borderId="24" xfId="0" applyFont="1" applyBorder="1" applyAlignment="1">
      <alignment horizontal="center"/>
    </xf>
    <xf numFmtId="0" fontId="78" fillId="0" borderId="70" xfId="0" applyFont="1" applyBorder="1"/>
    <xf numFmtId="0" fontId="78" fillId="0" borderId="71" xfId="0" applyFont="1" applyBorder="1" applyAlignment="1">
      <alignment horizontal="center" vertical="center"/>
    </xf>
    <xf numFmtId="0" fontId="83" fillId="0" borderId="0" xfId="0" applyFont="1"/>
    <xf numFmtId="0" fontId="95" fillId="0" borderId="0" xfId="0" applyFont="1"/>
    <xf numFmtId="0" fontId="83" fillId="0" borderId="0" xfId="0" applyFont="1" applyAlignment="1">
      <alignment horizontal="center" vertical="center"/>
    </xf>
    <xf numFmtId="0" fontId="78" fillId="0" borderId="42" xfId="0" applyFont="1" applyBorder="1"/>
    <xf numFmtId="1" fontId="83" fillId="0" borderId="41" xfId="0" applyNumberFormat="1" applyFont="1" applyBorder="1" applyAlignment="1">
      <alignment horizontal="center"/>
    </xf>
    <xf numFmtId="0" fontId="83" fillId="0" borderId="41" xfId="0" applyFont="1" applyBorder="1" applyAlignment="1">
      <alignment horizontal="center"/>
    </xf>
    <xf numFmtId="0" fontId="78" fillId="0" borderId="41" xfId="0" applyFont="1" applyBorder="1"/>
    <xf numFmtId="0" fontId="78" fillId="0" borderId="5" xfId="0" applyFont="1" applyBorder="1"/>
    <xf numFmtId="0" fontId="81" fillId="0" borderId="0" xfId="0" applyFont="1" applyAlignment="1">
      <alignment vertical="center"/>
    </xf>
    <xf numFmtId="0" fontId="78" fillId="0" borderId="29" xfId="0" applyFont="1" applyBorder="1"/>
    <xf numFmtId="0" fontId="78" fillId="0" borderId="29" xfId="0" applyFont="1" applyBorder="1" applyAlignment="1">
      <alignment horizontal="center"/>
    </xf>
    <xf numFmtId="0" fontId="78" fillId="0" borderId="19" xfId="0" applyFont="1" applyBorder="1" applyAlignment="1">
      <alignment vertical="center"/>
    </xf>
    <xf numFmtId="0" fontId="78" fillId="0" borderId="19" xfId="0" applyFont="1" applyBorder="1" applyAlignment="1">
      <alignment horizontal="center"/>
    </xf>
    <xf numFmtId="0" fontId="78" fillId="0" borderId="23" xfId="0" applyFont="1" applyBorder="1" applyAlignment="1">
      <alignment vertical="center" wrapText="1"/>
    </xf>
    <xf numFmtId="0" fontId="78" fillId="0" borderId="19" xfId="0" applyFont="1" applyBorder="1" applyAlignment="1">
      <alignment horizontal="left" vertical="center"/>
    </xf>
    <xf numFmtId="0" fontId="78" fillId="0" borderId="27" xfId="0" applyFont="1" applyBorder="1"/>
    <xf numFmtId="0" fontId="78" fillId="0" borderId="25" xfId="0" applyFont="1" applyBorder="1"/>
    <xf numFmtId="0" fontId="78" fillId="0" borderId="21" xfId="0" applyFont="1" applyBorder="1"/>
    <xf numFmtId="0" fontId="78" fillId="0" borderId="26" xfId="0" applyFont="1" applyBorder="1"/>
    <xf numFmtId="0" fontId="78" fillId="0" borderId="20" xfId="0" applyFont="1" applyBorder="1"/>
    <xf numFmtId="0" fontId="78" fillId="0" borderId="22" xfId="0" applyFont="1" applyBorder="1"/>
    <xf numFmtId="0" fontId="82" fillId="0" borderId="19" xfId="0" applyFont="1" applyBorder="1" applyAlignment="1">
      <alignment horizontal="center" vertical="center"/>
    </xf>
    <xf numFmtId="16" fontId="82" fillId="0" borderId="19" xfId="0" applyNumberFormat="1" applyFont="1" applyBorder="1" applyAlignment="1">
      <alignment horizontal="center" vertical="center"/>
    </xf>
    <xf numFmtId="0" fontId="78" fillId="0" borderId="23" xfId="0" applyFont="1" applyBorder="1"/>
    <xf numFmtId="0" fontId="78" fillId="0" borderId="18" xfId="0" applyFont="1" applyBorder="1"/>
    <xf numFmtId="167" fontId="17" fillId="13" borderId="19" xfId="3" applyNumberFormat="1" applyFont="1" applyFill="1" applyBorder="1" applyAlignment="1" applyProtection="1">
      <alignment horizontal="center"/>
      <protection locked="0"/>
    </xf>
    <xf numFmtId="167" fontId="25" fillId="13" borderId="23" xfId="3" applyNumberFormat="1" applyFont="1" applyFill="1" applyBorder="1" applyAlignment="1" applyProtection="1">
      <alignment horizontal="center" vertical="top" wrapText="1"/>
    </xf>
    <xf numFmtId="167" fontId="25" fillId="13" borderId="17" xfId="3" applyNumberFormat="1" applyFont="1" applyFill="1" applyBorder="1" applyAlignment="1" applyProtection="1">
      <alignment horizontal="center" vertical="top" wrapText="1"/>
    </xf>
    <xf numFmtId="167" fontId="25" fillId="13" borderId="18" xfId="3" applyNumberFormat="1" applyFont="1" applyFill="1" applyBorder="1" applyAlignment="1" applyProtection="1">
      <alignment horizontal="center" vertical="top" wrapText="1"/>
    </xf>
    <xf numFmtId="168" fontId="17" fillId="13" borderId="19" xfId="1" applyNumberFormat="1" applyFont="1" applyFill="1" applyBorder="1" applyAlignment="1" applyProtection="1">
      <alignment horizontal="center"/>
      <protection locked="0"/>
    </xf>
    <xf numFmtId="0" fontId="97" fillId="0" borderId="0" xfId="0" applyFont="1"/>
    <xf numFmtId="0" fontId="3" fillId="0" borderId="0" xfId="0" quotePrefix="1" applyFont="1"/>
    <xf numFmtId="0" fontId="65" fillId="0" borderId="0" xfId="0" applyFont="1" applyAlignment="1">
      <alignment horizontal="center" vertical="center"/>
    </xf>
    <xf numFmtId="0" fontId="3" fillId="0" borderId="0" xfId="0" applyFont="1" applyAlignment="1">
      <alignment horizontal="center" vertical="center"/>
    </xf>
    <xf numFmtId="0" fontId="96" fillId="0" borderId="19" xfId="0" applyFont="1" applyBorder="1" applyAlignment="1">
      <alignment horizontal="center" vertical="center"/>
    </xf>
    <xf numFmtId="0" fontId="65" fillId="0" borderId="19" xfId="0" applyFont="1" applyBorder="1" applyAlignment="1">
      <alignment horizontal="center" vertical="center"/>
    </xf>
    <xf numFmtId="0" fontId="3" fillId="0" borderId="0" xfId="0" applyFont="1" applyAlignment="1">
      <alignment horizontal="center"/>
    </xf>
    <xf numFmtId="1" fontId="10" fillId="0" borderId="0" xfId="0" applyNumberFormat="1" applyFont="1"/>
    <xf numFmtId="0" fontId="98" fillId="0" borderId="24" xfId="0" applyFont="1" applyBorder="1" applyAlignment="1">
      <alignment horizontal="center"/>
    </xf>
    <xf numFmtId="179" fontId="3" fillId="0" borderId="0" xfId="0" applyNumberFormat="1" applyFont="1"/>
    <xf numFmtId="0" fontId="96" fillId="0" borderId="0" xfId="0" applyFont="1"/>
    <xf numFmtId="0" fontId="99" fillId="0" borderId="0" xfId="0" applyFont="1" applyAlignment="1">
      <alignment horizontal="center"/>
    </xf>
    <xf numFmtId="0" fontId="98" fillId="0" borderId="0" xfId="0" applyFont="1" applyAlignment="1">
      <alignment horizontal="center"/>
    </xf>
    <xf numFmtId="0" fontId="3" fillId="0" borderId="19" xfId="0" quotePrefix="1" applyFont="1" applyBorder="1" applyAlignment="1">
      <alignment horizontal="center" vertical="center"/>
    </xf>
    <xf numFmtId="180" fontId="96" fillId="0" borderId="19" xfId="1" applyNumberFormat="1" applyFont="1" applyFill="1" applyBorder="1" applyAlignment="1">
      <alignment horizontal="center" vertical="center"/>
    </xf>
    <xf numFmtId="0" fontId="96" fillId="0" borderId="0" xfId="0" applyFont="1" applyAlignment="1">
      <alignment horizontal="center" vertical="center"/>
    </xf>
    <xf numFmtId="181" fontId="96" fillId="0" borderId="0" xfId="1" applyNumberFormat="1" applyFont="1"/>
    <xf numFmtId="0" fontId="99" fillId="0" borderId="0" xfId="0" applyFont="1"/>
    <xf numFmtId="167" fontId="96" fillId="0" borderId="0" xfId="0" applyNumberFormat="1" applyFont="1"/>
    <xf numFmtId="167" fontId="96" fillId="0" borderId="0" xfId="0" applyNumberFormat="1" applyFont="1" applyAlignment="1">
      <alignment vertical="center"/>
    </xf>
    <xf numFmtId="0" fontId="65" fillId="0" borderId="0" xfId="0" quotePrefix="1" applyFont="1" applyAlignment="1">
      <alignment horizontal="center"/>
    </xf>
    <xf numFmtId="0" fontId="96" fillId="0" borderId="21" xfId="0" applyFont="1" applyBorder="1" applyAlignment="1">
      <alignment vertical="center"/>
    </xf>
    <xf numFmtId="0" fontId="96" fillId="0" borderId="0" xfId="0" applyFont="1" applyAlignment="1">
      <alignment vertical="center"/>
    </xf>
    <xf numFmtId="0" fontId="3" fillId="0" borderId="0" xfId="0" applyFont="1" applyAlignment="1">
      <alignment vertical="center"/>
    </xf>
    <xf numFmtId="0" fontId="65" fillId="0" borderId="0" xfId="0" quotePrefix="1" applyFont="1"/>
    <xf numFmtId="0" fontId="64" fillId="0" borderId="0" xfId="0" applyFont="1" applyAlignment="1">
      <alignment horizontal="center"/>
    </xf>
    <xf numFmtId="2" fontId="96" fillId="0" borderId="0" xfId="0" applyNumberFormat="1" applyFont="1"/>
    <xf numFmtId="0" fontId="3" fillId="0" borderId="0" xfId="0" quotePrefix="1" applyFont="1" applyAlignment="1">
      <alignment horizontal="center"/>
    </xf>
    <xf numFmtId="0" fontId="96" fillId="0" borderId="0" xfId="0" applyFont="1" applyAlignment="1">
      <alignment horizontal="center"/>
    </xf>
    <xf numFmtId="1" fontId="96" fillId="0" borderId="0" xfId="0" applyNumberFormat="1" applyFont="1"/>
    <xf numFmtId="0" fontId="17" fillId="13" borderId="23" xfId="3" applyFont="1" applyFill="1" applyBorder="1" applyAlignment="1" applyProtection="1">
      <alignment horizontal="center" vertical="center"/>
      <protection locked="0"/>
    </xf>
    <xf numFmtId="0" fontId="17" fillId="13" borderId="24" xfId="3" applyFont="1" applyFill="1" applyBorder="1" applyAlignment="1" applyProtection="1">
      <alignment horizontal="center" vertical="center"/>
      <protection locked="0"/>
    </xf>
    <xf numFmtId="0" fontId="30" fillId="13" borderId="23" xfId="3" applyFont="1" applyFill="1" applyBorder="1" applyAlignment="1" applyProtection="1">
      <alignment horizontal="center" vertical="center"/>
      <protection locked="0"/>
    </xf>
    <xf numFmtId="0" fontId="17" fillId="13" borderId="27" xfId="3" applyFont="1" applyFill="1" applyBorder="1" applyAlignment="1" applyProtection="1">
      <alignment horizontal="center" vertical="center"/>
      <protection locked="0"/>
    </xf>
    <xf numFmtId="0" fontId="17" fillId="13" borderId="25" xfId="3" applyFont="1" applyFill="1" applyBorder="1" applyAlignment="1" applyProtection="1">
      <alignment horizontal="center" vertical="center"/>
      <protection locked="0"/>
    </xf>
    <xf numFmtId="0" fontId="34" fillId="13" borderId="23" xfId="3" applyFont="1" applyFill="1" applyBorder="1" applyAlignment="1" applyProtection="1">
      <alignment horizontal="center" vertical="center"/>
      <protection locked="0"/>
    </xf>
    <xf numFmtId="0" fontId="17" fillId="13" borderId="18" xfId="3" applyFont="1" applyFill="1" applyBorder="1" applyAlignment="1" applyProtection="1">
      <alignment horizontal="center" vertical="center"/>
      <protection locked="0"/>
    </xf>
    <xf numFmtId="0" fontId="36" fillId="13" borderId="20" xfId="3" applyFont="1" applyFill="1" applyBorder="1" applyAlignment="1" applyProtection="1">
      <alignment horizontal="center" vertical="center"/>
      <protection locked="0"/>
    </xf>
    <xf numFmtId="0" fontId="36" fillId="13" borderId="18" xfId="3" applyFont="1" applyFill="1" applyBorder="1" applyAlignment="1" applyProtection="1">
      <alignment horizontal="center" vertical="center"/>
      <protection locked="0"/>
    </xf>
    <xf numFmtId="0" fontId="41" fillId="13" borderId="19" xfId="3" applyFont="1" applyFill="1" applyBorder="1" applyAlignment="1" applyProtection="1">
      <alignment horizontal="center" vertical="center"/>
      <protection locked="0"/>
    </xf>
    <xf numFmtId="0" fontId="36" fillId="13" borderId="19" xfId="3" applyFont="1" applyFill="1" applyBorder="1" applyAlignment="1" applyProtection="1">
      <alignment horizontal="center" vertical="center"/>
      <protection locked="0"/>
    </xf>
    <xf numFmtId="0" fontId="17" fillId="13" borderId="22" xfId="3" applyFont="1" applyFill="1" applyBorder="1" applyAlignment="1" applyProtection="1">
      <alignment horizontal="center" vertical="center"/>
      <protection locked="0"/>
    </xf>
    <xf numFmtId="0" fontId="34" fillId="13" borderId="18" xfId="3" applyFont="1" applyFill="1" applyBorder="1" applyAlignment="1" applyProtection="1">
      <alignment horizontal="center" vertical="center"/>
      <protection locked="0"/>
    </xf>
    <xf numFmtId="0" fontId="19" fillId="13" borderId="17" xfId="3" applyFont="1" applyFill="1" applyBorder="1" applyAlignment="1" applyProtection="1">
      <alignment horizontal="center"/>
      <protection locked="0"/>
    </xf>
    <xf numFmtId="0" fontId="19" fillId="13" borderId="18" xfId="3" applyFont="1" applyFill="1" applyBorder="1" applyAlignment="1" applyProtection="1">
      <alignment horizontal="center"/>
      <protection locked="0"/>
    </xf>
    <xf numFmtId="0" fontId="19" fillId="13" borderId="19" xfId="3" applyFont="1" applyFill="1" applyBorder="1" applyAlignment="1" applyProtection="1">
      <alignment horizontal="center"/>
      <protection locked="0"/>
    </xf>
    <xf numFmtId="0" fontId="34" fillId="13" borderId="19" xfId="3" applyFont="1" applyFill="1" applyBorder="1" applyAlignment="1" applyProtection="1">
      <alignment horizontal="center"/>
      <protection locked="0"/>
    </xf>
    <xf numFmtId="1" fontId="33" fillId="13" borderId="19" xfId="3" applyNumberFormat="1" applyFont="1" applyFill="1" applyBorder="1" applyAlignment="1" applyProtection="1">
      <alignment horizontal="center"/>
      <protection locked="0"/>
    </xf>
    <xf numFmtId="0" fontId="5" fillId="13" borderId="19" xfId="0" applyFont="1" applyFill="1" applyBorder="1" applyAlignment="1">
      <alignment horizontal="center" vertical="center" wrapText="1"/>
    </xf>
    <xf numFmtId="0" fontId="100" fillId="0" borderId="0" xfId="0" applyFont="1"/>
    <xf numFmtId="43" fontId="100" fillId="0" borderId="0" xfId="1" applyFont="1"/>
    <xf numFmtId="0" fontId="101" fillId="0" borderId="0" xfId="0" applyFont="1"/>
    <xf numFmtId="0" fontId="100" fillId="10" borderId="0" xfId="0" applyFont="1" applyFill="1"/>
    <xf numFmtId="0" fontId="101" fillId="10" borderId="0" xfId="0" applyFont="1" applyFill="1"/>
    <xf numFmtId="0" fontId="101" fillId="0" borderId="0" xfId="0" applyFont="1" applyAlignment="1">
      <alignment horizontal="justify" vertical="center"/>
    </xf>
    <xf numFmtId="166" fontId="100" fillId="0" borderId="0" xfId="0" applyNumberFormat="1" applyFont="1"/>
    <xf numFmtId="167" fontId="100" fillId="0" borderId="0" xfId="0" applyNumberFormat="1" applyFont="1"/>
    <xf numFmtId="173" fontId="100" fillId="0" borderId="0" xfId="0" applyNumberFormat="1" applyFont="1"/>
    <xf numFmtId="2" fontId="100" fillId="0" borderId="0" xfId="0" applyNumberFormat="1" applyFont="1"/>
    <xf numFmtId="1" fontId="100" fillId="0" borderId="0" xfId="0" applyNumberFormat="1" applyFont="1"/>
    <xf numFmtId="43" fontId="100" fillId="0" borderId="0" xfId="0" applyNumberFormat="1" applyFont="1"/>
    <xf numFmtId="169" fontId="100" fillId="0" borderId="0" xfId="1" applyNumberFormat="1" applyFont="1"/>
    <xf numFmtId="169" fontId="100" fillId="0" borderId="0" xfId="0" applyNumberFormat="1" applyFont="1"/>
    <xf numFmtId="171" fontId="100" fillId="0" borderId="0" xfId="0" applyNumberFormat="1" applyFont="1"/>
    <xf numFmtId="168" fontId="100" fillId="0" borderId="0" xfId="1" applyNumberFormat="1" applyFont="1"/>
    <xf numFmtId="165" fontId="100" fillId="0" borderId="0" xfId="0" applyNumberFormat="1" applyFont="1" applyAlignment="1">
      <alignment horizontal="right"/>
    </xf>
    <xf numFmtId="172" fontId="100" fillId="0" borderId="0" xfId="0" applyNumberFormat="1" applyFont="1"/>
    <xf numFmtId="165" fontId="100" fillId="0" borderId="0" xfId="0" applyNumberFormat="1" applyFont="1"/>
    <xf numFmtId="175" fontId="100" fillId="0" borderId="0" xfId="0" applyNumberFormat="1" applyFont="1"/>
    <xf numFmtId="164" fontId="100" fillId="0" borderId="0" xfId="1" applyNumberFormat="1" applyFont="1"/>
    <xf numFmtId="43" fontId="100" fillId="13" borderId="19" xfId="1" applyFont="1" applyFill="1" applyBorder="1" applyAlignment="1" applyProtection="1">
      <alignment horizontal="center"/>
      <protection locked="0"/>
    </xf>
    <xf numFmtId="1" fontId="100" fillId="13" borderId="19" xfId="3" applyNumberFormat="1" applyFont="1" applyFill="1" applyBorder="1" applyAlignment="1" applyProtection="1">
      <alignment horizontal="center"/>
      <protection locked="0"/>
    </xf>
    <xf numFmtId="2" fontId="100" fillId="13" borderId="19" xfId="3" applyNumberFormat="1" applyFont="1" applyFill="1" applyBorder="1" applyAlignment="1" applyProtection="1">
      <alignment horizontal="center"/>
      <protection hidden="1"/>
    </xf>
    <xf numFmtId="176" fontId="100" fillId="0" borderId="0" xfId="1" applyNumberFormat="1" applyFont="1"/>
    <xf numFmtId="43" fontId="101" fillId="0" borderId="0" xfId="1" applyFont="1"/>
    <xf numFmtId="172" fontId="101" fillId="0" borderId="0" xfId="0" applyNumberFormat="1" applyFont="1"/>
    <xf numFmtId="177" fontId="100" fillId="0" borderId="0" xfId="0" applyNumberFormat="1" applyFont="1"/>
    <xf numFmtId="167" fontId="100" fillId="13" borderId="19" xfId="3" applyNumberFormat="1" applyFont="1" applyFill="1" applyBorder="1" applyAlignment="1" applyProtection="1">
      <alignment horizontal="center"/>
      <protection hidden="1"/>
    </xf>
    <xf numFmtId="166" fontId="96" fillId="0" borderId="0" xfId="0" applyNumberFormat="1" applyFont="1"/>
    <xf numFmtId="173" fontId="96" fillId="0" borderId="0" xfId="0" applyNumberFormat="1" applyFont="1"/>
    <xf numFmtId="0" fontId="3" fillId="13" borderId="19" xfId="0" applyFont="1" applyFill="1" applyBorder="1" applyAlignment="1">
      <alignment horizontal="left" vertical="center" wrapText="1"/>
    </xf>
    <xf numFmtId="0" fontId="3" fillId="13" borderId="19" xfId="0" applyFont="1" applyFill="1" applyBorder="1" applyAlignment="1">
      <alignment horizontal="left" vertical="center"/>
    </xf>
    <xf numFmtId="166" fontId="3" fillId="13" borderId="19" xfId="0" applyNumberFormat="1" applyFont="1" applyFill="1" applyBorder="1" applyAlignment="1">
      <alignment horizontal="center" vertical="center"/>
    </xf>
    <xf numFmtId="43" fontId="3" fillId="13" borderId="19" xfId="1" applyFont="1" applyFill="1" applyBorder="1" applyAlignment="1">
      <alignment horizontal="center" vertical="center"/>
    </xf>
    <xf numFmtId="169" fontId="3" fillId="13" borderId="19" xfId="1" applyNumberFormat="1" applyFont="1" applyFill="1" applyBorder="1" applyAlignment="1">
      <alignment horizontal="center" vertical="center"/>
    </xf>
    <xf numFmtId="172" fontId="3" fillId="13" borderId="19" xfId="0" applyNumberFormat="1" applyFont="1" applyFill="1" applyBorder="1" applyAlignment="1">
      <alignment horizontal="center" vertical="center"/>
    </xf>
    <xf numFmtId="0" fontId="8" fillId="13" borderId="19" xfId="0" applyFont="1" applyFill="1" applyBorder="1" applyAlignment="1">
      <alignment horizontal="justify" vertical="center"/>
    </xf>
    <xf numFmtId="0" fontId="60" fillId="13" borderId="19" xfId="0" applyFont="1" applyFill="1" applyBorder="1" applyAlignment="1">
      <alignment vertical="center"/>
    </xf>
    <xf numFmtId="0" fontId="3" fillId="13" borderId="19" xfId="0" applyFont="1" applyFill="1" applyBorder="1" applyAlignment="1">
      <alignment horizontal="justify" vertical="center" wrapText="1"/>
    </xf>
    <xf numFmtId="43" fontId="0" fillId="0" borderId="0" xfId="1" applyNumberFormat="1" applyFont="1"/>
    <xf numFmtId="0" fontId="8" fillId="0" borderId="14" xfId="2" applyFont="1" applyBorder="1" applyAlignment="1">
      <alignment horizontal="center" vertical="center" wrapText="1"/>
    </xf>
    <xf numFmtId="0" fontId="8" fillId="0" borderId="16" xfId="2" applyFont="1" applyBorder="1" applyAlignment="1">
      <alignment horizontal="center" vertical="center" wrapText="1"/>
    </xf>
    <xf numFmtId="0" fontId="28" fillId="5" borderId="14" xfId="2" applyFont="1" applyFill="1" applyBorder="1" applyAlignment="1">
      <alignment horizontal="center" vertical="center" wrapText="1"/>
    </xf>
    <xf numFmtId="0" fontId="28" fillId="5" borderId="15" xfId="2" applyFont="1" applyFill="1" applyBorder="1" applyAlignment="1">
      <alignment horizontal="center" vertical="center" wrapText="1"/>
    </xf>
    <xf numFmtId="0" fontId="28" fillId="5" borderId="16" xfId="2" applyFont="1" applyFill="1" applyBorder="1" applyAlignment="1">
      <alignment horizontal="center" vertical="center" wrapText="1"/>
    </xf>
    <xf numFmtId="1" fontId="17" fillId="13" borderId="23" xfId="3" applyNumberFormat="1" applyFont="1" applyFill="1" applyBorder="1" applyAlignment="1" applyProtection="1">
      <alignment horizontal="center" vertical="center" wrapText="1"/>
      <protection hidden="1"/>
    </xf>
    <xf numFmtId="1" fontId="17" fillId="13" borderId="18" xfId="3" applyNumberFormat="1" applyFont="1" applyFill="1" applyBorder="1" applyAlignment="1" applyProtection="1">
      <alignment horizontal="center" vertical="center" wrapText="1"/>
      <protection hidden="1"/>
    </xf>
    <xf numFmtId="0" fontId="92" fillId="0" borderId="0" xfId="0" applyFont="1" applyAlignment="1">
      <alignment horizontal="center"/>
    </xf>
    <xf numFmtId="0" fontId="85" fillId="0" borderId="0" xfId="0" applyFont="1" applyAlignment="1">
      <alignment horizontal="center" vertical="center"/>
    </xf>
    <xf numFmtId="0" fontId="86" fillId="0" borderId="0" xfId="0" applyFont="1" applyAlignment="1">
      <alignment horizontal="center"/>
    </xf>
    <xf numFmtId="0" fontId="92" fillId="0" borderId="0" xfId="0" applyFont="1" applyAlignment="1">
      <alignment horizontal="right" vertical="center"/>
    </xf>
    <xf numFmtId="0" fontId="84" fillId="0" borderId="0" xfId="0" applyFont="1" applyAlignment="1">
      <alignment horizontal="center" vertical="center"/>
    </xf>
    <xf numFmtId="0" fontId="92" fillId="0" borderId="0" xfId="0" applyFont="1" applyAlignment="1">
      <alignment horizontal="center" vertical="center"/>
    </xf>
    <xf numFmtId="0" fontId="3" fillId="0" borderId="0" xfId="0" applyFont="1" applyAlignment="1">
      <alignment horizontal="center"/>
    </xf>
    <xf numFmtId="0" fontId="68" fillId="0" borderId="0" xfId="0" applyFont="1" applyAlignment="1">
      <alignment horizontal="center" vertical="center"/>
    </xf>
    <xf numFmtId="0" fontId="97" fillId="0" borderId="0" xfId="0" applyFont="1" applyAlignment="1">
      <alignment horizontal="center"/>
    </xf>
    <xf numFmtId="0" fontId="3" fillId="0" borderId="0" xfId="0" applyFont="1" applyAlignment="1">
      <alignment horizontal="right" vertical="center"/>
    </xf>
    <xf numFmtId="0" fontId="3" fillId="0" borderId="0" xfId="0" applyFont="1" applyAlignment="1">
      <alignment horizontal="center" vertical="center"/>
    </xf>
    <xf numFmtId="2" fontId="96" fillId="0" borderId="0" xfId="0" applyNumberFormat="1" applyFont="1" applyAlignment="1">
      <alignment horizontal="center" vertical="center"/>
    </xf>
    <xf numFmtId="0" fontId="34" fillId="12" borderId="0" xfId="3" applyFont="1" applyFill="1" applyAlignment="1" applyProtection="1">
      <alignment horizontal="center" wrapText="1"/>
    </xf>
    <xf numFmtId="0" fontId="64" fillId="13" borderId="46" xfId="7" applyFont="1" applyFill="1" applyBorder="1" applyAlignment="1">
      <alignment horizontal="center"/>
    </xf>
    <xf numFmtId="0" fontId="64" fillId="13" borderId="47" xfId="7" applyFont="1" applyFill="1" applyBorder="1" applyAlignment="1">
      <alignment horizontal="center"/>
    </xf>
    <xf numFmtId="0" fontId="64" fillId="13" borderId="28" xfId="7" applyFont="1" applyFill="1" applyBorder="1" applyAlignment="1">
      <alignment horizontal="center"/>
    </xf>
    <xf numFmtId="0" fontId="64" fillId="13" borderId="49" xfId="7" applyFont="1" applyFill="1" applyBorder="1" applyAlignment="1">
      <alignment horizontal="center"/>
    </xf>
    <xf numFmtId="0" fontId="64" fillId="13" borderId="50" xfId="7" applyFont="1" applyFill="1" applyBorder="1" applyAlignment="1">
      <alignment horizontal="center"/>
    </xf>
    <xf numFmtId="0" fontId="64" fillId="13" borderId="51" xfId="7" applyFont="1" applyFill="1" applyBorder="1" applyAlignment="1">
      <alignment horizontal="center"/>
    </xf>
    <xf numFmtId="1" fontId="67" fillId="19" borderId="43" xfId="6" applyNumberFormat="1" applyFont="1" applyFill="1" applyBorder="1" applyAlignment="1">
      <alignment horizontal="center" vertical="center" wrapText="1"/>
    </xf>
    <xf numFmtId="1" fontId="67" fillId="19" borderId="44" xfId="6" applyNumberFormat="1" applyFont="1" applyFill="1" applyBorder="1" applyAlignment="1">
      <alignment horizontal="center" vertical="center" wrapText="1"/>
    </xf>
    <xf numFmtId="1" fontId="67" fillId="19" borderId="45" xfId="6" applyNumberFormat="1" applyFont="1" applyFill="1" applyBorder="1" applyAlignment="1">
      <alignment horizontal="center" vertical="center" wrapText="1"/>
    </xf>
    <xf numFmtId="0" fontId="66" fillId="18" borderId="0" xfId="0" applyFont="1" applyFill="1" applyAlignment="1">
      <alignment horizontal="center" vertical="center"/>
    </xf>
    <xf numFmtId="0" fontId="81" fillId="0" borderId="0" xfId="0" applyFont="1" applyAlignment="1">
      <alignment horizontal="center" vertical="center"/>
    </xf>
    <xf numFmtId="0" fontId="78" fillId="0" borderId="43" xfId="0" applyFont="1" applyBorder="1" applyAlignment="1">
      <alignment horizontal="center" vertical="center"/>
    </xf>
    <xf numFmtId="0" fontId="78" fillId="0" borderId="46" xfId="0" applyFont="1" applyBorder="1" applyAlignment="1">
      <alignment horizontal="center" vertical="center"/>
    </xf>
    <xf numFmtId="0" fontId="78" fillId="0" borderId="54" xfId="0" applyFont="1" applyBorder="1" applyAlignment="1">
      <alignment horizontal="center" vertical="center"/>
    </xf>
    <xf numFmtId="0" fontId="78" fillId="0" borderId="55" xfId="0" applyFont="1" applyBorder="1" applyAlignment="1">
      <alignment horizontal="center" vertical="center"/>
    </xf>
    <xf numFmtId="0" fontId="78" fillId="0" borderId="26" xfId="0" applyFont="1" applyBorder="1" applyAlignment="1">
      <alignment horizontal="center" vertical="center"/>
    </xf>
    <xf numFmtId="0" fontId="78" fillId="0" borderId="22" xfId="0" applyFont="1" applyBorder="1" applyAlignment="1">
      <alignment horizontal="center" vertical="center"/>
    </xf>
    <xf numFmtId="0" fontId="78" fillId="0" borderId="56" xfId="0" applyFont="1" applyBorder="1" applyAlignment="1">
      <alignment horizontal="center"/>
    </xf>
    <xf numFmtId="0" fontId="78" fillId="0" borderId="44" xfId="0" applyFont="1" applyBorder="1" applyAlignment="1">
      <alignment horizontal="center"/>
    </xf>
    <xf numFmtId="0" fontId="78" fillId="0" borderId="45" xfId="0" applyFont="1" applyBorder="1" applyAlignment="1">
      <alignment horizontal="center"/>
    </xf>
    <xf numFmtId="0" fontId="79" fillId="0" borderId="57" xfId="0" applyFont="1" applyBorder="1" applyAlignment="1">
      <alignment horizontal="center" vertical="center" wrapText="1"/>
    </xf>
    <xf numFmtId="0" fontId="79" fillId="0" borderId="60" xfId="0" applyFont="1" applyBorder="1" applyAlignment="1">
      <alignment horizontal="center" vertical="center" wrapText="1"/>
    </xf>
    <xf numFmtId="0" fontId="79" fillId="0" borderId="63" xfId="0" applyFont="1" applyBorder="1" applyAlignment="1">
      <alignment horizontal="center" vertical="center" wrapText="1"/>
    </xf>
    <xf numFmtId="0" fontId="78" fillId="0" borderId="58" xfId="0" applyFont="1" applyBorder="1" applyAlignment="1">
      <alignment horizontal="center" vertical="center" wrapText="1"/>
    </xf>
    <xf numFmtId="0" fontId="78" fillId="0" borderId="25" xfId="0" applyFont="1" applyBorder="1" applyAlignment="1">
      <alignment horizontal="center" vertical="center" wrapText="1"/>
    </xf>
    <xf numFmtId="0" fontId="78" fillId="0" borderId="61" xfId="0" applyFont="1" applyBorder="1" applyAlignment="1">
      <alignment horizontal="center" vertical="center" wrapText="1"/>
    </xf>
    <xf numFmtId="0" fontId="78" fillId="0" borderId="22" xfId="0" applyFont="1" applyBorder="1" applyAlignment="1">
      <alignment horizontal="center" vertical="center" wrapText="1"/>
    </xf>
    <xf numFmtId="0" fontId="78" fillId="0" borderId="18" xfId="0" applyFont="1" applyBorder="1" applyAlignment="1">
      <alignment horizontal="center" vertical="center"/>
    </xf>
    <xf numFmtId="0" fontId="78" fillId="0" borderId="19" xfId="0" applyFont="1" applyBorder="1" applyAlignment="1">
      <alignment horizontal="center" vertical="center"/>
    </xf>
    <xf numFmtId="0" fontId="78" fillId="0" borderId="59" xfId="0" applyFont="1" applyBorder="1" applyAlignment="1">
      <alignment horizontal="center" vertical="center"/>
    </xf>
    <xf numFmtId="0" fontId="78" fillId="0" borderId="62" xfId="0" applyFont="1" applyBorder="1" applyAlignment="1">
      <alignment horizontal="center" vertical="center"/>
    </xf>
    <xf numFmtId="0" fontId="78" fillId="0" borderId="23" xfId="0" applyFont="1" applyBorder="1" applyAlignment="1">
      <alignment horizontal="center" vertical="center"/>
    </xf>
    <xf numFmtId="0" fontId="78" fillId="0" borderId="46" xfId="0" applyFont="1" applyBorder="1" applyAlignment="1">
      <alignment horizontal="center"/>
    </xf>
    <xf numFmtId="0" fontId="78" fillId="0" borderId="28" xfId="0" applyFont="1" applyBorder="1" applyAlignment="1">
      <alignment horizontal="center"/>
    </xf>
    <xf numFmtId="0" fontId="78" fillId="0" borderId="49" xfId="0" applyFont="1" applyBorder="1" applyAlignment="1">
      <alignment horizontal="center"/>
    </xf>
    <xf numFmtId="0" fontId="78" fillId="0" borderId="51" xfId="0" applyFont="1" applyBorder="1" applyAlignment="1">
      <alignment horizontal="center"/>
    </xf>
    <xf numFmtId="0" fontId="78" fillId="0" borderId="19" xfId="0" applyFont="1" applyBorder="1" applyAlignment="1">
      <alignment horizontal="center"/>
    </xf>
    <xf numFmtId="0" fontId="78" fillId="0" borderId="39" xfId="0" applyFont="1" applyBorder="1" applyAlignment="1">
      <alignment horizontal="center"/>
    </xf>
    <xf numFmtId="0" fontId="78" fillId="0" borderId="19" xfId="0" applyFont="1" applyBorder="1" applyAlignment="1">
      <alignment horizontal="center" vertical="center" wrapText="1"/>
    </xf>
    <xf numFmtId="0" fontId="78" fillId="0" borderId="39" xfId="0" applyFont="1" applyBorder="1" applyAlignment="1">
      <alignment horizontal="center" vertical="center" wrapText="1"/>
    </xf>
    <xf numFmtId="0" fontId="79" fillId="0" borderId="1" xfId="0" applyFont="1" applyBorder="1" applyAlignment="1">
      <alignment horizontal="center" vertical="center" wrapText="1"/>
    </xf>
    <xf numFmtId="0" fontId="79" fillId="0" borderId="30" xfId="0" applyFont="1" applyBorder="1" applyAlignment="1">
      <alignment horizontal="center" vertical="center" wrapText="1"/>
    </xf>
    <xf numFmtId="0" fontId="78" fillId="0" borderId="43" xfId="0" applyFont="1" applyBorder="1" applyAlignment="1">
      <alignment horizontal="center"/>
    </xf>
    <xf numFmtId="0" fontId="78" fillId="0" borderId="65" xfId="0" applyFont="1" applyBorder="1" applyAlignment="1">
      <alignment horizontal="center"/>
    </xf>
    <xf numFmtId="0" fontId="78" fillId="0" borderId="67" xfId="0" applyFont="1" applyBorder="1" applyAlignment="1">
      <alignment horizontal="center" vertical="center" wrapText="1"/>
    </xf>
    <xf numFmtId="0" fontId="79" fillId="0" borderId="68" xfId="0" applyFont="1" applyBorder="1" applyAlignment="1">
      <alignment horizontal="center" vertical="center"/>
    </xf>
    <xf numFmtId="0" fontId="79" fillId="0" borderId="69" xfId="0" applyFont="1" applyBorder="1" applyAlignment="1">
      <alignment horizontal="center" vertical="center"/>
    </xf>
    <xf numFmtId="0" fontId="78" fillId="0" borderId="24" xfId="0" applyFont="1" applyBorder="1" applyAlignment="1">
      <alignment horizontal="left"/>
    </xf>
    <xf numFmtId="0" fontId="78" fillId="0" borderId="0" xfId="0" applyFont="1" applyAlignment="1">
      <alignment horizontal="left" wrapText="1"/>
    </xf>
    <xf numFmtId="0" fontId="78" fillId="0" borderId="0" xfId="0" applyFont="1" applyAlignment="1">
      <alignment horizontal="left" vertical="center" wrapText="1"/>
    </xf>
    <xf numFmtId="0" fontId="78" fillId="0" borderId="0" xfId="0" applyFont="1" applyAlignment="1">
      <alignment horizontal="left"/>
    </xf>
    <xf numFmtId="0" fontId="78" fillId="0" borderId="68" xfId="0" applyFont="1" applyBorder="1" applyAlignment="1">
      <alignment horizontal="center" vertical="center"/>
    </xf>
    <xf numFmtId="0" fontId="78" fillId="0" borderId="27" xfId="0" applyFont="1" applyBorder="1" applyAlignment="1">
      <alignment horizontal="center" vertical="center"/>
    </xf>
    <xf numFmtId="0" fontId="78" fillId="0" borderId="25" xfId="0" applyFont="1" applyBorder="1" applyAlignment="1">
      <alignment horizontal="center" vertical="center"/>
    </xf>
    <xf numFmtId="0" fontId="78" fillId="0" borderId="39" xfId="0" applyFont="1" applyBorder="1" applyAlignment="1">
      <alignment horizontal="center" vertical="center"/>
    </xf>
    <xf numFmtId="0" fontId="78" fillId="0" borderId="17" xfId="0" applyFont="1" applyBorder="1" applyAlignment="1">
      <alignment horizontal="center" vertical="center"/>
    </xf>
    <xf numFmtId="0" fontId="81" fillId="0" borderId="20" xfId="0" applyFont="1" applyBorder="1" applyAlignment="1">
      <alignment horizontal="center" vertical="center"/>
    </xf>
    <xf numFmtId="0" fontId="78" fillId="0" borderId="47" xfId="0" applyFont="1" applyBorder="1" applyAlignment="1">
      <alignment horizontal="center" vertical="center"/>
    </xf>
    <xf numFmtId="0" fontId="78" fillId="0" borderId="28" xfId="0" applyFont="1" applyBorder="1" applyAlignment="1">
      <alignment horizontal="center" vertical="center"/>
    </xf>
    <xf numFmtId="0" fontId="78" fillId="0" borderId="39" xfId="0" applyFont="1" applyBorder="1" applyAlignment="1">
      <alignment horizontal="left" vertical="center"/>
    </xf>
    <xf numFmtId="0" fontId="78" fillId="0" borderId="47" xfId="0" applyFont="1" applyBorder="1" applyAlignment="1">
      <alignment horizontal="left" vertical="center"/>
    </xf>
    <xf numFmtId="0" fontId="78" fillId="0" borderId="28" xfId="0" applyFont="1" applyBorder="1" applyAlignment="1">
      <alignment horizontal="left" vertical="center"/>
    </xf>
    <xf numFmtId="0" fontId="71" fillId="0" borderId="0" xfId="0" applyFont="1" applyAlignment="1">
      <alignment horizontal="center" vertical="center"/>
    </xf>
    <xf numFmtId="0" fontId="72" fillId="0" borderId="0" xfId="0" applyFont="1" applyAlignment="1">
      <alignment horizontal="center" vertical="center"/>
    </xf>
    <xf numFmtId="0" fontId="73" fillId="0" borderId="23" xfId="0" applyFont="1" applyBorder="1" applyAlignment="1">
      <alignment horizontal="center" vertical="center"/>
    </xf>
    <xf numFmtId="0" fontId="73" fillId="0" borderId="18" xfId="0" applyFont="1" applyBorder="1" applyAlignment="1">
      <alignment horizontal="center" vertical="center"/>
    </xf>
    <xf numFmtId="0" fontId="74" fillId="0" borderId="19" xfId="0" applyFont="1" applyBorder="1" applyAlignment="1">
      <alignment horizontal="center" vertical="center"/>
    </xf>
    <xf numFmtId="2" fontId="77" fillId="0" borderId="20" xfId="0" applyNumberFormat="1" applyFont="1" applyBorder="1" applyAlignment="1">
      <alignment horizontal="center" vertical="center"/>
    </xf>
    <xf numFmtId="0" fontId="4" fillId="13" borderId="19"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8" fillId="13" borderId="19" xfId="0" applyFont="1" applyFill="1" applyBorder="1" applyAlignment="1">
      <alignment horizontal="justify" vertical="center" wrapText="1"/>
    </xf>
    <xf numFmtId="0" fontId="9" fillId="0" borderId="0" xfId="0" applyFont="1" applyAlignment="1">
      <alignment horizontal="center" vertical="center"/>
    </xf>
    <xf numFmtId="0" fontId="5" fillId="13" borderId="19" xfId="0" applyFont="1" applyFill="1" applyBorder="1" applyAlignment="1">
      <alignment horizontal="justify" vertical="center" wrapText="1"/>
    </xf>
    <xf numFmtId="0" fontId="3" fillId="14" borderId="1" xfId="0" applyFont="1" applyFill="1" applyBorder="1" applyAlignment="1">
      <alignment horizontal="center" vertical="center"/>
    </xf>
    <xf numFmtId="0" fontId="3" fillId="14" borderId="30" xfId="0" applyFont="1" applyFill="1" applyBorder="1" applyAlignment="1">
      <alignment horizontal="center" vertical="center"/>
    </xf>
    <xf numFmtId="0" fontId="3" fillId="14" borderId="2" xfId="0" applyFont="1" applyFill="1" applyBorder="1" applyAlignment="1">
      <alignment horizontal="center" vertical="center"/>
    </xf>
    <xf numFmtId="0" fontId="8" fillId="14" borderId="1" xfId="0" applyFont="1" applyFill="1" applyBorder="1" applyAlignment="1">
      <alignment horizontal="center" vertical="center"/>
    </xf>
    <xf numFmtId="0" fontId="8" fillId="14" borderId="30" xfId="0" applyFont="1" applyFill="1" applyBorder="1" applyAlignment="1">
      <alignment horizontal="center" vertical="center"/>
    </xf>
    <xf numFmtId="0" fontId="8" fillId="14" borderId="2" xfId="0" applyFont="1" applyFill="1" applyBorder="1" applyAlignment="1">
      <alignment horizontal="center" vertical="center"/>
    </xf>
    <xf numFmtId="0" fontId="8" fillId="2" borderId="1" xfId="0" applyFont="1" applyFill="1" applyBorder="1" applyAlignment="1">
      <alignment horizontal="justify" vertical="center"/>
    </xf>
    <xf numFmtId="0" fontId="8" fillId="2" borderId="30" xfId="0" applyFont="1" applyFill="1" applyBorder="1" applyAlignment="1">
      <alignment horizontal="justify" vertical="center"/>
    </xf>
    <xf numFmtId="0" fontId="8" fillId="2" borderId="2" xfId="0" applyFont="1" applyFill="1" applyBorder="1" applyAlignment="1">
      <alignment horizontal="justify" vertical="center"/>
    </xf>
    <xf numFmtId="0" fontId="3" fillId="0" borderId="6" xfId="0" applyFont="1" applyBorder="1" applyAlignment="1">
      <alignment horizontal="justify" vertical="center"/>
    </xf>
    <xf numFmtId="0" fontId="3" fillId="0" borderId="7" xfId="0" applyFont="1" applyBorder="1" applyAlignment="1">
      <alignment horizontal="justify" vertical="center"/>
    </xf>
    <xf numFmtId="0" fontId="3" fillId="0" borderId="32" xfId="0" applyFont="1" applyBorder="1" applyAlignment="1">
      <alignment horizontal="justify" vertical="center"/>
    </xf>
    <xf numFmtId="0" fontId="8" fillId="16" borderId="23" xfId="0" applyFont="1" applyFill="1" applyBorder="1" applyAlignment="1">
      <alignment horizontal="center" vertical="center" wrapText="1"/>
    </xf>
    <xf numFmtId="0" fontId="8" fillId="16" borderId="17" xfId="0" applyFont="1" applyFill="1" applyBorder="1" applyAlignment="1">
      <alignment horizontal="center" vertical="center" wrapText="1"/>
    </xf>
    <xf numFmtId="0" fontId="3" fillId="16" borderId="19" xfId="0" applyFont="1" applyFill="1" applyBorder="1" applyAlignment="1">
      <alignment horizontal="center" vertical="center" wrapText="1"/>
    </xf>
    <xf numFmtId="0" fontId="8" fillId="16" borderId="19" xfId="0" applyFont="1" applyFill="1" applyBorder="1" applyAlignment="1">
      <alignment horizontal="center" vertical="center" wrapText="1"/>
    </xf>
    <xf numFmtId="0" fontId="8" fillId="16" borderId="19" xfId="0" applyFont="1" applyFill="1" applyBorder="1" applyAlignment="1">
      <alignment horizontal="center" vertical="center"/>
    </xf>
    <xf numFmtId="0" fontId="8" fillId="13" borderId="19"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18" fillId="0" borderId="9" xfId="2" applyFont="1" applyBorder="1" applyAlignment="1">
      <alignment horizontal="center"/>
    </xf>
    <xf numFmtId="0" fontId="19" fillId="4" borderId="10" xfId="2" applyFont="1" applyFill="1" applyBorder="1" applyAlignment="1">
      <alignment horizontal="center" vertical="center" wrapText="1"/>
    </xf>
    <xf numFmtId="169" fontId="19" fillId="4" borderId="10" xfId="1" applyNumberFormat="1" applyFont="1" applyFill="1" applyBorder="1" applyAlignment="1">
      <alignment horizontal="center" vertical="center" wrapText="1"/>
    </xf>
    <xf numFmtId="0" fontId="17" fillId="4" borderId="8" xfId="2" applyFont="1" applyFill="1" applyBorder="1" applyAlignment="1">
      <alignment horizontal="center" vertical="center" wrapText="1"/>
    </xf>
    <xf numFmtId="0" fontId="19" fillId="4" borderId="35" xfId="2" applyFont="1" applyFill="1" applyBorder="1" applyAlignment="1">
      <alignment horizontal="center" vertical="center" wrapText="1"/>
    </xf>
    <xf numFmtId="0" fontId="17" fillId="0" borderId="23" xfId="2" applyFont="1" applyFill="1" applyBorder="1" applyAlignment="1">
      <alignment horizontal="center" vertical="center" wrapText="1"/>
    </xf>
    <xf numFmtId="0" fontId="17" fillId="0" borderId="18" xfId="2" applyFont="1" applyFill="1" applyBorder="1" applyAlignment="1">
      <alignment horizontal="center" vertical="center" wrapText="1"/>
    </xf>
    <xf numFmtId="166" fontId="17" fillId="0" borderId="23" xfId="2" applyNumberFormat="1" applyFont="1" applyFill="1" applyBorder="1" applyAlignment="1">
      <alignment horizontal="center" vertical="center" wrapText="1"/>
    </xf>
    <xf numFmtId="166" fontId="17" fillId="0" borderId="18" xfId="2" applyNumberFormat="1" applyFont="1" applyFill="1" applyBorder="1" applyAlignment="1">
      <alignment horizontal="center" vertical="center" wrapText="1"/>
    </xf>
    <xf numFmtId="1" fontId="58" fillId="15" borderId="23" xfId="2" applyNumberFormat="1" applyFont="1" applyFill="1" applyBorder="1" applyAlignment="1">
      <alignment horizontal="center" vertical="center" wrapText="1"/>
    </xf>
    <xf numFmtId="1" fontId="58" fillId="15" borderId="18" xfId="2" applyNumberFormat="1" applyFont="1" applyFill="1" applyBorder="1" applyAlignment="1">
      <alignment horizontal="center" vertical="center" wrapText="1"/>
    </xf>
    <xf numFmtId="0" fontId="24" fillId="0" borderId="23" xfId="2" applyFont="1" applyFill="1" applyBorder="1" applyAlignment="1">
      <alignment horizontal="center" vertical="center" wrapText="1"/>
    </xf>
    <xf numFmtId="0" fontId="24" fillId="0" borderId="18" xfId="2" applyFont="1" applyFill="1" applyBorder="1" applyAlignment="1">
      <alignment horizontal="center" vertical="center" wrapText="1"/>
    </xf>
    <xf numFmtId="1" fontId="17" fillId="0" borderId="23" xfId="2" applyNumberFormat="1" applyFont="1" applyFill="1" applyBorder="1" applyAlignment="1">
      <alignment horizontal="center" vertical="center" wrapText="1"/>
    </xf>
    <xf numFmtId="1" fontId="17" fillId="0" borderId="18" xfId="2" applyNumberFormat="1" applyFont="1" applyFill="1" applyBorder="1" applyAlignment="1">
      <alignment horizontal="center" vertical="center" wrapText="1"/>
    </xf>
    <xf numFmtId="1" fontId="50" fillId="0" borderId="23" xfId="2" applyNumberFormat="1" applyFont="1" applyFill="1" applyBorder="1" applyAlignment="1">
      <alignment horizontal="center" vertical="center" wrapText="1"/>
    </xf>
    <xf numFmtId="1" fontId="50" fillId="0" borderId="18" xfId="2" applyNumberFormat="1" applyFont="1" applyFill="1" applyBorder="1" applyAlignment="1">
      <alignment horizontal="center" vertical="center" wrapText="1"/>
    </xf>
    <xf numFmtId="0" fontId="19" fillId="7" borderId="29" xfId="2" applyFont="1" applyFill="1" applyBorder="1" applyAlignment="1">
      <alignment horizontal="center" vertical="center" wrapText="1"/>
    </xf>
    <xf numFmtId="0" fontId="19" fillId="7" borderId="0" xfId="2" applyFont="1" applyFill="1" applyBorder="1" applyAlignment="1">
      <alignment horizontal="center" vertical="center" wrapText="1"/>
    </xf>
    <xf numFmtId="0" fontId="19" fillId="7" borderId="21" xfId="2" applyFont="1" applyFill="1" applyBorder="1" applyAlignment="1">
      <alignment horizontal="center" vertical="center" wrapText="1"/>
    </xf>
    <xf numFmtId="0" fontId="17" fillId="7" borderId="19" xfId="2" applyFont="1" applyFill="1" applyBorder="1" applyAlignment="1">
      <alignment horizontal="center" vertical="center" wrapText="1"/>
    </xf>
    <xf numFmtId="0" fontId="56" fillId="0" borderId="6" xfId="2" applyFont="1" applyBorder="1" applyAlignment="1">
      <alignment horizontal="center"/>
    </xf>
    <xf numFmtId="0" fontId="56" fillId="0" borderId="7" xfId="2" applyFont="1" applyBorder="1" applyAlignment="1">
      <alignment horizontal="center"/>
    </xf>
    <xf numFmtId="0" fontId="56" fillId="0" borderId="3" xfId="2" applyFont="1" applyBorder="1" applyAlignment="1">
      <alignment horizontal="center"/>
    </xf>
    <xf numFmtId="0" fontId="19" fillId="7" borderId="40" xfId="2" applyFont="1" applyFill="1" applyBorder="1" applyAlignment="1">
      <alignment horizontal="center" vertical="center" textRotation="90" wrapText="1"/>
    </xf>
    <xf numFmtId="0" fontId="19" fillId="7" borderId="17" xfId="2" applyFont="1" applyFill="1" applyBorder="1" applyAlignment="1">
      <alignment horizontal="center" vertical="center" textRotation="90" wrapText="1"/>
    </xf>
    <xf numFmtId="0" fontId="19" fillId="7" borderId="18" xfId="2" applyFont="1" applyFill="1" applyBorder="1" applyAlignment="1">
      <alignment horizontal="center" vertical="center" textRotation="90" wrapText="1"/>
    </xf>
    <xf numFmtId="0" fontId="19" fillId="7" borderId="17" xfId="2" applyFont="1" applyFill="1" applyBorder="1" applyAlignment="1">
      <alignment horizontal="center" vertical="center" wrapText="1"/>
    </xf>
    <xf numFmtId="0" fontId="19" fillId="7" borderId="18" xfId="2" applyFont="1" applyFill="1" applyBorder="1" applyAlignment="1">
      <alignment horizontal="center" vertical="center" wrapText="1"/>
    </xf>
    <xf numFmtId="0" fontId="19" fillId="7" borderId="20" xfId="2" applyFont="1" applyFill="1" applyBorder="1" applyAlignment="1">
      <alignment horizontal="center" vertical="center" wrapText="1"/>
    </xf>
    <xf numFmtId="0" fontId="19" fillId="7" borderId="22" xfId="2" applyFont="1" applyFill="1" applyBorder="1" applyAlignment="1">
      <alignment horizontal="center" vertical="center" wrapText="1"/>
    </xf>
    <xf numFmtId="0" fontId="17" fillId="7" borderId="23" xfId="2" applyFont="1" applyFill="1" applyBorder="1" applyAlignment="1">
      <alignment horizontal="center" vertical="center" wrapText="1"/>
    </xf>
    <xf numFmtId="0" fontId="17" fillId="7" borderId="18" xfId="2" applyFont="1" applyFill="1" applyBorder="1" applyAlignment="1">
      <alignment horizontal="center" vertical="center" wrapText="1"/>
    </xf>
    <xf numFmtId="0" fontId="19" fillId="7" borderId="26" xfId="2" applyFont="1" applyFill="1" applyBorder="1" applyAlignment="1">
      <alignment horizontal="center" vertical="center" wrapText="1"/>
    </xf>
    <xf numFmtId="0" fontId="17" fillId="7" borderId="27" xfId="2" applyFont="1" applyFill="1" applyBorder="1" applyAlignment="1">
      <alignment horizontal="center" vertical="center" wrapText="1"/>
    </xf>
    <xf numFmtId="0" fontId="17" fillId="7" borderId="26" xfId="2" applyFont="1" applyFill="1" applyBorder="1" applyAlignment="1">
      <alignment horizontal="center" vertical="center" wrapText="1"/>
    </xf>
    <xf numFmtId="0" fontId="19" fillId="7" borderId="23" xfId="2" applyFont="1" applyFill="1" applyBorder="1" applyAlignment="1">
      <alignment horizontal="center" vertical="center" wrapText="1"/>
    </xf>
    <xf numFmtId="1" fontId="50" fillId="0" borderId="25" xfId="2" applyNumberFormat="1" applyFont="1" applyFill="1" applyBorder="1" applyAlignment="1">
      <alignment horizontal="center" vertical="center" wrapText="1"/>
    </xf>
    <xf numFmtId="1" fontId="50" fillId="0" borderId="22" xfId="2" applyNumberFormat="1" applyFont="1" applyFill="1" applyBorder="1" applyAlignment="1">
      <alignment horizontal="center" vertical="center" wrapText="1"/>
    </xf>
    <xf numFmtId="0" fontId="17" fillId="7" borderId="29" xfId="2" applyFont="1" applyFill="1" applyBorder="1" applyAlignment="1">
      <alignment horizontal="center" vertical="center" wrapText="1"/>
    </xf>
    <xf numFmtId="0" fontId="17" fillId="7" borderId="17" xfId="2" applyFont="1" applyFill="1" applyBorder="1" applyAlignment="1">
      <alignment horizontal="center" vertical="center" wrapText="1"/>
    </xf>
    <xf numFmtId="0" fontId="19" fillId="7" borderId="40" xfId="2" applyFont="1" applyFill="1" applyBorder="1" applyAlignment="1">
      <alignment horizontal="center" vertical="center" wrapText="1"/>
    </xf>
    <xf numFmtId="1" fontId="59" fillId="0" borderId="27" xfId="2" applyNumberFormat="1" applyFont="1" applyFill="1" applyBorder="1" applyAlignment="1">
      <alignment horizontal="center" vertical="center" wrapText="1"/>
    </xf>
    <xf numFmtId="0" fontId="59" fillId="0" borderId="25" xfId="2" applyFont="1" applyFill="1" applyBorder="1" applyAlignment="1">
      <alignment horizontal="center" vertical="center" wrapText="1"/>
    </xf>
    <xf numFmtId="0" fontId="59" fillId="0" borderId="26" xfId="2" applyFont="1" applyFill="1" applyBorder="1" applyAlignment="1">
      <alignment horizontal="center" vertical="center" wrapText="1"/>
    </xf>
    <xf numFmtId="0" fontId="59" fillId="0" borderId="22" xfId="2" applyFont="1" applyFill="1" applyBorder="1" applyAlignment="1">
      <alignment horizontal="center" vertical="center" wrapText="1"/>
    </xf>
    <xf numFmtId="1" fontId="57" fillId="0" borderId="27" xfId="2" applyNumberFormat="1" applyFont="1" applyFill="1" applyBorder="1" applyAlignment="1">
      <alignment horizontal="center" vertical="center" wrapText="1"/>
    </xf>
    <xf numFmtId="1" fontId="57" fillId="0" borderId="25" xfId="2" applyNumberFormat="1" applyFont="1" applyFill="1" applyBorder="1" applyAlignment="1">
      <alignment horizontal="center" vertical="center" wrapText="1"/>
    </xf>
    <xf numFmtId="0" fontId="55" fillId="7" borderId="29" xfId="2" applyFont="1" applyFill="1" applyBorder="1" applyAlignment="1">
      <alignment horizontal="center" vertical="center" wrapText="1"/>
    </xf>
    <xf numFmtId="0" fontId="55" fillId="7" borderId="21" xfId="2" applyFont="1" applyFill="1" applyBorder="1" applyAlignment="1">
      <alignment horizontal="center" vertical="center" wrapText="1"/>
    </xf>
    <xf numFmtId="0" fontId="54" fillId="7" borderId="26" xfId="2" applyFont="1" applyFill="1" applyBorder="1" applyAlignment="1">
      <alignment horizontal="center" vertical="center" wrapText="1"/>
    </xf>
    <xf numFmtId="0" fontId="54" fillId="7" borderId="22" xfId="2" applyFont="1" applyFill="1" applyBorder="1" applyAlignment="1">
      <alignment horizontal="center" vertical="center" wrapText="1"/>
    </xf>
    <xf numFmtId="1" fontId="57" fillId="0" borderId="19" xfId="2" applyNumberFormat="1" applyFont="1" applyFill="1" applyBorder="1" applyAlignment="1">
      <alignment horizontal="center" vertical="center" wrapText="1"/>
    </xf>
    <xf numFmtId="0" fontId="55" fillId="7" borderId="17" xfId="2" applyFont="1" applyFill="1" applyBorder="1" applyAlignment="1">
      <alignment horizontal="center" vertical="center" wrapText="1"/>
    </xf>
    <xf numFmtId="0" fontId="19" fillId="7" borderId="19" xfId="2" applyFont="1" applyFill="1" applyBorder="1" applyAlignment="1">
      <alignment horizontal="center" vertical="center" wrapText="1"/>
    </xf>
    <xf numFmtId="43" fontId="59" fillId="0" borderId="27" xfId="1" applyFont="1" applyFill="1" applyBorder="1" applyAlignment="1">
      <alignment horizontal="center" vertical="center" wrapText="1"/>
    </xf>
    <xf numFmtId="43" fontId="59" fillId="0" borderId="25" xfId="1" applyFont="1" applyFill="1" applyBorder="1" applyAlignment="1">
      <alignment horizontal="center" vertical="center" wrapText="1"/>
    </xf>
    <xf numFmtId="43" fontId="59" fillId="0" borderId="26" xfId="1" applyFont="1" applyFill="1" applyBorder="1" applyAlignment="1">
      <alignment horizontal="center" vertical="center" wrapText="1"/>
    </xf>
    <xf numFmtId="43" fontId="59" fillId="0" borderId="22" xfId="1" applyFont="1" applyFill="1" applyBorder="1" applyAlignment="1">
      <alignment horizontal="center" vertical="center" wrapText="1"/>
    </xf>
    <xf numFmtId="0" fontId="15" fillId="6" borderId="27" xfId="3" applyFont="1" applyFill="1" applyBorder="1" applyAlignment="1" applyProtection="1">
      <alignment horizontal="center"/>
    </xf>
    <xf numFmtId="0" fontId="15" fillId="6" borderId="25" xfId="3" applyFont="1" applyFill="1" applyBorder="1" applyAlignment="1" applyProtection="1">
      <alignment horizontal="center"/>
    </xf>
    <xf numFmtId="0" fontId="0" fillId="0" borderId="0" xfId="0" applyFill="1" applyAlignment="1">
      <alignment horizontal="center"/>
    </xf>
    <xf numFmtId="0" fontId="0" fillId="0" borderId="0" xfId="0" applyFill="1" applyBorder="1"/>
    <xf numFmtId="43" fontId="0" fillId="0" borderId="0" xfId="1" applyFont="1" applyFill="1"/>
    <xf numFmtId="164" fontId="0" fillId="0" borderId="0" xfId="1" applyNumberFormat="1" applyFont="1" applyFill="1"/>
    <xf numFmtId="0" fontId="104" fillId="0" borderId="81" xfId="0" applyFont="1" applyBorder="1" applyAlignment="1">
      <alignment horizontal="center" vertical="center"/>
    </xf>
    <xf numFmtId="0" fontId="104" fillId="0" borderId="82" xfId="0" applyFont="1" applyBorder="1" applyAlignment="1">
      <alignment horizontal="center" vertical="center"/>
    </xf>
    <xf numFmtId="0" fontId="0" fillId="0" borderId="83" xfId="0" applyBorder="1" applyAlignment="1">
      <alignment vertical="top"/>
    </xf>
    <xf numFmtId="0" fontId="104" fillId="0" borderId="83" xfId="0" applyFont="1" applyBorder="1" applyAlignment="1">
      <alignment horizontal="center" vertical="center"/>
    </xf>
    <xf numFmtId="0" fontId="105" fillId="0" borderId="81" xfId="0" applyFont="1" applyBorder="1" applyAlignment="1">
      <alignment horizontal="center" vertical="center"/>
    </xf>
    <xf numFmtId="0" fontId="105" fillId="0" borderId="82" xfId="0" applyFont="1" applyBorder="1" applyAlignment="1">
      <alignment horizontal="center" vertical="center"/>
    </xf>
    <xf numFmtId="0" fontId="110" fillId="0" borderId="81" xfId="0" applyFont="1" applyBorder="1" applyAlignment="1">
      <alignment horizontal="center" vertical="center"/>
    </xf>
    <xf numFmtId="0" fontId="105" fillId="0" borderId="84" xfId="0" applyFont="1" applyBorder="1" applyAlignment="1">
      <alignment horizontal="center" vertical="center"/>
    </xf>
    <xf numFmtId="0" fontId="112" fillId="0" borderId="85" xfId="0" applyFont="1" applyBorder="1" applyAlignment="1">
      <alignment horizontal="center" vertical="center"/>
    </xf>
    <xf numFmtId="0" fontId="113" fillId="0" borderId="85" xfId="0" applyFont="1" applyBorder="1" applyAlignment="1">
      <alignment horizontal="center" vertical="center"/>
    </xf>
    <xf numFmtId="0" fontId="114" fillId="0" borderId="85" xfId="0" applyFont="1" applyBorder="1" applyAlignment="1">
      <alignment horizontal="center" vertical="center"/>
    </xf>
    <xf numFmtId="0" fontId="115" fillId="0" borderId="85" xfId="0" applyFont="1" applyBorder="1" applyAlignment="1">
      <alignment horizontal="center" vertical="center"/>
    </xf>
    <xf numFmtId="0" fontId="116" fillId="0" borderId="85" xfId="0" applyFont="1" applyBorder="1" applyAlignment="1">
      <alignment horizontal="center" vertical="center"/>
    </xf>
    <xf numFmtId="0" fontId="104" fillId="0" borderId="78" xfId="0" applyFont="1" applyBorder="1" applyAlignment="1">
      <alignment horizontal="center" vertical="center"/>
    </xf>
    <xf numFmtId="0" fontId="104" fillId="0" borderId="79" xfId="0" applyFont="1" applyBorder="1" applyAlignment="1">
      <alignment horizontal="center" vertical="center"/>
    </xf>
    <xf numFmtId="0" fontId="104" fillId="0" borderId="80" xfId="0" applyFont="1" applyBorder="1" applyAlignment="1">
      <alignment horizontal="center" vertical="center"/>
    </xf>
    <xf numFmtId="0" fontId="105" fillId="0" borderId="78" xfId="0" applyFont="1" applyBorder="1" applyAlignment="1">
      <alignment horizontal="center" vertical="center"/>
    </xf>
    <xf numFmtId="0" fontId="105" fillId="0" borderId="79" xfId="0" applyFont="1" applyBorder="1" applyAlignment="1">
      <alignment horizontal="center" vertical="center"/>
    </xf>
    <xf numFmtId="0" fontId="105" fillId="0" borderId="80" xfId="0" applyFont="1" applyBorder="1" applyAlignment="1">
      <alignment horizontal="center" vertical="center"/>
    </xf>
    <xf numFmtId="0" fontId="104" fillId="0" borderId="81" xfId="0" applyFont="1" applyFill="1" applyBorder="1" applyAlignment="1">
      <alignment horizontal="center" vertical="center"/>
    </xf>
    <xf numFmtId="0" fontId="104" fillId="0" borderId="82" xfId="0" applyFont="1" applyFill="1" applyBorder="1" applyAlignment="1">
      <alignment horizontal="center" vertical="center"/>
    </xf>
    <xf numFmtId="0" fontId="0" fillId="0" borderId="83" xfId="0" applyFill="1" applyBorder="1" applyAlignment="1">
      <alignment vertical="top"/>
    </xf>
    <xf numFmtId="0" fontId="113" fillId="0" borderId="85" xfId="0" applyFont="1" applyFill="1" applyBorder="1" applyAlignment="1">
      <alignment horizontal="center" vertical="center"/>
    </xf>
    <xf numFmtId="0" fontId="114" fillId="0" borderId="85" xfId="0" applyFont="1" applyFill="1" applyBorder="1" applyAlignment="1">
      <alignment horizontal="center" vertical="center"/>
    </xf>
  </cellXfs>
  <cellStyles count="8">
    <cellStyle name="Comma" xfId="1" builtinId="3"/>
    <cellStyle name="Normal" xfId="0" builtinId="0"/>
    <cellStyle name="Normal 12" xfId="7" xr:uid="{B8D9AAEC-0467-4805-ACD7-6D890617527B}"/>
    <cellStyle name="Normal 2" xfId="2" xr:uid="{7D72EE55-FE70-42DE-8D6E-70835A993102}"/>
    <cellStyle name="Normal 2 2" xfId="5" xr:uid="{98A71363-7F19-4EE5-9B5C-854194F894E2}"/>
    <cellStyle name="Normal 3" xfId="3" xr:uid="{130023C1-48F6-4F49-90FE-26620669C057}"/>
    <cellStyle name="Normal 4" xfId="4" xr:uid="{204A41E3-AF79-4239-8055-633B9FDF77DC}"/>
    <cellStyle name="Normal_VNIC Long Thanh" xfId="6" xr:uid="{EF5B9F93-F60D-4897-8517-82E8182CE3D5}"/>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4.emf"/></Relationships>
</file>

<file path=xl/drawings/_rels/drawing6.xml.rels><?xml version="1.0" encoding="UTF-8" standalone="yes"?>
<Relationships xmlns="http://schemas.openxmlformats.org/package/2006/relationships"><Relationship Id="rId3" Type="http://schemas.openxmlformats.org/officeDocument/2006/relationships/image" Target="../media/image17.png"/><Relationship Id="rId7" Type="http://schemas.openxmlformats.org/officeDocument/2006/relationships/image" Target="../media/image21.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20.png"/><Relationship Id="rId5" Type="http://schemas.openxmlformats.org/officeDocument/2006/relationships/image" Target="../media/image19.png"/><Relationship Id="rId4" Type="http://schemas.openxmlformats.org/officeDocument/2006/relationships/image" Target="../media/image18.png"/></Relationships>
</file>

<file path=xl/drawings/_rels/drawing7.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22.png"/><Relationship Id="rId4" Type="http://schemas.openxmlformats.org/officeDocument/2006/relationships/image" Target="../media/image25.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image" Target="../media/image3.emf"/><Relationship Id="rId7" Type="http://schemas.openxmlformats.org/officeDocument/2006/relationships/image" Target="../media/image5.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8.emf"/><Relationship Id="rId5" Type="http://schemas.openxmlformats.org/officeDocument/2006/relationships/image" Target="../media/image7.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12.emf"/><Relationship Id="rId2" Type="http://schemas.openxmlformats.org/officeDocument/2006/relationships/image" Target="../media/image11.emf"/><Relationship Id="rId1" Type="http://schemas.openxmlformats.org/officeDocument/2006/relationships/image" Target="../media/image10.emf"/><Relationship Id="rId4" Type="http://schemas.openxmlformats.org/officeDocument/2006/relationships/image" Target="../media/image1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29</xdr:row>
          <xdr:rowOff>28575</xdr:rowOff>
        </xdr:from>
        <xdr:to>
          <xdr:col>1</xdr:col>
          <xdr:colOff>723900</xdr:colOff>
          <xdr:row>34</xdr:row>
          <xdr:rowOff>171450</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00000000-0008-0000-0200-000001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1047750</xdr:colOff>
          <xdr:row>34</xdr:row>
          <xdr:rowOff>161925</xdr:rowOff>
        </xdr:from>
        <xdr:to>
          <xdr:col>2</xdr:col>
          <xdr:colOff>409575</xdr:colOff>
          <xdr:row>38</xdr:row>
          <xdr:rowOff>161925</xdr:rowOff>
        </xdr:to>
        <xdr:sp macro="" textlink="">
          <xdr:nvSpPr>
            <xdr:cNvPr id="28674" name="Object 2" hidden="1">
              <a:extLst>
                <a:ext uri="{63B3BB69-23CF-44E3-9099-C40C66FF867C}">
                  <a14:compatExt spid="_x0000_s28674"/>
                </a:ext>
                <a:ext uri="{FF2B5EF4-FFF2-40B4-BE49-F238E27FC236}">
                  <a16:creationId xmlns:a16="http://schemas.microsoft.com/office/drawing/2014/main" id="{00000000-0008-0000-0200-000002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333375</xdr:colOff>
          <xdr:row>38</xdr:row>
          <xdr:rowOff>200025</xdr:rowOff>
        </xdr:from>
        <xdr:to>
          <xdr:col>2</xdr:col>
          <xdr:colOff>542925</xdr:colOff>
          <xdr:row>40</xdr:row>
          <xdr:rowOff>66675</xdr:rowOff>
        </xdr:to>
        <xdr:sp macro="" textlink="">
          <xdr:nvSpPr>
            <xdr:cNvPr id="28675" name="Object 3" hidden="1">
              <a:extLst>
                <a:ext uri="{63B3BB69-23CF-44E3-9099-C40C66FF867C}">
                  <a14:compatExt spid="_x0000_s28675"/>
                </a:ext>
                <a:ext uri="{FF2B5EF4-FFF2-40B4-BE49-F238E27FC236}">
                  <a16:creationId xmlns:a16="http://schemas.microsoft.com/office/drawing/2014/main" id="{00000000-0008-0000-0200-000003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47</xdr:row>
          <xdr:rowOff>85725</xdr:rowOff>
        </xdr:from>
        <xdr:to>
          <xdr:col>1</xdr:col>
          <xdr:colOff>809625</xdr:colOff>
          <xdr:row>53</xdr:row>
          <xdr:rowOff>47625</xdr:rowOff>
        </xdr:to>
        <xdr:sp macro="" textlink="">
          <xdr:nvSpPr>
            <xdr:cNvPr id="28676" name="Object 4" hidden="1">
              <a:extLst>
                <a:ext uri="{63B3BB69-23CF-44E3-9099-C40C66FF867C}">
                  <a14:compatExt spid="_x0000_s28676"/>
                </a:ext>
                <a:ext uri="{FF2B5EF4-FFF2-40B4-BE49-F238E27FC236}">
                  <a16:creationId xmlns:a16="http://schemas.microsoft.com/office/drawing/2014/main" id="{00000000-0008-0000-0200-000004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53</xdr:row>
          <xdr:rowOff>152400</xdr:rowOff>
        </xdr:from>
        <xdr:to>
          <xdr:col>2</xdr:col>
          <xdr:colOff>695325</xdr:colOff>
          <xdr:row>57</xdr:row>
          <xdr:rowOff>152400</xdr:rowOff>
        </xdr:to>
        <xdr:sp macro="" textlink="">
          <xdr:nvSpPr>
            <xdr:cNvPr id="28677" name="Object 5" hidden="1">
              <a:extLst>
                <a:ext uri="{63B3BB69-23CF-44E3-9099-C40C66FF867C}">
                  <a14:compatExt spid="_x0000_s28677"/>
                </a:ext>
                <a:ext uri="{FF2B5EF4-FFF2-40B4-BE49-F238E27FC236}">
                  <a16:creationId xmlns:a16="http://schemas.microsoft.com/office/drawing/2014/main" id="{00000000-0008-0000-0200-000005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xdr:row>
          <xdr:rowOff>38100</xdr:rowOff>
        </xdr:from>
        <xdr:to>
          <xdr:col>3</xdr:col>
          <xdr:colOff>304800</xdr:colOff>
          <xdr:row>44</xdr:row>
          <xdr:rowOff>38100</xdr:rowOff>
        </xdr:to>
        <xdr:sp macro="" textlink="">
          <xdr:nvSpPr>
            <xdr:cNvPr id="28678" name="Object 6" hidden="1">
              <a:extLst>
                <a:ext uri="{63B3BB69-23CF-44E3-9099-C40C66FF867C}">
                  <a14:compatExt spid="_x0000_s28678"/>
                </a:ext>
                <a:ext uri="{FF2B5EF4-FFF2-40B4-BE49-F238E27FC236}">
                  <a16:creationId xmlns:a16="http://schemas.microsoft.com/office/drawing/2014/main" id="{00000000-0008-0000-0200-000006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333375</xdr:colOff>
          <xdr:row>56</xdr:row>
          <xdr:rowOff>200025</xdr:rowOff>
        </xdr:from>
        <xdr:to>
          <xdr:col>2</xdr:col>
          <xdr:colOff>542925</xdr:colOff>
          <xdr:row>58</xdr:row>
          <xdr:rowOff>66675</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200-000007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59</xdr:row>
          <xdr:rowOff>76200</xdr:rowOff>
        </xdr:from>
        <xdr:to>
          <xdr:col>3</xdr:col>
          <xdr:colOff>485775</xdr:colOff>
          <xdr:row>62</xdr:row>
          <xdr:rowOff>123825</xdr:rowOff>
        </xdr:to>
        <xdr:sp macro="" textlink="">
          <xdr:nvSpPr>
            <xdr:cNvPr id="28680" name="Object 8" hidden="1">
              <a:extLst>
                <a:ext uri="{63B3BB69-23CF-44E3-9099-C40C66FF867C}">
                  <a14:compatExt spid="_x0000_s28680"/>
                </a:ext>
                <a:ext uri="{FF2B5EF4-FFF2-40B4-BE49-F238E27FC236}">
                  <a16:creationId xmlns:a16="http://schemas.microsoft.com/office/drawing/2014/main" id="{00000000-0008-0000-0200-000008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35</xdr:row>
          <xdr:rowOff>133350</xdr:rowOff>
        </xdr:from>
        <xdr:to>
          <xdr:col>7</xdr:col>
          <xdr:colOff>19050</xdr:colOff>
          <xdr:row>39</xdr:row>
          <xdr:rowOff>47625</xdr:rowOff>
        </xdr:to>
        <xdr:sp macro="" textlink="">
          <xdr:nvSpPr>
            <xdr:cNvPr id="28681" name="Object 9" hidden="1">
              <a:extLst>
                <a:ext uri="{63B3BB69-23CF-44E3-9099-C40C66FF867C}">
                  <a14:compatExt spid="_x0000_s28681"/>
                </a:ext>
                <a:ext uri="{FF2B5EF4-FFF2-40B4-BE49-F238E27FC236}">
                  <a16:creationId xmlns:a16="http://schemas.microsoft.com/office/drawing/2014/main" id="{00000000-0008-0000-0200-000009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53</xdr:row>
          <xdr:rowOff>133350</xdr:rowOff>
        </xdr:from>
        <xdr:to>
          <xdr:col>7</xdr:col>
          <xdr:colOff>0</xdr:colOff>
          <xdr:row>57</xdr:row>
          <xdr:rowOff>47625</xdr:rowOff>
        </xdr:to>
        <xdr:sp macro="" textlink="">
          <xdr:nvSpPr>
            <xdr:cNvPr id="28682" name="Object 10" hidden="1">
              <a:extLst>
                <a:ext uri="{63B3BB69-23CF-44E3-9099-C40C66FF867C}">
                  <a14:compatExt spid="_x0000_s28682"/>
                </a:ext>
                <a:ext uri="{FF2B5EF4-FFF2-40B4-BE49-F238E27FC236}">
                  <a16:creationId xmlns:a16="http://schemas.microsoft.com/office/drawing/2014/main" id="{00000000-0008-0000-0200-00000A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495300</xdr:colOff>
          <xdr:row>38</xdr:row>
          <xdr:rowOff>85725</xdr:rowOff>
        </xdr:from>
        <xdr:to>
          <xdr:col>1</xdr:col>
          <xdr:colOff>904875</xdr:colOff>
          <xdr:row>43</xdr:row>
          <xdr:rowOff>123825</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0500-000001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44</xdr:row>
          <xdr:rowOff>152400</xdr:rowOff>
        </xdr:from>
        <xdr:to>
          <xdr:col>2</xdr:col>
          <xdr:colOff>466725</xdr:colOff>
          <xdr:row>48</xdr:row>
          <xdr:rowOff>38100</xdr:rowOff>
        </xdr:to>
        <xdr:sp macro="" textlink="">
          <xdr:nvSpPr>
            <xdr:cNvPr id="27650" name="Object 2" hidden="1">
              <a:extLst>
                <a:ext uri="{63B3BB69-23CF-44E3-9099-C40C66FF867C}">
                  <a14:compatExt spid="_x0000_s27650"/>
                </a:ext>
                <a:ext uri="{FF2B5EF4-FFF2-40B4-BE49-F238E27FC236}">
                  <a16:creationId xmlns:a16="http://schemas.microsoft.com/office/drawing/2014/main" id="{00000000-0008-0000-0500-000002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333375</xdr:colOff>
          <xdr:row>47</xdr:row>
          <xdr:rowOff>200025</xdr:rowOff>
        </xdr:from>
        <xdr:to>
          <xdr:col>2</xdr:col>
          <xdr:colOff>542925</xdr:colOff>
          <xdr:row>49</xdr:row>
          <xdr:rowOff>76200</xdr:rowOff>
        </xdr:to>
        <xdr:sp macro="" textlink="">
          <xdr:nvSpPr>
            <xdr:cNvPr id="27651" name="Object 3" hidden="1">
              <a:extLst>
                <a:ext uri="{63B3BB69-23CF-44E3-9099-C40C66FF867C}">
                  <a14:compatExt spid="_x0000_s27651"/>
                </a:ext>
                <a:ext uri="{FF2B5EF4-FFF2-40B4-BE49-F238E27FC236}">
                  <a16:creationId xmlns:a16="http://schemas.microsoft.com/office/drawing/2014/main" id="{00000000-0008-0000-0500-000003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56</xdr:row>
          <xdr:rowOff>85725</xdr:rowOff>
        </xdr:from>
        <xdr:to>
          <xdr:col>1</xdr:col>
          <xdr:colOff>904875</xdr:colOff>
          <xdr:row>61</xdr:row>
          <xdr:rowOff>123825</xdr:rowOff>
        </xdr:to>
        <xdr:sp macro="" textlink="">
          <xdr:nvSpPr>
            <xdr:cNvPr id="27652" name="Object 4" hidden="1">
              <a:extLst>
                <a:ext uri="{63B3BB69-23CF-44E3-9099-C40C66FF867C}">
                  <a14:compatExt spid="_x0000_s27652"/>
                </a:ext>
                <a:ext uri="{FF2B5EF4-FFF2-40B4-BE49-F238E27FC236}">
                  <a16:creationId xmlns:a16="http://schemas.microsoft.com/office/drawing/2014/main" id="{00000000-0008-0000-0500-000004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62</xdr:row>
          <xdr:rowOff>152400</xdr:rowOff>
        </xdr:from>
        <xdr:to>
          <xdr:col>2</xdr:col>
          <xdr:colOff>466725</xdr:colOff>
          <xdr:row>66</xdr:row>
          <xdr:rowOff>38100</xdr:rowOff>
        </xdr:to>
        <xdr:sp macro="" textlink="">
          <xdr:nvSpPr>
            <xdr:cNvPr id="27653" name="Object 5" hidden="1">
              <a:extLst>
                <a:ext uri="{63B3BB69-23CF-44E3-9099-C40C66FF867C}">
                  <a14:compatExt spid="_x0000_s27653"/>
                </a:ext>
                <a:ext uri="{FF2B5EF4-FFF2-40B4-BE49-F238E27FC236}">
                  <a16:creationId xmlns:a16="http://schemas.microsoft.com/office/drawing/2014/main" id="{00000000-0008-0000-0500-000005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74</xdr:row>
          <xdr:rowOff>85725</xdr:rowOff>
        </xdr:from>
        <xdr:to>
          <xdr:col>1</xdr:col>
          <xdr:colOff>904875</xdr:colOff>
          <xdr:row>79</xdr:row>
          <xdr:rowOff>123825</xdr:rowOff>
        </xdr:to>
        <xdr:sp macro="" textlink="">
          <xdr:nvSpPr>
            <xdr:cNvPr id="27654" name="Object 6" hidden="1">
              <a:extLst>
                <a:ext uri="{63B3BB69-23CF-44E3-9099-C40C66FF867C}">
                  <a14:compatExt spid="_x0000_s27654"/>
                </a:ext>
                <a:ext uri="{FF2B5EF4-FFF2-40B4-BE49-F238E27FC236}">
                  <a16:creationId xmlns:a16="http://schemas.microsoft.com/office/drawing/2014/main" id="{00000000-0008-0000-0500-000006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80</xdr:row>
          <xdr:rowOff>152400</xdr:rowOff>
        </xdr:from>
        <xdr:to>
          <xdr:col>2</xdr:col>
          <xdr:colOff>466725</xdr:colOff>
          <xdr:row>84</xdr:row>
          <xdr:rowOff>38100</xdr:rowOff>
        </xdr:to>
        <xdr:sp macro="" textlink="">
          <xdr:nvSpPr>
            <xdr:cNvPr id="27655" name="Object 7" hidden="1">
              <a:extLst>
                <a:ext uri="{63B3BB69-23CF-44E3-9099-C40C66FF867C}">
                  <a14:compatExt spid="_x0000_s27655"/>
                </a:ext>
                <a:ext uri="{FF2B5EF4-FFF2-40B4-BE49-F238E27FC236}">
                  <a16:creationId xmlns:a16="http://schemas.microsoft.com/office/drawing/2014/main" id="{00000000-0008-0000-0500-000007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92</xdr:row>
          <xdr:rowOff>85725</xdr:rowOff>
        </xdr:from>
        <xdr:to>
          <xdr:col>1</xdr:col>
          <xdr:colOff>904875</xdr:colOff>
          <xdr:row>97</xdr:row>
          <xdr:rowOff>123825</xdr:rowOff>
        </xdr:to>
        <xdr:sp macro="" textlink="">
          <xdr:nvSpPr>
            <xdr:cNvPr id="27656" name="Object 8" hidden="1">
              <a:extLst>
                <a:ext uri="{63B3BB69-23CF-44E3-9099-C40C66FF867C}">
                  <a14:compatExt spid="_x0000_s27656"/>
                </a:ext>
                <a:ext uri="{FF2B5EF4-FFF2-40B4-BE49-F238E27FC236}">
                  <a16:creationId xmlns:a16="http://schemas.microsoft.com/office/drawing/2014/main" id="{00000000-0008-0000-0500-000008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98</xdr:row>
          <xdr:rowOff>152400</xdr:rowOff>
        </xdr:from>
        <xdr:to>
          <xdr:col>2</xdr:col>
          <xdr:colOff>466725</xdr:colOff>
          <xdr:row>102</xdr:row>
          <xdr:rowOff>38100</xdr:rowOff>
        </xdr:to>
        <xdr:sp macro="" textlink="">
          <xdr:nvSpPr>
            <xdr:cNvPr id="27657" name="Object 9" hidden="1">
              <a:extLst>
                <a:ext uri="{63B3BB69-23CF-44E3-9099-C40C66FF867C}">
                  <a14:compatExt spid="_x0000_s27657"/>
                </a:ext>
                <a:ext uri="{FF2B5EF4-FFF2-40B4-BE49-F238E27FC236}">
                  <a16:creationId xmlns:a16="http://schemas.microsoft.com/office/drawing/2014/main" id="{00000000-0008-0000-0500-000009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50</xdr:row>
          <xdr:rowOff>66675</xdr:rowOff>
        </xdr:from>
        <xdr:to>
          <xdr:col>3</xdr:col>
          <xdr:colOff>466725</xdr:colOff>
          <xdr:row>53</xdr:row>
          <xdr:rowOff>76200</xdr:rowOff>
        </xdr:to>
        <xdr:sp macro="" textlink="">
          <xdr:nvSpPr>
            <xdr:cNvPr id="27658" name="Object 10" hidden="1">
              <a:extLst>
                <a:ext uri="{63B3BB69-23CF-44E3-9099-C40C66FF867C}">
                  <a14:compatExt spid="_x0000_s27658"/>
                </a:ext>
                <a:ext uri="{FF2B5EF4-FFF2-40B4-BE49-F238E27FC236}">
                  <a16:creationId xmlns:a16="http://schemas.microsoft.com/office/drawing/2014/main" id="{00000000-0008-0000-0500-00000A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333375</xdr:colOff>
          <xdr:row>65</xdr:row>
          <xdr:rowOff>200025</xdr:rowOff>
        </xdr:from>
        <xdr:to>
          <xdr:col>2</xdr:col>
          <xdr:colOff>542925</xdr:colOff>
          <xdr:row>67</xdr:row>
          <xdr:rowOff>76200</xdr:rowOff>
        </xdr:to>
        <xdr:sp macro="" textlink="">
          <xdr:nvSpPr>
            <xdr:cNvPr id="27659" name="Object 11" hidden="1">
              <a:extLst>
                <a:ext uri="{63B3BB69-23CF-44E3-9099-C40C66FF867C}">
                  <a14:compatExt spid="_x0000_s27659"/>
                </a:ext>
                <a:ext uri="{FF2B5EF4-FFF2-40B4-BE49-F238E27FC236}">
                  <a16:creationId xmlns:a16="http://schemas.microsoft.com/office/drawing/2014/main" id="{00000000-0008-0000-0500-00000B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68</xdr:row>
          <xdr:rowOff>76200</xdr:rowOff>
        </xdr:from>
        <xdr:to>
          <xdr:col>3</xdr:col>
          <xdr:colOff>457200</xdr:colOff>
          <xdr:row>71</xdr:row>
          <xdr:rowOff>85725</xdr:rowOff>
        </xdr:to>
        <xdr:sp macro="" textlink="">
          <xdr:nvSpPr>
            <xdr:cNvPr id="27660" name="Object 12" hidden="1">
              <a:extLst>
                <a:ext uri="{63B3BB69-23CF-44E3-9099-C40C66FF867C}">
                  <a14:compatExt spid="_x0000_s27660"/>
                </a:ext>
                <a:ext uri="{FF2B5EF4-FFF2-40B4-BE49-F238E27FC236}">
                  <a16:creationId xmlns:a16="http://schemas.microsoft.com/office/drawing/2014/main" id="{00000000-0008-0000-0500-00000C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333375</xdr:colOff>
          <xdr:row>83</xdr:row>
          <xdr:rowOff>200025</xdr:rowOff>
        </xdr:from>
        <xdr:to>
          <xdr:col>2</xdr:col>
          <xdr:colOff>542925</xdr:colOff>
          <xdr:row>85</xdr:row>
          <xdr:rowOff>76200</xdr:rowOff>
        </xdr:to>
        <xdr:sp macro="" textlink="">
          <xdr:nvSpPr>
            <xdr:cNvPr id="27661" name="Object 13" hidden="1">
              <a:extLst>
                <a:ext uri="{63B3BB69-23CF-44E3-9099-C40C66FF867C}">
                  <a14:compatExt spid="_x0000_s27661"/>
                </a:ext>
                <a:ext uri="{FF2B5EF4-FFF2-40B4-BE49-F238E27FC236}">
                  <a16:creationId xmlns:a16="http://schemas.microsoft.com/office/drawing/2014/main" id="{00000000-0008-0000-0500-00000D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86</xdr:row>
          <xdr:rowOff>76200</xdr:rowOff>
        </xdr:from>
        <xdr:to>
          <xdr:col>3</xdr:col>
          <xdr:colOff>457200</xdr:colOff>
          <xdr:row>89</xdr:row>
          <xdr:rowOff>85725</xdr:rowOff>
        </xdr:to>
        <xdr:sp macro="" textlink="">
          <xdr:nvSpPr>
            <xdr:cNvPr id="27662" name="Object 14" hidden="1">
              <a:extLst>
                <a:ext uri="{63B3BB69-23CF-44E3-9099-C40C66FF867C}">
                  <a14:compatExt spid="_x0000_s27662"/>
                </a:ext>
                <a:ext uri="{FF2B5EF4-FFF2-40B4-BE49-F238E27FC236}">
                  <a16:creationId xmlns:a16="http://schemas.microsoft.com/office/drawing/2014/main" id="{00000000-0008-0000-0500-00000E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333375</xdr:colOff>
          <xdr:row>101</xdr:row>
          <xdr:rowOff>200025</xdr:rowOff>
        </xdr:from>
        <xdr:to>
          <xdr:col>2</xdr:col>
          <xdr:colOff>542925</xdr:colOff>
          <xdr:row>103</xdr:row>
          <xdr:rowOff>76200</xdr:rowOff>
        </xdr:to>
        <xdr:sp macro="" textlink="">
          <xdr:nvSpPr>
            <xdr:cNvPr id="27663" name="Object 15" hidden="1">
              <a:extLst>
                <a:ext uri="{63B3BB69-23CF-44E3-9099-C40C66FF867C}">
                  <a14:compatExt spid="_x0000_s27663"/>
                </a:ext>
                <a:ext uri="{FF2B5EF4-FFF2-40B4-BE49-F238E27FC236}">
                  <a16:creationId xmlns:a16="http://schemas.microsoft.com/office/drawing/2014/main" id="{00000000-0008-0000-0500-00000F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104</xdr:row>
          <xdr:rowOff>76200</xdr:rowOff>
        </xdr:from>
        <xdr:to>
          <xdr:col>3</xdr:col>
          <xdr:colOff>457200</xdr:colOff>
          <xdr:row>107</xdr:row>
          <xdr:rowOff>85725</xdr:rowOff>
        </xdr:to>
        <xdr:sp macro="" textlink="">
          <xdr:nvSpPr>
            <xdr:cNvPr id="27664" name="Object 16" hidden="1">
              <a:extLst>
                <a:ext uri="{63B3BB69-23CF-44E3-9099-C40C66FF867C}">
                  <a14:compatExt spid="_x0000_s27664"/>
                </a:ext>
                <a:ext uri="{FF2B5EF4-FFF2-40B4-BE49-F238E27FC236}">
                  <a16:creationId xmlns:a16="http://schemas.microsoft.com/office/drawing/2014/main" id="{00000000-0008-0000-0500-000010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44</xdr:row>
          <xdr:rowOff>133350</xdr:rowOff>
        </xdr:from>
        <xdr:to>
          <xdr:col>6</xdr:col>
          <xdr:colOff>542925</xdr:colOff>
          <xdr:row>47</xdr:row>
          <xdr:rowOff>142875</xdr:rowOff>
        </xdr:to>
        <xdr:sp macro="" textlink="">
          <xdr:nvSpPr>
            <xdr:cNvPr id="27665" name="Object 17" hidden="1">
              <a:extLst>
                <a:ext uri="{63B3BB69-23CF-44E3-9099-C40C66FF867C}">
                  <a14:compatExt spid="_x0000_s27665"/>
                </a:ext>
                <a:ext uri="{FF2B5EF4-FFF2-40B4-BE49-F238E27FC236}">
                  <a16:creationId xmlns:a16="http://schemas.microsoft.com/office/drawing/2014/main" id="{00000000-0008-0000-0500-000011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62</xdr:row>
          <xdr:rowOff>133350</xdr:rowOff>
        </xdr:from>
        <xdr:to>
          <xdr:col>6</xdr:col>
          <xdr:colOff>542925</xdr:colOff>
          <xdr:row>65</xdr:row>
          <xdr:rowOff>142875</xdr:rowOff>
        </xdr:to>
        <xdr:sp macro="" textlink="">
          <xdr:nvSpPr>
            <xdr:cNvPr id="27666" name="Object 18" hidden="1">
              <a:extLst>
                <a:ext uri="{63B3BB69-23CF-44E3-9099-C40C66FF867C}">
                  <a14:compatExt spid="_x0000_s27666"/>
                </a:ext>
                <a:ext uri="{FF2B5EF4-FFF2-40B4-BE49-F238E27FC236}">
                  <a16:creationId xmlns:a16="http://schemas.microsoft.com/office/drawing/2014/main" id="{00000000-0008-0000-0500-000012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80</xdr:row>
          <xdr:rowOff>133350</xdr:rowOff>
        </xdr:from>
        <xdr:to>
          <xdr:col>6</xdr:col>
          <xdr:colOff>542925</xdr:colOff>
          <xdr:row>83</xdr:row>
          <xdr:rowOff>142875</xdr:rowOff>
        </xdr:to>
        <xdr:sp macro="" textlink="">
          <xdr:nvSpPr>
            <xdr:cNvPr id="27667" name="Object 19" hidden="1">
              <a:extLst>
                <a:ext uri="{63B3BB69-23CF-44E3-9099-C40C66FF867C}">
                  <a14:compatExt spid="_x0000_s27667"/>
                </a:ext>
                <a:ext uri="{FF2B5EF4-FFF2-40B4-BE49-F238E27FC236}">
                  <a16:creationId xmlns:a16="http://schemas.microsoft.com/office/drawing/2014/main" id="{00000000-0008-0000-0500-000013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98</xdr:row>
          <xdr:rowOff>133350</xdr:rowOff>
        </xdr:from>
        <xdr:to>
          <xdr:col>6</xdr:col>
          <xdr:colOff>542925</xdr:colOff>
          <xdr:row>101</xdr:row>
          <xdr:rowOff>142875</xdr:rowOff>
        </xdr:to>
        <xdr:sp macro="" textlink="">
          <xdr:nvSpPr>
            <xdr:cNvPr id="27668" name="Object 20" hidden="1">
              <a:extLst>
                <a:ext uri="{63B3BB69-23CF-44E3-9099-C40C66FF867C}">
                  <a14:compatExt spid="_x0000_s27668"/>
                </a:ext>
                <a:ext uri="{FF2B5EF4-FFF2-40B4-BE49-F238E27FC236}">
                  <a16:creationId xmlns:a16="http://schemas.microsoft.com/office/drawing/2014/main" id="{00000000-0008-0000-0500-000014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6</xdr:col>
      <xdr:colOff>142875</xdr:colOff>
      <xdr:row>6</xdr:row>
      <xdr:rowOff>28575</xdr:rowOff>
    </xdr:from>
    <xdr:to>
      <xdr:col>6</xdr:col>
      <xdr:colOff>438150</xdr:colOff>
      <xdr:row>9</xdr:row>
      <xdr:rowOff>160052</xdr:rowOff>
    </xdr:to>
    <xdr:sp macro="" textlink="">
      <xdr:nvSpPr>
        <xdr:cNvPr id="2" name="Text Box 2">
          <a:extLst>
            <a:ext uri="{FF2B5EF4-FFF2-40B4-BE49-F238E27FC236}">
              <a16:creationId xmlns:a16="http://schemas.microsoft.com/office/drawing/2014/main" id="{00000000-0008-0000-0700-000002000000}"/>
            </a:ext>
          </a:extLst>
        </xdr:cNvPr>
        <xdr:cNvSpPr txBox="1">
          <a:spLocks noChangeArrowheads="1"/>
        </xdr:cNvSpPr>
      </xdr:nvSpPr>
      <xdr:spPr bwMode="auto">
        <a:xfrm>
          <a:off x="3190875" y="1219200"/>
          <a:ext cx="295275" cy="807752"/>
        </a:xfrm>
        <a:prstGeom prst="rect">
          <a:avLst/>
        </a:prstGeom>
        <a:solidFill>
          <a:srgbClr val="99CCFF"/>
        </a:solidFill>
        <a:ln w="9525">
          <a:noFill/>
          <a:miter lim="800000"/>
          <a:headEnd/>
          <a:tailEnd/>
        </a:ln>
      </xdr:spPr>
      <xdr:txBody>
        <a:bodyPr vertOverflow="clip" vert="vert270" wrap="square" lIns="36576" tIns="27432" rIns="0" bIns="0" anchor="t" upright="1"/>
        <a:lstStyle/>
        <a:p>
          <a:pPr algn="r" rtl="0">
            <a:defRPr sz="1000"/>
          </a:pPr>
          <a:r>
            <a:rPr lang="en-US" sz="1200" b="0" i="0" strike="noStrike">
              <a:solidFill>
                <a:srgbClr val="000000"/>
              </a:solidFill>
              <a:latin typeface="Symbol"/>
            </a:rPr>
            <a:t>a</a:t>
          </a:r>
          <a:r>
            <a:rPr lang="en-US" sz="1100" b="0" i="0" strike="noStrike">
              <a:solidFill>
                <a:srgbClr val="000000"/>
              </a:solidFill>
              <a:latin typeface="VNtimes new roman"/>
            </a:rPr>
            <a:t> = L</a:t>
          </a:r>
          <a:r>
            <a:rPr lang="en-US" sz="900" b="0" i="0" strike="noStrike">
              <a:solidFill>
                <a:srgbClr val="000000"/>
              </a:solidFill>
              <a:latin typeface="VNtimes new roman"/>
            </a:rPr>
            <a:t>2</a:t>
          </a:r>
          <a:r>
            <a:rPr lang="en-US" sz="1400" b="0" i="0" strike="noStrike">
              <a:solidFill>
                <a:srgbClr val="000000"/>
              </a:solidFill>
              <a:latin typeface="VNtimes new roman"/>
            </a:rPr>
            <a:t>/</a:t>
          </a:r>
          <a:r>
            <a:rPr lang="en-US" sz="1100" b="0" i="0" strike="noStrike">
              <a:solidFill>
                <a:srgbClr val="000000"/>
              </a:solidFill>
              <a:latin typeface="VNtimes new roman"/>
            </a:rPr>
            <a:t>L</a:t>
          </a:r>
          <a:r>
            <a:rPr lang="en-US" sz="900" b="0" i="0" strike="noStrike">
              <a:solidFill>
                <a:srgbClr val="000000"/>
              </a:solidFill>
              <a:latin typeface="VNtimes new roman"/>
            </a:rPr>
            <a:t>1</a:t>
          </a:r>
        </a:p>
      </xdr:txBody>
    </xdr:sp>
    <xdr:clientData/>
  </xdr:twoCellAnchor>
  <xdr:twoCellAnchor editAs="oneCell">
    <xdr:from>
      <xdr:col>10</xdr:col>
      <xdr:colOff>171450</xdr:colOff>
      <xdr:row>5</xdr:row>
      <xdr:rowOff>19050</xdr:rowOff>
    </xdr:from>
    <xdr:to>
      <xdr:col>10</xdr:col>
      <xdr:colOff>491490</xdr:colOff>
      <xdr:row>9</xdr:row>
      <xdr:rowOff>209550</xdr:rowOff>
    </xdr:to>
    <xdr:sp macro="" textlink="">
      <xdr:nvSpPr>
        <xdr:cNvPr id="5" name="Text Box 1">
          <a:extLst>
            <a:ext uri="{FF2B5EF4-FFF2-40B4-BE49-F238E27FC236}">
              <a16:creationId xmlns:a16="http://schemas.microsoft.com/office/drawing/2014/main" id="{00000000-0008-0000-0700-000005000000}"/>
            </a:ext>
          </a:extLst>
        </xdr:cNvPr>
        <xdr:cNvSpPr txBox="1">
          <a:spLocks noChangeArrowheads="1"/>
        </xdr:cNvSpPr>
      </xdr:nvSpPr>
      <xdr:spPr bwMode="auto">
        <a:xfrm>
          <a:off x="5657850" y="990600"/>
          <a:ext cx="320040" cy="1085850"/>
        </a:xfrm>
        <a:prstGeom prst="rect">
          <a:avLst/>
        </a:prstGeom>
        <a:solidFill>
          <a:srgbClr val="99CCFF"/>
        </a:solidFill>
        <a:ln w="9525">
          <a:noFill/>
          <a:miter lim="800000"/>
          <a:headEnd/>
          <a:tailEnd/>
        </a:ln>
      </xdr:spPr>
      <xdr:txBody>
        <a:bodyPr vertOverflow="clip" vert="vert270" wrap="square" lIns="36576" tIns="36576" rIns="0" bIns="36576" anchor="t" upright="1"/>
        <a:lstStyle/>
        <a:p>
          <a:pPr algn="ctr" rtl="0">
            <a:defRPr sz="1000"/>
          </a:pPr>
          <a:r>
            <a:rPr lang="en-US" sz="1100" b="0" i="0" strike="noStrike">
              <a:solidFill>
                <a:srgbClr val="000000"/>
              </a:solidFill>
              <a:latin typeface="VNtimes new roman"/>
            </a:rPr>
            <a:t>P=(p</a:t>
          </a:r>
          <a:r>
            <a:rPr lang="en-US" sz="900" b="0" i="0" strike="noStrike">
              <a:solidFill>
                <a:srgbClr val="000000"/>
              </a:solidFill>
              <a:latin typeface="VNtimes new roman"/>
            </a:rPr>
            <a:t>tt</a:t>
          </a:r>
          <a:r>
            <a:rPr lang="en-US" sz="1100" b="0" i="0" strike="noStrike">
              <a:solidFill>
                <a:srgbClr val="000000"/>
              </a:solidFill>
              <a:latin typeface="VNtimes new roman"/>
            </a:rPr>
            <a:t>+g</a:t>
          </a:r>
          <a:r>
            <a:rPr lang="en-US" sz="900" b="0" i="0" strike="noStrike">
              <a:solidFill>
                <a:srgbClr val="000000"/>
              </a:solidFill>
              <a:latin typeface="VNtimes new roman"/>
            </a:rPr>
            <a:t>tt</a:t>
          </a:r>
          <a:r>
            <a:rPr lang="en-US" sz="1100" b="0" i="0" strike="noStrike">
              <a:solidFill>
                <a:srgbClr val="000000"/>
              </a:solidFill>
              <a:latin typeface="VNtimes new roman"/>
            </a:rPr>
            <a:t>).L</a:t>
          </a:r>
          <a:r>
            <a:rPr lang="en-US" sz="900" b="0" i="0" strike="noStrike">
              <a:solidFill>
                <a:srgbClr val="000000"/>
              </a:solidFill>
              <a:latin typeface="VNtimes new roman"/>
            </a:rPr>
            <a:t>1</a:t>
          </a:r>
          <a:r>
            <a:rPr lang="en-US" sz="1100" b="0" i="0" strike="noStrike">
              <a:solidFill>
                <a:srgbClr val="000000"/>
              </a:solidFill>
              <a:latin typeface="VNtimes new roman"/>
            </a:rPr>
            <a:t>.L</a:t>
          </a:r>
          <a:r>
            <a:rPr lang="en-US" sz="900" b="0" i="0" strike="noStrike">
              <a:solidFill>
                <a:srgbClr val="000000"/>
              </a:solidFill>
              <a:latin typeface="VNtimes new roman"/>
            </a:rPr>
            <a:t>2</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885825</xdr:colOff>
      <xdr:row>76</xdr:row>
      <xdr:rowOff>171450</xdr:rowOff>
    </xdr:from>
    <xdr:to>
      <xdr:col>11</xdr:col>
      <xdr:colOff>581025</xdr:colOff>
      <xdr:row>105</xdr:row>
      <xdr:rowOff>150159</xdr:rowOff>
    </xdr:to>
    <xdr:pic>
      <xdr:nvPicPr>
        <xdr:cNvPr id="2" name="Picture 6">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17916525"/>
          <a:ext cx="6677025" cy="615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533400</xdr:colOff>
      <xdr:row>0</xdr:row>
      <xdr:rowOff>114300</xdr:rowOff>
    </xdr:from>
    <xdr:to>
      <xdr:col>14</xdr:col>
      <xdr:colOff>352425</xdr:colOff>
      <xdr:row>35</xdr:row>
      <xdr:rowOff>19050</xdr:rowOff>
    </xdr:to>
    <xdr:pic>
      <xdr:nvPicPr>
        <xdr:cNvPr id="2" name="Picture 23">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114300"/>
          <a:ext cx="8353425" cy="6572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12</xdr:col>
          <xdr:colOff>476250</xdr:colOff>
          <xdr:row>3</xdr:row>
          <xdr:rowOff>200025</xdr:rowOff>
        </xdr:from>
        <xdr:to>
          <xdr:col>14</xdr:col>
          <xdr:colOff>371475</xdr:colOff>
          <xdr:row>5</xdr:row>
          <xdr:rowOff>66675</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0A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9525</xdr:colOff>
          <xdr:row>5</xdr:row>
          <xdr:rowOff>219075</xdr:rowOff>
        </xdr:from>
        <xdr:to>
          <xdr:col>17</xdr:col>
          <xdr:colOff>276225</xdr:colOff>
          <xdr:row>16</xdr:row>
          <xdr:rowOff>85725</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0A00-000002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xdr:col>
          <xdr:colOff>228600</xdr:colOff>
          <xdr:row>15</xdr:row>
          <xdr:rowOff>190500</xdr:rowOff>
        </xdr:from>
        <xdr:to>
          <xdr:col>12</xdr:col>
          <xdr:colOff>685800</xdr:colOff>
          <xdr:row>17</xdr:row>
          <xdr:rowOff>28575</xdr:rowOff>
        </xdr:to>
        <xdr:sp macro="" textlink="">
          <xdr:nvSpPr>
            <xdr:cNvPr id="26627" name="Object 3" hidden="1">
              <a:extLst>
                <a:ext uri="{63B3BB69-23CF-44E3-9099-C40C66FF867C}">
                  <a14:compatExt spid="_x0000_s26627"/>
                </a:ext>
                <a:ext uri="{FF2B5EF4-FFF2-40B4-BE49-F238E27FC236}">
                  <a16:creationId xmlns:a16="http://schemas.microsoft.com/office/drawing/2014/main" id="{00000000-0008-0000-0A00-000003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200025</xdr:colOff>
          <xdr:row>15</xdr:row>
          <xdr:rowOff>200025</xdr:rowOff>
        </xdr:from>
        <xdr:to>
          <xdr:col>13</xdr:col>
          <xdr:colOff>657225</xdr:colOff>
          <xdr:row>17</xdr:row>
          <xdr:rowOff>38100</xdr:rowOff>
        </xdr:to>
        <xdr:sp macro="" textlink="">
          <xdr:nvSpPr>
            <xdr:cNvPr id="26628" name="Object 4" hidden="1">
              <a:extLst>
                <a:ext uri="{63B3BB69-23CF-44E3-9099-C40C66FF867C}">
                  <a14:compatExt spid="_x0000_s26628"/>
                </a:ext>
                <a:ext uri="{FF2B5EF4-FFF2-40B4-BE49-F238E27FC236}">
                  <a16:creationId xmlns:a16="http://schemas.microsoft.com/office/drawing/2014/main" id="{00000000-0008-0000-0A00-000004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238125</xdr:colOff>
          <xdr:row>15</xdr:row>
          <xdr:rowOff>209550</xdr:rowOff>
        </xdr:from>
        <xdr:to>
          <xdr:col>14</xdr:col>
          <xdr:colOff>695325</xdr:colOff>
          <xdr:row>17</xdr:row>
          <xdr:rowOff>47625</xdr:rowOff>
        </xdr:to>
        <xdr:sp macro="" textlink="">
          <xdr:nvSpPr>
            <xdr:cNvPr id="26629" name="Object 5" hidden="1">
              <a:extLst>
                <a:ext uri="{63B3BB69-23CF-44E3-9099-C40C66FF867C}">
                  <a14:compatExt spid="_x0000_s26629"/>
                </a:ext>
                <a:ext uri="{FF2B5EF4-FFF2-40B4-BE49-F238E27FC236}">
                  <a16:creationId xmlns:a16="http://schemas.microsoft.com/office/drawing/2014/main" id="{00000000-0008-0000-0A00-000005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209550</xdr:colOff>
          <xdr:row>15</xdr:row>
          <xdr:rowOff>219075</xdr:rowOff>
        </xdr:from>
        <xdr:to>
          <xdr:col>15</xdr:col>
          <xdr:colOff>666750</xdr:colOff>
          <xdr:row>17</xdr:row>
          <xdr:rowOff>57150</xdr:rowOff>
        </xdr:to>
        <xdr:sp macro="" textlink="">
          <xdr:nvSpPr>
            <xdr:cNvPr id="26630" name="Object 6" hidden="1">
              <a:extLst>
                <a:ext uri="{63B3BB69-23CF-44E3-9099-C40C66FF867C}">
                  <a14:compatExt spid="_x0000_s26630"/>
                </a:ext>
                <a:ext uri="{FF2B5EF4-FFF2-40B4-BE49-F238E27FC236}">
                  <a16:creationId xmlns:a16="http://schemas.microsoft.com/office/drawing/2014/main" id="{00000000-0008-0000-0A00-000006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16</xdr:col>
          <xdr:colOff>209550</xdr:colOff>
          <xdr:row>15</xdr:row>
          <xdr:rowOff>200025</xdr:rowOff>
        </xdr:from>
        <xdr:to>
          <xdr:col>16</xdr:col>
          <xdr:colOff>666750</xdr:colOff>
          <xdr:row>17</xdr:row>
          <xdr:rowOff>38100</xdr:rowOff>
        </xdr:to>
        <xdr:sp macro="" textlink="">
          <xdr:nvSpPr>
            <xdr:cNvPr id="26631" name="Object 7" hidden="1">
              <a:extLst>
                <a:ext uri="{63B3BB69-23CF-44E3-9099-C40C66FF867C}">
                  <a14:compatExt spid="_x0000_s26631"/>
                </a:ext>
                <a:ext uri="{FF2B5EF4-FFF2-40B4-BE49-F238E27FC236}">
                  <a16:creationId xmlns:a16="http://schemas.microsoft.com/office/drawing/2014/main" id="{00000000-0008-0000-0A00-000007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17</xdr:col>
          <xdr:colOff>180975</xdr:colOff>
          <xdr:row>15</xdr:row>
          <xdr:rowOff>209550</xdr:rowOff>
        </xdr:from>
        <xdr:to>
          <xdr:col>17</xdr:col>
          <xdr:colOff>638175</xdr:colOff>
          <xdr:row>17</xdr:row>
          <xdr:rowOff>47625</xdr:rowOff>
        </xdr:to>
        <xdr:sp macro="" textlink="">
          <xdr:nvSpPr>
            <xdr:cNvPr id="26632" name="Object 8" hidden="1">
              <a:extLst>
                <a:ext uri="{63B3BB69-23CF-44E3-9099-C40C66FF867C}">
                  <a14:compatExt spid="_x0000_s26632"/>
                </a:ext>
                <a:ext uri="{FF2B5EF4-FFF2-40B4-BE49-F238E27FC236}">
                  <a16:creationId xmlns:a16="http://schemas.microsoft.com/office/drawing/2014/main" id="{00000000-0008-0000-0A00-000008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18</xdr:col>
          <xdr:colOff>219075</xdr:colOff>
          <xdr:row>15</xdr:row>
          <xdr:rowOff>190500</xdr:rowOff>
        </xdr:from>
        <xdr:to>
          <xdr:col>18</xdr:col>
          <xdr:colOff>676275</xdr:colOff>
          <xdr:row>17</xdr:row>
          <xdr:rowOff>28575</xdr:rowOff>
        </xdr:to>
        <xdr:sp macro="" textlink="">
          <xdr:nvSpPr>
            <xdr:cNvPr id="26633" name="Object 9" hidden="1">
              <a:extLst>
                <a:ext uri="{63B3BB69-23CF-44E3-9099-C40C66FF867C}">
                  <a14:compatExt spid="_x0000_s26633"/>
                </a:ext>
                <a:ext uri="{FF2B5EF4-FFF2-40B4-BE49-F238E27FC236}">
                  <a16:creationId xmlns:a16="http://schemas.microsoft.com/office/drawing/2014/main" id="{00000000-0008-0000-0A00-000009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190500</xdr:colOff>
          <xdr:row>15</xdr:row>
          <xdr:rowOff>200025</xdr:rowOff>
        </xdr:from>
        <xdr:to>
          <xdr:col>19</xdr:col>
          <xdr:colOff>647700</xdr:colOff>
          <xdr:row>17</xdr:row>
          <xdr:rowOff>38100</xdr:rowOff>
        </xdr:to>
        <xdr:sp macro="" textlink="">
          <xdr:nvSpPr>
            <xdr:cNvPr id="26634" name="Object 10" hidden="1">
              <a:extLst>
                <a:ext uri="{63B3BB69-23CF-44E3-9099-C40C66FF867C}">
                  <a14:compatExt spid="_x0000_s26634"/>
                </a:ext>
                <a:ext uri="{FF2B5EF4-FFF2-40B4-BE49-F238E27FC236}">
                  <a16:creationId xmlns:a16="http://schemas.microsoft.com/office/drawing/2014/main" id="{00000000-0008-0000-0A00-00000A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2276475</xdr:colOff>
      <xdr:row>0</xdr:row>
      <xdr:rowOff>9525</xdr:rowOff>
    </xdr:from>
    <xdr:to>
      <xdr:col>1</xdr:col>
      <xdr:colOff>133350</xdr:colOff>
      <xdr:row>1</xdr:row>
      <xdr:rowOff>47625</xdr:rowOff>
    </xdr:to>
    <xdr:pic>
      <xdr:nvPicPr>
        <xdr:cNvPr id="14" name="Picture 13">
          <a:extLst>
            <a:ext uri="{FF2B5EF4-FFF2-40B4-BE49-F238E27FC236}">
              <a16:creationId xmlns:a16="http://schemas.microsoft.com/office/drawing/2014/main" id="{00000000-0008-0000-0C00-00000E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76475" y="95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1438275</xdr:colOff>
      <xdr:row>4</xdr:row>
      <xdr:rowOff>38100</xdr:rowOff>
    </xdr:to>
    <xdr:pic>
      <xdr:nvPicPr>
        <xdr:cNvPr id="15" name="Picture 14">
          <a:extLst>
            <a:ext uri="{FF2B5EF4-FFF2-40B4-BE49-F238E27FC236}">
              <a16:creationId xmlns:a16="http://schemas.microsoft.com/office/drawing/2014/main" id="{00000000-0008-0000-0C00-00000F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6286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xdr:row>
      <xdr:rowOff>0</xdr:rowOff>
    </xdr:from>
    <xdr:to>
      <xdr:col>0</xdr:col>
      <xdr:colOff>1085850</xdr:colOff>
      <xdr:row>6</xdr:row>
      <xdr:rowOff>38100</xdr:rowOff>
    </xdr:to>
    <xdr:pic>
      <xdr:nvPicPr>
        <xdr:cNvPr id="16" name="Picture 15">
          <a:extLst>
            <a:ext uri="{FF2B5EF4-FFF2-40B4-BE49-F238E27FC236}">
              <a16:creationId xmlns:a16="http://schemas.microsoft.com/office/drawing/2014/main" id="{00000000-0008-0000-0C00-00001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1257300</xdr:colOff>
      <xdr:row>8</xdr:row>
      <xdr:rowOff>38100</xdr:rowOff>
    </xdr:to>
    <xdr:pic>
      <xdr:nvPicPr>
        <xdr:cNvPr id="17" name="Picture 16">
          <a:extLst>
            <a:ext uri="{FF2B5EF4-FFF2-40B4-BE49-F238E27FC236}">
              <a16:creationId xmlns:a16="http://schemas.microsoft.com/office/drawing/2014/main" id="{00000000-0008-0000-0C00-000011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2286000</xdr:colOff>
      <xdr:row>8</xdr:row>
      <xdr:rowOff>9525</xdr:rowOff>
    </xdr:from>
    <xdr:to>
      <xdr:col>1</xdr:col>
      <xdr:colOff>142875</xdr:colOff>
      <xdr:row>9</xdr:row>
      <xdr:rowOff>47625</xdr:rowOff>
    </xdr:to>
    <xdr:pic>
      <xdr:nvPicPr>
        <xdr:cNvPr id="18" name="Picture 17">
          <a:extLst>
            <a:ext uri="{FF2B5EF4-FFF2-40B4-BE49-F238E27FC236}">
              <a16:creationId xmlns:a16="http://schemas.microsoft.com/office/drawing/2014/main" id="{00000000-0008-0000-0C00-000012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86000" y="16859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1438275</xdr:colOff>
      <xdr:row>12</xdr:row>
      <xdr:rowOff>38100</xdr:rowOff>
    </xdr:to>
    <xdr:pic>
      <xdr:nvPicPr>
        <xdr:cNvPr id="19" name="Picture 18">
          <a:extLst>
            <a:ext uri="{FF2B5EF4-FFF2-40B4-BE49-F238E27FC236}">
              <a16:creationId xmlns:a16="http://schemas.microsoft.com/office/drawing/2014/main" id="{00000000-0008-0000-0C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3050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1085850</xdr:colOff>
      <xdr:row>14</xdr:row>
      <xdr:rowOff>38100</xdr:rowOff>
    </xdr:to>
    <xdr:pic>
      <xdr:nvPicPr>
        <xdr:cNvPr id="20" name="Picture 19">
          <a:extLst>
            <a:ext uri="{FF2B5EF4-FFF2-40B4-BE49-F238E27FC236}">
              <a16:creationId xmlns:a16="http://schemas.microsoft.com/office/drawing/2014/main" id="{00000000-0008-0000-0C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7241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1257300</xdr:colOff>
      <xdr:row>16</xdr:row>
      <xdr:rowOff>38100</xdr:rowOff>
    </xdr:to>
    <xdr:pic>
      <xdr:nvPicPr>
        <xdr:cNvPr id="21" name="Picture 20">
          <a:extLst>
            <a:ext uri="{FF2B5EF4-FFF2-40B4-BE49-F238E27FC236}">
              <a16:creationId xmlns:a16="http://schemas.microsoft.com/office/drawing/2014/main" id="{00000000-0008-0000-0C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432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2314575</xdr:colOff>
      <xdr:row>16</xdr:row>
      <xdr:rowOff>38100</xdr:rowOff>
    </xdr:from>
    <xdr:to>
      <xdr:col>1</xdr:col>
      <xdr:colOff>171450</xdr:colOff>
      <xdr:row>17</xdr:row>
      <xdr:rowOff>76200</xdr:rowOff>
    </xdr:to>
    <xdr:pic>
      <xdr:nvPicPr>
        <xdr:cNvPr id="22" name="Picture 21">
          <a:extLst>
            <a:ext uri="{FF2B5EF4-FFF2-40B4-BE49-F238E27FC236}">
              <a16:creationId xmlns:a16="http://schemas.microsoft.com/office/drawing/2014/main" id="{00000000-0008-0000-0C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14575" y="3390900"/>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1438275</xdr:colOff>
      <xdr:row>20</xdr:row>
      <xdr:rowOff>38100</xdr:rowOff>
    </xdr:to>
    <xdr:pic>
      <xdr:nvPicPr>
        <xdr:cNvPr id="23" name="Picture 22">
          <a:extLst>
            <a:ext uri="{FF2B5EF4-FFF2-40B4-BE49-F238E27FC236}">
              <a16:creationId xmlns:a16="http://schemas.microsoft.com/office/drawing/2014/main" id="{00000000-0008-0000-0C00-00001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814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0</xdr:col>
      <xdr:colOff>1085850</xdr:colOff>
      <xdr:row>22</xdr:row>
      <xdr:rowOff>38100</xdr:rowOff>
    </xdr:to>
    <xdr:pic>
      <xdr:nvPicPr>
        <xdr:cNvPr id="24" name="Picture 23">
          <a:extLst>
            <a:ext uri="{FF2B5EF4-FFF2-40B4-BE49-F238E27FC236}">
              <a16:creationId xmlns:a16="http://schemas.microsoft.com/office/drawing/2014/main" id="{00000000-0008-0000-0C00-00001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005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1257300</xdr:colOff>
      <xdr:row>24</xdr:row>
      <xdr:rowOff>38100</xdr:rowOff>
    </xdr:to>
    <xdr:pic>
      <xdr:nvPicPr>
        <xdr:cNvPr id="25" name="Picture 24">
          <a:extLst>
            <a:ext uri="{FF2B5EF4-FFF2-40B4-BE49-F238E27FC236}">
              <a16:creationId xmlns:a16="http://schemas.microsoft.com/office/drawing/2014/main" id="{00000000-0008-0000-0C00-000019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8196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123825</xdr:colOff>
      <xdr:row>2</xdr:row>
      <xdr:rowOff>38100</xdr:rowOff>
    </xdr:to>
    <xdr:pic>
      <xdr:nvPicPr>
        <xdr:cNvPr id="2" name="Picture 1">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09550"/>
          <a:ext cx="1238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1038225</xdr:colOff>
      <xdr:row>5</xdr:row>
      <xdr:rowOff>38100</xdr:rowOff>
    </xdr:to>
    <xdr:pic>
      <xdr:nvPicPr>
        <xdr:cNvPr id="3" name="Picture 2">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382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1095375</xdr:colOff>
      <xdr:row>7</xdr:row>
      <xdr:rowOff>38100</xdr:rowOff>
    </xdr:to>
    <xdr:pic>
      <xdr:nvPicPr>
        <xdr:cNvPr id="4" name="Picture 3">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0953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1181100</xdr:colOff>
      <xdr:row>9</xdr:row>
      <xdr:rowOff>38100</xdr:rowOff>
    </xdr:to>
    <xdr:pic>
      <xdr:nvPicPr>
        <xdr:cNvPr id="5" name="Picture 4">
          <a:extLst>
            <a:ext uri="{FF2B5EF4-FFF2-40B4-BE49-F238E27FC236}">
              <a16:creationId xmlns:a16="http://schemas.microsoft.com/office/drawing/2014/main" id="{00000000-0008-0000-0D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885950"/>
          <a:ext cx="1181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194310</xdr:colOff>
      <xdr:row>11</xdr:row>
      <xdr:rowOff>114935</xdr:rowOff>
    </xdr:from>
    <xdr:to>
      <xdr:col>12</xdr:col>
      <xdr:colOff>194310</xdr:colOff>
      <xdr:row>11</xdr:row>
      <xdr:rowOff>114935</xdr:rowOff>
    </xdr:to>
    <xdr:cxnSp macro="">
      <xdr:nvCxnSpPr>
        <xdr:cNvPr id="2" name="Straight Connector 1">
          <a:extLst>
            <a:ext uri="{FF2B5EF4-FFF2-40B4-BE49-F238E27FC236}">
              <a16:creationId xmlns:a16="http://schemas.microsoft.com/office/drawing/2014/main" id="{00000000-0008-0000-0E00-000002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537210</xdr:colOff>
      <xdr:row>33</xdr:row>
      <xdr:rowOff>133985</xdr:rowOff>
    </xdr:from>
    <xdr:to>
      <xdr:col>10</xdr:col>
      <xdr:colOff>537210</xdr:colOff>
      <xdr:row>33</xdr:row>
      <xdr:rowOff>133985</xdr:rowOff>
    </xdr:to>
    <xdr:cxnSp macro="">
      <xdr:nvCxnSpPr>
        <xdr:cNvPr id="4" name="Straight Connector 3">
          <a:extLst>
            <a:ext uri="{FF2B5EF4-FFF2-40B4-BE49-F238E27FC236}">
              <a16:creationId xmlns:a16="http://schemas.microsoft.com/office/drawing/2014/main" id="{00000000-0008-0000-0E00-000004000000}"/>
            </a:ext>
          </a:extLst>
        </xdr:cNvPr>
        <xdr:cNvCxnSpPr>
          <a:cxnSpLocks noChangeShapeType="1"/>
        </xdr:cNvCxnSpPr>
      </xdr:nvCxnSpPr>
      <xdr:spPr bwMode="auto">
        <a:xfrm>
          <a:off x="9424035" y="73158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35</xdr:row>
      <xdr:rowOff>14605</xdr:rowOff>
    </xdr:from>
    <xdr:to>
      <xdr:col>10</xdr:col>
      <xdr:colOff>581025</xdr:colOff>
      <xdr:row>35</xdr:row>
      <xdr:rowOff>14605</xdr:rowOff>
    </xdr:to>
    <xdr:cxnSp macro="">
      <xdr:nvCxnSpPr>
        <xdr:cNvPr id="6" name="Straight Connector 5">
          <a:extLst>
            <a:ext uri="{FF2B5EF4-FFF2-40B4-BE49-F238E27FC236}">
              <a16:creationId xmlns:a16="http://schemas.microsoft.com/office/drawing/2014/main" id="{00000000-0008-0000-0E00-000006000000}"/>
            </a:ext>
          </a:extLst>
        </xdr:cNvPr>
        <xdr:cNvCxnSpPr>
          <a:cxnSpLocks noChangeShapeType="1"/>
        </xdr:cNvCxnSpPr>
      </xdr:nvCxnSpPr>
      <xdr:spPr bwMode="auto">
        <a:xfrm>
          <a:off x="946785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194310</xdr:colOff>
      <xdr:row>23</xdr:row>
      <xdr:rowOff>114935</xdr:rowOff>
    </xdr:from>
    <xdr:to>
      <xdr:col>12</xdr:col>
      <xdr:colOff>194310</xdr:colOff>
      <xdr:row>23</xdr:row>
      <xdr:rowOff>114935</xdr:rowOff>
    </xdr:to>
    <xdr:cxnSp macro="">
      <xdr:nvCxnSpPr>
        <xdr:cNvPr id="7" name="Straight Connector 6">
          <a:extLst>
            <a:ext uri="{FF2B5EF4-FFF2-40B4-BE49-F238E27FC236}">
              <a16:creationId xmlns:a16="http://schemas.microsoft.com/office/drawing/2014/main" id="{00000000-0008-0000-0E00-000007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44</xdr:row>
      <xdr:rowOff>14605</xdr:rowOff>
    </xdr:from>
    <xdr:to>
      <xdr:col>10</xdr:col>
      <xdr:colOff>581025</xdr:colOff>
      <xdr:row>44</xdr:row>
      <xdr:rowOff>14605</xdr:rowOff>
    </xdr:to>
    <xdr:cxnSp macro="">
      <xdr:nvCxnSpPr>
        <xdr:cNvPr id="8" name="Straight Connector 7">
          <a:extLst>
            <a:ext uri="{FF2B5EF4-FFF2-40B4-BE49-F238E27FC236}">
              <a16:creationId xmlns:a16="http://schemas.microsoft.com/office/drawing/2014/main" id="{00000000-0008-0000-0E00-000008000000}"/>
            </a:ext>
          </a:extLst>
        </xdr:cNvPr>
        <xdr:cNvCxnSpPr>
          <a:cxnSpLocks noChangeShapeType="1"/>
        </xdr:cNvCxnSpPr>
      </xdr:nvCxnSpPr>
      <xdr:spPr bwMode="auto">
        <a:xfrm>
          <a:off x="8382000" y="782510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28</xdr:row>
      <xdr:rowOff>14605</xdr:rowOff>
    </xdr:from>
    <xdr:to>
      <xdr:col>10</xdr:col>
      <xdr:colOff>581025</xdr:colOff>
      <xdr:row>28</xdr:row>
      <xdr:rowOff>14605</xdr:rowOff>
    </xdr:to>
    <xdr:cxnSp macro="">
      <xdr:nvCxnSpPr>
        <xdr:cNvPr id="9" name="Straight Connector 8">
          <a:extLst>
            <a:ext uri="{FF2B5EF4-FFF2-40B4-BE49-F238E27FC236}">
              <a16:creationId xmlns:a16="http://schemas.microsoft.com/office/drawing/2014/main" id="{00000000-0008-0000-0E00-000009000000}"/>
            </a:ext>
          </a:extLst>
        </xdr:cNvPr>
        <xdr:cNvCxnSpPr>
          <a:cxnSpLocks noChangeShapeType="1"/>
        </xdr:cNvCxnSpPr>
      </xdr:nvCxnSpPr>
      <xdr:spPr bwMode="auto">
        <a:xfrm>
          <a:off x="861060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285115</xdr:colOff>
      <xdr:row>13</xdr:row>
      <xdr:rowOff>107950</xdr:rowOff>
    </xdr:from>
    <xdr:to>
      <xdr:col>10</xdr:col>
      <xdr:colOff>285115</xdr:colOff>
      <xdr:row>13</xdr:row>
      <xdr:rowOff>107950</xdr:rowOff>
    </xdr:to>
    <xdr:cxnSp macro="">
      <xdr:nvCxnSpPr>
        <xdr:cNvPr id="2" name="Straight Connector 1">
          <a:extLst>
            <a:ext uri="{FF2B5EF4-FFF2-40B4-BE49-F238E27FC236}">
              <a16:creationId xmlns:a16="http://schemas.microsoft.com/office/drawing/2014/main" id="{00000000-0008-0000-0F00-000002000000}"/>
            </a:ext>
          </a:extLst>
        </xdr:cNvPr>
        <xdr:cNvCxnSpPr>
          <a:cxnSpLocks noChangeShapeType="1"/>
        </xdr:cNvCxnSpPr>
      </xdr:nvCxnSpPr>
      <xdr:spPr bwMode="auto">
        <a:xfrm>
          <a:off x="5885815" y="3498850"/>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INH%20THEP%20SA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ý Thuyết"/>
      <sheetName val="SĐĐH_2 Phương"/>
      <sheetName val="SĐD_1 Phương"/>
      <sheetName val="Bảng Tra_Vl"/>
      <sheetName val="Bảng tra hệ số ĐH"/>
    </sheetNames>
    <sheetDataSet>
      <sheetData sheetId="0"/>
      <sheetData sheetId="1"/>
      <sheetData sheetId="2"/>
      <sheetData sheetId="3">
        <row r="5">
          <cell r="D5" t="str">
            <v>B12,5(M150)</v>
          </cell>
          <cell r="E5" t="str">
            <v>B15(M200)</v>
          </cell>
          <cell r="F5" t="str">
            <v>B20(M250)</v>
          </cell>
          <cell r="G5" t="str">
            <v>B22,5(M300)</v>
          </cell>
          <cell r="H5" t="str">
            <v>B25(M350)</v>
          </cell>
          <cell r="I5" t="str">
            <v>B30(M400)</v>
          </cell>
          <cell r="J5" t="str">
            <v>B35(M450)</v>
          </cell>
          <cell r="K5" t="str">
            <v>B40(M500)</v>
          </cell>
          <cell r="L5" t="str">
            <v>B45(M600)</v>
          </cell>
          <cell r="M5" t="str">
            <v>B50(M700)</v>
          </cell>
          <cell r="N5" t="str">
            <v>B55(M750)</v>
          </cell>
          <cell r="O5" t="str">
            <v>B60(M800)</v>
          </cell>
        </row>
        <row r="6">
          <cell r="D6">
            <v>7.5</v>
          </cell>
          <cell r="E6">
            <v>8.5</v>
          </cell>
          <cell r="F6">
            <v>11.5</v>
          </cell>
          <cell r="G6">
            <v>13</v>
          </cell>
          <cell r="H6">
            <v>14.5</v>
          </cell>
          <cell r="I6">
            <v>17</v>
          </cell>
          <cell r="J6">
            <v>19.5</v>
          </cell>
          <cell r="K6">
            <v>22</v>
          </cell>
          <cell r="L6">
            <v>25</v>
          </cell>
          <cell r="M6">
            <v>27.5</v>
          </cell>
          <cell r="N6">
            <v>30</v>
          </cell>
          <cell r="O6">
            <v>33</v>
          </cell>
        </row>
        <row r="8">
          <cell r="D8">
            <v>7.5</v>
          </cell>
          <cell r="E8">
            <v>8.5</v>
          </cell>
          <cell r="F8">
            <v>11.5</v>
          </cell>
          <cell r="H8">
            <v>14.5</v>
          </cell>
          <cell r="I8">
            <v>17</v>
          </cell>
          <cell r="J8">
            <v>19.5</v>
          </cell>
          <cell r="K8">
            <v>22</v>
          </cell>
          <cell r="L8" t="str">
            <v>-</v>
          </cell>
          <cell r="M8" t="str">
            <v>-</v>
          </cell>
          <cell r="N8" t="str">
            <v>-</v>
          </cell>
          <cell r="O8" t="str">
            <v>-</v>
          </cell>
        </row>
        <row r="9">
          <cell r="D9">
            <v>7</v>
          </cell>
          <cell r="E9">
            <v>7.7</v>
          </cell>
          <cell r="F9" t="str">
            <v>-</v>
          </cell>
          <cell r="H9" t="str">
            <v>-</v>
          </cell>
          <cell r="I9" t="str">
            <v>-</v>
          </cell>
          <cell r="J9" t="str">
            <v>-</v>
          </cell>
          <cell r="K9" t="str">
            <v>-</v>
          </cell>
          <cell r="L9" t="str">
            <v>-</v>
          </cell>
          <cell r="M9" t="str">
            <v>-</v>
          </cell>
          <cell r="N9" t="str">
            <v>-</v>
          </cell>
          <cell r="O9" t="str">
            <v>-</v>
          </cell>
        </row>
        <row r="10">
          <cell r="D10">
            <v>0.66</v>
          </cell>
          <cell r="E10">
            <v>0.75</v>
          </cell>
          <cell r="F10">
            <v>0.9</v>
          </cell>
          <cell r="G10">
            <v>0.98</v>
          </cell>
          <cell r="H10">
            <v>1.05</v>
          </cell>
          <cell r="I10">
            <v>1.2</v>
          </cell>
          <cell r="J10">
            <v>1.3</v>
          </cell>
          <cell r="K10">
            <v>1.4</v>
          </cell>
          <cell r="L10">
            <v>1.45</v>
          </cell>
          <cell r="M10">
            <v>1.55</v>
          </cell>
          <cell r="N10">
            <v>1.6</v>
          </cell>
          <cell r="O10">
            <v>1.65</v>
          </cell>
        </row>
        <row r="11">
          <cell r="D11">
            <v>0.66</v>
          </cell>
          <cell r="E11">
            <v>0.75</v>
          </cell>
          <cell r="F11">
            <v>0.9</v>
          </cell>
          <cell r="H11">
            <v>1.05</v>
          </cell>
          <cell r="I11">
            <v>1.2</v>
          </cell>
          <cell r="J11">
            <v>1.3</v>
          </cell>
          <cell r="K11">
            <v>1.4</v>
          </cell>
          <cell r="L11" t="str">
            <v>-</v>
          </cell>
          <cell r="M11" t="str">
            <v>-</v>
          </cell>
          <cell r="N11" t="str">
            <v>-</v>
          </cell>
          <cell r="O11" t="str">
            <v>-</v>
          </cell>
        </row>
        <row r="12">
          <cell r="D12">
            <v>0.51</v>
          </cell>
          <cell r="E12">
            <v>0.64</v>
          </cell>
          <cell r="F12">
            <v>0.77</v>
          </cell>
          <cell r="H12">
            <v>0.9</v>
          </cell>
          <cell r="I12">
            <v>1</v>
          </cell>
          <cell r="J12" t="str">
            <v>-</v>
          </cell>
          <cell r="K12" t="str">
            <v>-</v>
          </cell>
          <cell r="L12" t="str">
            <v>-</v>
          </cell>
          <cell r="M12" t="str">
            <v>-</v>
          </cell>
          <cell r="N12" t="str">
            <v>-</v>
          </cell>
          <cell r="O12" t="str">
            <v>-</v>
          </cell>
        </row>
        <row r="13">
          <cell r="D13" t="str">
            <v>-</v>
          </cell>
          <cell r="E13">
            <v>0.75</v>
          </cell>
          <cell r="F13">
            <v>0.9</v>
          </cell>
          <cell r="H13">
            <v>1.05</v>
          </cell>
          <cell r="I13">
            <v>1.2</v>
          </cell>
          <cell r="J13">
            <v>1.3</v>
          </cell>
          <cell r="K13">
            <v>1.4</v>
          </cell>
          <cell r="L13">
            <v>1.45</v>
          </cell>
          <cell r="M13">
            <v>1.55</v>
          </cell>
          <cell r="N13">
            <v>1.6</v>
          </cell>
          <cell r="O13">
            <v>1.65</v>
          </cell>
        </row>
        <row r="14">
          <cell r="D14">
            <v>0.66</v>
          </cell>
          <cell r="E14">
            <v>0.75</v>
          </cell>
          <cell r="F14">
            <v>0.9</v>
          </cell>
          <cell r="H14">
            <v>1.05</v>
          </cell>
          <cell r="I14">
            <v>1.2</v>
          </cell>
          <cell r="J14">
            <v>1.3</v>
          </cell>
          <cell r="K14">
            <v>1.4</v>
          </cell>
          <cell r="L14" t="str">
            <v>-</v>
          </cell>
          <cell r="M14" t="str">
            <v>-</v>
          </cell>
          <cell r="N14" t="str">
            <v>-</v>
          </cell>
          <cell r="O14" t="str">
            <v>-</v>
          </cell>
        </row>
        <row r="15">
          <cell r="D15">
            <v>0.66</v>
          </cell>
          <cell r="E15">
            <v>0.74</v>
          </cell>
          <cell r="F15">
            <v>0.8</v>
          </cell>
          <cell r="H15">
            <v>0.9</v>
          </cell>
          <cell r="I15">
            <v>1</v>
          </cell>
          <cell r="J15">
            <v>1.1000000000000001</v>
          </cell>
          <cell r="K15">
            <v>1.2</v>
          </cell>
          <cell r="L15" t="str">
            <v>-</v>
          </cell>
          <cell r="M15" t="str">
            <v>-</v>
          </cell>
          <cell r="N15" t="str">
            <v>-</v>
          </cell>
          <cell r="O15" t="str">
            <v>-</v>
          </cell>
        </row>
        <row r="16">
          <cell r="D16">
            <v>0.44</v>
          </cell>
          <cell r="E16">
            <v>0.46</v>
          </cell>
          <cell r="F16" t="str">
            <v>-</v>
          </cell>
          <cell r="H16" t="str">
            <v>-</v>
          </cell>
          <cell r="I16" t="str">
            <v>-</v>
          </cell>
          <cell r="J16" t="str">
            <v>-</v>
          </cell>
          <cell r="K16" t="str">
            <v>-</v>
          </cell>
          <cell r="L16" t="str">
            <v>-</v>
          </cell>
          <cell r="M16" t="str">
            <v>-</v>
          </cell>
          <cell r="N16" t="str">
            <v>-</v>
          </cell>
          <cell r="O16" t="str">
            <v>-</v>
          </cell>
        </row>
        <row r="35">
          <cell r="B35" t="str">
            <v>AI</v>
          </cell>
          <cell r="C35">
            <v>225</v>
          </cell>
          <cell r="D35">
            <v>175</v>
          </cell>
          <cell r="F35">
            <v>225</v>
          </cell>
        </row>
        <row r="36">
          <cell r="B36" t="str">
            <v>AII</v>
          </cell>
          <cell r="C36">
            <v>280</v>
          </cell>
          <cell r="D36">
            <v>225</v>
          </cell>
          <cell r="F36">
            <v>280</v>
          </cell>
        </row>
        <row r="37">
          <cell r="B37" t="str">
            <v>AIII1</v>
          </cell>
          <cell r="C37">
            <v>355</v>
          </cell>
          <cell r="D37" t="str">
            <v>285(255)</v>
          </cell>
          <cell r="F37">
            <v>355</v>
          </cell>
        </row>
        <row r="38">
          <cell r="B38" t="str">
            <v>AIII2</v>
          </cell>
          <cell r="C38">
            <v>365</v>
          </cell>
          <cell r="D38" t="str">
            <v>290(225)</v>
          </cell>
          <cell r="F38">
            <v>365</v>
          </cell>
        </row>
        <row r="39">
          <cell r="C39">
            <v>400</v>
          </cell>
          <cell r="D39">
            <v>320</v>
          </cell>
          <cell r="F39">
            <v>400</v>
          </cell>
        </row>
        <row r="40">
          <cell r="B40" t="str">
            <v>AIV</v>
          </cell>
          <cell r="C40">
            <v>510</v>
          </cell>
          <cell r="D40">
            <v>405</v>
          </cell>
          <cell r="F40" t="str">
            <v>450(400)</v>
          </cell>
        </row>
        <row r="41">
          <cell r="B41" t="str">
            <v>AV</v>
          </cell>
          <cell r="C41">
            <v>680</v>
          </cell>
          <cell r="D41">
            <v>545</v>
          </cell>
          <cell r="F41" t="str">
            <v>500(400)</v>
          </cell>
        </row>
        <row r="42">
          <cell r="B42" t="str">
            <v>AVI</v>
          </cell>
          <cell r="C42">
            <v>815</v>
          </cell>
          <cell r="D42">
            <v>650</v>
          </cell>
          <cell r="F42" t="str">
            <v>500(400)</v>
          </cell>
        </row>
      </sheetData>
      <sheetData sheetId="4">
        <row r="82">
          <cell r="M82">
            <v>1</v>
          </cell>
          <cell r="N82">
            <v>1.7899999999999999E-2</v>
          </cell>
          <cell r="O82">
            <v>1.7899999999999999E-2</v>
          </cell>
          <cell r="P82">
            <v>4.1700000000000001E-2</v>
          </cell>
          <cell r="Q82">
            <v>4.1700000000000001E-2</v>
          </cell>
        </row>
        <row r="83">
          <cell r="M83">
            <v>1.05</v>
          </cell>
          <cell r="N83">
            <v>1.8700000000000001E-2</v>
          </cell>
          <cell r="O83">
            <v>1.7100000000000001E-2</v>
          </cell>
          <cell r="P83">
            <v>4.3700000000000003E-2</v>
          </cell>
          <cell r="Q83">
            <v>3.9399999999999998E-2</v>
          </cell>
        </row>
        <row r="84">
          <cell r="M84">
            <v>1.1000000000000001</v>
          </cell>
          <cell r="N84">
            <v>1.9400000000000001E-2</v>
          </cell>
          <cell r="O84">
            <v>1.61E-2</v>
          </cell>
          <cell r="P84">
            <v>4.4999999999999998E-2</v>
          </cell>
          <cell r="Q84">
            <v>3.7199999999999997E-2</v>
          </cell>
        </row>
        <row r="85">
          <cell r="M85">
            <v>1.1499999999999999</v>
          </cell>
          <cell r="N85">
            <v>0.02</v>
          </cell>
          <cell r="O85">
            <v>1.4999999999999999E-2</v>
          </cell>
          <cell r="P85">
            <v>4.6100000000000002E-2</v>
          </cell>
          <cell r="Q85">
            <v>3.49E-2</v>
          </cell>
        </row>
        <row r="86">
          <cell r="M86">
            <v>1.2</v>
          </cell>
          <cell r="N86">
            <v>2.0400000000000001E-2</v>
          </cell>
          <cell r="O86">
            <v>1.4200000000000001E-2</v>
          </cell>
          <cell r="P86">
            <v>4.6800000000000001E-2</v>
          </cell>
          <cell r="Q86">
            <v>3.2500000000000001E-2</v>
          </cell>
        </row>
        <row r="87">
          <cell r="M87">
            <v>1.25</v>
          </cell>
          <cell r="N87">
            <v>2.07E-2</v>
          </cell>
          <cell r="O87">
            <v>1.3299999999999999E-2</v>
          </cell>
          <cell r="P87">
            <v>4.7300000000000002E-2</v>
          </cell>
          <cell r="Q87">
            <v>3.0300000000000001E-2</v>
          </cell>
        </row>
        <row r="88">
          <cell r="M88">
            <v>1.3</v>
          </cell>
          <cell r="N88">
            <v>2.0799999999999999E-2</v>
          </cell>
          <cell r="O88">
            <v>1.23E-2</v>
          </cell>
          <cell r="P88">
            <v>4.7500000000000001E-2</v>
          </cell>
          <cell r="Q88">
            <v>2.81E-2</v>
          </cell>
        </row>
        <row r="89">
          <cell r="M89">
            <v>1.35</v>
          </cell>
          <cell r="N89">
            <v>2.1000000000000001E-2</v>
          </cell>
          <cell r="O89">
            <v>1.15E-2</v>
          </cell>
          <cell r="P89">
            <v>4.7399999999999998E-2</v>
          </cell>
          <cell r="Q89">
            <v>2.6200000000000001E-2</v>
          </cell>
        </row>
        <row r="90">
          <cell r="M90">
            <v>1.4</v>
          </cell>
          <cell r="N90">
            <v>2.1000000000000001E-2</v>
          </cell>
          <cell r="O90">
            <v>1.0699999999999999E-2</v>
          </cell>
          <cell r="P90">
            <v>4.7300000000000002E-2</v>
          </cell>
          <cell r="Q90">
            <v>2.4E-2</v>
          </cell>
        </row>
        <row r="91">
          <cell r="M91">
            <v>1.45</v>
          </cell>
          <cell r="N91">
            <v>2.0899999999999998E-2</v>
          </cell>
          <cell r="O91">
            <v>0.01</v>
          </cell>
          <cell r="P91">
            <v>4.6899999999999997E-2</v>
          </cell>
          <cell r="Q91">
            <v>2.23E-2</v>
          </cell>
        </row>
        <row r="92">
          <cell r="M92">
            <v>1.5</v>
          </cell>
          <cell r="N92">
            <v>2.0799999999999999E-2</v>
          </cell>
          <cell r="O92">
            <v>9.2999999999999992E-3</v>
          </cell>
          <cell r="P92">
            <v>4.6399999999999997E-2</v>
          </cell>
          <cell r="Q92">
            <v>2.06E-2</v>
          </cell>
        </row>
        <row r="93">
          <cell r="M93">
            <v>1.55</v>
          </cell>
          <cell r="N93">
            <v>2.06E-2</v>
          </cell>
          <cell r="O93">
            <v>8.6E-3</v>
          </cell>
          <cell r="P93">
            <v>4.5900000000000003E-2</v>
          </cell>
          <cell r="Q93">
            <v>1.9099999999999999E-2</v>
          </cell>
        </row>
        <row r="94">
          <cell r="M94">
            <v>1.6</v>
          </cell>
          <cell r="N94">
            <v>2.0500000000000001E-2</v>
          </cell>
          <cell r="O94">
            <v>8.0000000000000002E-3</v>
          </cell>
          <cell r="P94">
            <v>4.5199999999999997E-2</v>
          </cell>
          <cell r="Q94">
            <v>1.77E-2</v>
          </cell>
        </row>
        <row r="95">
          <cell r="M95">
            <v>1.65</v>
          </cell>
          <cell r="N95">
            <v>2.0199999999999999E-2</v>
          </cell>
          <cell r="O95">
            <v>7.4000000000000003E-3</v>
          </cell>
          <cell r="P95">
            <v>4.4600000000000001E-2</v>
          </cell>
          <cell r="Q95">
            <v>1.6400000000000001E-2</v>
          </cell>
        </row>
        <row r="96">
          <cell r="M96">
            <v>1.7</v>
          </cell>
          <cell r="N96">
            <v>0.02</v>
          </cell>
          <cell r="O96">
            <v>6.8999999999999999E-3</v>
          </cell>
          <cell r="P96">
            <v>4.3799999999999999E-2</v>
          </cell>
          <cell r="Q96">
            <v>1.52E-2</v>
          </cell>
        </row>
        <row r="97">
          <cell r="M97">
            <v>1.75</v>
          </cell>
          <cell r="N97">
            <v>1.9699999999999999E-2</v>
          </cell>
          <cell r="O97">
            <v>6.4000000000000003E-3</v>
          </cell>
          <cell r="P97">
            <v>4.3099999999999999E-2</v>
          </cell>
          <cell r="Q97">
            <v>1.41E-2</v>
          </cell>
        </row>
        <row r="98">
          <cell r="M98">
            <v>1.8</v>
          </cell>
          <cell r="N98">
            <v>1.95E-2</v>
          </cell>
          <cell r="O98">
            <v>6.0000000000000001E-3</v>
          </cell>
          <cell r="P98">
            <v>4.2299999999999997E-2</v>
          </cell>
          <cell r="Q98">
            <v>1.3100000000000001E-2</v>
          </cell>
        </row>
        <row r="99">
          <cell r="M99">
            <v>1.85</v>
          </cell>
          <cell r="N99">
            <v>1.9199999999999998E-2</v>
          </cell>
          <cell r="O99">
            <v>5.5999999999999999E-3</v>
          </cell>
          <cell r="P99">
            <v>4.1500000000000002E-2</v>
          </cell>
          <cell r="Q99">
            <v>1.2200000000000001E-2</v>
          </cell>
        </row>
        <row r="100">
          <cell r="M100">
            <v>1.9</v>
          </cell>
          <cell r="N100">
            <v>1.9E-2</v>
          </cell>
          <cell r="O100">
            <v>5.1999999999999998E-3</v>
          </cell>
          <cell r="P100">
            <v>4.0800000000000003E-2</v>
          </cell>
          <cell r="Q100">
            <v>1.1299999999999999E-2</v>
          </cell>
        </row>
        <row r="101">
          <cell r="M101">
            <v>1.95</v>
          </cell>
          <cell r="N101">
            <v>1.8599999999999998E-2</v>
          </cell>
          <cell r="O101">
            <v>4.8999999999999998E-3</v>
          </cell>
          <cell r="P101">
            <v>0.04</v>
          </cell>
          <cell r="Q101">
            <v>1.0699999999999999E-2</v>
          </cell>
        </row>
        <row r="102">
          <cell r="M102">
            <v>2</v>
          </cell>
          <cell r="N102">
            <v>1.83E-2</v>
          </cell>
          <cell r="O102">
            <v>4.5999999999999999E-3</v>
          </cell>
          <cell r="P102">
            <v>3.9199999999999999E-2</v>
          </cell>
          <cell r="Q102">
            <v>9.7999999999999997E-3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13" Type="http://schemas.openxmlformats.org/officeDocument/2006/relationships/image" Target="../media/image5.emf"/><Relationship Id="rId18" Type="http://schemas.openxmlformats.org/officeDocument/2006/relationships/oleObject" Target="../embeddings/oleObject10.bin"/><Relationship Id="rId3" Type="http://schemas.openxmlformats.org/officeDocument/2006/relationships/oleObject" Target="../embeddings/oleObject1.bin"/><Relationship Id="rId7" Type="http://schemas.openxmlformats.org/officeDocument/2006/relationships/oleObject" Target="../embeddings/oleObject3.bin"/><Relationship Id="rId12" Type="http://schemas.openxmlformats.org/officeDocument/2006/relationships/oleObject" Target="../embeddings/oleObject6.bin"/><Relationship Id="rId17" Type="http://schemas.openxmlformats.org/officeDocument/2006/relationships/image" Target="../media/image6.emf"/><Relationship Id="rId2" Type="http://schemas.openxmlformats.org/officeDocument/2006/relationships/vmlDrawing" Target="../drawings/vmlDrawing1.vml"/><Relationship Id="rId16" Type="http://schemas.openxmlformats.org/officeDocument/2006/relationships/oleObject" Target="../embeddings/oleObject9.bin"/><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oleObject" Target="../embeddings/oleObject5.bin"/><Relationship Id="rId5" Type="http://schemas.openxmlformats.org/officeDocument/2006/relationships/oleObject" Target="../embeddings/oleObject2.bin"/><Relationship Id="rId15" Type="http://schemas.openxmlformats.org/officeDocument/2006/relationships/oleObject" Target="../embeddings/oleObject8.bin"/><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oleObject" Target="../embeddings/oleObject4.bin"/><Relationship Id="rId14" Type="http://schemas.openxmlformats.org/officeDocument/2006/relationships/oleObject" Target="../embeddings/oleObject7.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oleObject" Target="../embeddings/oleObject13.bin"/><Relationship Id="rId13" Type="http://schemas.openxmlformats.org/officeDocument/2006/relationships/oleObject" Target="../embeddings/oleObject16.bin"/><Relationship Id="rId18" Type="http://schemas.openxmlformats.org/officeDocument/2006/relationships/oleObject" Target="../embeddings/oleObject19.bin"/><Relationship Id="rId26" Type="http://schemas.openxmlformats.org/officeDocument/2006/relationships/oleObject" Target="../embeddings/oleObject26.bin"/><Relationship Id="rId3" Type="http://schemas.openxmlformats.org/officeDocument/2006/relationships/vmlDrawing" Target="../drawings/vmlDrawing2.vml"/><Relationship Id="rId21" Type="http://schemas.openxmlformats.org/officeDocument/2006/relationships/oleObject" Target="../embeddings/oleObject21.bin"/><Relationship Id="rId7" Type="http://schemas.openxmlformats.org/officeDocument/2006/relationships/image" Target="../media/image2.emf"/><Relationship Id="rId12" Type="http://schemas.openxmlformats.org/officeDocument/2006/relationships/oleObject" Target="../embeddings/oleObject15.bin"/><Relationship Id="rId17" Type="http://schemas.openxmlformats.org/officeDocument/2006/relationships/image" Target="../media/image8.emf"/><Relationship Id="rId25" Type="http://schemas.openxmlformats.org/officeDocument/2006/relationships/oleObject" Target="../embeddings/oleObject25.bin"/><Relationship Id="rId2" Type="http://schemas.openxmlformats.org/officeDocument/2006/relationships/drawing" Target="../drawings/drawing2.xml"/><Relationship Id="rId16" Type="http://schemas.openxmlformats.org/officeDocument/2006/relationships/oleObject" Target="../embeddings/oleObject18.bin"/><Relationship Id="rId20" Type="http://schemas.openxmlformats.org/officeDocument/2006/relationships/image" Target="../media/image5.emf"/><Relationship Id="rId29" Type="http://schemas.openxmlformats.org/officeDocument/2006/relationships/oleObject" Target="../embeddings/oleObject28.bin"/><Relationship Id="rId1" Type="http://schemas.openxmlformats.org/officeDocument/2006/relationships/printerSettings" Target="../printerSettings/printerSettings3.bin"/><Relationship Id="rId6" Type="http://schemas.openxmlformats.org/officeDocument/2006/relationships/oleObject" Target="../embeddings/oleObject12.bin"/><Relationship Id="rId11" Type="http://schemas.openxmlformats.org/officeDocument/2006/relationships/image" Target="../media/image4.emf"/><Relationship Id="rId24" Type="http://schemas.openxmlformats.org/officeDocument/2006/relationships/oleObject" Target="../embeddings/oleObject24.bin"/><Relationship Id="rId5" Type="http://schemas.openxmlformats.org/officeDocument/2006/relationships/image" Target="../media/image1.emf"/><Relationship Id="rId15" Type="http://schemas.openxmlformats.org/officeDocument/2006/relationships/oleObject" Target="../embeddings/oleObject17.bin"/><Relationship Id="rId23" Type="http://schemas.openxmlformats.org/officeDocument/2006/relationships/oleObject" Target="../embeddings/oleObject23.bin"/><Relationship Id="rId28" Type="http://schemas.openxmlformats.org/officeDocument/2006/relationships/image" Target="../media/image6.emf"/><Relationship Id="rId10" Type="http://schemas.openxmlformats.org/officeDocument/2006/relationships/oleObject" Target="../embeddings/oleObject14.bin"/><Relationship Id="rId19" Type="http://schemas.openxmlformats.org/officeDocument/2006/relationships/oleObject" Target="../embeddings/oleObject20.bin"/><Relationship Id="rId31" Type="http://schemas.openxmlformats.org/officeDocument/2006/relationships/oleObject" Target="../embeddings/oleObject30.bin"/><Relationship Id="rId4" Type="http://schemas.openxmlformats.org/officeDocument/2006/relationships/oleObject" Target="../embeddings/oleObject11.bin"/><Relationship Id="rId9" Type="http://schemas.openxmlformats.org/officeDocument/2006/relationships/image" Target="../media/image3.emf"/><Relationship Id="rId14" Type="http://schemas.openxmlformats.org/officeDocument/2006/relationships/image" Target="../media/image7.emf"/><Relationship Id="rId22" Type="http://schemas.openxmlformats.org/officeDocument/2006/relationships/oleObject" Target="../embeddings/oleObject22.bin"/><Relationship Id="rId27" Type="http://schemas.openxmlformats.org/officeDocument/2006/relationships/oleObject" Target="../embeddings/oleObject27.bin"/><Relationship Id="rId30" Type="http://schemas.openxmlformats.org/officeDocument/2006/relationships/oleObject" Target="../embeddings/oleObject29.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8" Type="http://schemas.openxmlformats.org/officeDocument/2006/relationships/image" Target="../media/image12.emf"/><Relationship Id="rId13" Type="http://schemas.openxmlformats.org/officeDocument/2006/relationships/oleObject" Target="../embeddings/oleObject37.bin"/><Relationship Id="rId3" Type="http://schemas.openxmlformats.org/officeDocument/2006/relationships/oleObject" Target="../embeddings/oleObject31.bin"/><Relationship Id="rId7" Type="http://schemas.openxmlformats.org/officeDocument/2006/relationships/oleObject" Target="../embeddings/oleObject33.bin"/><Relationship Id="rId12" Type="http://schemas.openxmlformats.org/officeDocument/2006/relationships/oleObject" Target="../embeddings/oleObject36.bin"/><Relationship Id="rId2" Type="http://schemas.openxmlformats.org/officeDocument/2006/relationships/vmlDrawing" Target="../drawings/vmlDrawing3.vml"/><Relationship Id="rId16" Type="http://schemas.openxmlformats.org/officeDocument/2006/relationships/oleObject" Target="../embeddings/oleObject40.bin"/><Relationship Id="rId1" Type="http://schemas.openxmlformats.org/officeDocument/2006/relationships/drawing" Target="../drawings/drawing5.xml"/><Relationship Id="rId6" Type="http://schemas.openxmlformats.org/officeDocument/2006/relationships/image" Target="../media/image11.emf"/><Relationship Id="rId11" Type="http://schemas.openxmlformats.org/officeDocument/2006/relationships/oleObject" Target="../embeddings/oleObject35.bin"/><Relationship Id="rId5" Type="http://schemas.openxmlformats.org/officeDocument/2006/relationships/oleObject" Target="../embeddings/oleObject32.bin"/><Relationship Id="rId15" Type="http://schemas.openxmlformats.org/officeDocument/2006/relationships/oleObject" Target="../embeddings/oleObject39.bin"/><Relationship Id="rId10" Type="http://schemas.openxmlformats.org/officeDocument/2006/relationships/image" Target="../media/image13.emf"/><Relationship Id="rId4" Type="http://schemas.openxmlformats.org/officeDocument/2006/relationships/image" Target="../media/image10.emf"/><Relationship Id="rId9" Type="http://schemas.openxmlformats.org/officeDocument/2006/relationships/oleObject" Target="../embeddings/oleObject34.bin"/><Relationship Id="rId14" Type="http://schemas.openxmlformats.org/officeDocument/2006/relationships/oleObject" Target="../embeddings/oleObject3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A370-DED4-4833-9B33-C4CCCFD65072}">
  <dimension ref="A1:H16"/>
  <sheetViews>
    <sheetView workbookViewId="0">
      <selection activeCell="H16" sqref="H16"/>
    </sheetView>
  </sheetViews>
  <sheetFormatPr defaultRowHeight="15"/>
  <sheetData>
    <row r="1" spans="1:8" ht="19.5">
      <c r="A1" s="30" t="s">
        <v>205</v>
      </c>
      <c r="B1" s="30" t="s">
        <v>206</v>
      </c>
      <c r="C1" s="30" t="s">
        <v>206</v>
      </c>
      <c r="D1" s="610" t="s">
        <v>207</v>
      </c>
      <c r="E1" s="30" t="s">
        <v>208</v>
      </c>
      <c r="F1" s="30" t="s">
        <v>209</v>
      </c>
      <c r="G1" s="30" t="s">
        <v>210</v>
      </c>
      <c r="H1" s="34" t="s">
        <v>211</v>
      </c>
    </row>
    <row r="2" spans="1:8" ht="19.5">
      <c r="A2" s="31" t="s">
        <v>212</v>
      </c>
      <c r="B2" s="31" t="s">
        <v>213</v>
      </c>
      <c r="C2" s="31" t="s">
        <v>214</v>
      </c>
      <c r="D2" s="611"/>
      <c r="E2" s="31" t="s">
        <v>215</v>
      </c>
      <c r="F2" s="31" t="s">
        <v>215</v>
      </c>
      <c r="G2" s="31" t="s">
        <v>216</v>
      </c>
      <c r="H2" s="35" t="s">
        <v>217</v>
      </c>
    </row>
    <row r="3" spans="1:8" ht="19.5">
      <c r="A3" s="31" t="s">
        <v>218</v>
      </c>
      <c r="B3" s="31" t="s">
        <v>219</v>
      </c>
      <c r="C3" s="31" t="s">
        <v>220</v>
      </c>
      <c r="D3" s="611"/>
      <c r="E3" s="31" t="s">
        <v>221</v>
      </c>
      <c r="F3" s="31" t="s">
        <v>222</v>
      </c>
      <c r="G3" s="31" t="s">
        <v>223</v>
      </c>
      <c r="H3" s="35" t="s">
        <v>224</v>
      </c>
    </row>
    <row r="4" spans="1:8" ht="36">
      <c r="A4" s="31" t="s">
        <v>225</v>
      </c>
      <c r="B4" s="31" t="s">
        <v>58</v>
      </c>
      <c r="C4" s="31" t="s">
        <v>58</v>
      </c>
      <c r="D4" s="611"/>
      <c r="E4" s="31" t="s">
        <v>226</v>
      </c>
      <c r="F4" s="31" t="s">
        <v>226</v>
      </c>
      <c r="G4" s="31" t="s">
        <v>227</v>
      </c>
      <c r="H4" s="36"/>
    </row>
    <row r="5" spans="1:8" ht="36.75" thickBot="1">
      <c r="A5" s="32"/>
      <c r="B5" s="32"/>
      <c r="C5" s="32"/>
      <c r="D5" s="612"/>
      <c r="E5" s="32"/>
      <c r="F5" s="32"/>
      <c r="G5" s="33" t="s">
        <v>226</v>
      </c>
      <c r="H5" s="37"/>
    </row>
    <row r="6" spans="1:8" ht="17.25" thickBot="1">
      <c r="A6" s="38">
        <v>1</v>
      </c>
      <c r="B6" s="38">
        <v>3</v>
      </c>
      <c r="C6" s="38">
        <v>2</v>
      </c>
      <c r="D6" s="38">
        <v>4</v>
      </c>
      <c r="E6" s="38">
        <v>5</v>
      </c>
      <c r="F6" s="38">
        <v>6</v>
      </c>
      <c r="G6" s="38">
        <v>7</v>
      </c>
      <c r="H6" s="39">
        <v>8</v>
      </c>
    </row>
    <row r="7" spans="1:8" ht="17.25" thickBot="1">
      <c r="A7" s="608" t="s">
        <v>108</v>
      </c>
      <c r="B7" s="608">
        <f>VLOOKUP('momen 1p'!A7:A8,'tải sàn'!$B$5:$F$19,4,0)</f>
        <v>2</v>
      </c>
      <c r="C7" s="608">
        <f>VLOOKUP('momen 1p'!A7:A8,'tải sàn'!$B$5:$F$19,5,0)</f>
        <v>6</v>
      </c>
      <c r="D7" s="608">
        <f>ROUND(C7/B7,1)</f>
        <v>3</v>
      </c>
      <c r="E7" s="608">
        <f>VLOOKUP('momen 1p'!A7:A8,'tải sàn'!$B$5:$F$19,2,0)</f>
        <v>0.48</v>
      </c>
      <c r="F7" s="608">
        <f>VLOOKUP('momen 1p'!A7:A8,'tải sàn'!$B$5:$F$19,3,0)</f>
        <v>0.47600000000000003</v>
      </c>
      <c r="G7" s="608">
        <f>E7+F7</f>
        <v>0.95599999999999996</v>
      </c>
      <c r="H7" s="463">
        <f>G7*B7^2/24</f>
        <v>0.15933333333333333</v>
      </c>
    </row>
    <row r="8" spans="1:8" ht="17.25" thickBot="1">
      <c r="A8" s="609"/>
      <c r="B8" s="609"/>
      <c r="C8" s="609"/>
      <c r="D8" s="609"/>
      <c r="E8" s="609"/>
      <c r="F8" s="609"/>
      <c r="G8" s="609"/>
      <c r="H8" s="463">
        <f>G7*B7^2/12</f>
        <v>0.31866666666666665</v>
      </c>
    </row>
    <row r="9" spans="1:8" ht="17.25" thickBot="1">
      <c r="A9" s="608" t="s">
        <v>106</v>
      </c>
      <c r="B9" s="608">
        <f>VLOOKUP('momen 1p'!A9:A10,'tải sàn'!$B$5:$F$19,4,0)</f>
        <v>2</v>
      </c>
      <c r="C9" s="608">
        <f>VLOOKUP('momen 1p'!A9:A10,'tải sàn'!$B$5:$F$19,5,0)</f>
        <v>5.5</v>
      </c>
      <c r="D9" s="608">
        <f>ROUND(C9/B9,1)</f>
        <v>2.8</v>
      </c>
      <c r="E9" s="608">
        <f>VLOOKUP('momen 1p'!A9:A10,'tải sàn'!$B$5:$F$19,2,0)</f>
        <v>0.48</v>
      </c>
      <c r="F9" s="608">
        <f>VLOOKUP('momen 1p'!A9:A10,'tải sàn'!$B$5:$F$19,3,0)</f>
        <v>0.47600000000000003</v>
      </c>
      <c r="G9" s="608">
        <f>E9+F9</f>
        <v>0.95599999999999996</v>
      </c>
      <c r="H9" s="463">
        <f>G9*B9^2/24</f>
        <v>0.15933333333333333</v>
      </c>
    </row>
    <row r="10" spans="1:8" ht="17.25" thickBot="1">
      <c r="A10" s="609"/>
      <c r="B10" s="609"/>
      <c r="C10" s="609"/>
      <c r="D10" s="609"/>
      <c r="E10" s="609"/>
      <c r="F10" s="609"/>
      <c r="G10" s="609"/>
      <c r="H10" s="463">
        <f>G9*B9^2/12</f>
        <v>0.31866666666666665</v>
      </c>
    </row>
    <row r="11" spans="1:8" ht="17.25" thickBot="1">
      <c r="A11" s="608" t="s">
        <v>109</v>
      </c>
      <c r="B11" s="608">
        <f>VLOOKUP('momen 1p'!A11:A12,'tải sàn'!$B$5:$F$19,4,0)</f>
        <v>2</v>
      </c>
      <c r="C11" s="608">
        <f>VLOOKUP('momen 1p'!A11:A12,'tải sàn'!$B$5:$F$19,5,0)</f>
        <v>4</v>
      </c>
      <c r="D11" s="608">
        <f>ROUND(C11/B11,1)</f>
        <v>2</v>
      </c>
      <c r="E11" s="608">
        <f>VLOOKUP('momen 1p'!A11:A12,'tải sàn'!$B$5:$F$19,2,0)</f>
        <v>0.48</v>
      </c>
      <c r="F11" s="608">
        <f>VLOOKUP('momen 1p'!A11:A12,'tải sàn'!$B$5:$F$19,3,0)</f>
        <v>0.47600000000000003</v>
      </c>
      <c r="G11" s="608">
        <f>E11+F11</f>
        <v>0.95599999999999996</v>
      </c>
      <c r="H11" s="463">
        <f>G11*B11^2/24</f>
        <v>0.15933333333333333</v>
      </c>
    </row>
    <row r="12" spans="1:8" ht="17.25" thickBot="1">
      <c r="A12" s="609"/>
      <c r="B12" s="609"/>
      <c r="C12" s="609"/>
      <c r="D12" s="609"/>
      <c r="E12" s="609"/>
      <c r="F12" s="609"/>
      <c r="G12" s="609"/>
      <c r="H12" s="463">
        <f>G11*B11^2/12</f>
        <v>0.31866666666666665</v>
      </c>
    </row>
    <row r="13" spans="1:8" ht="17.25" thickBot="1">
      <c r="A13" s="608" t="s">
        <v>461</v>
      </c>
      <c r="B13" s="608">
        <f>VLOOKUP('momen 1p'!A13:A14,'tải sàn'!$B$5:$F$19,4,0)</f>
        <v>0.79999999999999993</v>
      </c>
      <c r="C13" s="608">
        <f>VLOOKUP('momen 1p'!A13:A14,'tải sàn'!$B$5:$F$19,5,0)</f>
        <v>4.3</v>
      </c>
      <c r="D13" s="608">
        <f>ROUND(C13/B13,1)</f>
        <v>5.4</v>
      </c>
      <c r="E13" s="608">
        <f>VLOOKUP('momen 1p'!A13:A14,'tải sàn'!$B$5:$F$19,2,0)</f>
        <v>0.48</v>
      </c>
      <c r="F13" s="608">
        <f>VLOOKUP('momen 1p'!A13:A14,'tải sàn'!$B$5:$F$19,3,0)</f>
        <v>0.47600000000000003</v>
      </c>
      <c r="G13" s="608">
        <f>E13+F13</f>
        <v>0.95599999999999996</v>
      </c>
      <c r="H13" s="463">
        <f>G13*B13^2/24</f>
        <v>2.5493333333333326E-2</v>
      </c>
    </row>
    <row r="14" spans="1:8" ht="17.25" thickBot="1">
      <c r="A14" s="609"/>
      <c r="B14" s="609"/>
      <c r="C14" s="609"/>
      <c r="D14" s="609"/>
      <c r="E14" s="609"/>
      <c r="F14" s="609"/>
      <c r="G14" s="609"/>
      <c r="H14" s="463">
        <f>G13*B13^2/12</f>
        <v>5.0986666666666652E-2</v>
      </c>
    </row>
    <row r="15" spans="1:8" ht="17.25" thickBot="1">
      <c r="A15" s="608" t="s">
        <v>462</v>
      </c>
      <c r="B15" s="608">
        <f>VLOOKUP('momen 1p'!A15:A16,'tải sàn'!$B$5:$F$19,4,0)</f>
        <v>0.79999999999999993</v>
      </c>
      <c r="C15" s="608">
        <f>VLOOKUP('momen 1p'!A15:A16,'tải sàn'!$B$5:$F$19,5,0)</f>
        <v>3.7</v>
      </c>
      <c r="D15" s="608">
        <f>ROUND(C15/B15,1)</f>
        <v>4.5999999999999996</v>
      </c>
      <c r="E15" s="608">
        <f>VLOOKUP('momen 1p'!A15:A16,'tải sàn'!$B$5:$F$19,2,0)</f>
        <v>0.48</v>
      </c>
      <c r="F15" s="608">
        <f>VLOOKUP('momen 1p'!A15:A16,'tải sàn'!$B$5:$F$19,3,0)</f>
        <v>0.47600000000000003</v>
      </c>
      <c r="G15" s="608">
        <f>E15+F15</f>
        <v>0.95599999999999996</v>
      </c>
      <c r="H15" s="463">
        <f>G15*B15^2/24</f>
        <v>2.5493333333333326E-2</v>
      </c>
    </row>
    <row r="16" spans="1:8" ht="17.25" thickBot="1">
      <c r="A16" s="609"/>
      <c r="B16" s="609"/>
      <c r="C16" s="609"/>
      <c r="D16" s="609"/>
      <c r="E16" s="609"/>
      <c r="F16" s="609"/>
      <c r="G16" s="609"/>
      <c r="H16" s="463">
        <f>G15*B15^2/12</f>
        <v>5.0986666666666652E-2</v>
      </c>
    </row>
  </sheetData>
  <mergeCells count="36">
    <mergeCell ref="F13:F14"/>
    <mergeCell ref="G13:G14"/>
    <mergeCell ref="A15:A16"/>
    <mergeCell ref="B15:B16"/>
    <mergeCell ref="C15:C16"/>
    <mergeCell ref="D15:D16"/>
    <mergeCell ref="E15:E16"/>
    <mergeCell ref="F15:F16"/>
    <mergeCell ref="G15:G16"/>
    <mergeCell ref="A13:A14"/>
    <mergeCell ref="B13:B14"/>
    <mergeCell ref="C13:C14"/>
    <mergeCell ref="D13:D14"/>
    <mergeCell ref="E13:E14"/>
    <mergeCell ref="A11:A12"/>
    <mergeCell ref="B11:B12"/>
    <mergeCell ref="C11:C12"/>
    <mergeCell ref="D11:D12"/>
    <mergeCell ref="E11:E12"/>
    <mergeCell ref="F11:F12"/>
    <mergeCell ref="F7:F8"/>
    <mergeCell ref="G7:G8"/>
    <mergeCell ref="G9:G10"/>
    <mergeCell ref="G11:G12"/>
    <mergeCell ref="F9:F10"/>
    <mergeCell ref="A9:A10"/>
    <mergeCell ref="B9:B10"/>
    <mergeCell ref="C9:C10"/>
    <mergeCell ref="D9:D10"/>
    <mergeCell ref="E9:E10"/>
    <mergeCell ref="E7:E8"/>
    <mergeCell ref="D1:D5"/>
    <mergeCell ref="A7:A8"/>
    <mergeCell ref="C7:C8"/>
    <mergeCell ref="B7:B8"/>
    <mergeCell ref="D7: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4A10-5E90-4115-828C-7CE2ED022D58}">
  <dimension ref="A1:R56"/>
  <sheetViews>
    <sheetView showGridLines="0" tabSelected="1" topLeftCell="B13" workbookViewId="0">
      <selection activeCell="B3" sqref="B3:O20"/>
    </sheetView>
  </sheetViews>
  <sheetFormatPr defaultRowHeight="15"/>
  <cols>
    <col min="2" max="2" width="10.140625" bestFit="1" customWidth="1"/>
    <col min="6" max="6" width="5" bestFit="1" customWidth="1"/>
    <col min="7" max="7" width="8" bestFit="1" customWidth="1"/>
    <col min="8" max="8" width="9" bestFit="1" customWidth="1"/>
    <col min="9" max="10" width="6.85546875" customWidth="1"/>
    <col min="11" max="11" width="7.7109375" bestFit="1" customWidth="1"/>
    <col min="12" max="12" width="6.5703125" customWidth="1"/>
    <col min="13" max="13" width="9" bestFit="1" customWidth="1"/>
    <col min="14" max="15" width="6.85546875" customWidth="1"/>
    <col min="16" max="18" width="9.140625" hidden="1" customWidth="1"/>
  </cols>
  <sheetData>
    <row r="1" spans="1:18">
      <c r="A1" s="62"/>
      <c r="B1" s="62"/>
      <c r="C1" s="62"/>
      <c r="D1" s="62"/>
      <c r="E1" s="62"/>
      <c r="F1" s="62"/>
      <c r="G1" s="62"/>
      <c r="H1" s="62"/>
      <c r="I1" s="63"/>
      <c r="J1" s="62"/>
      <c r="K1" s="62"/>
      <c r="L1" s="62"/>
      <c r="M1" s="62"/>
      <c r="N1" s="62"/>
      <c r="O1" s="64"/>
      <c r="P1" s="50"/>
      <c r="Q1" s="60"/>
      <c r="R1" s="50"/>
    </row>
    <row r="2" spans="1:18">
      <c r="A2" s="62"/>
      <c r="B2" s="232"/>
      <c r="C2" s="232"/>
      <c r="D2" s="232"/>
      <c r="E2" s="232"/>
      <c r="F2" s="232"/>
      <c r="G2" s="232"/>
      <c r="H2" s="232"/>
      <c r="I2" s="233"/>
      <c r="J2" s="232"/>
      <c r="K2" s="232"/>
      <c r="L2" s="232"/>
      <c r="M2" s="232"/>
      <c r="N2" s="232"/>
      <c r="O2" s="234"/>
      <c r="P2" s="50"/>
      <c r="Q2" s="60"/>
      <c r="R2" s="50"/>
    </row>
    <row r="3" spans="1:18" ht="18.75">
      <c r="A3" s="61"/>
      <c r="B3" s="224"/>
      <c r="C3" s="224"/>
      <c r="D3" s="225" t="s">
        <v>945</v>
      </c>
      <c r="E3" s="224"/>
      <c r="F3" s="224"/>
      <c r="G3" s="224"/>
      <c r="H3" s="224"/>
      <c r="I3" s="226"/>
      <c r="J3" s="224"/>
      <c r="K3" s="224"/>
      <c r="L3" s="224"/>
      <c r="M3" s="227"/>
      <c r="N3" s="224"/>
      <c r="O3" s="227"/>
      <c r="P3" s="42"/>
      <c r="Q3" s="41"/>
      <c r="R3" s="42"/>
    </row>
    <row r="4" spans="1:18" ht="18.75">
      <c r="A4" s="61"/>
      <c r="B4" s="228" t="s">
        <v>233</v>
      </c>
      <c r="C4" s="229" t="s">
        <v>234</v>
      </c>
      <c r="D4" s="230"/>
      <c r="E4" s="231"/>
      <c r="F4" s="232"/>
      <c r="G4" s="232"/>
      <c r="H4" s="232"/>
      <c r="I4" s="233"/>
      <c r="J4" s="232"/>
      <c r="K4" s="234"/>
      <c r="L4" s="232"/>
      <c r="M4" s="234"/>
      <c r="N4" s="232"/>
      <c r="O4" s="227"/>
      <c r="P4" s="43"/>
      <c r="Q4" s="54"/>
      <c r="R4" s="43"/>
    </row>
    <row r="5" spans="1:18" ht="18.75">
      <c r="A5" s="61"/>
      <c r="B5" s="232"/>
      <c r="C5" s="229" t="s">
        <v>235</v>
      </c>
      <c r="D5" s="229"/>
      <c r="E5" s="231"/>
      <c r="F5" s="232"/>
      <c r="G5" s="232"/>
      <c r="H5" s="232"/>
      <c r="I5" s="233"/>
      <c r="J5" s="232"/>
      <c r="K5" s="232"/>
      <c r="L5" s="232"/>
      <c r="M5" s="234"/>
      <c r="N5" s="232"/>
      <c r="O5" s="227"/>
      <c r="P5" s="43"/>
      <c r="Q5" s="54"/>
      <c r="R5" s="43"/>
    </row>
    <row r="6" spans="1:18" ht="18.75">
      <c r="A6" s="61"/>
      <c r="B6" s="234"/>
      <c r="C6" s="235" t="s">
        <v>236</v>
      </c>
      <c r="D6" s="229"/>
      <c r="E6" s="231"/>
      <c r="F6" s="236">
        <f>TH!C21</f>
        <v>25</v>
      </c>
      <c r="G6" s="237" t="s">
        <v>237</v>
      </c>
      <c r="H6" s="238">
        <f>IF(F6=12.5,7.5,IF(F6=15,8.5,IF(F6=20,11.5,IF(F6=25,14.5,"!!!"))))</f>
        <v>14.5</v>
      </c>
      <c r="I6" s="239" t="s">
        <v>238</v>
      </c>
      <c r="J6" s="234"/>
      <c r="K6" s="234"/>
      <c r="L6" s="234"/>
      <c r="M6" s="234"/>
      <c r="N6" s="232"/>
      <c r="O6" s="227"/>
      <c r="P6" s="44"/>
      <c r="Q6" s="54"/>
      <c r="R6" s="43"/>
    </row>
    <row r="7" spans="1:18" ht="15.75">
      <c r="A7" s="61"/>
      <c r="B7" s="234"/>
      <c r="C7" s="229" t="s">
        <v>239</v>
      </c>
      <c r="D7" s="229"/>
      <c r="E7" s="234"/>
      <c r="F7" s="240"/>
      <c r="G7" s="237"/>
      <c r="H7" s="239"/>
      <c r="I7" s="239"/>
      <c r="J7" s="234"/>
      <c r="K7" s="234"/>
      <c r="L7" s="234"/>
      <c r="M7" s="234"/>
      <c r="N7" s="234"/>
      <c r="O7" s="227"/>
      <c r="P7" s="44"/>
      <c r="Q7" s="54"/>
      <c r="R7" s="44"/>
    </row>
    <row r="8" spans="1:18" ht="18.75">
      <c r="A8" s="61"/>
      <c r="B8" s="65" t="s">
        <v>240</v>
      </c>
      <c r="C8" s="65" t="s">
        <v>241</v>
      </c>
      <c r="D8" s="66" t="s">
        <v>242</v>
      </c>
      <c r="E8" s="65" t="s">
        <v>243</v>
      </c>
      <c r="F8" s="66" t="s">
        <v>244</v>
      </c>
      <c r="G8" s="65" t="s">
        <v>245</v>
      </c>
      <c r="H8" s="65" t="s">
        <v>246</v>
      </c>
      <c r="I8" s="67" t="s">
        <v>247</v>
      </c>
      <c r="J8" s="67" t="s">
        <v>248</v>
      </c>
      <c r="K8" s="66" t="s">
        <v>249</v>
      </c>
      <c r="L8" s="68" t="s">
        <v>250</v>
      </c>
      <c r="M8" s="69"/>
      <c r="N8" s="69" t="s">
        <v>249</v>
      </c>
      <c r="O8" s="67" t="s">
        <v>251</v>
      </c>
      <c r="P8" s="49" t="s">
        <v>252</v>
      </c>
      <c r="Q8" s="55" t="s">
        <v>253</v>
      </c>
      <c r="R8" s="56" t="s">
        <v>251</v>
      </c>
    </row>
    <row r="9" spans="1:18" ht="18.75">
      <c r="A9" s="61"/>
      <c r="B9" s="70" t="s">
        <v>254</v>
      </c>
      <c r="C9" s="70"/>
      <c r="D9" s="71" t="s">
        <v>924</v>
      </c>
      <c r="E9" s="72" t="s">
        <v>58</v>
      </c>
      <c r="F9" s="71" t="s">
        <v>58</v>
      </c>
      <c r="G9" s="72" t="s">
        <v>923</v>
      </c>
      <c r="H9" s="205" t="s">
        <v>923</v>
      </c>
      <c r="I9" s="70"/>
      <c r="J9" s="70"/>
      <c r="K9" s="71" t="s">
        <v>255</v>
      </c>
      <c r="L9" s="73" t="s">
        <v>256</v>
      </c>
      <c r="M9" s="74" t="s">
        <v>257</v>
      </c>
      <c r="N9" s="75" t="s">
        <v>258</v>
      </c>
      <c r="O9" s="70"/>
      <c r="P9" s="48" t="s">
        <v>259</v>
      </c>
      <c r="Q9" s="57" t="s">
        <v>258</v>
      </c>
      <c r="R9" s="48"/>
    </row>
    <row r="10" spans="1:18" ht="15.75">
      <c r="A10" s="61"/>
      <c r="B10" s="76">
        <v>1</v>
      </c>
      <c r="C10" s="77">
        <v>2</v>
      </c>
      <c r="D10" s="77">
        <v>3</v>
      </c>
      <c r="E10" s="77">
        <v>4</v>
      </c>
      <c r="F10" s="77">
        <v>5</v>
      </c>
      <c r="G10" s="77">
        <v>6</v>
      </c>
      <c r="H10" s="77">
        <v>7</v>
      </c>
      <c r="I10" s="77">
        <v>8</v>
      </c>
      <c r="J10" s="77">
        <v>9</v>
      </c>
      <c r="K10" s="114">
        <v>11</v>
      </c>
      <c r="L10" s="114">
        <v>12</v>
      </c>
      <c r="M10" s="114">
        <v>13</v>
      </c>
      <c r="N10" s="114">
        <v>14</v>
      </c>
      <c r="O10" s="114">
        <v>15</v>
      </c>
      <c r="P10" s="114">
        <v>16</v>
      </c>
      <c r="Q10" s="114">
        <v>17</v>
      </c>
      <c r="R10" s="114">
        <v>18</v>
      </c>
    </row>
    <row r="11" spans="1:18" ht="18.75">
      <c r="A11" s="61"/>
      <c r="B11" s="613" t="str">
        <f>'momen 1p'!A7</f>
        <v>S4</v>
      </c>
      <c r="C11" s="214" t="s">
        <v>260</v>
      </c>
      <c r="D11" s="462">
        <f>'momen 1p'!H7*10</f>
        <v>1.5933333333333333</v>
      </c>
      <c r="E11" s="461">
        <f>TH!$I$45/1000</f>
        <v>0.08</v>
      </c>
      <c r="F11" s="216">
        <v>1</v>
      </c>
      <c r="G11" s="460">
        <f>$H$6*100</f>
        <v>1450</v>
      </c>
      <c r="H11" s="215">
        <f>'SĐD_1 Phương'!$C$10</f>
        <v>28000</v>
      </c>
      <c r="I11" s="218">
        <f t="shared" ref="I11:I20" si="0">+D11/(G11*10*F11*E11*E11)</f>
        <v>1.7169540229885056E-2</v>
      </c>
      <c r="J11" s="219">
        <f t="shared" ref="J11:J20" si="1">0.5*(1+SQRT(1-2*I11))</f>
        <v>0.99134023841433694</v>
      </c>
      <c r="K11" s="443">
        <f t="shared" ref="K11:K17" si="2">+D11/(H11*10*J11*E11)*10000</f>
        <v>0.71752310281208154</v>
      </c>
      <c r="L11" s="217">
        <v>10</v>
      </c>
      <c r="M11" s="217">
        <v>150</v>
      </c>
      <c r="N11" s="220">
        <f t="shared" ref="N11:N20" si="3">IF(L11=6,0.283*1000/M11,IF(L11=8,0.503*1000/M11,IF(L11=10,0.785*1000/M11,IF(L11=12,1.131*1000/M11,1.539*1000/M11))))</f>
        <v>5.2333333333333334</v>
      </c>
      <c r="O11" s="221">
        <f t="shared" ref="O11:O16" si="4">N11/E11</f>
        <v>65.416666666666671</v>
      </c>
      <c r="P11" s="51" t="str">
        <f t="shared" ref="P11:P16" si="5">"Ø"&amp;L11&amp;"a"&amp;M11</f>
        <v>Ø10a150</v>
      </c>
      <c r="Q11" s="58">
        <f>VLOOKUP(P11,'tra thep'!$E$11:$F$62,2,)</f>
        <v>5.23</v>
      </c>
      <c r="R11" s="47">
        <f>M11/E11/1000</f>
        <v>1.875</v>
      </c>
    </row>
    <row r="12" spans="1:18" ht="18.75">
      <c r="A12" s="61"/>
      <c r="B12" s="614"/>
      <c r="C12" s="214" t="s">
        <v>262</v>
      </c>
      <c r="D12" s="462">
        <f>'momen 1p'!H8*10</f>
        <v>3.1866666666666665</v>
      </c>
      <c r="E12" s="461">
        <f>TH!$I$45/1000</f>
        <v>0.08</v>
      </c>
      <c r="F12" s="216">
        <v>1</v>
      </c>
      <c r="G12" s="460">
        <f t="shared" ref="G12:G20" si="6">$H$6*100</f>
        <v>1450</v>
      </c>
      <c r="H12" s="215">
        <f>'SĐD_1 Phương'!$C$10</f>
        <v>28000</v>
      </c>
      <c r="I12" s="218">
        <f t="shared" si="0"/>
        <v>3.4339080459770112E-2</v>
      </c>
      <c r="J12" s="219">
        <f t="shared" si="1"/>
        <v>0.98252508719248466</v>
      </c>
      <c r="K12" s="443">
        <f t="shared" si="2"/>
        <v>1.4479213469084125</v>
      </c>
      <c r="L12" s="217">
        <v>10</v>
      </c>
      <c r="M12" s="217">
        <v>150</v>
      </c>
      <c r="N12" s="220">
        <f t="shared" si="3"/>
        <v>5.2333333333333334</v>
      </c>
      <c r="O12" s="221">
        <f t="shared" si="4"/>
        <v>65.416666666666671</v>
      </c>
      <c r="P12" s="112" t="str">
        <f t="shared" si="5"/>
        <v>Ø10a150</v>
      </c>
      <c r="Q12" s="113">
        <f>VLOOKUP(P12,'tra thep'!$E$11:$F$62,2,)</f>
        <v>5.23</v>
      </c>
      <c r="R12" s="81">
        <f t="shared" ref="R12:R16" si="7">M12/E12/1000</f>
        <v>1.875</v>
      </c>
    </row>
    <row r="13" spans="1:18" ht="18.75">
      <c r="A13" s="61"/>
      <c r="B13" s="613" t="str">
        <f>'momen 1p'!A9</f>
        <v>S6</v>
      </c>
      <c r="C13" s="214" t="s">
        <v>260</v>
      </c>
      <c r="D13" s="462">
        <f>'momen 1p'!H9*10</f>
        <v>1.5933333333333333</v>
      </c>
      <c r="E13" s="461">
        <f>TH!$I$45/1000</f>
        <v>0.08</v>
      </c>
      <c r="F13" s="216">
        <v>1</v>
      </c>
      <c r="G13" s="460">
        <f t="shared" si="6"/>
        <v>1450</v>
      </c>
      <c r="H13" s="215">
        <f>'SĐD_1 Phương'!$C$10</f>
        <v>28000</v>
      </c>
      <c r="I13" s="218">
        <f t="shared" si="0"/>
        <v>1.7169540229885056E-2</v>
      </c>
      <c r="J13" s="219">
        <f t="shared" si="1"/>
        <v>0.99134023841433694</v>
      </c>
      <c r="K13" s="443">
        <f t="shared" si="2"/>
        <v>0.71752310281208154</v>
      </c>
      <c r="L13" s="217">
        <v>10</v>
      </c>
      <c r="M13" s="217">
        <v>150</v>
      </c>
      <c r="N13" s="220">
        <f t="shared" si="3"/>
        <v>5.2333333333333334</v>
      </c>
      <c r="O13" s="221">
        <f t="shared" si="4"/>
        <v>65.416666666666671</v>
      </c>
      <c r="P13" s="112" t="str">
        <f t="shared" si="5"/>
        <v>Ø10a150</v>
      </c>
      <c r="Q13" s="113">
        <f>VLOOKUP(P13,'tra thep'!$E$11:$F$62,2,)</f>
        <v>5.23</v>
      </c>
      <c r="R13" s="81">
        <f t="shared" si="7"/>
        <v>1.875</v>
      </c>
    </row>
    <row r="14" spans="1:18" ht="18.75">
      <c r="A14" s="61"/>
      <c r="B14" s="614"/>
      <c r="C14" s="214" t="s">
        <v>262</v>
      </c>
      <c r="D14" s="462">
        <f>'momen 1p'!H10*10</f>
        <v>3.1866666666666665</v>
      </c>
      <c r="E14" s="461">
        <f>TH!$I$45/1000</f>
        <v>0.08</v>
      </c>
      <c r="F14" s="216">
        <v>1</v>
      </c>
      <c r="G14" s="460">
        <f t="shared" si="6"/>
        <v>1450</v>
      </c>
      <c r="H14" s="215">
        <f>'SĐD_1 Phương'!$C$10</f>
        <v>28000</v>
      </c>
      <c r="I14" s="218">
        <f t="shared" si="0"/>
        <v>3.4339080459770112E-2</v>
      </c>
      <c r="J14" s="219">
        <f t="shared" si="1"/>
        <v>0.98252508719248466</v>
      </c>
      <c r="K14" s="443">
        <f t="shared" si="2"/>
        <v>1.4479213469084125</v>
      </c>
      <c r="L14" s="217">
        <v>10</v>
      </c>
      <c r="M14" s="217">
        <v>150</v>
      </c>
      <c r="N14" s="220">
        <f t="shared" si="3"/>
        <v>5.2333333333333334</v>
      </c>
      <c r="O14" s="221">
        <f t="shared" si="4"/>
        <v>65.416666666666671</v>
      </c>
      <c r="P14" s="112" t="str">
        <f t="shared" si="5"/>
        <v>Ø10a150</v>
      </c>
      <c r="Q14" s="113">
        <f>VLOOKUP(P14,'tra thep'!$E$11:$F$62,2,)</f>
        <v>5.23</v>
      </c>
      <c r="R14" s="81">
        <f t="shared" si="7"/>
        <v>1.875</v>
      </c>
    </row>
    <row r="15" spans="1:18" ht="18.75">
      <c r="A15" s="61"/>
      <c r="B15" s="613" t="str">
        <f>'momen 1p'!A11</f>
        <v>S7</v>
      </c>
      <c r="C15" s="214" t="s">
        <v>260</v>
      </c>
      <c r="D15" s="462">
        <f>'momen 1p'!H11*10</f>
        <v>1.5933333333333333</v>
      </c>
      <c r="E15" s="461">
        <f>TH!$I$45/1000</f>
        <v>0.08</v>
      </c>
      <c r="F15" s="216">
        <v>1</v>
      </c>
      <c r="G15" s="460">
        <f t="shared" si="6"/>
        <v>1450</v>
      </c>
      <c r="H15" s="215">
        <f>'SĐD_1 Phương'!$C$10</f>
        <v>28000</v>
      </c>
      <c r="I15" s="218">
        <f t="shared" si="0"/>
        <v>1.7169540229885056E-2</v>
      </c>
      <c r="J15" s="219">
        <f t="shared" si="1"/>
        <v>0.99134023841433694</v>
      </c>
      <c r="K15" s="443">
        <f t="shared" si="2"/>
        <v>0.71752310281208154</v>
      </c>
      <c r="L15" s="217">
        <v>10</v>
      </c>
      <c r="M15" s="217">
        <v>150</v>
      </c>
      <c r="N15" s="220">
        <f t="shared" si="3"/>
        <v>5.2333333333333334</v>
      </c>
      <c r="O15" s="221">
        <f t="shared" si="4"/>
        <v>65.416666666666671</v>
      </c>
      <c r="P15" s="112" t="str">
        <f t="shared" si="5"/>
        <v>Ø10a150</v>
      </c>
      <c r="Q15" s="113">
        <f>VLOOKUP(P15,'tra thep'!$E$11:$F$62,2,)</f>
        <v>5.23</v>
      </c>
      <c r="R15" s="81">
        <f t="shared" si="7"/>
        <v>1.875</v>
      </c>
    </row>
    <row r="16" spans="1:18" ht="18.75">
      <c r="A16" s="61"/>
      <c r="B16" s="614"/>
      <c r="C16" s="214" t="s">
        <v>262</v>
      </c>
      <c r="D16" s="462">
        <f>'momen 1p'!H12*10</f>
        <v>3.1866666666666665</v>
      </c>
      <c r="E16" s="461">
        <f>TH!$I$45/1000</f>
        <v>0.08</v>
      </c>
      <c r="F16" s="216">
        <v>1</v>
      </c>
      <c r="G16" s="460">
        <f t="shared" si="6"/>
        <v>1450</v>
      </c>
      <c r="H16" s="215">
        <f>'SĐD_1 Phương'!$C$10</f>
        <v>28000</v>
      </c>
      <c r="I16" s="218">
        <f t="shared" si="0"/>
        <v>3.4339080459770112E-2</v>
      </c>
      <c r="J16" s="219">
        <f t="shared" si="1"/>
        <v>0.98252508719248466</v>
      </c>
      <c r="K16" s="443">
        <f t="shared" si="2"/>
        <v>1.4479213469084125</v>
      </c>
      <c r="L16" s="217">
        <v>10</v>
      </c>
      <c r="M16" s="217">
        <v>150</v>
      </c>
      <c r="N16" s="220">
        <f t="shared" si="3"/>
        <v>5.2333333333333334</v>
      </c>
      <c r="O16" s="221">
        <f t="shared" si="4"/>
        <v>65.416666666666671</v>
      </c>
      <c r="P16" s="112" t="str">
        <f t="shared" si="5"/>
        <v>Ø10a150</v>
      </c>
      <c r="Q16" s="113">
        <f>VLOOKUP(P16,'tra thep'!$E$11:$F$62,2,)</f>
        <v>5.23</v>
      </c>
      <c r="R16" s="81">
        <f t="shared" si="7"/>
        <v>1.875</v>
      </c>
    </row>
    <row r="17" spans="1:18" ht="18.75">
      <c r="A17" s="42"/>
      <c r="B17" s="613" t="s">
        <v>461</v>
      </c>
      <c r="C17" s="214" t="s">
        <v>260</v>
      </c>
      <c r="D17" s="462">
        <f>'momen 1p'!H13*10</f>
        <v>0.25493333333333323</v>
      </c>
      <c r="E17" s="461">
        <f>TH!$I$45/1000</f>
        <v>0.08</v>
      </c>
      <c r="F17" s="216">
        <v>1</v>
      </c>
      <c r="G17" s="460">
        <f t="shared" si="6"/>
        <v>1450</v>
      </c>
      <c r="H17" s="215">
        <f>'SĐD_1 Phương'!$C$10</f>
        <v>28000</v>
      </c>
      <c r="I17" s="218">
        <f t="shared" si="0"/>
        <v>2.7471264367816082E-3</v>
      </c>
      <c r="J17" s="219">
        <f t="shared" si="1"/>
        <v>0.9986245449048905</v>
      </c>
      <c r="K17" s="443">
        <f t="shared" si="2"/>
        <v>0.11396627930907009</v>
      </c>
      <c r="L17" s="217">
        <v>10</v>
      </c>
      <c r="M17" s="217">
        <v>150</v>
      </c>
      <c r="N17" s="220">
        <f t="shared" si="3"/>
        <v>5.2333333333333334</v>
      </c>
      <c r="O17" s="221">
        <f>N17/E17</f>
        <v>65.416666666666671</v>
      </c>
      <c r="P17" s="43"/>
      <c r="Q17" s="59"/>
      <c r="R17" s="43"/>
    </row>
    <row r="18" spans="1:18" ht="18.75">
      <c r="A18" s="42"/>
      <c r="B18" s="614"/>
      <c r="C18" s="214" t="s">
        <v>262</v>
      </c>
      <c r="D18" s="462">
        <f>'momen 1p'!H14*10</f>
        <v>0.50986666666666647</v>
      </c>
      <c r="E18" s="461">
        <f>TH!$I$45/1000</f>
        <v>0.08</v>
      </c>
      <c r="F18" s="216">
        <v>1</v>
      </c>
      <c r="G18" s="460">
        <f t="shared" si="6"/>
        <v>1450</v>
      </c>
      <c r="H18" s="215">
        <f>'SĐD_1 Phương'!$C$10</f>
        <v>28000</v>
      </c>
      <c r="I18" s="218">
        <f t="shared" si="0"/>
        <v>5.4942528735632164E-3</v>
      </c>
      <c r="J18" s="219">
        <f t="shared" si="1"/>
        <v>0.99724528510908816</v>
      </c>
      <c r="K18" s="443">
        <f>+D18/(H18*10*J18*E18)*10000</f>
        <v>0.22824780524697932</v>
      </c>
      <c r="L18" s="217">
        <v>10</v>
      </c>
      <c r="M18" s="217">
        <v>150</v>
      </c>
      <c r="N18" s="220">
        <f t="shared" si="3"/>
        <v>5.2333333333333334</v>
      </c>
      <c r="O18" s="221">
        <f>N18/E18</f>
        <v>65.416666666666671</v>
      </c>
      <c r="P18" s="43"/>
      <c r="Q18" s="59"/>
      <c r="R18" s="43"/>
    </row>
    <row r="19" spans="1:18" ht="18.75">
      <c r="A19" s="42"/>
      <c r="B19" s="613" t="s">
        <v>462</v>
      </c>
      <c r="C19" s="214" t="s">
        <v>260</v>
      </c>
      <c r="D19" s="462">
        <f>'momen 1p'!H15*10</f>
        <v>0.25493333333333323</v>
      </c>
      <c r="E19" s="461">
        <f>TH!$I$45/1000</f>
        <v>0.08</v>
      </c>
      <c r="F19" s="216">
        <v>1</v>
      </c>
      <c r="G19" s="460">
        <f t="shared" si="6"/>
        <v>1450</v>
      </c>
      <c r="H19" s="215">
        <f>'SĐD_1 Phương'!$C$10</f>
        <v>28000</v>
      </c>
      <c r="I19" s="218">
        <f t="shared" si="0"/>
        <v>2.7471264367816082E-3</v>
      </c>
      <c r="J19" s="219">
        <f t="shared" si="1"/>
        <v>0.9986245449048905</v>
      </c>
      <c r="K19" s="443">
        <f t="shared" ref="K19:K20" si="8">+D19/(H19*10*J19*E19)*10000</f>
        <v>0.11396627930907009</v>
      </c>
      <c r="L19" s="217">
        <v>10</v>
      </c>
      <c r="M19" s="217">
        <v>150</v>
      </c>
      <c r="N19" s="220">
        <f t="shared" si="3"/>
        <v>5.2333333333333334</v>
      </c>
      <c r="O19" s="221">
        <f>N19/E19</f>
        <v>65.416666666666671</v>
      </c>
      <c r="P19" s="43"/>
      <c r="Q19" s="59"/>
      <c r="R19" s="43"/>
    </row>
    <row r="20" spans="1:18" ht="18.75">
      <c r="A20" s="42"/>
      <c r="B20" s="614"/>
      <c r="C20" s="214" t="s">
        <v>262</v>
      </c>
      <c r="D20" s="462">
        <f>'momen 1p'!H16*10</f>
        <v>0.50986666666666647</v>
      </c>
      <c r="E20" s="461">
        <f>TH!$I$45/1000</f>
        <v>0.08</v>
      </c>
      <c r="F20" s="216">
        <v>1</v>
      </c>
      <c r="G20" s="460">
        <f t="shared" si="6"/>
        <v>1450</v>
      </c>
      <c r="H20" s="215">
        <f>'SĐD_1 Phương'!$C$10</f>
        <v>28000</v>
      </c>
      <c r="I20" s="218">
        <f t="shared" si="0"/>
        <v>5.4942528735632164E-3</v>
      </c>
      <c r="J20" s="219">
        <f t="shared" si="1"/>
        <v>0.99724528510908816</v>
      </c>
      <c r="K20" s="443">
        <f t="shared" si="8"/>
        <v>0.22824780524697932</v>
      </c>
      <c r="L20" s="217">
        <v>10</v>
      </c>
      <c r="M20" s="217">
        <v>150</v>
      </c>
      <c r="N20" s="220">
        <f t="shared" si="3"/>
        <v>5.2333333333333334</v>
      </c>
      <c r="O20" s="221">
        <f>N20/E20</f>
        <v>65.416666666666671</v>
      </c>
      <c r="P20" s="43"/>
      <c r="Q20" s="59"/>
      <c r="R20" s="43"/>
    </row>
    <row r="21" spans="1:18">
      <c r="A21" s="42"/>
      <c r="B21" s="43"/>
      <c r="C21" s="43"/>
      <c r="D21" s="43"/>
      <c r="E21" s="43"/>
      <c r="F21" s="43"/>
      <c r="G21" s="43"/>
      <c r="H21" s="43"/>
      <c r="I21" s="46"/>
      <c r="J21" s="43"/>
      <c r="K21" s="43"/>
      <c r="L21" s="43"/>
      <c r="M21" s="52"/>
      <c r="N21" s="43"/>
      <c r="O21" s="44"/>
      <c r="P21" s="43"/>
      <c r="Q21" s="59"/>
      <c r="R21" s="43"/>
    </row>
    <row r="22" spans="1:18">
      <c r="A22" s="42"/>
      <c r="B22" s="43"/>
      <c r="C22" s="43"/>
      <c r="D22" s="43"/>
      <c r="E22" s="43"/>
      <c r="F22" s="43"/>
      <c r="G22" s="43"/>
      <c r="H22" s="43"/>
      <c r="I22" s="46"/>
      <c r="J22" s="43"/>
      <c r="K22" s="43"/>
      <c r="L22" s="43"/>
      <c r="M22" s="43"/>
      <c r="N22" s="43"/>
      <c r="O22" s="44"/>
      <c r="P22" s="43"/>
      <c r="Q22" s="59"/>
      <c r="R22" s="43"/>
    </row>
    <row r="23" spans="1:18">
      <c r="A23" s="42"/>
      <c r="B23" s="43"/>
      <c r="C23" s="43"/>
      <c r="D23" s="43"/>
      <c r="E23" s="43"/>
      <c r="F23" s="43"/>
      <c r="G23" s="43"/>
      <c r="H23" s="43"/>
      <c r="I23" s="46"/>
      <c r="J23" s="43"/>
      <c r="K23" s="43"/>
      <c r="L23" s="43"/>
      <c r="M23" s="43"/>
      <c r="N23" s="43"/>
      <c r="O23" s="44"/>
      <c r="P23" s="43"/>
      <c r="Q23" s="59"/>
      <c r="R23" s="43"/>
    </row>
    <row r="24" spans="1:18">
      <c r="A24" s="42"/>
      <c r="B24" s="43"/>
      <c r="C24" s="43"/>
      <c r="D24" s="43"/>
      <c r="E24" s="43"/>
      <c r="F24" s="43"/>
      <c r="G24" s="43"/>
      <c r="H24" s="43"/>
      <c r="I24" s="46"/>
      <c r="J24" s="43"/>
      <c r="K24" s="43"/>
      <c r="L24" s="43"/>
      <c r="M24" s="43"/>
      <c r="N24" s="43"/>
      <c r="O24" s="44"/>
      <c r="P24" s="43"/>
      <c r="Q24" s="59"/>
      <c r="R24" s="43"/>
    </row>
    <row r="25" spans="1:18">
      <c r="A25" s="42"/>
      <c r="B25" s="43"/>
      <c r="C25" s="43"/>
      <c r="D25" s="43"/>
      <c r="E25" s="43"/>
      <c r="F25" s="43"/>
      <c r="G25" s="43"/>
      <c r="H25" s="43"/>
      <c r="I25" s="46"/>
      <c r="J25" s="43"/>
      <c r="K25" s="43"/>
      <c r="L25" s="43"/>
      <c r="M25" s="43"/>
      <c r="N25" s="43"/>
      <c r="O25" s="44"/>
      <c r="P25" s="43"/>
      <c r="Q25" s="59"/>
      <c r="R25" s="43"/>
    </row>
    <row r="26" spans="1:18">
      <c r="A26" s="42"/>
      <c r="B26" s="43"/>
      <c r="C26" s="43"/>
      <c r="D26" s="43"/>
      <c r="E26" s="43"/>
      <c r="F26" s="43"/>
      <c r="G26" s="43"/>
      <c r="H26" s="43"/>
      <c r="I26" s="46"/>
      <c r="J26" s="43"/>
      <c r="K26" s="43"/>
      <c r="L26" s="43"/>
      <c r="M26" s="43"/>
      <c r="N26" s="43"/>
      <c r="O26" s="44"/>
      <c r="P26" s="43"/>
      <c r="Q26" s="59"/>
      <c r="R26" s="43"/>
    </row>
    <row r="27" spans="1:18">
      <c r="A27" s="42"/>
      <c r="B27" s="43"/>
      <c r="C27" s="43"/>
      <c r="D27" s="43"/>
      <c r="E27" s="43"/>
      <c r="F27" s="43"/>
      <c r="G27" s="43"/>
      <c r="H27" s="43"/>
      <c r="I27" s="46"/>
      <c r="J27" s="43"/>
      <c r="K27" s="43"/>
      <c r="L27" s="43"/>
      <c r="M27" s="43"/>
      <c r="N27" s="43"/>
      <c r="O27" s="44"/>
      <c r="P27" s="43"/>
      <c r="Q27" s="59"/>
      <c r="R27" s="43"/>
    </row>
    <row r="28" spans="1:18">
      <c r="A28" s="42"/>
      <c r="B28" s="43"/>
      <c r="C28" s="43"/>
      <c r="D28" s="43"/>
      <c r="E28" s="43"/>
      <c r="F28" s="43"/>
      <c r="G28" s="43"/>
      <c r="H28" s="43"/>
      <c r="I28" s="46"/>
      <c r="J28" s="43"/>
      <c r="K28" s="43"/>
      <c r="L28" s="43"/>
      <c r="M28" s="43"/>
      <c r="N28" s="43"/>
      <c r="O28" s="44"/>
      <c r="P28" s="43"/>
      <c r="Q28" s="59"/>
      <c r="R28" s="43"/>
    </row>
    <row r="29" spans="1:18">
      <c r="A29" s="42"/>
      <c r="B29" s="43"/>
      <c r="C29" s="43"/>
      <c r="D29" s="43"/>
      <c r="E29" s="43"/>
      <c r="F29" s="43"/>
      <c r="G29" s="43"/>
      <c r="H29" s="43"/>
      <c r="I29" s="46"/>
      <c r="J29" s="43"/>
      <c r="K29" s="43"/>
      <c r="L29" s="43"/>
      <c r="M29" s="43"/>
      <c r="N29" s="43"/>
      <c r="O29" s="44"/>
      <c r="P29" s="43"/>
      <c r="Q29" s="59"/>
      <c r="R29" s="43"/>
    </row>
    <row r="30" spans="1:18">
      <c r="A30" s="42"/>
      <c r="B30" s="43"/>
      <c r="C30" s="43"/>
      <c r="D30" s="43"/>
      <c r="E30" s="43"/>
      <c r="F30" s="43"/>
      <c r="G30" s="43"/>
      <c r="H30" s="43"/>
      <c r="I30" s="46"/>
      <c r="J30" s="43"/>
      <c r="K30" s="43"/>
      <c r="L30" s="43"/>
      <c r="M30" s="43"/>
      <c r="N30" s="43"/>
      <c r="O30" s="44"/>
      <c r="P30" s="43"/>
      <c r="Q30" s="59"/>
      <c r="R30" s="43"/>
    </row>
    <row r="31" spans="1:18">
      <c r="A31" s="42"/>
      <c r="B31" s="43"/>
      <c r="C31" s="43"/>
      <c r="D31" s="43"/>
      <c r="E31" s="43"/>
      <c r="F31" s="43"/>
      <c r="G31" s="43"/>
      <c r="H31" s="43"/>
      <c r="I31" s="46"/>
      <c r="J31" s="43"/>
      <c r="K31" s="43"/>
      <c r="L31" s="43"/>
      <c r="M31" s="43"/>
      <c r="N31" s="43"/>
      <c r="O31" s="44"/>
      <c r="P31" s="43"/>
      <c r="Q31" s="59"/>
      <c r="R31" s="43"/>
    </row>
    <row r="32" spans="1:18">
      <c r="A32" s="42"/>
      <c r="B32" s="43"/>
      <c r="C32" s="43"/>
      <c r="D32" s="43"/>
      <c r="E32" s="43"/>
      <c r="F32" s="43"/>
      <c r="G32" s="43"/>
      <c r="H32" s="43"/>
      <c r="I32" s="46"/>
      <c r="J32" s="43"/>
      <c r="K32" s="43"/>
      <c r="L32" s="43"/>
      <c r="M32" s="43"/>
      <c r="N32" s="43"/>
      <c r="O32" s="44"/>
      <c r="P32" s="43"/>
      <c r="Q32" s="59"/>
      <c r="R32" s="43"/>
    </row>
    <row r="33" spans="1:18">
      <c r="A33" s="42"/>
      <c r="B33" s="43"/>
      <c r="C33" s="43"/>
      <c r="D33" s="43"/>
      <c r="E33" s="43"/>
      <c r="F33" s="43"/>
      <c r="G33" s="43"/>
      <c r="H33" s="43"/>
      <c r="I33" s="46"/>
      <c r="J33" s="43"/>
      <c r="K33" s="43"/>
      <c r="L33" s="43"/>
      <c r="M33" s="43"/>
      <c r="N33" s="43"/>
      <c r="O33" s="44"/>
      <c r="P33" s="43"/>
      <c r="Q33" s="59"/>
      <c r="R33" s="43"/>
    </row>
    <row r="34" spans="1:18">
      <c r="A34" s="42"/>
      <c r="B34" s="43"/>
      <c r="C34" s="43"/>
      <c r="D34" s="43"/>
      <c r="E34" s="43"/>
      <c r="F34" s="43"/>
      <c r="G34" s="43"/>
      <c r="H34" s="43"/>
      <c r="I34" s="46"/>
      <c r="J34" s="43"/>
      <c r="K34" s="43"/>
      <c r="L34" s="43"/>
      <c r="M34" s="43"/>
      <c r="N34" s="43"/>
      <c r="O34" s="44"/>
      <c r="P34" s="43"/>
      <c r="Q34" s="59"/>
      <c r="R34" s="43"/>
    </row>
    <row r="35" spans="1:18">
      <c r="A35" s="42"/>
      <c r="B35" s="43"/>
      <c r="C35" s="43"/>
      <c r="D35" s="43"/>
      <c r="E35" s="43"/>
      <c r="F35" s="43"/>
      <c r="G35" s="43"/>
      <c r="H35" s="43"/>
      <c r="I35" s="46"/>
      <c r="J35" s="43"/>
      <c r="K35" s="43"/>
      <c r="L35" s="43"/>
      <c r="M35" s="43"/>
      <c r="N35" s="43"/>
      <c r="O35" s="44"/>
      <c r="P35" s="43"/>
      <c r="Q35" s="59"/>
      <c r="R35" s="43"/>
    </row>
    <row r="36" spans="1:18">
      <c r="A36" s="42"/>
      <c r="B36" s="43"/>
      <c r="C36" s="43"/>
      <c r="D36" s="43"/>
      <c r="E36" s="43"/>
      <c r="F36" s="43"/>
      <c r="G36" s="43"/>
      <c r="H36" s="43"/>
      <c r="I36" s="46"/>
      <c r="J36" s="43"/>
      <c r="K36" s="43"/>
      <c r="L36" s="43"/>
      <c r="M36" s="43"/>
      <c r="N36" s="43"/>
      <c r="O36" s="44"/>
      <c r="P36" s="43"/>
      <c r="Q36" s="59"/>
      <c r="R36" s="43"/>
    </row>
    <row r="37" spans="1:18">
      <c r="A37" s="42"/>
      <c r="B37" s="43"/>
      <c r="C37" s="43"/>
      <c r="D37" s="43"/>
      <c r="E37" s="43"/>
      <c r="F37" s="43"/>
      <c r="G37" s="43"/>
      <c r="H37" s="43"/>
      <c r="I37" s="46"/>
      <c r="J37" s="43"/>
      <c r="K37" s="43"/>
      <c r="L37" s="43"/>
      <c r="M37" s="43"/>
      <c r="N37" s="43"/>
      <c r="O37" s="44"/>
      <c r="P37" s="43"/>
      <c r="Q37" s="59"/>
      <c r="R37" s="43"/>
    </row>
    <row r="38" spans="1:18">
      <c r="A38" s="42"/>
      <c r="B38" s="43"/>
      <c r="C38" s="43"/>
      <c r="D38" s="43"/>
      <c r="E38" s="43"/>
      <c r="F38" s="43"/>
      <c r="G38" s="43"/>
      <c r="H38" s="43"/>
      <c r="I38" s="46"/>
      <c r="J38" s="43"/>
      <c r="K38" s="43"/>
      <c r="L38" s="43"/>
      <c r="M38" s="43"/>
      <c r="N38" s="43"/>
      <c r="O38" s="44"/>
      <c r="P38" s="43"/>
      <c r="Q38" s="59"/>
      <c r="R38" s="43"/>
    </row>
    <row r="39" spans="1:18">
      <c r="A39" s="42"/>
      <c r="B39" s="43"/>
      <c r="C39" s="43"/>
      <c r="D39" s="43"/>
      <c r="E39" s="43"/>
      <c r="F39" s="43"/>
      <c r="G39" s="43"/>
      <c r="H39" s="43"/>
      <c r="I39" s="46"/>
      <c r="J39" s="43"/>
      <c r="K39" s="43"/>
      <c r="L39" s="43"/>
      <c r="M39" s="43"/>
      <c r="N39" s="43"/>
      <c r="O39" s="44"/>
      <c r="P39" s="43"/>
      <c r="Q39" s="59"/>
      <c r="R39" s="43"/>
    </row>
    <row r="40" spans="1:18">
      <c r="A40" s="42"/>
      <c r="B40" s="43"/>
      <c r="C40" s="43"/>
      <c r="D40" s="43"/>
      <c r="E40" s="43"/>
      <c r="F40" s="43"/>
      <c r="G40" s="43"/>
      <c r="H40" s="43"/>
      <c r="I40" s="46"/>
      <c r="J40" s="43"/>
      <c r="K40" s="43"/>
      <c r="L40" s="43"/>
      <c r="M40" s="43"/>
      <c r="N40" s="43"/>
      <c r="O40" s="44"/>
      <c r="P40" s="43"/>
      <c r="Q40" s="59"/>
      <c r="R40" s="43"/>
    </row>
    <row r="41" spans="1:18">
      <c r="A41" s="42"/>
      <c r="B41" s="43"/>
      <c r="C41" s="43"/>
      <c r="D41" s="43"/>
      <c r="E41" s="43"/>
      <c r="F41" s="43"/>
      <c r="G41" s="43"/>
      <c r="H41" s="43"/>
      <c r="I41" s="46"/>
      <c r="J41" s="43"/>
      <c r="K41" s="43"/>
      <c r="L41" s="43"/>
      <c r="M41" s="43"/>
      <c r="N41" s="43"/>
      <c r="O41" s="44"/>
      <c r="P41" s="43"/>
      <c r="Q41" s="59"/>
      <c r="R41" s="43"/>
    </row>
    <row r="42" spans="1:18">
      <c r="A42" s="42"/>
      <c r="B42" s="42"/>
      <c r="C42" s="42"/>
      <c r="D42" s="42"/>
      <c r="E42" s="42"/>
      <c r="F42" s="42"/>
      <c r="G42" s="42"/>
      <c r="H42" s="42"/>
      <c r="I42" s="45"/>
      <c r="J42" s="42"/>
      <c r="K42" s="42"/>
      <c r="L42" s="42"/>
      <c r="M42" s="42"/>
      <c r="N42" s="42"/>
      <c r="O42" s="41"/>
      <c r="P42" s="42"/>
      <c r="Q42" s="53"/>
      <c r="R42" s="42"/>
    </row>
    <row r="43" spans="1:18">
      <c r="A43" s="42"/>
      <c r="B43" s="42"/>
      <c r="C43" s="42"/>
      <c r="D43" s="42"/>
      <c r="E43" s="42"/>
      <c r="F43" s="42"/>
      <c r="G43" s="42"/>
      <c r="H43" s="42"/>
      <c r="I43" s="45"/>
      <c r="J43" s="42"/>
      <c r="K43" s="42"/>
      <c r="L43" s="42"/>
      <c r="M43" s="42"/>
      <c r="N43" s="42"/>
      <c r="O43" s="41"/>
      <c r="P43" s="42"/>
      <c r="Q43" s="53"/>
      <c r="R43" s="42"/>
    </row>
    <row r="44" spans="1:18">
      <c r="A44" s="42"/>
      <c r="B44" s="42"/>
      <c r="C44" s="42"/>
      <c r="D44" s="42"/>
      <c r="E44" s="42"/>
      <c r="F44" s="42"/>
      <c r="G44" s="42"/>
      <c r="H44" s="42"/>
      <c r="I44" s="45"/>
      <c r="J44" s="42"/>
      <c r="K44" s="42"/>
      <c r="L44" s="42"/>
      <c r="M44" s="42"/>
      <c r="N44" s="42"/>
      <c r="O44" s="41"/>
      <c r="P44" s="42"/>
      <c r="Q44" s="53"/>
      <c r="R44" s="42"/>
    </row>
    <row r="45" spans="1:18">
      <c r="A45" s="42"/>
      <c r="B45" s="42"/>
      <c r="C45" s="42"/>
      <c r="D45" s="42"/>
      <c r="E45" s="42"/>
      <c r="F45" s="42"/>
      <c r="G45" s="42"/>
      <c r="H45" s="42"/>
      <c r="I45" s="45"/>
      <c r="J45" s="42"/>
      <c r="K45" s="42"/>
      <c r="L45" s="42"/>
      <c r="M45" s="42"/>
      <c r="N45" s="42"/>
      <c r="O45" s="41"/>
      <c r="P45" s="42"/>
      <c r="Q45" s="53"/>
      <c r="R45" s="42"/>
    </row>
    <row r="46" spans="1:18">
      <c r="A46" s="42"/>
      <c r="B46" s="42"/>
      <c r="C46" s="42"/>
      <c r="D46" s="42"/>
      <c r="E46" s="42"/>
      <c r="F46" s="42"/>
      <c r="G46" s="42"/>
      <c r="H46" s="42"/>
      <c r="I46" s="45"/>
      <c r="J46" s="42"/>
      <c r="K46" s="42"/>
      <c r="L46" s="42"/>
      <c r="M46" s="42"/>
      <c r="N46" s="42"/>
      <c r="O46" s="41"/>
      <c r="P46" s="42"/>
      <c r="Q46" s="53"/>
      <c r="R46" s="42"/>
    </row>
    <row r="47" spans="1:18">
      <c r="A47" s="42"/>
      <c r="B47" s="42"/>
      <c r="C47" s="42"/>
      <c r="D47" s="42"/>
      <c r="E47" s="42"/>
      <c r="F47" s="42"/>
      <c r="G47" s="42"/>
      <c r="H47" s="42"/>
      <c r="I47" s="45"/>
      <c r="J47" s="42"/>
      <c r="K47" s="42"/>
      <c r="L47" s="42"/>
      <c r="M47" s="42"/>
      <c r="N47" s="42"/>
      <c r="O47" s="41"/>
      <c r="P47" s="42"/>
      <c r="Q47" s="53"/>
      <c r="R47" s="42"/>
    </row>
    <row r="48" spans="1:18">
      <c r="A48" s="42"/>
      <c r="B48" s="42"/>
      <c r="C48" s="42"/>
      <c r="D48" s="42"/>
      <c r="E48" s="42"/>
      <c r="F48" s="42"/>
      <c r="G48" s="42"/>
      <c r="H48" s="42"/>
      <c r="I48" s="45"/>
      <c r="J48" s="42"/>
      <c r="K48" s="42"/>
      <c r="L48" s="42"/>
      <c r="M48" s="42"/>
      <c r="N48" s="42"/>
      <c r="O48" s="41"/>
      <c r="P48" s="42"/>
      <c r="Q48" s="53"/>
      <c r="R48" s="42"/>
    </row>
    <row r="49" spans="1:18">
      <c r="A49" s="42"/>
      <c r="B49" s="42"/>
      <c r="C49" s="42"/>
      <c r="D49" s="42"/>
      <c r="E49" s="42"/>
      <c r="F49" s="42"/>
      <c r="G49" s="42"/>
      <c r="H49" s="42"/>
      <c r="I49" s="45"/>
      <c r="J49" s="42"/>
      <c r="K49" s="42"/>
      <c r="L49" s="42"/>
      <c r="M49" s="42"/>
      <c r="N49" s="42"/>
      <c r="O49" s="41"/>
      <c r="P49" s="42"/>
      <c r="Q49" s="53"/>
      <c r="R49" s="42"/>
    </row>
    <row r="50" spans="1:18">
      <c r="A50" s="42"/>
      <c r="B50" s="42"/>
      <c r="C50" s="42"/>
      <c r="D50" s="42"/>
      <c r="E50" s="42"/>
      <c r="F50" s="42"/>
      <c r="G50" s="42"/>
      <c r="H50" s="42"/>
      <c r="I50" s="45"/>
      <c r="J50" s="42"/>
      <c r="K50" s="42"/>
      <c r="L50" s="42"/>
      <c r="M50" s="42"/>
      <c r="N50" s="42"/>
      <c r="O50" s="41"/>
      <c r="P50" s="42"/>
      <c r="Q50" s="53"/>
      <c r="R50" s="42"/>
    </row>
    <row r="51" spans="1:18">
      <c r="A51" s="42"/>
      <c r="B51" s="42"/>
      <c r="C51" s="42"/>
      <c r="D51" s="42"/>
      <c r="E51" s="42"/>
      <c r="F51" s="42"/>
      <c r="G51" s="42"/>
      <c r="H51" s="42"/>
      <c r="I51" s="45"/>
      <c r="J51" s="42"/>
      <c r="K51" s="42"/>
      <c r="L51" s="42"/>
      <c r="M51" s="42"/>
      <c r="N51" s="42"/>
      <c r="O51" s="41"/>
      <c r="P51" s="42"/>
      <c r="Q51" s="53"/>
      <c r="R51" s="42"/>
    </row>
    <row r="52" spans="1:18">
      <c r="A52" s="42"/>
      <c r="B52" s="42"/>
      <c r="C52" s="42"/>
      <c r="D52" s="42"/>
      <c r="E52" s="42"/>
      <c r="F52" s="42"/>
      <c r="G52" s="42"/>
      <c r="H52" s="42"/>
      <c r="I52" s="45"/>
      <c r="J52" s="42"/>
      <c r="K52" s="42"/>
      <c r="L52" s="42"/>
      <c r="M52" s="42"/>
      <c r="N52" s="42"/>
      <c r="O52" s="41"/>
      <c r="P52" s="42"/>
      <c r="Q52" s="53"/>
      <c r="R52" s="42"/>
    </row>
    <row r="53" spans="1:18">
      <c r="A53" s="42"/>
      <c r="B53" s="42"/>
      <c r="C53" s="42"/>
      <c r="D53" s="42"/>
      <c r="E53" s="42"/>
      <c r="F53" s="42"/>
      <c r="G53" s="42"/>
      <c r="H53" s="42"/>
      <c r="I53" s="45"/>
      <c r="J53" s="42"/>
      <c r="K53" s="42"/>
      <c r="L53" s="42"/>
      <c r="M53" s="42"/>
      <c r="N53" s="42"/>
      <c r="O53" s="41"/>
      <c r="P53" s="42"/>
      <c r="Q53" s="53"/>
      <c r="R53" s="42"/>
    </row>
    <row r="54" spans="1:18">
      <c r="A54" s="42"/>
      <c r="B54" s="42"/>
      <c r="C54" s="42"/>
      <c r="D54" s="42"/>
      <c r="E54" s="42"/>
      <c r="F54" s="42"/>
      <c r="G54" s="42"/>
      <c r="H54" s="42"/>
      <c r="I54" s="45"/>
      <c r="J54" s="42"/>
      <c r="K54" s="42"/>
      <c r="L54" s="42"/>
      <c r="M54" s="42"/>
      <c r="N54" s="42"/>
      <c r="O54" s="41"/>
      <c r="P54" s="42"/>
      <c r="Q54" s="53"/>
      <c r="R54" s="42"/>
    </row>
    <row r="55" spans="1:18">
      <c r="A55" s="42"/>
      <c r="B55" s="42"/>
      <c r="C55" s="42"/>
      <c r="D55" s="42"/>
      <c r="E55" s="42"/>
      <c r="F55" s="42"/>
      <c r="G55" s="42"/>
      <c r="H55" s="42"/>
      <c r="I55" s="45"/>
      <c r="J55" s="42"/>
      <c r="K55" s="42"/>
      <c r="L55" s="42"/>
      <c r="M55" s="42"/>
      <c r="N55" s="42"/>
      <c r="O55" s="41"/>
      <c r="P55" s="42"/>
      <c r="Q55" s="53"/>
      <c r="R55" s="42"/>
    </row>
    <row r="56" spans="1:18">
      <c r="A56" s="42"/>
      <c r="B56" s="42"/>
      <c r="C56" s="42"/>
      <c r="D56" s="42"/>
      <c r="E56" s="42"/>
      <c r="F56" s="42"/>
      <c r="G56" s="42"/>
      <c r="H56" s="42"/>
      <c r="I56" s="45"/>
      <c r="J56" s="42"/>
      <c r="K56" s="42"/>
      <c r="L56" s="42"/>
      <c r="M56" s="42"/>
      <c r="N56" s="42"/>
      <c r="O56" s="41"/>
      <c r="P56" s="42"/>
      <c r="Q56" s="53"/>
      <c r="R56" s="42"/>
    </row>
  </sheetData>
  <mergeCells count="5">
    <mergeCell ref="B11:B12"/>
    <mergeCell ref="B13:B14"/>
    <mergeCell ref="B15:B16"/>
    <mergeCell ref="B17:B18"/>
    <mergeCell ref="B19:B20"/>
  </mergeCells>
  <conditionalFormatting sqref="N11:N16">
    <cfRule type="cellIs" dxfId="13" priority="6" operator="lessThan">
      <formula>$K$11</formula>
    </cfRule>
  </conditionalFormatting>
  <conditionalFormatting sqref="N12">
    <cfRule type="cellIs" dxfId="12" priority="4" operator="lessThan">
      <formula>$K$12</formula>
    </cfRule>
  </conditionalFormatting>
  <conditionalFormatting sqref="N13">
    <cfRule type="cellIs" dxfId="11" priority="3" operator="lessThan">
      <formula>$K$13</formula>
    </cfRule>
  </conditionalFormatting>
  <conditionalFormatting sqref="N17:N18">
    <cfRule type="cellIs" dxfId="10" priority="2" operator="lessThan">
      <formula>$K$11</formula>
    </cfRule>
  </conditionalFormatting>
  <conditionalFormatting sqref="N19:N20">
    <cfRule type="cellIs" dxfId="9" priority="1" operator="lessThan">
      <formula>$K$11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A30DF-C570-4266-AF9A-B9730CD2FB55}">
  <dimension ref="A1:I65"/>
  <sheetViews>
    <sheetView workbookViewId="0">
      <selection activeCell="D37" sqref="D37:D38"/>
    </sheetView>
  </sheetViews>
  <sheetFormatPr defaultRowHeight="14.25"/>
  <cols>
    <col min="1" max="1" width="16" style="447" customWidth="1"/>
    <col min="2" max="2" width="13" style="447" customWidth="1"/>
    <col min="3" max="3" width="13.28515625" style="447" customWidth="1"/>
    <col min="4" max="4" width="17.42578125" style="447" bestFit="1" customWidth="1"/>
    <col min="5" max="7" width="9.140625" style="447"/>
    <col min="8" max="8" width="21.85546875" style="447" customWidth="1"/>
    <col min="9" max="256" width="9.140625" style="447"/>
    <col min="257" max="257" width="16" style="447" customWidth="1"/>
    <col min="258" max="258" width="13" style="447" customWidth="1"/>
    <col min="259" max="259" width="13.28515625" style="447" customWidth="1"/>
    <col min="260" max="260" width="17.42578125" style="447" bestFit="1" customWidth="1"/>
    <col min="261" max="263" width="9.140625" style="447"/>
    <col min="264" max="264" width="21.85546875" style="447" customWidth="1"/>
    <col min="265" max="512" width="9.140625" style="447"/>
    <col min="513" max="513" width="16" style="447" customWidth="1"/>
    <col min="514" max="514" width="13" style="447" customWidth="1"/>
    <col min="515" max="515" width="13.28515625" style="447" customWidth="1"/>
    <col min="516" max="516" width="17.42578125" style="447" bestFit="1" customWidth="1"/>
    <col min="517" max="519" width="9.140625" style="447"/>
    <col min="520" max="520" width="21.85546875" style="447" customWidth="1"/>
    <col min="521" max="768" width="9.140625" style="447"/>
    <col min="769" max="769" width="16" style="447" customWidth="1"/>
    <col min="770" max="770" width="13" style="447" customWidth="1"/>
    <col min="771" max="771" width="13.28515625" style="447" customWidth="1"/>
    <col min="772" max="772" width="17.42578125" style="447" bestFit="1" customWidth="1"/>
    <col min="773" max="775" width="9.140625" style="447"/>
    <col min="776" max="776" width="21.85546875" style="447" customWidth="1"/>
    <col min="777" max="1024" width="9.140625" style="447"/>
    <col min="1025" max="1025" width="16" style="447" customWidth="1"/>
    <col min="1026" max="1026" width="13" style="447" customWidth="1"/>
    <col min="1027" max="1027" width="13.28515625" style="447" customWidth="1"/>
    <col min="1028" max="1028" width="17.42578125" style="447" bestFit="1" customWidth="1"/>
    <col min="1029" max="1031" width="9.140625" style="447"/>
    <col min="1032" max="1032" width="21.85546875" style="447" customWidth="1"/>
    <col min="1033" max="1280" width="9.140625" style="447"/>
    <col min="1281" max="1281" width="16" style="447" customWidth="1"/>
    <col min="1282" max="1282" width="13" style="447" customWidth="1"/>
    <col min="1283" max="1283" width="13.28515625" style="447" customWidth="1"/>
    <col min="1284" max="1284" width="17.42578125" style="447" bestFit="1" customWidth="1"/>
    <col min="1285" max="1287" width="9.140625" style="447"/>
    <col min="1288" max="1288" width="21.85546875" style="447" customWidth="1"/>
    <col min="1289" max="1536" width="9.140625" style="447"/>
    <col min="1537" max="1537" width="16" style="447" customWidth="1"/>
    <col min="1538" max="1538" width="13" style="447" customWidth="1"/>
    <col min="1539" max="1539" width="13.28515625" style="447" customWidth="1"/>
    <col min="1540" max="1540" width="17.42578125" style="447" bestFit="1" customWidth="1"/>
    <col min="1541" max="1543" width="9.140625" style="447"/>
    <col min="1544" max="1544" width="21.85546875" style="447" customWidth="1"/>
    <col min="1545" max="1792" width="9.140625" style="447"/>
    <col min="1793" max="1793" width="16" style="447" customWidth="1"/>
    <col min="1794" max="1794" width="13" style="447" customWidth="1"/>
    <col min="1795" max="1795" width="13.28515625" style="447" customWidth="1"/>
    <col min="1796" max="1796" width="17.42578125" style="447" bestFit="1" customWidth="1"/>
    <col min="1797" max="1799" width="9.140625" style="447"/>
    <col min="1800" max="1800" width="21.85546875" style="447" customWidth="1"/>
    <col min="1801" max="2048" width="9.140625" style="447"/>
    <col min="2049" max="2049" width="16" style="447" customWidth="1"/>
    <col min="2050" max="2050" width="13" style="447" customWidth="1"/>
    <col min="2051" max="2051" width="13.28515625" style="447" customWidth="1"/>
    <col min="2052" max="2052" width="17.42578125" style="447" bestFit="1" customWidth="1"/>
    <col min="2053" max="2055" width="9.140625" style="447"/>
    <col min="2056" max="2056" width="21.85546875" style="447" customWidth="1"/>
    <col min="2057" max="2304" width="9.140625" style="447"/>
    <col min="2305" max="2305" width="16" style="447" customWidth="1"/>
    <col min="2306" max="2306" width="13" style="447" customWidth="1"/>
    <col min="2307" max="2307" width="13.28515625" style="447" customWidth="1"/>
    <col min="2308" max="2308" width="17.42578125" style="447" bestFit="1" customWidth="1"/>
    <col min="2309" max="2311" width="9.140625" style="447"/>
    <col min="2312" max="2312" width="21.85546875" style="447" customWidth="1"/>
    <col min="2313" max="2560" width="9.140625" style="447"/>
    <col min="2561" max="2561" width="16" style="447" customWidth="1"/>
    <col min="2562" max="2562" width="13" style="447" customWidth="1"/>
    <col min="2563" max="2563" width="13.28515625" style="447" customWidth="1"/>
    <col min="2564" max="2564" width="17.42578125" style="447" bestFit="1" customWidth="1"/>
    <col min="2565" max="2567" width="9.140625" style="447"/>
    <col min="2568" max="2568" width="21.85546875" style="447" customWidth="1"/>
    <col min="2569" max="2816" width="9.140625" style="447"/>
    <col min="2817" max="2817" width="16" style="447" customWidth="1"/>
    <col min="2818" max="2818" width="13" style="447" customWidth="1"/>
    <col min="2819" max="2819" width="13.28515625" style="447" customWidth="1"/>
    <col min="2820" max="2820" width="17.42578125" style="447" bestFit="1" customWidth="1"/>
    <col min="2821" max="2823" width="9.140625" style="447"/>
    <col min="2824" max="2824" width="21.85546875" style="447" customWidth="1"/>
    <col min="2825" max="3072" width="9.140625" style="447"/>
    <col min="3073" max="3073" width="16" style="447" customWidth="1"/>
    <col min="3074" max="3074" width="13" style="447" customWidth="1"/>
    <col min="3075" max="3075" width="13.28515625" style="447" customWidth="1"/>
    <col min="3076" max="3076" width="17.42578125" style="447" bestFit="1" customWidth="1"/>
    <col min="3077" max="3079" width="9.140625" style="447"/>
    <col min="3080" max="3080" width="21.85546875" style="447" customWidth="1"/>
    <col min="3081" max="3328" width="9.140625" style="447"/>
    <col min="3329" max="3329" width="16" style="447" customWidth="1"/>
    <col min="3330" max="3330" width="13" style="447" customWidth="1"/>
    <col min="3331" max="3331" width="13.28515625" style="447" customWidth="1"/>
    <col min="3332" max="3332" width="17.42578125" style="447" bestFit="1" customWidth="1"/>
    <col min="3333" max="3335" width="9.140625" style="447"/>
    <col min="3336" max="3336" width="21.85546875" style="447" customWidth="1"/>
    <col min="3337" max="3584" width="9.140625" style="447"/>
    <col min="3585" max="3585" width="16" style="447" customWidth="1"/>
    <col min="3586" max="3586" width="13" style="447" customWidth="1"/>
    <col min="3587" max="3587" width="13.28515625" style="447" customWidth="1"/>
    <col min="3588" max="3588" width="17.42578125" style="447" bestFit="1" customWidth="1"/>
    <col min="3589" max="3591" width="9.140625" style="447"/>
    <col min="3592" max="3592" width="21.85546875" style="447" customWidth="1"/>
    <col min="3593" max="3840" width="9.140625" style="447"/>
    <col min="3841" max="3841" width="16" style="447" customWidth="1"/>
    <col min="3842" max="3842" width="13" style="447" customWidth="1"/>
    <col min="3843" max="3843" width="13.28515625" style="447" customWidth="1"/>
    <col min="3844" max="3844" width="17.42578125" style="447" bestFit="1" customWidth="1"/>
    <col min="3845" max="3847" width="9.140625" style="447"/>
    <col min="3848" max="3848" width="21.85546875" style="447" customWidth="1"/>
    <col min="3849" max="4096" width="9.140625" style="447"/>
    <col min="4097" max="4097" width="16" style="447" customWidth="1"/>
    <col min="4098" max="4098" width="13" style="447" customWidth="1"/>
    <col min="4099" max="4099" width="13.28515625" style="447" customWidth="1"/>
    <col min="4100" max="4100" width="17.42578125" style="447" bestFit="1" customWidth="1"/>
    <col min="4101" max="4103" width="9.140625" style="447"/>
    <col min="4104" max="4104" width="21.85546875" style="447" customWidth="1"/>
    <col min="4105" max="4352" width="9.140625" style="447"/>
    <col min="4353" max="4353" width="16" style="447" customWidth="1"/>
    <col min="4354" max="4354" width="13" style="447" customWidth="1"/>
    <col min="4355" max="4355" width="13.28515625" style="447" customWidth="1"/>
    <col min="4356" max="4356" width="17.42578125" style="447" bestFit="1" customWidth="1"/>
    <col min="4357" max="4359" width="9.140625" style="447"/>
    <col min="4360" max="4360" width="21.85546875" style="447" customWidth="1"/>
    <col min="4361" max="4608" width="9.140625" style="447"/>
    <col min="4609" max="4609" width="16" style="447" customWidth="1"/>
    <col min="4610" max="4610" width="13" style="447" customWidth="1"/>
    <col min="4611" max="4611" width="13.28515625" style="447" customWidth="1"/>
    <col min="4612" max="4612" width="17.42578125" style="447" bestFit="1" customWidth="1"/>
    <col min="4613" max="4615" width="9.140625" style="447"/>
    <col min="4616" max="4616" width="21.85546875" style="447" customWidth="1"/>
    <col min="4617" max="4864" width="9.140625" style="447"/>
    <col min="4865" max="4865" width="16" style="447" customWidth="1"/>
    <col min="4866" max="4866" width="13" style="447" customWidth="1"/>
    <col min="4867" max="4867" width="13.28515625" style="447" customWidth="1"/>
    <col min="4868" max="4868" width="17.42578125" style="447" bestFit="1" customWidth="1"/>
    <col min="4869" max="4871" width="9.140625" style="447"/>
    <col min="4872" max="4872" width="21.85546875" style="447" customWidth="1"/>
    <col min="4873" max="5120" width="9.140625" style="447"/>
    <col min="5121" max="5121" width="16" style="447" customWidth="1"/>
    <col min="5122" max="5122" width="13" style="447" customWidth="1"/>
    <col min="5123" max="5123" width="13.28515625" style="447" customWidth="1"/>
    <col min="5124" max="5124" width="17.42578125" style="447" bestFit="1" customWidth="1"/>
    <col min="5125" max="5127" width="9.140625" style="447"/>
    <col min="5128" max="5128" width="21.85546875" style="447" customWidth="1"/>
    <col min="5129" max="5376" width="9.140625" style="447"/>
    <col min="5377" max="5377" width="16" style="447" customWidth="1"/>
    <col min="5378" max="5378" width="13" style="447" customWidth="1"/>
    <col min="5379" max="5379" width="13.28515625" style="447" customWidth="1"/>
    <col min="5380" max="5380" width="17.42578125" style="447" bestFit="1" customWidth="1"/>
    <col min="5381" max="5383" width="9.140625" style="447"/>
    <col min="5384" max="5384" width="21.85546875" style="447" customWidth="1"/>
    <col min="5385" max="5632" width="9.140625" style="447"/>
    <col min="5633" max="5633" width="16" style="447" customWidth="1"/>
    <col min="5634" max="5634" width="13" style="447" customWidth="1"/>
    <col min="5635" max="5635" width="13.28515625" style="447" customWidth="1"/>
    <col min="5636" max="5636" width="17.42578125" style="447" bestFit="1" customWidth="1"/>
    <col min="5637" max="5639" width="9.140625" style="447"/>
    <col min="5640" max="5640" width="21.85546875" style="447" customWidth="1"/>
    <col min="5641" max="5888" width="9.140625" style="447"/>
    <col min="5889" max="5889" width="16" style="447" customWidth="1"/>
    <col min="5890" max="5890" width="13" style="447" customWidth="1"/>
    <col min="5891" max="5891" width="13.28515625" style="447" customWidth="1"/>
    <col min="5892" max="5892" width="17.42578125" style="447" bestFit="1" customWidth="1"/>
    <col min="5893" max="5895" width="9.140625" style="447"/>
    <col min="5896" max="5896" width="21.85546875" style="447" customWidth="1"/>
    <col min="5897" max="6144" width="9.140625" style="447"/>
    <col min="6145" max="6145" width="16" style="447" customWidth="1"/>
    <col min="6146" max="6146" width="13" style="447" customWidth="1"/>
    <col min="6147" max="6147" width="13.28515625" style="447" customWidth="1"/>
    <col min="6148" max="6148" width="17.42578125" style="447" bestFit="1" customWidth="1"/>
    <col min="6149" max="6151" width="9.140625" style="447"/>
    <col min="6152" max="6152" width="21.85546875" style="447" customWidth="1"/>
    <col min="6153" max="6400" width="9.140625" style="447"/>
    <col min="6401" max="6401" width="16" style="447" customWidth="1"/>
    <col min="6402" max="6402" width="13" style="447" customWidth="1"/>
    <col min="6403" max="6403" width="13.28515625" style="447" customWidth="1"/>
    <col min="6404" max="6404" width="17.42578125" style="447" bestFit="1" customWidth="1"/>
    <col min="6405" max="6407" width="9.140625" style="447"/>
    <col min="6408" max="6408" width="21.85546875" style="447" customWidth="1"/>
    <col min="6409" max="6656" width="9.140625" style="447"/>
    <col min="6657" max="6657" width="16" style="447" customWidth="1"/>
    <col min="6658" max="6658" width="13" style="447" customWidth="1"/>
    <col min="6659" max="6659" width="13.28515625" style="447" customWidth="1"/>
    <col min="6660" max="6660" width="17.42578125" style="447" bestFit="1" customWidth="1"/>
    <col min="6661" max="6663" width="9.140625" style="447"/>
    <col min="6664" max="6664" width="21.85546875" style="447" customWidth="1"/>
    <col min="6665" max="6912" width="9.140625" style="447"/>
    <col min="6913" max="6913" width="16" style="447" customWidth="1"/>
    <col min="6914" max="6914" width="13" style="447" customWidth="1"/>
    <col min="6915" max="6915" width="13.28515625" style="447" customWidth="1"/>
    <col min="6916" max="6916" width="17.42578125" style="447" bestFit="1" customWidth="1"/>
    <col min="6917" max="6919" width="9.140625" style="447"/>
    <col min="6920" max="6920" width="21.85546875" style="447" customWidth="1"/>
    <col min="6921" max="7168" width="9.140625" style="447"/>
    <col min="7169" max="7169" width="16" style="447" customWidth="1"/>
    <col min="7170" max="7170" width="13" style="447" customWidth="1"/>
    <col min="7171" max="7171" width="13.28515625" style="447" customWidth="1"/>
    <col min="7172" max="7172" width="17.42578125" style="447" bestFit="1" customWidth="1"/>
    <col min="7173" max="7175" width="9.140625" style="447"/>
    <col min="7176" max="7176" width="21.85546875" style="447" customWidth="1"/>
    <col min="7177" max="7424" width="9.140625" style="447"/>
    <col min="7425" max="7425" width="16" style="447" customWidth="1"/>
    <col min="7426" max="7426" width="13" style="447" customWidth="1"/>
    <col min="7427" max="7427" width="13.28515625" style="447" customWidth="1"/>
    <col min="7428" max="7428" width="17.42578125" style="447" bestFit="1" customWidth="1"/>
    <col min="7429" max="7431" width="9.140625" style="447"/>
    <col min="7432" max="7432" width="21.85546875" style="447" customWidth="1"/>
    <col min="7433" max="7680" width="9.140625" style="447"/>
    <col min="7681" max="7681" width="16" style="447" customWidth="1"/>
    <col min="7682" max="7682" width="13" style="447" customWidth="1"/>
    <col min="7683" max="7683" width="13.28515625" style="447" customWidth="1"/>
    <col min="7684" max="7684" width="17.42578125" style="447" bestFit="1" customWidth="1"/>
    <col min="7685" max="7687" width="9.140625" style="447"/>
    <col min="7688" max="7688" width="21.85546875" style="447" customWidth="1"/>
    <col min="7689" max="7936" width="9.140625" style="447"/>
    <col min="7937" max="7937" width="16" style="447" customWidth="1"/>
    <col min="7938" max="7938" width="13" style="447" customWidth="1"/>
    <col min="7939" max="7939" width="13.28515625" style="447" customWidth="1"/>
    <col min="7940" max="7940" width="17.42578125" style="447" bestFit="1" customWidth="1"/>
    <col min="7941" max="7943" width="9.140625" style="447"/>
    <col min="7944" max="7944" width="21.85546875" style="447" customWidth="1"/>
    <col min="7945" max="8192" width="9.140625" style="447"/>
    <col min="8193" max="8193" width="16" style="447" customWidth="1"/>
    <col min="8194" max="8194" width="13" style="447" customWidth="1"/>
    <col min="8195" max="8195" width="13.28515625" style="447" customWidth="1"/>
    <col min="8196" max="8196" width="17.42578125" style="447" bestFit="1" customWidth="1"/>
    <col min="8197" max="8199" width="9.140625" style="447"/>
    <col min="8200" max="8200" width="21.85546875" style="447" customWidth="1"/>
    <col min="8201" max="8448" width="9.140625" style="447"/>
    <col min="8449" max="8449" width="16" style="447" customWidth="1"/>
    <col min="8450" max="8450" width="13" style="447" customWidth="1"/>
    <col min="8451" max="8451" width="13.28515625" style="447" customWidth="1"/>
    <col min="8452" max="8452" width="17.42578125" style="447" bestFit="1" customWidth="1"/>
    <col min="8453" max="8455" width="9.140625" style="447"/>
    <col min="8456" max="8456" width="21.85546875" style="447" customWidth="1"/>
    <col min="8457" max="8704" width="9.140625" style="447"/>
    <col min="8705" max="8705" width="16" style="447" customWidth="1"/>
    <col min="8706" max="8706" width="13" style="447" customWidth="1"/>
    <col min="8707" max="8707" width="13.28515625" style="447" customWidth="1"/>
    <col min="8708" max="8708" width="17.42578125" style="447" bestFit="1" customWidth="1"/>
    <col min="8709" max="8711" width="9.140625" style="447"/>
    <col min="8712" max="8712" width="21.85546875" style="447" customWidth="1"/>
    <col min="8713" max="8960" width="9.140625" style="447"/>
    <col min="8961" max="8961" width="16" style="447" customWidth="1"/>
    <col min="8962" max="8962" width="13" style="447" customWidth="1"/>
    <col min="8963" max="8963" width="13.28515625" style="447" customWidth="1"/>
    <col min="8964" max="8964" width="17.42578125" style="447" bestFit="1" customWidth="1"/>
    <col min="8965" max="8967" width="9.140625" style="447"/>
    <col min="8968" max="8968" width="21.85546875" style="447" customWidth="1"/>
    <col min="8969" max="9216" width="9.140625" style="447"/>
    <col min="9217" max="9217" width="16" style="447" customWidth="1"/>
    <col min="9218" max="9218" width="13" style="447" customWidth="1"/>
    <col min="9219" max="9219" width="13.28515625" style="447" customWidth="1"/>
    <col min="9220" max="9220" width="17.42578125" style="447" bestFit="1" customWidth="1"/>
    <col min="9221" max="9223" width="9.140625" style="447"/>
    <col min="9224" max="9224" width="21.85546875" style="447" customWidth="1"/>
    <col min="9225" max="9472" width="9.140625" style="447"/>
    <col min="9473" max="9473" width="16" style="447" customWidth="1"/>
    <col min="9474" max="9474" width="13" style="447" customWidth="1"/>
    <col min="9475" max="9475" width="13.28515625" style="447" customWidth="1"/>
    <col min="9476" max="9476" width="17.42578125" style="447" bestFit="1" customWidth="1"/>
    <col min="9477" max="9479" width="9.140625" style="447"/>
    <col min="9480" max="9480" width="21.85546875" style="447" customWidth="1"/>
    <col min="9481" max="9728" width="9.140625" style="447"/>
    <col min="9729" max="9729" width="16" style="447" customWidth="1"/>
    <col min="9730" max="9730" width="13" style="447" customWidth="1"/>
    <col min="9731" max="9731" width="13.28515625" style="447" customWidth="1"/>
    <col min="9732" max="9732" width="17.42578125" style="447" bestFit="1" customWidth="1"/>
    <col min="9733" max="9735" width="9.140625" style="447"/>
    <col min="9736" max="9736" width="21.85546875" style="447" customWidth="1"/>
    <col min="9737" max="9984" width="9.140625" style="447"/>
    <col min="9985" max="9985" width="16" style="447" customWidth="1"/>
    <col min="9986" max="9986" width="13" style="447" customWidth="1"/>
    <col min="9987" max="9987" width="13.28515625" style="447" customWidth="1"/>
    <col min="9988" max="9988" width="17.42578125" style="447" bestFit="1" customWidth="1"/>
    <col min="9989" max="9991" width="9.140625" style="447"/>
    <col min="9992" max="9992" width="21.85546875" style="447" customWidth="1"/>
    <col min="9993" max="10240" width="9.140625" style="447"/>
    <col min="10241" max="10241" width="16" style="447" customWidth="1"/>
    <col min="10242" max="10242" width="13" style="447" customWidth="1"/>
    <col min="10243" max="10243" width="13.28515625" style="447" customWidth="1"/>
    <col min="10244" max="10244" width="17.42578125" style="447" bestFit="1" customWidth="1"/>
    <col min="10245" max="10247" width="9.140625" style="447"/>
    <col min="10248" max="10248" width="21.85546875" style="447" customWidth="1"/>
    <col min="10249" max="10496" width="9.140625" style="447"/>
    <col min="10497" max="10497" width="16" style="447" customWidth="1"/>
    <col min="10498" max="10498" width="13" style="447" customWidth="1"/>
    <col min="10499" max="10499" width="13.28515625" style="447" customWidth="1"/>
    <col min="10500" max="10500" width="17.42578125" style="447" bestFit="1" customWidth="1"/>
    <col min="10501" max="10503" width="9.140625" style="447"/>
    <col min="10504" max="10504" width="21.85546875" style="447" customWidth="1"/>
    <col min="10505" max="10752" width="9.140625" style="447"/>
    <col min="10753" max="10753" width="16" style="447" customWidth="1"/>
    <col min="10754" max="10754" width="13" style="447" customWidth="1"/>
    <col min="10755" max="10755" width="13.28515625" style="447" customWidth="1"/>
    <col min="10756" max="10756" width="17.42578125" style="447" bestFit="1" customWidth="1"/>
    <col min="10757" max="10759" width="9.140625" style="447"/>
    <col min="10760" max="10760" width="21.85546875" style="447" customWidth="1"/>
    <col min="10761" max="11008" width="9.140625" style="447"/>
    <col min="11009" max="11009" width="16" style="447" customWidth="1"/>
    <col min="11010" max="11010" width="13" style="447" customWidth="1"/>
    <col min="11011" max="11011" width="13.28515625" style="447" customWidth="1"/>
    <col min="11012" max="11012" width="17.42578125" style="447" bestFit="1" customWidth="1"/>
    <col min="11013" max="11015" width="9.140625" style="447"/>
    <col min="11016" max="11016" width="21.85546875" style="447" customWidth="1"/>
    <col min="11017" max="11264" width="9.140625" style="447"/>
    <col min="11265" max="11265" width="16" style="447" customWidth="1"/>
    <col min="11266" max="11266" width="13" style="447" customWidth="1"/>
    <col min="11267" max="11267" width="13.28515625" style="447" customWidth="1"/>
    <col min="11268" max="11268" width="17.42578125" style="447" bestFit="1" customWidth="1"/>
    <col min="11269" max="11271" width="9.140625" style="447"/>
    <col min="11272" max="11272" width="21.85546875" style="447" customWidth="1"/>
    <col min="11273" max="11520" width="9.140625" style="447"/>
    <col min="11521" max="11521" width="16" style="447" customWidth="1"/>
    <col min="11522" max="11522" width="13" style="447" customWidth="1"/>
    <col min="11523" max="11523" width="13.28515625" style="447" customWidth="1"/>
    <col min="11524" max="11524" width="17.42578125" style="447" bestFit="1" customWidth="1"/>
    <col min="11525" max="11527" width="9.140625" style="447"/>
    <col min="11528" max="11528" width="21.85546875" style="447" customWidth="1"/>
    <col min="11529" max="11776" width="9.140625" style="447"/>
    <col min="11777" max="11777" width="16" style="447" customWidth="1"/>
    <col min="11778" max="11778" width="13" style="447" customWidth="1"/>
    <col min="11779" max="11779" width="13.28515625" style="447" customWidth="1"/>
    <col min="11780" max="11780" width="17.42578125" style="447" bestFit="1" customWidth="1"/>
    <col min="11781" max="11783" width="9.140625" style="447"/>
    <col min="11784" max="11784" width="21.85546875" style="447" customWidth="1"/>
    <col min="11785" max="12032" width="9.140625" style="447"/>
    <col min="12033" max="12033" width="16" style="447" customWidth="1"/>
    <col min="12034" max="12034" width="13" style="447" customWidth="1"/>
    <col min="12035" max="12035" width="13.28515625" style="447" customWidth="1"/>
    <col min="12036" max="12036" width="17.42578125" style="447" bestFit="1" customWidth="1"/>
    <col min="12037" max="12039" width="9.140625" style="447"/>
    <col min="12040" max="12040" width="21.85546875" style="447" customWidth="1"/>
    <col min="12041" max="12288" width="9.140625" style="447"/>
    <col min="12289" max="12289" width="16" style="447" customWidth="1"/>
    <col min="12290" max="12290" width="13" style="447" customWidth="1"/>
    <col min="12291" max="12291" width="13.28515625" style="447" customWidth="1"/>
    <col min="12292" max="12292" width="17.42578125" style="447" bestFit="1" customWidth="1"/>
    <col min="12293" max="12295" width="9.140625" style="447"/>
    <col min="12296" max="12296" width="21.85546875" style="447" customWidth="1"/>
    <col min="12297" max="12544" width="9.140625" style="447"/>
    <col min="12545" max="12545" width="16" style="447" customWidth="1"/>
    <col min="12546" max="12546" width="13" style="447" customWidth="1"/>
    <col min="12547" max="12547" width="13.28515625" style="447" customWidth="1"/>
    <col min="12548" max="12548" width="17.42578125" style="447" bestFit="1" customWidth="1"/>
    <col min="12549" max="12551" width="9.140625" style="447"/>
    <col min="12552" max="12552" width="21.85546875" style="447" customWidth="1"/>
    <col min="12553" max="12800" width="9.140625" style="447"/>
    <col min="12801" max="12801" width="16" style="447" customWidth="1"/>
    <col min="12802" max="12802" width="13" style="447" customWidth="1"/>
    <col min="12803" max="12803" width="13.28515625" style="447" customWidth="1"/>
    <col min="12804" max="12804" width="17.42578125" style="447" bestFit="1" customWidth="1"/>
    <col min="12805" max="12807" width="9.140625" style="447"/>
    <col min="12808" max="12808" width="21.85546875" style="447" customWidth="1"/>
    <col min="12809" max="13056" width="9.140625" style="447"/>
    <col min="13057" max="13057" width="16" style="447" customWidth="1"/>
    <col min="13058" max="13058" width="13" style="447" customWidth="1"/>
    <col min="13059" max="13059" width="13.28515625" style="447" customWidth="1"/>
    <col min="13060" max="13060" width="17.42578125" style="447" bestFit="1" customWidth="1"/>
    <col min="13061" max="13063" width="9.140625" style="447"/>
    <col min="13064" max="13064" width="21.85546875" style="447" customWidth="1"/>
    <col min="13065" max="13312" width="9.140625" style="447"/>
    <col min="13313" max="13313" width="16" style="447" customWidth="1"/>
    <col min="13314" max="13314" width="13" style="447" customWidth="1"/>
    <col min="13315" max="13315" width="13.28515625" style="447" customWidth="1"/>
    <col min="13316" max="13316" width="17.42578125" style="447" bestFit="1" customWidth="1"/>
    <col min="13317" max="13319" width="9.140625" style="447"/>
    <col min="13320" max="13320" width="21.85546875" style="447" customWidth="1"/>
    <col min="13321" max="13568" width="9.140625" style="447"/>
    <col min="13569" max="13569" width="16" style="447" customWidth="1"/>
    <col min="13570" max="13570" width="13" style="447" customWidth="1"/>
    <col min="13571" max="13571" width="13.28515625" style="447" customWidth="1"/>
    <col min="13572" max="13572" width="17.42578125" style="447" bestFit="1" customWidth="1"/>
    <col min="13573" max="13575" width="9.140625" style="447"/>
    <col min="13576" max="13576" width="21.85546875" style="447" customWidth="1"/>
    <col min="13577" max="13824" width="9.140625" style="447"/>
    <col min="13825" max="13825" width="16" style="447" customWidth="1"/>
    <col min="13826" max="13826" width="13" style="447" customWidth="1"/>
    <col min="13827" max="13827" width="13.28515625" style="447" customWidth="1"/>
    <col min="13828" max="13828" width="17.42578125" style="447" bestFit="1" customWidth="1"/>
    <col min="13829" max="13831" width="9.140625" style="447"/>
    <col min="13832" max="13832" width="21.85546875" style="447" customWidth="1"/>
    <col min="13833" max="14080" width="9.140625" style="447"/>
    <col min="14081" max="14081" width="16" style="447" customWidth="1"/>
    <col min="14082" max="14082" width="13" style="447" customWidth="1"/>
    <col min="14083" max="14083" width="13.28515625" style="447" customWidth="1"/>
    <col min="14084" max="14084" width="17.42578125" style="447" bestFit="1" customWidth="1"/>
    <col min="14085" max="14087" width="9.140625" style="447"/>
    <col min="14088" max="14088" width="21.85546875" style="447" customWidth="1"/>
    <col min="14089" max="14336" width="9.140625" style="447"/>
    <col min="14337" max="14337" width="16" style="447" customWidth="1"/>
    <col min="14338" max="14338" width="13" style="447" customWidth="1"/>
    <col min="14339" max="14339" width="13.28515625" style="447" customWidth="1"/>
    <col min="14340" max="14340" width="17.42578125" style="447" bestFit="1" customWidth="1"/>
    <col min="14341" max="14343" width="9.140625" style="447"/>
    <col min="14344" max="14344" width="21.85546875" style="447" customWidth="1"/>
    <col min="14345" max="14592" width="9.140625" style="447"/>
    <col min="14593" max="14593" width="16" style="447" customWidth="1"/>
    <col min="14594" max="14594" width="13" style="447" customWidth="1"/>
    <col min="14595" max="14595" width="13.28515625" style="447" customWidth="1"/>
    <col min="14596" max="14596" width="17.42578125" style="447" bestFit="1" customWidth="1"/>
    <col min="14597" max="14599" width="9.140625" style="447"/>
    <col min="14600" max="14600" width="21.85546875" style="447" customWidth="1"/>
    <col min="14601" max="14848" width="9.140625" style="447"/>
    <col min="14849" max="14849" width="16" style="447" customWidth="1"/>
    <col min="14850" max="14850" width="13" style="447" customWidth="1"/>
    <col min="14851" max="14851" width="13.28515625" style="447" customWidth="1"/>
    <col min="14852" max="14852" width="17.42578125" style="447" bestFit="1" customWidth="1"/>
    <col min="14853" max="14855" width="9.140625" style="447"/>
    <col min="14856" max="14856" width="21.85546875" style="447" customWidth="1"/>
    <col min="14857" max="15104" width="9.140625" style="447"/>
    <col min="15105" max="15105" width="16" style="447" customWidth="1"/>
    <col min="15106" max="15106" width="13" style="447" customWidth="1"/>
    <col min="15107" max="15107" width="13.28515625" style="447" customWidth="1"/>
    <col min="15108" max="15108" width="17.42578125" style="447" bestFit="1" customWidth="1"/>
    <col min="15109" max="15111" width="9.140625" style="447"/>
    <col min="15112" max="15112" width="21.85546875" style="447" customWidth="1"/>
    <col min="15113" max="15360" width="9.140625" style="447"/>
    <col min="15361" max="15361" width="16" style="447" customWidth="1"/>
    <col min="15362" max="15362" width="13" style="447" customWidth="1"/>
    <col min="15363" max="15363" width="13.28515625" style="447" customWidth="1"/>
    <col min="15364" max="15364" width="17.42578125" style="447" bestFit="1" customWidth="1"/>
    <col min="15365" max="15367" width="9.140625" style="447"/>
    <col min="15368" max="15368" width="21.85546875" style="447" customWidth="1"/>
    <col min="15369" max="15616" width="9.140625" style="447"/>
    <col min="15617" max="15617" width="16" style="447" customWidth="1"/>
    <col min="15618" max="15618" width="13" style="447" customWidth="1"/>
    <col min="15619" max="15619" width="13.28515625" style="447" customWidth="1"/>
    <col min="15620" max="15620" width="17.42578125" style="447" bestFit="1" customWidth="1"/>
    <col min="15621" max="15623" width="9.140625" style="447"/>
    <col min="15624" max="15624" width="21.85546875" style="447" customWidth="1"/>
    <col min="15625" max="15872" width="9.140625" style="447"/>
    <col min="15873" max="15873" width="16" style="447" customWidth="1"/>
    <col min="15874" max="15874" width="13" style="447" customWidth="1"/>
    <col min="15875" max="15875" width="13.28515625" style="447" customWidth="1"/>
    <col min="15876" max="15876" width="17.42578125" style="447" bestFit="1" customWidth="1"/>
    <col min="15877" max="15879" width="9.140625" style="447"/>
    <col min="15880" max="15880" width="21.85546875" style="447" customWidth="1"/>
    <col min="15881" max="16128" width="9.140625" style="447"/>
    <col min="16129" max="16129" width="16" style="447" customWidth="1"/>
    <col min="16130" max="16130" width="13" style="447" customWidth="1"/>
    <col min="16131" max="16131" width="13.28515625" style="447" customWidth="1"/>
    <col min="16132" max="16132" width="17.42578125" style="447" bestFit="1" customWidth="1"/>
    <col min="16133" max="16135" width="9.140625" style="447"/>
    <col min="16136" max="16136" width="21.85546875" style="447" customWidth="1"/>
    <col min="16137" max="16384" width="9.140625" style="447"/>
  </cols>
  <sheetData>
    <row r="1" spans="1:8" ht="18">
      <c r="A1" s="615" t="s">
        <v>921</v>
      </c>
      <c r="B1" s="615"/>
      <c r="C1" s="615"/>
      <c r="D1" s="615" t="s">
        <v>922</v>
      </c>
      <c r="E1" s="615"/>
      <c r="F1" s="615"/>
      <c r="G1" s="615"/>
    </row>
    <row r="3" spans="1:8" ht="18" customHeight="1">
      <c r="C3" s="616" t="s">
        <v>844</v>
      </c>
      <c r="D3" s="616"/>
      <c r="E3" s="616"/>
      <c r="F3" s="616"/>
      <c r="G3" s="616"/>
      <c r="H3" s="616"/>
    </row>
    <row r="4" spans="1:8" ht="18" customHeight="1">
      <c r="C4" s="616"/>
      <c r="D4" s="616"/>
      <c r="E4" s="616"/>
      <c r="F4" s="616"/>
      <c r="G4" s="616"/>
      <c r="H4" s="616"/>
    </row>
    <row r="5" spans="1:8" ht="18.75">
      <c r="D5" s="617" t="s">
        <v>905</v>
      </c>
      <c r="E5" s="617"/>
      <c r="F5" s="617"/>
      <c r="G5" s="617"/>
    </row>
    <row r="6" spans="1:8" ht="20.25">
      <c r="A6" s="423" t="s">
        <v>846</v>
      </c>
      <c r="B6" s="424"/>
    </row>
    <row r="7" spans="1:8" ht="15">
      <c r="A7" s="448" t="s">
        <v>847</v>
      </c>
      <c r="C7" s="425" t="s">
        <v>848</v>
      </c>
    </row>
    <row r="8" spans="1:8" ht="18">
      <c r="A8" s="448" t="s">
        <v>849</v>
      </c>
      <c r="C8" s="426" t="s">
        <v>387</v>
      </c>
      <c r="D8" s="449"/>
    </row>
    <row r="9" spans="1:8">
      <c r="B9" s="450" t="s">
        <v>850</v>
      </c>
      <c r="C9" s="450" t="s">
        <v>851</v>
      </c>
      <c r="D9" s="450" t="s">
        <v>852</v>
      </c>
      <c r="E9" s="450" t="s">
        <v>853</v>
      </c>
      <c r="F9" s="450" t="s">
        <v>854</v>
      </c>
    </row>
    <row r="10" spans="1:8" ht="18">
      <c r="B10" s="427">
        <f>HLOOKUP(C7,'[1]Bảng Tra_Vl'!D5:O16,2)*100</f>
        <v>1450</v>
      </c>
      <c r="C10" s="427">
        <f>VLOOKUP(C8,'[1]Bảng Tra_Vl'!B35:G42,2)*100</f>
        <v>28000</v>
      </c>
      <c r="D10" s="428">
        <v>100</v>
      </c>
      <c r="E10" s="428">
        <v>20</v>
      </c>
      <c r="F10" s="428">
        <f>D10-E10</f>
        <v>80</v>
      </c>
    </row>
    <row r="11" spans="1:8" ht="18">
      <c r="A11" s="448" t="s">
        <v>855</v>
      </c>
      <c r="C11" s="451" t="s">
        <v>856</v>
      </c>
      <c r="D11" s="426">
        <f>TH!D67</f>
        <v>4.3</v>
      </c>
      <c r="E11" s="451" t="s">
        <v>857</v>
      </c>
    </row>
    <row r="12" spans="1:8" ht="18">
      <c r="A12" s="448"/>
      <c r="C12" s="449" t="s">
        <v>858</v>
      </c>
      <c r="D12" s="426">
        <f>TH!D66</f>
        <v>0.79999999999999993</v>
      </c>
      <c r="E12" s="451" t="s">
        <v>857</v>
      </c>
    </row>
    <row r="13" spans="1:8" ht="20.25">
      <c r="A13" s="423" t="s">
        <v>859</v>
      </c>
    </row>
    <row r="14" spans="1:8" ht="18">
      <c r="A14" s="448" t="s">
        <v>906</v>
      </c>
      <c r="B14" s="449" t="s">
        <v>861</v>
      </c>
      <c r="C14" s="426">
        <f>TH!B69</f>
        <v>0.47600000000000003</v>
      </c>
      <c r="D14" s="447" t="s">
        <v>862</v>
      </c>
    </row>
    <row r="15" spans="1:8" ht="18">
      <c r="A15" s="448" t="s">
        <v>907</v>
      </c>
      <c r="B15" s="449" t="s">
        <v>861</v>
      </c>
      <c r="C15" s="426">
        <f>TH!B70</f>
        <v>0.48</v>
      </c>
      <c r="D15" s="447" t="s">
        <v>862</v>
      </c>
    </row>
    <row r="16" spans="1:8" ht="18.75">
      <c r="A16" s="448" t="s">
        <v>864</v>
      </c>
      <c r="B16" s="449" t="s">
        <v>861</v>
      </c>
      <c r="C16" s="429">
        <f>SUM(C14:C15)</f>
        <v>0.95599999999999996</v>
      </c>
      <c r="D16" s="447" t="s">
        <v>750</v>
      </c>
    </row>
    <row r="18" spans="1:6" ht="20.25">
      <c r="A18" s="423" t="s">
        <v>865</v>
      </c>
    </row>
    <row r="19" spans="1:6" ht="18">
      <c r="A19" s="448" t="s">
        <v>866</v>
      </c>
      <c r="B19" s="449" t="s">
        <v>861</v>
      </c>
      <c r="C19" s="430">
        <f>D11/D12</f>
        <v>5.375</v>
      </c>
      <c r="D19" s="431" t="s">
        <v>908</v>
      </c>
    </row>
    <row r="20" spans="1:6" ht="18">
      <c r="A20" s="448" t="s">
        <v>868</v>
      </c>
      <c r="B20" s="449"/>
      <c r="C20" s="432" t="s">
        <v>909</v>
      </c>
      <c r="D20" s="431"/>
    </row>
    <row r="21" spans="1:6" ht="20.25">
      <c r="A21" s="423" t="s">
        <v>910</v>
      </c>
    </row>
    <row r="22" spans="1:6" ht="18.75" thickBot="1">
      <c r="B22" s="449"/>
      <c r="C22" s="449"/>
      <c r="D22" s="430"/>
      <c r="E22" s="449"/>
    </row>
    <row r="23" spans="1:6">
      <c r="A23" s="452" t="s">
        <v>911</v>
      </c>
      <c r="B23" s="453" t="s">
        <v>912</v>
      </c>
      <c r="C23" s="454" t="s">
        <v>913</v>
      </c>
      <c r="D23" s="449"/>
      <c r="E23" s="449"/>
      <c r="F23" s="449"/>
    </row>
    <row r="24" spans="1:6" ht="18">
      <c r="A24" s="455" t="s">
        <v>914</v>
      </c>
      <c r="B24" s="427">
        <f>C16*(D12^2)/12</f>
        <v>5.0986666666666652E-2</v>
      </c>
      <c r="C24" s="456" t="s">
        <v>880</v>
      </c>
      <c r="D24" s="449"/>
      <c r="E24" s="449"/>
      <c r="F24" s="449"/>
    </row>
    <row r="25" spans="1:6" ht="18.75" thickBot="1">
      <c r="A25" s="433" t="s">
        <v>915</v>
      </c>
      <c r="B25" s="434">
        <f>C16*(D12^2)/24</f>
        <v>2.5493333333333326E-2</v>
      </c>
      <c r="C25" s="457" t="s">
        <v>880</v>
      </c>
      <c r="D25" s="435"/>
      <c r="E25" s="435"/>
      <c r="F25" s="435"/>
    </row>
    <row r="26" spans="1:6" ht="18">
      <c r="B26" s="449"/>
      <c r="C26" s="449"/>
      <c r="D26" s="430"/>
      <c r="E26" s="449"/>
    </row>
    <row r="27" spans="1:6" ht="20.25">
      <c r="A27" s="423" t="s">
        <v>887</v>
      </c>
    </row>
    <row r="28" spans="1:6" ht="18">
      <c r="A28" s="436" t="s">
        <v>916</v>
      </c>
      <c r="C28" s="430">
        <f>B24</f>
        <v>5.0986666666666652E-2</v>
      </c>
      <c r="D28" s="449" t="s">
        <v>880</v>
      </c>
    </row>
    <row r="29" spans="1:6" ht="18">
      <c r="A29" s="436"/>
      <c r="C29" s="430"/>
      <c r="D29" s="449"/>
    </row>
    <row r="31" spans="1:6" ht="18">
      <c r="C31" s="437">
        <f>C28/(B10*1*((F10*0.001)^2))</f>
        <v>5.4942528735632164E-3</v>
      </c>
      <c r="D31" s="438" t="s">
        <v>889</v>
      </c>
      <c r="E31" s="439" t="str">
        <f>IF(C31&lt;0.255,"Kh«ng cÇn KT ®iÒu kiÖn h¹n chÕ","CÇn KT ®iÒu kiÖn h¹n chÕ")</f>
        <v>Kh«ng cÇn KT ®iÒu kiÖn h¹n chÕ</v>
      </c>
    </row>
    <row r="32" spans="1:6" ht="18">
      <c r="C32" s="437"/>
      <c r="D32" s="437"/>
    </row>
    <row r="33" spans="1:9" ht="18">
      <c r="C33" s="437">
        <f>1-SQRT(1-(2*C31))</f>
        <v>5.5094297818236715E-3</v>
      </c>
      <c r="D33" s="458"/>
    </row>
    <row r="34" spans="1:9" ht="18">
      <c r="C34" s="437">
        <f>1-(0.5*C33)</f>
        <v>0.99724528510908816</v>
      </c>
      <c r="D34" s="458"/>
    </row>
    <row r="37" spans="1:9">
      <c r="C37" s="618" t="s">
        <v>861</v>
      </c>
      <c r="D37" s="619">
        <f>10000*C28/(C10*C34*F10*0.001)</f>
        <v>0.22824780524697932</v>
      </c>
      <c r="E37" s="620" t="s">
        <v>890</v>
      </c>
      <c r="H37" s="619">
        <f>D37/(F10*0.1)</f>
        <v>2.8530975655872415E-2</v>
      </c>
      <c r="I37" s="620" t="s">
        <v>891</v>
      </c>
    </row>
    <row r="38" spans="1:9">
      <c r="C38" s="618"/>
      <c r="D38" s="619"/>
      <c r="E38" s="620"/>
      <c r="H38" s="619"/>
      <c r="I38" s="620"/>
    </row>
    <row r="40" spans="1:9" ht="18">
      <c r="A40" s="440" t="s">
        <v>892</v>
      </c>
      <c r="D40" s="426">
        <v>10</v>
      </c>
      <c r="E40" s="447">
        <v>150</v>
      </c>
      <c r="F40" s="449" t="s">
        <v>160</v>
      </c>
    </row>
    <row r="41" spans="1:9" ht="18">
      <c r="C41" s="447" t="s">
        <v>893</v>
      </c>
      <c r="D41" s="441">
        <f>ROUND(1000*(0.25*PI()*D40^2)/100/E40,2)</f>
        <v>5.24</v>
      </c>
      <c r="E41" s="451" t="s">
        <v>894</v>
      </c>
    </row>
    <row r="43" spans="1:9" ht="18">
      <c r="D43" s="447" t="s">
        <v>895</v>
      </c>
      <c r="E43" s="430">
        <f>D41/(F10*0.1)</f>
        <v>0.65500000000000003</v>
      </c>
      <c r="F43" s="451" t="s">
        <v>891</v>
      </c>
      <c r="G43" s="459" t="s">
        <v>889</v>
      </c>
      <c r="H43" s="442" t="str">
        <f>IF(AND(E43&gt;0.4,E43&lt;0.8),"Hîp Lý","Kh«ng Hîp Lý")</f>
        <v>Hîp Lý</v>
      </c>
    </row>
    <row r="45" spans="1:9">
      <c r="A45" s="448" t="s">
        <v>896</v>
      </c>
      <c r="B45" s="447" t="s">
        <v>897</v>
      </c>
    </row>
    <row r="46" spans="1:9" ht="18">
      <c r="A46" s="436" t="s">
        <v>917</v>
      </c>
      <c r="C46" s="430">
        <f>B25</f>
        <v>2.5493333333333326E-2</v>
      </c>
      <c r="D46" s="449" t="s">
        <v>880</v>
      </c>
    </row>
    <row r="47" spans="1:9" ht="18">
      <c r="A47" s="436"/>
      <c r="C47" s="430"/>
      <c r="D47" s="449"/>
    </row>
    <row r="49" spans="1:9" ht="18">
      <c r="C49" s="437">
        <f>C46/(B10*1*((F10*0.001)^2))</f>
        <v>2.7471264367816082E-3</v>
      </c>
      <c r="D49" s="438" t="s">
        <v>889</v>
      </c>
      <c r="E49" s="439" t="str">
        <f>IF(C49&lt;0.255,"Kh«ng cÇn KT ®iÒu kiÖn h¹n chÕ","CÇn KT ®iÒu kiÖn h¹n chÕ")</f>
        <v>Kh«ng cÇn KT ®iÒu kiÖn h¹n chÕ</v>
      </c>
    </row>
    <row r="50" spans="1:9" ht="18">
      <c r="C50" s="437"/>
      <c r="D50" s="437"/>
    </row>
    <row r="51" spans="1:9" ht="18">
      <c r="C51" s="437">
        <f>1-SQRT(1-(2*C49))</f>
        <v>2.7509101902188915E-3</v>
      </c>
      <c r="D51" s="458"/>
    </row>
    <row r="52" spans="1:9" ht="18">
      <c r="C52" s="437">
        <f>1-(0.5*C51)</f>
        <v>0.9986245449048905</v>
      </c>
      <c r="D52" s="458"/>
    </row>
    <row r="55" spans="1:9">
      <c r="C55" s="618" t="s">
        <v>861</v>
      </c>
      <c r="D55" s="619">
        <f>10000*C46/(C10*C52*F10*0.001)</f>
        <v>0.11396627930907009</v>
      </c>
      <c r="E55" s="620" t="s">
        <v>899</v>
      </c>
      <c r="H55" s="619">
        <f>D55/(F10*0.1)</f>
        <v>1.4245784913633762E-2</v>
      </c>
      <c r="I55" s="620" t="s">
        <v>891</v>
      </c>
    </row>
    <row r="56" spans="1:9">
      <c r="C56" s="618"/>
      <c r="D56" s="619"/>
      <c r="E56" s="620"/>
      <c r="H56" s="619"/>
      <c r="I56" s="620"/>
    </row>
    <row r="58" spans="1:9" ht="18">
      <c r="A58" s="440" t="s">
        <v>892</v>
      </c>
      <c r="D58" s="426">
        <v>10</v>
      </c>
      <c r="E58" s="447">
        <v>150</v>
      </c>
      <c r="F58" s="449" t="s">
        <v>160</v>
      </c>
    </row>
    <row r="59" spans="1:9" ht="18">
      <c r="C59" s="447" t="s">
        <v>893</v>
      </c>
      <c r="D59" s="441">
        <f>ROUND(1000*(0.25*PI()*D58^2)/100/E58,2)</f>
        <v>5.24</v>
      </c>
      <c r="E59" s="451" t="s">
        <v>894</v>
      </c>
    </row>
    <row r="61" spans="1:9" ht="18">
      <c r="D61" s="447" t="s">
        <v>895</v>
      </c>
      <c r="E61" s="430">
        <f>D59/(F10*0.1)</f>
        <v>0.65500000000000003</v>
      </c>
      <c r="F61" s="451" t="s">
        <v>891</v>
      </c>
      <c r="G61" s="459" t="s">
        <v>889</v>
      </c>
      <c r="H61" s="442" t="str">
        <f>IF(AND(E61&gt;0.4,E61&lt;0.8),"Hîp Lý","Kh«ng Hîp Lý")</f>
        <v>Hîp Lý</v>
      </c>
    </row>
    <row r="63" spans="1:9">
      <c r="A63" s="448" t="s">
        <v>896</v>
      </c>
      <c r="B63" s="447" t="s">
        <v>897</v>
      </c>
    </row>
    <row r="64" spans="1:9" ht="20.25">
      <c r="A64" s="423" t="s">
        <v>903</v>
      </c>
    </row>
    <row r="65" spans="1:1" ht="18">
      <c r="A65" s="440" t="s">
        <v>904</v>
      </c>
    </row>
  </sheetData>
  <mergeCells count="14">
    <mergeCell ref="I37:I38"/>
    <mergeCell ref="C55:C56"/>
    <mergeCell ref="D55:D56"/>
    <mergeCell ref="E55:E56"/>
    <mergeCell ref="H55:H56"/>
    <mergeCell ref="I55:I56"/>
    <mergeCell ref="A1:C1"/>
    <mergeCell ref="D1:G1"/>
    <mergeCell ref="C3:H4"/>
    <mergeCell ref="D5:G5"/>
    <mergeCell ref="C37:C38"/>
    <mergeCell ref="D37:D38"/>
    <mergeCell ref="E37:E38"/>
    <mergeCell ref="H37:H38"/>
  </mergeCells>
  <dataValidations count="2">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AFC0B2A4-6F01-4666-8F4D-2780A49A3894}">
      <mc:AlternateContent xmlns:x12ac="http://schemas.microsoft.com/office/spreadsheetml/2011/1/ac" xmlns:mc="http://schemas.openxmlformats.org/markup-compatibility/2006">
        <mc:Choice Requires="x12ac">
          <x12ac:list>"B12,5(M150)",B15(M200),B20(M250),"B22,5(M300)",B25(M350),B30(M400),B35(M450),B40(M500),B45(M600),B50(M700),B55(M750),B60(M800)</x12ac:list>
        </mc:Choice>
        <mc:Fallback>
          <formula1>"B12,5(M150),B15(M200),B20(M250),B22,5(M300),B25(M350),B30(M400),B35(M450),B40(M500),B45(M600),B50(M700),B55(M750),B60(M800)"</formula1>
        </mc:Fallback>
      </mc:AlternateContent>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1839EA80-79B8-4818-AFE0-1740574AC9C6}">
      <formula1>"AI,AII,AIII1,AIII2,AIV,AV,AVI"</formula1>
    </dataValidation>
  </dataValidations>
  <pageMargins left="0.7" right="0.7" top="0.75" bottom="0.75" header="0.3" footer="0.3"/>
  <drawing r:id="rId1"/>
  <legacyDrawing r:id="rId2"/>
  <oleObjects>
    <mc:AlternateContent xmlns:mc="http://schemas.openxmlformats.org/markup-compatibility/2006">
      <mc:Choice Requires="x14">
        <oleObject progId="Equation.DSMT4" shapeId="28673" r:id="rId3">
          <objectPr defaultSize="0" autoPict="0" r:id="rId4">
            <anchor moveWithCells="1">
              <from>
                <xdr:col>0</xdr:col>
                <xdr:colOff>0</xdr:colOff>
                <xdr:row>29</xdr:row>
                <xdr:rowOff>28575</xdr:rowOff>
              </from>
              <to>
                <xdr:col>1</xdr:col>
                <xdr:colOff>723900</xdr:colOff>
                <xdr:row>34</xdr:row>
                <xdr:rowOff>171450</xdr:rowOff>
              </to>
            </anchor>
          </objectPr>
        </oleObject>
      </mc:Choice>
      <mc:Fallback>
        <oleObject progId="Equation.DSMT4" shapeId="28673" r:id="rId3"/>
      </mc:Fallback>
    </mc:AlternateContent>
    <mc:AlternateContent xmlns:mc="http://schemas.openxmlformats.org/markup-compatibility/2006">
      <mc:Choice Requires="x14">
        <oleObject progId="Equation.DSMT4" shapeId="28674" r:id="rId5">
          <objectPr defaultSize="0" autoPict="0" r:id="rId6">
            <anchor moveWithCells="1">
              <from>
                <xdr:col>0</xdr:col>
                <xdr:colOff>1047750</xdr:colOff>
                <xdr:row>34</xdr:row>
                <xdr:rowOff>161925</xdr:rowOff>
              </from>
              <to>
                <xdr:col>2</xdr:col>
                <xdr:colOff>409575</xdr:colOff>
                <xdr:row>38</xdr:row>
                <xdr:rowOff>161925</xdr:rowOff>
              </to>
            </anchor>
          </objectPr>
        </oleObject>
      </mc:Choice>
      <mc:Fallback>
        <oleObject progId="Equation.DSMT4" shapeId="28674" r:id="rId5"/>
      </mc:Fallback>
    </mc:AlternateContent>
    <mc:AlternateContent xmlns:mc="http://schemas.openxmlformats.org/markup-compatibility/2006">
      <mc:Choice Requires="x14">
        <oleObject progId="Equation.DSMT4" shapeId="28675" r:id="rId7">
          <objectPr defaultSize="0" autoPict="0" r:id="rId8">
            <anchor moveWithCells="1">
              <from>
                <xdr:col>2</xdr:col>
                <xdr:colOff>333375</xdr:colOff>
                <xdr:row>38</xdr:row>
                <xdr:rowOff>200025</xdr:rowOff>
              </from>
              <to>
                <xdr:col>2</xdr:col>
                <xdr:colOff>542925</xdr:colOff>
                <xdr:row>40</xdr:row>
                <xdr:rowOff>66675</xdr:rowOff>
              </to>
            </anchor>
          </objectPr>
        </oleObject>
      </mc:Choice>
      <mc:Fallback>
        <oleObject progId="Equation.DSMT4" shapeId="28675" r:id="rId7"/>
      </mc:Fallback>
    </mc:AlternateContent>
    <mc:AlternateContent xmlns:mc="http://schemas.openxmlformats.org/markup-compatibility/2006">
      <mc:Choice Requires="x14">
        <oleObject progId="Equation.DSMT4" shapeId="28676" r:id="rId9">
          <objectPr defaultSize="0" autoPict="0" r:id="rId10">
            <anchor moveWithCells="1">
              <from>
                <xdr:col>0</xdr:col>
                <xdr:colOff>495300</xdr:colOff>
                <xdr:row>47</xdr:row>
                <xdr:rowOff>85725</xdr:rowOff>
              </from>
              <to>
                <xdr:col>1</xdr:col>
                <xdr:colOff>809625</xdr:colOff>
                <xdr:row>53</xdr:row>
                <xdr:rowOff>47625</xdr:rowOff>
              </to>
            </anchor>
          </objectPr>
        </oleObject>
      </mc:Choice>
      <mc:Fallback>
        <oleObject progId="Equation.DSMT4" shapeId="28676" r:id="rId9"/>
      </mc:Fallback>
    </mc:AlternateContent>
    <mc:AlternateContent xmlns:mc="http://schemas.openxmlformats.org/markup-compatibility/2006">
      <mc:Choice Requires="x14">
        <oleObject progId="Equation.DSMT4" shapeId="28677" r:id="rId11">
          <objectPr defaultSize="0" autoPict="0" r:id="rId6">
            <anchor moveWithCells="1">
              <from>
                <xdr:col>1</xdr:col>
                <xdr:colOff>180975</xdr:colOff>
                <xdr:row>53</xdr:row>
                <xdr:rowOff>152400</xdr:rowOff>
              </from>
              <to>
                <xdr:col>2</xdr:col>
                <xdr:colOff>695325</xdr:colOff>
                <xdr:row>57</xdr:row>
                <xdr:rowOff>152400</xdr:rowOff>
              </to>
            </anchor>
          </objectPr>
        </oleObject>
      </mc:Choice>
      <mc:Fallback>
        <oleObject progId="Equation.DSMT4" shapeId="28677" r:id="rId11"/>
      </mc:Fallback>
    </mc:AlternateContent>
    <mc:AlternateContent xmlns:mc="http://schemas.openxmlformats.org/markup-compatibility/2006">
      <mc:Choice Requires="x14">
        <oleObject progId="Equation.DSMT4" shapeId="28678" r:id="rId12">
          <objectPr defaultSize="0" autoPict="0" r:id="rId13">
            <anchor moveWithCells="1">
              <from>
                <xdr:col>2</xdr:col>
                <xdr:colOff>0</xdr:colOff>
                <xdr:row>41</xdr:row>
                <xdr:rowOff>38100</xdr:rowOff>
              </from>
              <to>
                <xdr:col>3</xdr:col>
                <xdr:colOff>304800</xdr:colOff>
                <xdr:row>44</xdr:row>
                <xdr:rowOff>38100</xdr:rowOff>
              </to>
            </anchor>
          </objectPr>
        </oleObject>
      </mc:Choice>
      <mc:Fallback>
        <oleObject progId="Equation.DSMT4" shapeId="28678" r:id="rId12"/>
      </mc:Fallback>
    </mc:AlternateContent>
    <mc:AlternateContent xmlns:mc="http://schemas.openxmlformats.org/markup-compatibility/2006">
      <mc:Choice Requires="x14">
        <oleObject progId="Equation.DSMT4" shapeId="28679" r:id="rId14">
          <objectPr defaultSize="0" autoPict="0" r:id="rId8">
            <anchor moveWithCells="1">
              <from>
                <xdr:col>2</xdr:col>
                <xdr:colOff>333375</xdr:colOff>
                <xdr:row>56</xdr:row>
                <xdr:rowOff>200025</xdr:rowOff>
              </from>
              <to>
                <xdr:col>2</xdr:col>
                <xdr:colOff>542925</xdr:colOff>
                <xdr:row>58</xdr:row>
                <xdr:rowOff>66675</xdr:rowOff>
              </to>
            </anchor>
          </objectPr>
        </oleObject>
      </mc:Choice>
      <mc:Fallback>
        <oleObject progId="Equation.DSMT4" shapeId="28679" r:id="rId14"/>
      </mc:Fallback>
    </mc:AlternateContent>
    <mc:AlternateContent xmlns:mc="http://schemas.openxmlformats.org/markup-compatibility/2006">
      <mc:Choice Requires="x14">
        <oleObject progId="Equation.DSMT4" shapeId="28680" r:id="rId15">
          <objectPr defaultSize="0" autoPict="0" r:id="rId13">
            <anchor moveWithCells="1">
              <from>
                <xdr:col>2</xdr:col>
                <xdr:colOff>9525</xdr:colOff>
                <xdr:row>59</xdr:row>
                <xdr:rowOff>76200</xdr:rowOff>
              </from>
              <to>
                <xdr:col>3</xdr:col>
                <xdr:colOff>485775</xdr:colOff>
                <xdr:row>62</xdr:row>
                <xdr:rowOff>123825</xdr:rowOff>
              </to>
            </anchor>
          </objectPr>
        </oleObject>
      </mc:Choice>
      <mc:Fallback>
        <oleObject progId="Equation.DSMT4" shapeId="28680" r:id="rId15"/>
      </mc:Fallback>
    </mc:AlternateContent>
    <mc:AlternateContent xmlns:mc="http://schemas.openxmlformats.org/markup-compatibility/2006">
      <mc:Choice Requires="x14">
        <oleObject progId="Equation.DSMT4" shapeId="28681" r:id="rId16">
          <objectPr defaultSize="0" autoPict="0" r:id="rId17">
            <anchor moveWithCells="1">
              <from>
                <xdr:col>5</xdr:col>
                <xdr:colOff>104775</xdr:colOff>
                <xdr:row>35</xdr:row>
                <xdr:rowOff>133350</xdr:rowOff>
              </from>
              <to>
                <xdr:col>7</xdr:col>
                <xdr:colOff>19050</xdr:colOff>
                <xdr:row>39</xdr:row>
                <xdr:rowOff>47625</xdr:rowOff>
              </to>
            </anchor>
          </objectPr>
        </oleObject>
      </mc:Choice>
      <mc:Fallback>
        <oleObject progId="Equation.DSMT4" shapeId="28681" r:id="rId16"/>
      </mc:Fallback>
    </mc:AlternateContent>
    <mc:AlternateContent xmlns:mc="http://schemas.openxmlformats.org/markup-compatibility/2006">
      <mc:Choice Requires="x14">
        <oleObject progId="Equation.DSMT4" shapeId="28682" r:id="rId18">
          <objectPr defaultSize="0" autoPict="0" r:id="rId17">
            <anchor moveWithCells="1">
              <from>
                <xdr:col>5</xdr:col>
                <xdr:colOff>104775</xdr:colOff>
                <xdr:row>53</xdr:row>
                <xdr:rowOff>133350</xdr:rowOff>
              </from>
              <to>
                <xdr:col>7</xdr:col>
                <xdr:colOff>0</xdr:colOff>
                <xdr:row>57</xdr:row>
                <xdr:rowOff>47625</xdr:rowOff>
              </to>
            </anchor>
          </objectPr>
        </oleObject>
      </mc:Choice>
      <mc:Fallback>
        <oleObject progId="Equation.DSMT4" shapeId="28682" r:id="rId18"/>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6"/>
  <sheetViews>
    <sheetView topLeftCell="A54" workbookViewId="0">
      <selection activeCell="K45" sqref="K45"/>
    </sheetView>
  </sheetViews>
  <sheetFormatPr defaultRowHeight="16.5"/>
  <cols>
    <col min="1" max="1" width="41.140625" style="567" bestFit="1" customWidth="1"/>
    <col min="2" max="2" width="17.42578125" style="567" customWidth="1"/>
    <col min="3" max="3" width="10" style="567" bestFit="1" customWidth="1"/>
    <col min="4" max="4" width="12.7109375" style="567" bestFit="1" customWidth="1"/>
    <col min="5" max="5" width="9.5703125" style="567" bestFit="1" customWidth="1"/>
    <col min="6" max="6" width="11.5703125" style="567" bestFit="1" customWidth="1"/>
    <col min="7" max="7" width="14.5703125" style="568" bestFit="1" customWidth="1"/>
    <col min="8" max="8" width="13.42578125" style="567" bestFit="1" customWidth="1"/>
    <col min="9" max="9" width="9.28515625" style="567" bestFit="1" customWidth="1"/>
    <col min="10" max="10" width="15.140625" style="567" bestFit="1" customWidth="1"/>
    <col min="11" max="11" width="9.140625" style="567"/>
    <col min="12" max="14" width="9.28515625" style="567" bestFit="1" customWidth="1"/>
    <col min="15" max="15" width="11.28515625" style="567" bestFit="1" customWidth="1"/>
    <col min="16" max="16384" width="9.140625" style="567"/>
  </cols>
  <sheetData>
    <row r="1" spans="1:3">
      <c r="A1" s="567" t="s">
        <v>69</v>
      </c>
      <c r="B1" s="567" t="s">
        <v>70</v>
      </c>
    </row>
    <row r="2" spans="1:3">
      <c r="A2" s="567" t="s">
        <v>0</v>
      </c>
      <c r="B2" s="569" t="s">
        <v>322</v>
      </c>
    </row>
    <row r="3" spans="1:3">
      <c r="A3" s="567" t="s">
        <v>71</v>
      </c>
      <c r="B3" s="567" t="s">
        <v>72</v>
      </c>
    </row>
    <row r="4" spans="1:3">
      <c r="A4" s="567" t="s">
        <v>73</v>
      </c>
      <c r="B4" s="567" t="s">
        <v>74</v>
      </c>
    </row>
    <row r="5" spans="1:3" ht="21">
      <c r="A5" s="567" t="s">
        <v>75</v>
      </c>
      <c r="B5" s="567" t="s">
        <v>949</v>
      </c>
    </row>
    <row r="6" spans="1:3">
      <c r="A6" s="567" t="s">
        <v>1</v>
      </c>
      <c r="B6" s="567">
        <v>3</v>
      </c>
      <c r="C6" s="567" t="s">
        <v>4</v>
      </c>
    </row>
    <row r="7" spans="1:3">
      <c r="A7" s="567" t="s">
        <v>2</v>
      </c>
      <c r="B7" s="567">
        <v>435.7</v>
      </c>
      <c r="C7" s="567" t="s">
        <v>3</v>
      </c>
    </row>
    <row r="8" spans="1:3">
      <c r="A8" s="567" t="s">
        <v>76</v>
      </c>
      <c r="B8" s="567">
        <v>814.3</v>
      </c>
      <c r="C8" s="567" t="s">
        <v>3</v>
      </c>
    </row>
    <row r="9" spans="1:3">
      <c r="A9" s="567" t="s">
        <v>77</v>
      </c>
      <c r="B9" s="567" t="s">
        <v>78</v>
      </c>
    </row>
    <row r="10" spans="1:3">
      <c r="A10" s="567" t="s">
        <v>79</v>
      </c>
    </row>
    <row r="11" spans="1:3">
      <c r="A11" s="569" t="s">
        <v>5</v>
      </c>
    </row>
    <row r="12" spans="1:3">
      <c r="A12" s="567" t="s">
        <v>9</v>
      </c>
      <c r="B12" s="567">
        <v>2.85</v>
      </c>
      <c r="C12" s="567" t="s">
        <v>6</v>
      </c>
    </row>
    <row r="13" spans="1:3">
      <c r="A13" s="567" t="s">
        <v>8</v>
      </c>
      <c r="B13" s="567">
        <v>3.6</v>
      </c>
      <c r="C13" s="567" t="s">
        <v>6</v>
      </c>
    </row>
    <row r="14" spans="1:3">
      <c r="A14" s="567" t="s">
        <v>7</v>
      </c>
      <c r="B14" s="567">
        <v>6.45</v>
      </c>
      <c r="C14" s="567" t="s">
        <v>6</v>
      </c>
    </row>
    <row r="15" spans="1:3">
      <c r="A15" s="567" t="s">
        <v>10</v>
      </c>
      <c r="B15" s="567">
        <v>13.35</v>
      </c>
      <c r="C15" s="567" t="s">
        <v>6</v>
      </c>
    </row>
    <row r="16" spans="1:3">
      <c r="A16" s="567" t="s">
        <v>11</v>
      </c>
      <c r="B16" s="567">
        <f>B15</f>
        <v>13.35</v>
      </c>
      <c r="C16" s="567" t="s">
        <v>6</v>
      </c>
    </row>
    <row r="17" spans="1:7">
      <c r="A17" s="567" t="s">
        <v>80</v>
      </c>
      <c r="B17" s="567">
        <v>3.6</v>
      </c>
      <c r="C17" s="567" t="s">
        <v>6</v>
      </c>
    </row>
    <row r="18" spans="1:7">
      <c r="A18" s="567" t="s">
        <v>81</v>
      </c>
      <c r="B18" s="567">
        <v>3.6</v>
      </c>
      <c r="C18" s="567" t="s">
        <v>6</v>
      </c>
    </row>
    <row r="19" spans="1:7">
      <c r="A19" s="567" t="s">
        <v>82</v>
      </c>
      <c r="B19" s="567">
        <v>3.3</v>
      </c>
      <c r="C19" s="567" t="s">
        <v>6</v>
      </c>
    </row>
    <row r="20" spans="1:7">
      <c r="A20" s="569" t="s">
        <v>83</v>
      </c>
    </row>
    <row r="21" spans="1:7">
      <c r="A21" s="567" t="s">
        <v>84</v>
      </c>
      <c r="B21" s="567" t="s">
        <v>85</v>
      </c>
      <c r="C21" s="567">
        <v>25</v>
      </c>
    </row>
    <row r="22" spans="1:7">
      <c r="A22" s="567" t="s">
        <v>86</v>
      </c>
      <c r="B22" s="567">
        <v>14.5</v>
      </c>
      <c r="C22" s="567" t="s">
        <v>94</v>
      </c>
      <c r="D22" s="567">
        <f>B22*10</f>
        <v>145</v>
      </c>
    </row>
    <row r="23" spans="1:7">
      <c r="A23" s="567" t="s">
        <v>87</v>
      </c>
      <c r="B23" s="567">
        <v>1.05</v>
      </c>
      <c r="C23" s="567" t="s">
        <v>94</v>
      </c>
      <c r="D23" s="567">
        <f>B23*10</f>
        <v>10.5</v>
      </c>
    </row>
    <row r="24" spans="1:7">
      <c r="A24" s="567" t="s">
        <v>88</v>
      </c>
      <c r="B24" s="567">
        <v>30000</v>
      </c>
      <c r="C24" s="567" t="s">
        <v>94</v>
      </c>
    </row>
    <row r="25" spans="1:7">
      <c r="A25" s="569" t="s">
        <v>89</v>
      </c>
    </row>
    <row r="26" spans="1:7">
      <c r="A26" s="567" t="s">
        <v>90</v>
      </c>
      <c r="B26" s="567" t="s">
        <v>186</v>
      </c>
      <c r="F26" s="567" t="s">
        <v>91</v>
      </c>
    </row>
    <row r="27" spans="1:7">
      <c r="A27" s="567" t="s">
        <v>92</v>
      </c>
      <c r="B27" s="567">
        <v>225</v>
      </c>
      <c r="C27" s="567" t="s">
        <v>94</v>
      </c>
      <c r="D27" s="567">
        <f>B27*10</f>
        <v>2250</v>
      </c>
      <c r="F27" s="567">
        <v>260</v>
      </c>
      <c r="G27" s="568" t="s">
        <v>94</v>
      </c>
    </row>
    <row r="28" spans="1:7">
      <c r="A28" s="567" t="s">
        <v>93</v>
      </c>
      <c r="B28" s="567">
        <v>175</v>
      </c>
      <c r="C28" s="567" t="s">
        <v>94</v>
      </c>
      <c r="D28" s="567">
        <f>B28*10</f>
        <v>1750</v>
      </c>
      <c r="F28" s="567">
        <v>210</v>
      </c>
      <c r="G28" s="568" t="s">
        <v>94</v>
      </c>
    </row>
    <row r="29" spans="1:7">
      <c r="A29" s="567" t="s">
        <v>88</v>
      </c>
      <c r="B29" s="567">
        <v>210000</v>
      </c>
      <c r="C29" s="567" t="s">
        <v>94</v>
      </c>
      <c r="F29" s="567">
        <v>200000</v>
      </c>
      <c r="G29" s="568" t="s">
        <v>94</v>
      </c>
    </row>
    <row r="30" spans="1:7">
      <c r="A30" s="567" t="s">
        <v>90</v>
      </c>
      <c r="B30" s="567" t="s">
        <v>187</v>
      </c>
      <c r="F30" s="567" t="s">
        <v>95</v>
      </c>
    </row>
    <row r="31" spans="1:7">
      <c r="A31" s="567" t="s">
        <v>92</v>
      </c>
      <c r="B31" s="567">
        <v>280</v>
      </c>
      <c r="C31" s="567" t="s">
        <v>94</v>
      </c>
      <c r="D31" s="567">
        <f>B31*10</f>
        <v>2800</v>
      </c>
      <c r="F31" s="567">
        <v>260</v>
      </c>
      <c r="G31" s="568" t="s">
        <v>94</v>
      </c>
    </row>
    <row r="32" spans="1:7">
      <c r="A32" s="567" t="s">
        <v>93</v>
      </c>
      <c r="B32" s="567">
        <v>225</v>
      </c>
      <c r="C32" s="567" t="s">
        <v>94</v>
      </c>
      <c r="F32" s="567">
        <v>210</v>
      </c>
      <c r="G32" s="568" t="s">
        <v>94</v>
      </c>
    </row>
    <row r="33" spans="1:9">
      <c r="A33" s="567" t="s">
        <v>88</v>
      </c>
      <c r="B33" s="567">
        <v>210000</v>
      </c>
      <c r="C33" s="567" t="s">
        <v>94</v>
      </c>
      <c r="F33" s="567">
        <v>200000</v>
      </c>
      <c r="G33" s="568" t="s">
        <v>94</v>
      </c>
    </row>
    <row r="34" spans="1:9">
      <c r="A34" s="567" t="s">
        <v>90</v>
      </c>
      <c r="B34" s="567" t="s">
        <v>188</v>
      </c>
      <c r="F34" s="567" t="s">
        <v>96</v>
      </c>
    </row>
    <row r="35" spans="1:9">
      <c r="A35" s="567" t="s">
        <v>92</v>
      </c>
      <c r="B35" s="567">
        <v>365</v>
      </c>
      <c r="C35" s="567" t="s">
        <v>94</v>
      </c>
      <c r="F35" s="567">
        <v>350</v>
      </c>
      <c r="G35" s="568" t="s">
        <v>94</v>
      </c>
    </row>
    <row r="36" spans="1:9">
      <c r="A36" s="567" t="s">
        <v>93</v>
      </c>
      <c r="B36" s="567">
        <v>290</v>
      </c>
      <c r="C36" s="567" t="s">
        <v>94</v>
      </c>
      <c r="F36" s="567">
        <v>280</v>
      </c>
      <c r="G36" s="568" t="s">
        <v>94</v>
      </c>
    </row>
    <row r="37" spans="1:9">
      <c r="A37" s="567" t="s">
        <v>88</v>
      </c>
      <c r="B37" s="567">
        <v>210000</v>
      </c>
      <c r="C37" s="567" t="s">
        <v>94</v>
      </c>
      <c r="F37" s="567">
        <v>200000</v>
      </c>
      <c r="G37" s="568" t="s">
        <v>94</v>
      </c>
    </row>
    <row r="38" spans="1:9">
      <c r="A38" s="569" t="s">
        <v>115</v>
      </c>
    </row>
    <row r="39" spans="1:9">
      <c r="A39" s="569" t="s">
        <v>116</v>
      </c>
    </row>
    <row r="40" spans="1:9">
      <c r="A40" s="567" t="s">
        <v>118</v>
      </c>
      <c r="B40" s="567">
        <v>4000</v>
      </c>
      <c r="C40" s="567">
        <f>B40/1000</f>
        <v>4</v>
      </c>
    </row>
    <row r="41" spans="1:9">
      <c r="A41" s="567" t="s">
        <v>119</v>
      </c>
      <c r="B41" s="567">
        <v>6000</v>
      </c>
      <c r="C41" s="567">
        <f>B41/1000</f>
        <v>6</v>
      </c>
    </row>
    <row r="42" spans="1:9">
      <c r="A42" s="567" t="s">
        <v>117</v>
      </c>
      <c r="B42" s="570" t="str">
        <f>B40/1000 &amp; "m x " &amp;B41/1000&amp;"m"</f>
        <v>4m x 6m</v>
      </c>
    </row>
    <row r="43" spans="1:9">
      <c r="A43" s="567" t="s">
        <v>158</v>
      </c>
      <c r="B43" s="567">
        <v>1.2</v>
      </c>
    </row>
    <row r="44" spans="1:9">
      <c r="A44" s="567" t="s">
        <v>6</v>
      </c>
      <c r="B44" s="567">
        <v>45</v>
      </c>
    </row>
    <row r="45" spans="1:9">
      <c r="A45" s="567" t="s">
        <v>159</v>
      </c>
      <c r="B45" s="567">
        <f>ROUNDUP(B43/B44*B40,0)</f>
        <v>107</v>
      </c>
      <c r="C45" s="567" t="s">
        <v>160</v>
      </c>
      <c r="D45" s="569" t="s">
        <v>172</v>
      </c>
      <c r="E45" s="571">
        <v>100</v>
      </c>
      <c r="F45" s="569" t="s">
        <v>173</v>
      </c>
      <c r="G45" s="571">
        <v>20</v>
      </c>
      <c r="H45" s="569" t="s">
        <v>174</v>
      </c>
      <c r="I45" s="569">
        <f>E45-G45</f>
        <v>80</v>
      </c>
    </row>
    <row r="46" spans="1:9">
      <c r="A46" s="569" t="s">
        <v>161</v>
      </c>
      <c r="E46" s="567">
        <f>E45/10</f>
        <v>10</v>
      </c>
      <c r="G46" s="568">
        <f>G45/10</f>
        <v>2</v>
      </c>
      <c r="I46" s="567">
        <f>I45/10</f>
        <v>8</v>
      </c>
    </row>
    <row r="47" spans="1:9">
      <c r="A47" s="572" t="s">
        <v>162</v>
      </c>
      <c r="E47" s="567">
        <f>E45/1000</f>
        <v>0.1</v>
      </c>
    </row>
    <row r="48" spans="1:9">
      <c r="A48" s="567" t="s">
        <v>163</v>
      </c>
      <c r="B48" s="567">
        <f>ROUNDUP($B$41/D48,0)</f>
        <v>600</v>
      </c>
      <c r="C48" s="567" t="s">
        <v>160</v>
      </c>
      <c r="D48" s="567">
        <v>10</v>
      </c>
    </row>
    <row r="49" spans="1:4">
      <c r="A49" s="567" t="s">
        <v>164</v>
      </c>
      <c r="B49" s="567">
        <f>ROUNDUP($B$41/D49,0)</f>
        <v>400</v>
      </c>
      <c r="C49" s="567" t="s">
        <v>160</v>
      </c>
      <c r="D49" s="567">
        <v>15</v>
      </c>
    </row>
    <row r="50" spans="1:4">
      <c r="A50" s="567" t="s">
        <v>165</v>
      </c>
      <c r="B50" s="569">
        <v>400</v>
      </c>
      <c r="C50" s="567" t="s">
        <v>160</v>
      </c>
      <c r="D50" s="567" t="s">
        <v>637</v>
      </c>
    </row>
    <row r="51" spans="1:4">
      <c r="A51" s="567" t="s">
        <v>166</v>
      </c>
      <c r="B51" s="567">
        <f>ROUNDUP($B$50/D51,0)</f>
        <v>200</v>
      </c>
      <c r="C51" s="567" t="s">
        <v>160</v>
      </c>
      <c r="D51" s="567">
        <v>2</v>
      </c>
    </row>
    <row r="52" spans="1:4">
      <c r="A52" s="567" t="s">
        <v>167</v>
      </c>
      <c r="B52" s="567">
        <f>ROUNDUP($B$50/D52,0)</f>
        <v>134</v>
      </c>
      <c r="C52" s="567" t="s">
        <v>160</v>
      </c>
      <c r="D52" s="567">
        <v>3</v>
      </c>
    </row>
    <row r="53" spans="1:4">
      <c r="A53" s="567" t="s">
        <v>168</v>
      </c>
      <c r="B53" s="569">
        <v>200</v>
      </c>
      <c r="C53" s="567" t="s">
        <v>160</v>
      </c>
    </row>
    <row r="54" spans="1:4">
      <c r="A54" s="567" t="s">
        <v>169</v>
      </c>
      <c r="B54" s="570" t="str">
        <f>B53/1000 &amp; "m x " &amp;B50/1000&amp;"m"</f>
        <v>0,2m x 0,4m</v>
      </c>
    </row>
    <row r="55" spans="1:4">
      <c r="A55" s="572" t="s">
        <v>170</v>
      </c>
    </row>
    <row r="56" spans="1:4">
      <c r="A56" s="567" t="s">
        <v>163</v>
      </c>
      <c r="B56" s="567">
        <f>ROUNDUP($B$41/D56,0)</f>
        <v>400</v>
      </c>
      <c r="C56" s="567" t="s">
        <v>160</v>
      </c>
      <c r="D56" s="567">
        <v>15</v>
      </c>
    </row>
    <row r="57" spans="1:4">
      <c r="A57" s="567" t="s">
        <v>164</v>
      </c>
      <c r="B57" s="567">
        <f>ROUNDUP($B$41/D57,0)</f>
        <v>300</v>
      </c>
      <c r="C57" s="567" t="s">
        <v>160</v>
      </c>
      <c r="D57" s="567">
        <v>20</v>
      </c>
    </row>
    <row r="58" spans="1:4">
      <c r="A58" s="567" t="s">
        <v>165</v>
      </c>
      <c r="B58" s="569">
        <v>350</v>
      </c>
      <c r="C58" s="567" t="s">
        <v>160</v>
      </c>
      <c r="D58" s="567">
        <v>0</v>
      </c>
    </row>
    <row r="59" spans="1:4">
      <c r="A59" s="567" t="s">
        <v>166</v>
      </c>
      <c r="B59" s="567">
        <f>ROUNDUP($B$50/D59,0)</f>
        <v>200</v>
      </c>
      <c r="C59" s="567" t="s">
        <v>160</v>
      </c>
      <c r="D59" s="567">
        <v>2</v>
      </c>
    </row>
    <row r="60" spans="1:4">
      <c r="A60" s="567" t="s">
        <v>167</v>
      </c>
      <c r="B60" s="567">
        <f>ROUNDUP($B$50/D60,0)</f>
        <v>134</v>
      </c>
      <c r="C60" s="567" t="s">
        <v>160</v>
      </c>
      <c r="D60" s="567">
        <v>3</v>
      </c>
    </row>
    <row r="61" spans="1:4">
      <c r="A61" s="567" t="s">
        <v>168</v>
      </c>
      <c r="B61" s="569">
        <v>200</v>
      </c>
      <c r="C61" s="567" t="s">
        <v>160</v>
      </c>
    </row>
    <row r="62" spans="1:4">
      <c r="A62" s="567" t="s">
        <v>171</v>
      </c>
      <c r="B62" s="570" t="str">
        <f>B61/1000 &amp; "m x " &amp;B58/1000&amp;"m"</f>
        <v>0,2m x 0,35m</v>
      </c>
    </row>
    <row r="63" spans="1:4">
      <c r="A63" s="572" t="s">
        <v>175</v>
      </c>
    </row>
    <row r="64" spans="1:4">
      <c r="A64" s="569" t="s">
        <v>176</v>
      </c>
    </row>
    <row r="65" spans="1:7">
      <c r="A65" s="567" t="s">
        <v>180</v>
      </c>
      <c r="B65" s="567" t="str">
        <f>'TINH TOAN'!T2</f>
        <v>S11</v>
      </c>
    </row>
    <row r="66" spans="1:7">
      <c r="A66" s="567" t="s">
        <v>178</v>
      </c>
      <c r="B66" s="567">
        <f>VLOOKUP(B65,KH_SAN2,4,0)*1000</f>
        <v>799.99999999999989</v>
      </c>
      <c r="C66" s="567" t="s">
        <v>160</v>
      </c>
      <c r="D66" s="567">
        <f>B66/1000</f>
        <v>0.79999999999999993</v>
      </c>
    </row>
    <row r="67" spans="1:7">
      <c r="A67" s="567" t="s">
        <v>177</v>
      </c>
      <c r="B67" s="567">
        <f>VLOOKUP(B65,KH_SAN2,5,0)*1000</f>
        <v>4300</v>
      </c>
      <c r="C67" s="567" t="s">
        <v>160</v>
      </c>
      <c r="D67" s="567">
        <f>B67/1000</f>
        <v>4.3</v>
      </c>
    </row>
    <row r="68" spans="1:7">
      <c r="A68" s="567" t="s">
        <v>179</v>
      </c>
      <c r="B68" s="573">
        <f>'TINH TOAN'!Q2</f>
        <v>6</v>
      </c>
    </row>
    <row r="69" spans="1:7">
      <c r="A69" s="567" t="s">
        <v>309</v>
      </c>
      <c r="B69" s="574">
        <f>VLOOKUP(TH!B65,'tải sàn'!$B$5:$D$18,3,0)</f>
        <v>0.47600000000000003</v>
      </c>
      <c r="C69" s="567" t="s">
        <v>691</v>
      </c>
    </row>
    <row r="70" spans="1:7">
      <c r="A70" s="567" t="s">
        <v>310</v>
      </c>
      <c r="B70" s="574">
        <f>VLOOKUP(TH!B65,'tải sàn'!$B$5:$D$18,2,0)</f>
        <v>0.48</v>
      </c>
      <c r="C70" s="567" t="s">
        <v>691</v>
      </c>
    </row>
    <row r="71" spans="1:7">
      <c r="A71" s="567" t="s">
        <v>311</v>
      </c>
      <c r="B71" s="574">
        <f>(B69+B70)*D66^2/24</f>
        <v>2.5493333333333326E-2</v>
      </c>
      <c r="C71" s="567" t="s">
        <v>691</v>
      </c>
    </row>
    <row r="72" spans="1:7">
      <c r="A72" s="567" t="s">
        <v>313</v>
      </c>
      <c r="B72" s="574">
        <f>(B69+B70)*D66^2/12</f>
        <v>5.0986666666666652E-2</v>
      </c>
      <c r="C72" s="567" t="s">
        <v>691</v>
      </c>
      <c r="E72" s="569" t="s">
        <v>319</v>
      </c>
    </row>
    <row r="73" spans="1:7">
      <c r="A73" s="567" t="s">
        <v>314</v>
      </c>
      <c r="B73" s="575">
        <f>B72/(B22*1*(I45/100)^2)</f>
        <v>5.4942528735632164E-3</v>
      </c>
    </row>
    <row r="74" spans="1:7">
      <c r="A74" s="567" t="s">
        <v>315</v>
      </c>
      <c r="B74" s="574">
        <f>(1-SQRT(1-2*B73))</f>
        <v>5.5094297818236715E-3</v>
      </c>
      <c r="C74" s="567" t="s">
        <v>316</v>
      </c>
      <c r="D74" s="574">
        <f>B73/B74</f>
        <v>0.99724528510908228</v>
      </c>
      <c r="G74" s="568">
        <f>Rs_2</f>
        <v>28000</v>
      </c>
    </row>
    <row r="75" spans="1:7">
      <c r="A75" s="567" t="s">
        <v>264</v>
      </c>
      <c r="B75" s="574">
        <f>10000*B72/(Rs_2*TH!D74*h0_san*0.001)</f>
        <v>0.22824780524698068</v>
      </c>
      <c r="C75" s="567" t="s">
        <v>459</v>
      </c>
      <c r="D75" s="576">
        <f>'thepsan 1p'!N11</f>
        <v>5.2333333333333334</v>
      </c>
      <c r="E75" s="577" t="str">
        <f>'thepsan 1p'!P11</f>
        <v>Ø10a150</v>
      </c>
      <c r="G75" s="568">
        <f>'Thong so vat lieu'!G15</f>
        <v>28000</v>
      </c>
    </row>
    <row r="76" spans="1:7">
      <c r="A76" s="567" t="s">
        <v>318</v>
      </c>
      <c r="B76" s="577">
        <f>'thepsan 1p'!M12</f>
        <v>150</v>
      </c>
      <c r="C76" s="567" t="s">
        <v>460</v>
      </c>
      <c r="D76" s="576">
        <f>D75/(100*E100)*100</f>
        <v>0.65416666666666667</v>
      </c>
    </row>
    <row r="77" spans="1:7">
      <c r="A77" s="567" t="s">
        <v>317</v>
      </c>
      <c r="B77" s="577">
        <f>B67/B76+1</f>
        <v>29.666666666666668</v>
      </c>
    </row>
    <row r="78" spans="1:7">
      <c r="A78" s="569" t="s">
        <v>320</v>
      </c>
    </row>
    <row r="79" spans="1:7">
      <c r="A79" s="567" t="s">
        <v>311</v>
      </c>
      <c r="B79" s="574">
        <f>(B69+B70)*D66^2/24</f>
        <v>2.5493333333333326E-2</v>
      </c>
      <c r="C79" s="567" t="s">
        <v>312</v>
      </c>
    </row>
    <row r="80" spans="1:7">
      <c r="A80" s="567" t="s">
        <v>313</v>
      </c>
      <c r="B80" s="574">
        <f>(B69+B70)*D66^2/12</f>
        <v>5.0986666666666652E-2</v>
      </c>
      <c r="C80" s="567" t="s">
        <v>312</v>
      </c>
    </row>
    <row r="81" spans="1:9">
      <c r="A81" s="567" t="s">
        <v>314</v>
      </c>
      <c r="B81" s="575">
        <f>B71/(B22*1*(I45/100)^2)</f>
        <v>2.7471264367816082E-3</v>
      </c>
    </row>
    <row r="82" spans="1:9">
      <c r="A82" s="567" t="s">
        <v>315</v>
      </c>
      <c r="B82" s="574">
        <f>(1-SQRT(1-2*B81))</f>
        <v>2.7509101902188915E-3</v>
      </c>
      <c r="C82" s="567" t="s">
        <v>316</v>
      </c>
      <c r="D82" s="574">
        <f>B81/B82</f>
        <v>0.99862454490490571</v>
      </c>
    </row>
    <row r="83" spans="1:9">
      <c r="A83" s="567" t="s">
        <v>264</v>
      </c>
      <c r="B83" s="574">
        <f>10000*B79/(Rs_2*TH!D82*TH!I45*0.001)</f>
        <v>0.11396627930906837</v>
      </c>
      <c r="C83" s="567" t="s">
        <v>459</v>
      </c>
      <c r="D83" s="576">
        <f>'thepsan 1p'!N12</f>
        <v>5.2333333333333334</v>
      </c>
      <c r="E83" s="576" t="str">
        <f>'thepsan 1p'!P12</f>
        <v>Ø10a150</v>
      </c>
      <c r="F83" s="576"/>
      <c r="H83" s="576"/>
      <c r="I83" s="576"/>
    </row>
    <row r="84" spans="1:9">
      <c r="A84" s="567" t="s">
        <v>318</v>
      </c>
      <c r="B84" s="577">
        <f>'thepsan 1p'!M11</f>
        <v>150</v>
      </c>
      <c r="C84" s="567" t="s">
        <v>460</v>
      </c>
      <c r="D84" s="576">
        <f>D83/(100*$E$100)*100</f>
        <v>0.65416666666666667</v>
      </c>
    </row>
    <row r="85" spans="1:9">
      <c r="A85" s="567" t="s">
        <v>321</v>
      </c>
      <c r="B85" s="577">
        <f>B67/B84+1</f>
        <v>29.666666666666668</v>
      </c>
    </row>
    <row r="86" spans="1:9">
      <c r="A86" s="569" t="s">
        <v>452</v>
      </c>
    </row>
    <row r="87" spans="1:9">
      <c r="A87" s="567" t="s">
        <v>180</v>
      </c>
      <c r="B87" s="567" t="s">
        <v>105</v>
      </c>
    </row>
    <row r="88" spans="1:9">
      <c r="A88" s="567" t="s">
        <v>178</v>
      </c>
      <c r="B88" s="567">
        <f>VLOOKUP(B87,'tải sàn'!$B$5:$H$16,4,0)*1000</f>
        <v>4000</v>
      </c>
      <c r="C88" s="567" t="s">
        <v>160</v>
      </c>
      <c r="D88" s="567">
        <f>B88/1000</f>
        <v>4</v>
      </c>
    </row>
    <row r="89" spans="1:9">
      <c r="A89" s="567" t="s">
        <v>177</v>
      </c>
      <c r="B89" s="567">
        <f>VLOOKUP(B87,'tải sàn'!$B$5:$H$16,5,0)*1000</f>
        <v>6000</v>
      </c>
      <c r="C89" s="567" t="s">
        <v>160</v>
      </c>
      <c r="D89" s="567">
        <f>B89/1000</f>
        <v>6</v>
      </c>
    </row>
    <row r="90" spans="1:9">
      <c r="A90" s="567" t="s">
        <v>179</v>
      </c>
      <c r="B90" s="578">
        <f>ROUND(B89/B88,2)</f>
        <v>1.5</v>
      </c>
    </row>
    <row r="91" spans="1:9">
      <c r="A91" s="567" t="s">
        <v>309</v>
      </c>
      <c r="B91" s="567">
        <f>VLOOKUP(B87,'tải sàn'!$B$5:$H$16,3,0)</f>
        <v>0.47600000000000003</v>
      </c>
      <c r="C91" s="567">
        <f>B91/100</f>
        <v>4.7600000000000003E-3</v>
      </c>
    </row>
    <row r="92" spans="1:9">
      <c r="A92" s="567" t="s">
        <v>310</v>
      </c>
      <c r="B92" s="567">
        <f>VLOOKUP(B87,'tải sàn'!$B$5:$H$16,2,0)</f>
        <v>0.48</v>
      </c>
      <c r="C92" s="567">
        <f>B92/100</f>
        <v>4.7999999999999996E-3</v>
      </c>
    </row>
    <row r="93" spans="1:9">
      <c r="A93" s="567" t="s">
        <v>227</v>
      </c>
      <c r="B93" s="567">
        <f>B91+B92</f>
        <v>0.95599999999999996</v>
      </c>
      <c r="C93" s="567">
        <f>B93/100</f>
        <v>9.5599999999999991E-3</v>
      </c>
    </row>
    <row r="94" spans="1:9">
      <c r="A94" s="567" t="s">
        <v>457</v>
      </c>
      <c r="B94" s="573">
        <f>B93*D88*D89</f>
        <v>22.943999999999999</v>
      </c>
    </row>
    <row r="95" spans="1:9">
      <c r="A95" s="567" t="s">
        <v>439</v>
      </c>
      <c r="B95" s="579">
        <f>momensan!C2</f>
        <v>9</v>
      </c>
    </row>
    <row r="96" spans="1:9">
      <c r="A96" s="567" t="s">
        <v>367</v>
      </c>
      <c r="B96" s="567">
        <f>VLOOKUP($B$90,'du lieu'!$D$18:$BF$118,HLOOKUP($B$95,'du lieu'!$D$130:$BF$131,2))</f>
        <v>2.0799999999999999E-2</v>
      </c>
    </row>
    <row r="97" spans="1:5">
      <c r="A97" s="567" t="s">
        <v>368</v>
      </c>
      <c r="B97" s="567">
        <f>VLOOKUP($B$90,'du lieu'!$D$18:$BF$118,HLOOKUP($B$95,'du lieu'!$D$133:$BF$134,2))</f>
        <v>9.2999999999999992E-3</v>
      </c>
    </row>
    <row r="98" spans="1:5">
      <c r="A98" s="567" t="s">
        <v>369</v>
      </c>
      <c r="B98" s="567">
        <f>VLOOKUP($B$90,'du lieu'!$D$18:$BF$118,HLOOKUP($B$95,'du lieu'!$D$136:$BF$137,2))</f>
        <v>4.6399999999999997E-2</v>
      </c>
    </row>
    <row r="99" spans="1:5">
      <c r="A99" s="567" t="s">
        <v>370</v>
      </c>
      <c r="B99" s="567">
        <f>VLOOKUP($B$90,'du lieu'!$D$18:$BF$118,HLOOKUP($B$95,'du lieu'!$D$139:$BF$140,2))</f>
        <v>2.06E-2</v>
      </c>
    </row>
    <row r="100" spans="1:5">
      <c r="A100" s="567" t="s">
        <v>453</v>
      </c>
      <c r="B100" s="574">
        <f>B96*$B$94</f>
        <v>0.47723519999999997</v>
      </c>
      <c r="C100" s="580">
        <f>B100*100</f>
        <v>47.723519999999994</v>
      </c>
      <c r="D100" s="567">
        <f>B22*10</f>
        <v>145</v>
      </c>
      <c r="E100" s="567">
        <f>I45/10</f>
        <v>8</v>
      </c>
    </row>
    <row r="101" spans="1:5">
      <c r="A101" s="567" t="s">
        <v>454</v>
      </c>
      <c r="B101" s="574">
        <f t="shared" ref="B101:B103" si="0">B97*$B$94</f>
        <v>0.21337919999999996</v>
      </c>
    </row>
    <row r="102" spans="1:5">
      <c r="A102" s="567" t="s">
        <v>455</v>
      </c>
      <c r="B102" s="574">
        <f t="shared" si="0"/>
        <v>1.0646015999999998</v>
      </c>
      <c r="C102" s="580">
        <f>B102*100</f>
        <v>106.46015999999999</v>
      </c>
    </row>
    <row r="103" spans="1:5">
      <c r="A103" s="567" t="s">
        <v>456</v>
      </c>
      <c r="B103" s="574">
        <f t="shared" si="0"/>
        <v>0.47264639999999997</v>
      </c>
      <c r="C103" s="567" t="s">
        <v>312</v>
      </c>
      <c r="E103" s="569" t="s">
        <v>319</v>
      </c>
    </row>
    <row r="104" spans="1:5">
      <c r="A104" s="567" t="s">
        <v>314</v>
      </c>
      <c r="B104" s="581">
        <f>C100/(D100*100*E100*E100)</f>
        <v>5.1426206896551715E-5</v>
      </c>
    </row>
    <row r="105" spans="1:5">
      <c r="A105" s="567" t="s">
        <v>315</v>
      </c>
      <c r="B105" s="581">
        <f>(1-SQRT(1-2*B104))</f>
        <v>5.1427529291991902E-5</v>
      </c>
      <c r="C105" s="567" t="s">
        <v>316</v>
      </c>
      <c r="D105" s="582">
        <f>B104/B105</f>
        <v>0.99997428623427198</v>
      </c>
    </row>
    <row r="106" spans="1:5">
      <c r="A106" s="567" t="s">
        <v>264</v>
      </c>
      <c r="B106" s="583">
        <f>B105*D105*$B$22*100*$E$100/$B$27</f>
        <v>2.6513066666666659E-3</v>
      </c>
      <c r="C106" s="567" t="s">
        <v>459</v>
      </c>
      <c r="D106" s="576">
        <f>thepsan!N35</f>
        <v>5.2333333333333334</v>
      </c>
      <c r="E106" s="576" t="str">
        <f>thepsan!P35</f>
        <v>Ø10a150</v>
      </c>
    </row>
    <row r="107" spans="1:5">
      <c r="A107" s="567" t="s">
        <v>318</v>
      </c>
      <c r="B107" s="584">
        <f>thepsan!M35</f>
        <v>150</v>
      </c>
      <c r="C107" s="567" t="s">
        <v>460</v>
      </c>
      <c r="D107" s="585">
        <f>D106/(100*$E$100)*100</f>
        <v>0.65416666666666667</v>
      </c>
    </row>
    <row r="108" spans="1:5">
      <c r="A108" s="567" t="s">
        <v>317</v>
      </c>
      <c r="B108" s="584">
        <f>B88/B107+1</f>
        <v>27.666666666666668</v>
      </c>
      <c r="C108" s="567" t="s">
        <v>458</v>
      </c>
      <c r="D108" s="567">
        <f>B27</f>
        <v>225</v>
      </c>
    </row>
    <row r="109" spans="1:5">
      <c r="A109" s="569" t="s">
        <v>320</v>
      </c>
    </row>
    <row r="110" spans="1:5">
      <c r="A110" s="567" t="s">
        <v>314</v>
      </c>
      <c r="B110" s="581">
        <f>C102/($D$100*100*$E$100*$E$100)</f>
        <v>1.1471999999999999E-4</v>
      </c>
    </row>
    <row r="111" spans="1:5">
      <c r="A111" s="567" t="s">
        <v>315</v>
      </c>
      <c r="B111" s="581">
        <f>(1-SQRT(1-2*B110))</f>
        <v>1.1472658109423772E-4</v>
      </c>
      <c r="C111" s="567" t="s">
        <v>316</v>
      </c>
      <c r="D111" s="582">
        <f>B110/B111</f>
        <v>0.99994263670916572</v>
      </c>
    </row>
    <row r="112" spans="1:5">
      <c r="A112" s="567" t="s">
        <v>264</v>
      </c>
      <c r="B112" s="583">
        <f>B111*D111*$B$22*100*$E$100/$B$27</f>
        <v>5.9144533333333324E-3</v>
      </c>
      <c r="C112" s="567" t="s">
        <v>459</v>
      </c>
      <c r="D112" s="576">
        <f>thepsan!N41</f>
        <v>5.2333333333333334</v>
      </c>
      <c r="E112" s="576" t="str">
        <f>thepsan!P41</f>
        <v>Ø10a150</v>
      </c>
    </row>
    <row r="113" spans="1:8">
      <c r="A113" s="567" t="s">
        <v>318</v>
      </c>
      <c r="B113" s="584">
        <f>thepsan!M41</f>
        <v>150</v>
      </c>
      <c r="C113" s="567" t="s">
        <v>460</v>
      </c>
      <c r="D113" s="585">
        <f>D112/(100*$E$100)*100</f>
        <v>0.65416666666666667</v>
      </c>
    </row>
    <row r="114" spans="1:8">
      <c r="A114" s="567" t="s">
        <v>317</v>
      </c>
      <c r="B114" s="584">
        <f>$B$88/B113+1</f>
        <v>27.666666666666668</v>
      </c>
      <c r="C114" s="567" t="s">
        <v>458</v>
      </c>
      <c r="D114" s="567">
        <f>B33</f>
        <v>210000</v>
      </c>
    </row>
    <row r="115" spans="1:8">
      <c r="A115" s="569" t="s">
        <v>467</v>
      </c>
    </row>
    <row r="116" spans="1:8">
      <c r="A116" s="567" t="s">
        <v>468</v>
      </c>
      <c r="B116" s="567">
        <v>23</v>
      </c>
    </row>
    <row r="117" spans="1:8">
      <c r="A117" s="567" t="s">
        <v>469</v>
      </c>
      <c r="B117" s="567">
        <f>B18</f>
        <v>3.6</v>
      </c>
    </row>
    <row r="118" spans="1:8">
      <c r="A118" s="567" t="s">
        <v>470</v>
      </c>
      <c r="B118" s="577">
        <f>B117*1000/B116</f>
        <v>156.52173913043478</v>
      </c>
      <c r="C118" s="567" t="s">
        <v>258</v>
      </c>
      <c r="D118" s="567">
        <v>150</v>
      </c>
      <c r="E118" s="567">
        <f>D118/1000</f>
        <v>0.15</v>
      </c>
    </row>
    <row r="119" spans="1:8">
      <c r="A119" s="567" t="s">
        <v>471</v>
      </c>
      <c r="B119" s="567">
        <v>300</v>
      </c>
      <c r="C119" s="567">
        <f>B119/1000</f>
        <v>0.3</v>
      </c>
    </row>
    <row r="120" spans="1:8">
      <c r="A120" s="567" t="s">
        <v>472</v>
      </c>
      <c r="B120" s="544">
        <f>B118/B119</f>
        <v>0.52173913043478259</v>
      </c>
      <c r="C120" s="567" t="s">
        <v>473</v>
      </c>
      <c r="D120" s="544">
        <f>ATAN(B120)*180/PI()</f>
        <v>27.552811576717797</v>
      </c>
      <c r="F120" s="586">
        <f>TAN(D120*PI()/180)</f>
        <v>0.52173913043478259</v>
      </c>
    </row>
    <row r="121" spans="1:8">
      <c r="A121" s="567" t="s">
        <v>474</v>
      </c>
      <c r="B121" s="567">
        <v>100</v>
      </c>
      <c r="C121" s="567" t="s">
        <v>160</v>
      </c>
      <c r="D121" s="567">
        <f>B121/10</f>
        <v>10</v>
      </c>
      <c r="E121" s="567" t="s">
        <v>526</v>
      </c>
      <c r="F121" s="567">
        <v>1.5</v>
      </c>
      <c r="G121" s="568" t="s">
        <v>527</v>
      </c>
      <c r="H121" s="567">
        <f>+D121-F121</f>
        <v>8.5</v>
      </c>
    </row>
    <row r="122" spans="1:8">
      <c r="A122" s="567" t="s">
        <v>475</v>
      </c>
      <c r="B122" s="596">
        <f>B123+B124</f>
        <v>3.9</v>
      </c>
      <c r="C122" s="567" t="s">
        <v>6</v>
      </c>
    </row>
    <row r="123" spans="1:8">
      <c r="A123" s="567" t="s">
        <v>101</v>
      </c>
      <c r="B123" s="596">
        <v>1.4</v>
      </c>
    </row>
    <row r="124" spans="1:8">
      <c r="A124" s="567" t="s">
        <v>102</v>
      </c>
      <c r="B124" s="596">
        <v>2.5</v>
      </c>
    </row>
    <row r="125" spans="1:8">
      <c r="A125" s="567" t="s">
        <v>476</v>
      </c>
      <c r="B125" s="596">
        <v>3.8</v>
      </c>
    </row>
    <row r="126" spans="1:8">
      <c r="A126" s="567" t="s">
        <v>477</v>
      </c>
      <c r="B126" s="596">
        <v>1.2</v>
      </c>
    </row>
    <row r="127" spans="1:8">
      <c r="A127" s="567" t="s">
        <v>478</v>
      </c>
      <c r="B127" s="547">
        <f>B122/10*1000</f>
        <v>390</v>
      </c>
      <c r="C127" s="547">
        <f>+B122*1000/13</f>
        <v>300</v>
      </c>
    </row>
    <row r="128" spans="1:8">
      <c r="A128" s="567" t="s">
        <v>479</v>
      </c>
      <c r="B128" s="567">
        <v>300</v>
      </c>
      <c r="C128" s="544">
        <f>B128/1000</f>
        <v>0.3</v>
      </c>
    </row>
    <row r="129" spans="1:9">
      <c r="A129" s="567" t="s">
        <v>480</v>
      </c>
      <c r="B129" s="567">
        <f>+B128/2</f>
        <v>150</v>
      </c>
      <c r="C129" s="567">
        <f>+B128/3</f>
        <v>100</v>
      </c>
      <c r="D129" s="567" t="s">
        <v>258</v>
      </c>
      <c r="E129" s="567">
        <v>200</v>
      </c>
      <c r="F129" s="544">
        <f>E129/1000</f>
        <v>0.2</v>
      </c>
    </row>
    <row r="130" spans="1:9">
      <c r="A130" s="567" t="s">
        <v>481</v>
      </c>
      <c r="B130" s="574">
        <f>+($D$118+$B$119)/1000*C130*$F$130/0.3</f>
        <v>2.6597545384963641E-2</v>
      </c>
      <c r="C130" s="567">
        <v>0.02</v>
      </c>
      <c r="E130" s="569" t="s">
        <v>486</v>
      </c>
      <c r="F130" s="544">
        <f>COS(D120*PI()/180)</f>
        <v>0.88658484616545463</v>
      </c>
      <c r="G130" s="568">
        <f>tinhtai_san!F59</f>
        <v>2400</v>
      </c>
      <c r="H130" s="567">
        <f>tinhtai_san!G59</f>
        <v>1.2</v>
      </c>
      <c r="I130" s="544">
        <f>G130/1000</f>
        <v>2.4</v>
      </c>
    </row>
    <row r="131" spans="1:9">
      <c r="A131" s="567" t="s">
        <v>482</v>
      </c>
      <c r="B131" s="574">
        <f>+($D$118+$B$119)/1000*C131*$F$130/0.3</f>
        <v>1.994815903872273E-2</v>
      </c>
      <c r="C131" s="567">
        <v>1.4999999999999999E-2</v>
      </c>
      <c r="G131" s="568">
        <f>tinhtai_san!F63</f>
        <v>1800</v>
      </c>
      <c r="H131" s="567">
        <f>tinhtai_san!G60</f>
        <v>1.3</v>
      </c>
      <c r="I131" s="544">
        <f t="shared" ref="I131:I134" si="1">G131/1000</f>
        <v>1.8</v>
      </c>
    </row>
    <row r="132" spans="1:9">
      <c r="A132" s="567" t="s">
        <v>483</v>
      </c>
      <c r="B132" s="574">
        <f>+($D$118+$B$119)/1000*C132*$F$130/0.3</f>
        <v>2.6597545384963641E-2</v>
      </c>
      <c r="C132" s="567">
        <v>0.02</v>
      </c>
      <c r="I132" s="544">
        <f t="shared" si="1"/>
        <v>0</v>
      </c>
    </row>
    <row r="133" spans="1:9">
      <c r="A133" s="567" t="s">
        <v>484</v>
      </c>
      <c r="B133" s="574">
        <f>+($D$118+$B$119)/1000*C133*$F$130/0.3</f>
        <v>0.13298772692481819</v>
      </c>
      <c r="C133" s="567">
        <f>B121/1000</f>
        <v>0.1</v>
      </c>
      <c r="G133" s="568">
        <f>tinhtai_san!F62</f>
        <v>2500</v>
      </c>
      <c r="H133" s="567">
        <f>tinhtai_san!G62</f>
        <v>1.1000000000000001</v>
      </c>
      <c r="I133" s="544">
        <f t="shared" si="1"/>
        <v>2.5</v>
      </c>
    </row>
    <row r="134" spans="1:9">
      <c r="A134" s="567" t="s">
        <v>485</v>
      </c>
      <c r="B134" s="574">
        <f>C134*$F$130/2</f>
        <v>6.6493863462409097E-2</v>
      </c>
      <c r="C134" s="567">
        <f>D118/1000</f>
        <v>0.15</v>
      </c>
      <c r="G134" s="568">
        <f>tinhtai_san!F61</f>
        <v>1800</v>
      </c>
      <c r="H134" s="567">
        <f>tinhtai_san!G61</f>
        <v>1.2</v>
      </c>
      <c r="I134" s="544">
        <f t="shared" si="1"/>
        <v>1.8</v>
      </c>
    </row>
    <row r="135" spans="1:9">
      <c r="A135" s="567" t="s">
        <v>487</v>
      </c>
      <c r="B135" s="579">
        <f>B130*G130*H130+(B131+B132)*G131*H131+B133*G133*H133+B134*G134*H134</f>
        <v>694.86087318217506</v>
      </c>
      <c r="C135" s="567" t="s">
        <v>490</v>
      </c>
      <c r="D135" s="536">
        <f>B135/1000</f>
        <v>0.69486087318217504</v>
      </c>
      <c r="I135" s="544"/>
    </row>
    <row r="136" spans="1:9">
      <c r="A136" s="567" t="s">
        <v>487</v>
      </c>
      <c r="B136" s="579">
        <f>B135/F130</f>
        <v>783.75</v>
      </c>
      <c r="D136" s="536">
        <f>B136/1000</f>
        <v>0.78374999999999995</v>
      </c>
    </row>
    <row r="137" spans="1:9">
      <c r="A137" s="569" t="s">
        <v>488</v>
      </c>
    </row>
    <row r="138" spans="1:9">
      <c r="A138" s="567" t="s">
        <v>489</v>
      </c>
      <c r="B138" s="577">
        <f>C130*G130*H130+(C131+C132)*G131*H131+C133*G133*H133</f>
        <v>414.5</v>
      </c>
      <c r="C138" s="567" t="s">
        <v>490</v>
      </c>
      <c r="D138" s="544">
        <f>C130*I130*H130+(C131+C132)*I131*H131+C133*I133*H133</f>
        <v>0.41450000000000004</v>
      </c>
      <c r="E138" s="567" t="s">
        <v>750</v>
      </c>
    </row>
    <row r="139" spans="1:9">
      <c r="A139" s="567" t="s">
        <v>520</v>
      </c>
      <c r="B139" s="577">
        <f>B138+360</f>
        <v>774.5</v>
      </c>
      <c r="D139" s="544">
        <f>D138+0.36</f>
        <v>0.77449999999999997</v>
      </c>
      <c r="E139" s="567" t="s">
        <v>750</v>
      </c>
    </row>
    <row r="140" spans="1:9">
      <c r="A140" s="567" t="s">
        <v>521</v>
      </c>
      <c r="B140" s="580">
        <f>B136+30+360</f>
        <v>1173.75</v>
      </c>
      <c r="D140" s="544">
        <f>D139+0.36</f>
        <v>1.1345000000000001</v>
      </c>
    </row>
    <row r="141" spans="1:9">
      <c r="A141" s="569" t="s">
        <v>531</v>
      </c>
    </row>
    <row r="142" spans="1:9">
      <c r="A142" s="567" t="s">
        <v>522</v>
      </c>
      <c r="B142" s="536">
        <f>(D140/F130*B124*(B123+B124/2)+D139*B123^2/2)/(B123+B124)</f>
        <v>2.3683473116275189</v>
      </c>
    </row>
    <row r="143" spans="1:9">
      <c r="A143" s="567" t="s">
        <v>523</v>
      </c>
      <c r="B143" s="536">
        <f>D140/F130*B124+D139*B123-B142</f>
        <v>1.9150260903903393</v>
      </c>
    </row>
    <row r="144" spans="1:9">
      <c r="A144" s="567" t="s">
        <v>524</v>
      </c>
      <c r="B144" s="544">
        <f>B142*F130/D140</f>
        <v>1.8508072604192614</v>
      </c>
      <c r="C144" s="567" t="s">
        <v>6</v>
      </c>
    </row>
    <row r="145" spans="1:15">
      <c r="A145" s="567" t="s">
        <v>525</v>
      </c>
      <c r="B145" s="544">
        <f>B142*F130*B144-D140*B144^2/2</f>
        <v>1.9431077930089147</v>
      </c>
      <c r="C145" s="567" t="s">
        <v>6</v>
      </c>
      <c r="D145" s="567" t="s">
        <v>528</v>
      </c>
      <c r="E145" s="567" t="s">
        <v>526</v>
      </c>
      <c r="F145" s="567" t="s">
        <v>529</v>
      </c>
      <c r="G145" s="568" t="s">
        <v>530</v>
      </c>
    </row>
    <row r="146" spans="1:15">
      <c r="A146" s="567" t="s">
        <v>311</v>
      </c>
      <c r="B146" s="544">
        <f>0.7*B145</f>
        <v>1.3601754551062402</v>
      </c>
      <c r="C146" s="567" t="s">
        <v>528</v>
      </c>
      <c r="D146" s="544">
        <f>B146*100/($B$22*$H$121^2)</f>
        <v>0.1298341921113223</v>
      </c>
      <c r="E146" s="544">
        <f>1-SQRT(1-2*D146)</f>
        <v>0.13957474712944684</v>
      </c>
      <c r="F146" s="544">
        <f>E146*$B$22*10*100*$H$121/($B$31*10)</f>
        <v>6.1437812798944016</v>
      </c>
      <c r="G146" s="547">
        <v>12</v>
      </c>
      <c r="H146" s="547">
        <v>150</v>
      </c>
      <c r="I146" s="544">
        <f>VLOOKUP(J146,'tra thep'!$E$11:$F$62,2,)</f>
        <v>7.54</v>
      </c>
      <c r="J146" s="567" t="str">
        <f>"Ø"&amp;G146&amp;"a"&amp;H146</f>
        <v>Ø12a150</v>
      </c>
    </row>
    <row r="147" spans="1:15">
      <c r="A147" s="567" t="s">
        <v>313</v>
      </c>
      <c r="B147" s="544">
        <f>0.4*B145</f>
        <v>0.77724311720356587</v>
      </c>
      <c r="C147" s="567" t="s">
        <v>528</v>
      </c>
      <c r="D147" s="544">
        <f>B147*100/($B$22*$H$121^2)</f>
        <v>7.4190966920755594E-2</v>
      </c>
      <c r="E147" s="544">
        <f>1-SQRT(1-2*D147)</f>
        <v>7.7168451905501478E-2</v>
      </c>
      <c r="F147" s="544">
        <f>E147*$B$22*10*100*$H$121/($B$31*10)</f>
        <v>3.3967898919118058</v>
      </c>
      <c r="G147" s="547">
        <v>12</v>
      </c>
      <c r="H147" s="547">
        <v>200</v>
      </c>
      <c r="I147" s="544">
        <f>VLOOKUP(J147,'tra thep'!$E$11:$F$62,2,)</f>
        <v>5.65</v>
      </c>
      <c r="J147" s="567" t="str">
        <f>"Ø"&amp;G147&amp;"a"&amp;H147</f>
        <v>Ø12a200</v>
      </c>
    </row>
    <row r="148" spans="1:15">
      <c r="A148" s="569" t="s">
        <v>533</v>
      </c>
    </row>
    <row r="149" spans="1:15">
      <c r="A149" s="567" t="s">
        <v>101</v>
      </c>
      <c r="B149" s="544">
        <f>B123</f>
        <v>1.4</v>
      </c>
      <c r="C149" s="567" t="s">
        <v>6</v>
      </c>
      <c r="D149" s="567" t="s">
        <v>534</v>
      </c>
      <c r="E149" s="567">
        <f>B150*F130</f>
        <v>1.2</v>
      </c>
      <c r="F149" s="567">
        <v>0.9</v>
      </c>
      <c r="G149" s="568">
        <v>1</v>
      </c>
      <c r="L149" s="567">
        <v>0.9</v>
      </c>
      <c r="M149" s="567">
        <v>1</v>
      </c>
      <c r="N149" s="567">
        <v>1.2</v>
      </c>
      <c r="O149" s="567">
        <v>1.5</v>
      </c>
    </row>
    <row r="150" spans="1:15">
      <c r="A150" s="567" t="s">
        <v>102</v>
      </c>
      <c r="B150" s="544">
        <f>B126/F130</f>
        <v>1.3535083587206449</v>
      </c>
      <c r="C150" s="567" t="s">
        <v>6</v>
      </c>
      <c r="D150" s="574">
        <f>B150/B149</f>
        <v>0.96679168480046074</v>
      </c>
      <c r="E150" s="567" t="s">
        <v>535</v>
      </c>
      <c r="F150" s="567">
        <v>7.11E-3</v>
      </c>
      <c r="G150" s="568">
        <v>7.79E-3</v>
      </c>
      <c r="H150" s="597">
        <f>(D$151-F$149)/($G$149-$F$149)*(G150-F150)+F150</f>
        <v>7.5641834566431334E-3</v>
      </c>
      <c r="L150" s="567">
        <v>7.11E-3</v>
      </c>
      <c r="M150" s="567">
        <v>7.79E-3</v>
      </c>
      <c r="N150" s="567">
        <v>8.9200000000000008E-3</v>
      </c>
      <c r="O150" s="591">
        <v>1.0160000000000001E-2</v>
      </c>
    </row>
    <row r="151" spans="1:15">
      <c r="A151" s="567" t="s">
        <v>453</v>
      </c>
      <c r="B151" s="536">
        <f>H151*$D$140*$F$130*B149^2</f>
        <v>3.8901116584206349E-2</v>
      </c>
      <c r="C151" s="567" t="s">
        <v>691</v>
      </c>
      <c r="D151" s="574">
        <f>D150</f>
        <v>0.96679168480046074</v>
      </c>
      <c r="E151" s="569" t="s">
        <v>536</v>
      </c>
      <c r="F151" s="569">
        <v>2.0199999999999999E-2</v>
      </c>
      <c r="G151" s="592">
        <v>1.95E-2</v>
      </c>
      <c r="H151" s="597">
        <f>(D$151-F$149)/($G$149-$F$149)*(G151-F151)+F151</f>
        <v>1.9732458206396776E-2</v>
      </c>
      <c r="L151" s="567">
        <v>2.0199999999999999E-2</v>
      </c>
      <c r="M151" s="567">
        <v>1.95E-2</v>
      </c>
      <c r="N151" s="567">
        <v>1.7899999999999999E-2</v>
      </c>
      <c r="O151" s="591">
        <v>1.4200000000000001E-2</v>
      </c>
    </row>
    <row r="152" spans="1:15">
      <c r="A152" s="567" t="s">
        <v>454</v>
      </c>
      <c r="B152" s="544">
        <f>H152*$D$140*$F$130*B150^2</f>
        <v>0.13139730993495641</v>
      </c>
      <c r="C152" s="567" t="s">
        <v>691</v>
      </c>
      <c r="D152" s="567">
        <f>1.678/1.3</f>
        <v>1.2907692307692307</v>
      </c>
      <c r="E152" s="569" t="s">
        <v>537</v>
      </c>
      <c r="F152" s="569">
        <v>6.6900000000000001E-2</v>
      </c>
      <c r="G152" s="592">
        <v>7.3499999999999996E-2</v>
      </c>
      <c r="H152" s="597">
        <f>(D$151-F$149)/($G$149-$F$149)*(G152-F152)+F152</f>
        <v>7.1308251196830402E-2</v>
      </c>
      <c r="L152" s="567">
        <v>6.6900000000000001E-2</v>
      </c>
      <c r="M152" s="567">
        <v>7.3499999999999996E-2</v>
      </c>
      <c r="N152" s="567">
        <v>8.5599999999999996E-2</v>
      </c>
      <c r="O152" s="591">
        <v>9.7100000000000006E-2</v>
      </c>
    </row>
    <row r="153" spans="1:15">
      <c r="B153" s="576"/>
      <c r="E153" s="567" t="s">
        <v>538</v>
      </c>
      <c r="F153" s="567">
        <v>1.0840000000000001E-2</v>
      </c>
      <c r="G153" s="568">
        <v>1.158E-2</v>
      </c>
      <c r="H153" s="597">
        <f>(D$151-F$149)/($G$149-$F$149)*(G153-F153)+F153</f>
        <v>1.1334258467523409E-2</v>
      </c>
      <c r="L153" s="567">
        <v>1.0840000000000001E-2</v>
      </c>
      <c r="M153" s="567">
        <v>1.158E-2</v>
      </c>
      <c r="N153" s="567">
        <v>1.2489999999999999E-2</v>
      </c>
      <c r="O153" s="591">
        <v>1.316E-2</v>
      </c>
    </row>
    <row r="154" spans="1:15">
      <c r="A154" s="567" t="s">
        <v>540</v>
      </c>
      <c r="B154" s="576">
        <f>H154*$D$140*$F$130*B150^2</f>
        <v>0.19982280294953336</v>
      </c>
      <c r="C154" s="567" t="s">
        <v>691</v>
      </c>
      <c r="E154" s="569" t="s">
        <v>539</v>
      </c>
      <c r="F154" s="569">
        <v>0.1037</v>
      </c>
      <c r="G154" s="592">
        <v>0.1108</v>
      </c>
      <c r="H154" s="597">
        <f>(D$151-F$149)/($G$149-$F$149)*(G154-F154)+F154</f>
        <v>0.1084422096208327</v>
      </c>
      <c r="L154" s="567">
        <v>0.1037</v>
      </c>
      <c r="M154" s="567">
        <v>0.1108</v>
      </c>
      <c r="N154" s="567">
        <v>0.1201</v>
      </c>
      <c r="O154" s="591">
        <v>0.12640000000000001</v>
      </c>
    </row>
    <row r="155" spans="1:15">
      <c r="A155" s="567" t="s">
        <v>541</v>
      </c>
      <c r="B155" s="580">
        <f>B152</f>
        <v>0.13139730993495641</v>
      </c>
      <c r="C155" s="567" t="s">
        <v>528</v>
      </c>
      <c r="D155" s="582">
        <f>B155*100/($B$22*10*100*$H$121^2)</f>
        <v>1.2542399230159305E-5</v>
      </c>
      <c r="E155" s="582">
        <f>1-SQRT(1-2*D155)</f>
        <v>1.2542477887067527E-5</v>
      </c>
      <c r="F155" s="582">
        <f>E155*$B$22*10*100*$H$121/($B$31*10)</f>
        <v>5.5209299985038306E-4</v>
      </c>
      <c r="G155" s="588">
        <v>6</v>
      </c>
      <c r="H155" s="589">
        <v>200</v>
      </c>
      <c r="I155" s="590">
        <f>VLOOKUP(J155,'tra thep'!$E$11:$F$62,2,)</f>
        <v>1.41</v>
      </c>
      <c r="J155" s="567" t="str">
        <f>"Ø"&amp;G155&amp;"a"&amp;H155</f>
        <v>Ø6a200</v>
      </c>
    </row>
    <row r="156" spans="1:15">
      <c r="A156" s="567" t="s">
        <v>541</v>
      </c>
      <c r="B156" s="580">
        <f>B154</f>
        <v>0.19982280294953336</v>
      </c>
      <c r="C156" s="567" t="s">
        <v>528</v>
      </c>
      <c r="D156" s="582">
        <f>B156*100/($B$22*10*100*$H$121^2)</f>
        <v>1.9073886452646068E-5</v>
      </c>
      <c r="E156" s="582">
        <f>1-SQRT(1-2*D156)</f>
        <v>1.9074068362656682E-5</v>
      </c>
      <c r="F156" s="582">
        <f>E156*$B$22*10*100*$H$121/($B$31*10)</f>
        <v>8.3959961632051276E-4</v>
      </c>
      <c r="G156" s="588">
        <v>6</v>
      </c>
      <c r="H156" s="589">
        <v>200</v>
      </c>
      <c r="I156" s="590">
        <f>VLOOKUP(J156,'tra thep'!$E$11:$F$62,2,)</f>
        <v>1.41</v>
      </c>
      <c r="J156" s="567" t="str">
        <f>"Ø"&amp;G156&amp;"a"&amp;H156</f>
        <v>Ø6a200</v>
      </c>
    </row>
    <row r="157" spans="1:15">
      <c r="A157" s="569" t="s">
        <v>542</v>
      </c>
      <c r="B157" s="569" t="s">
        <v>545</v>
      </c>
    </row>
    <row r="158" spans="1:15">
      <c r="A158" s="567" t="s">
        <v>543</v>
      </c>
      <c r="B158" s="536">
        <f>$F$129*($C$128-$E$47)*1.1*2.5</f>
        <v>0.11000000000000001</v>
      </c>
    </row>
    <row r="159" spans="1:15">
      <c r="A159" s="567" t="s">
        <v>544</v>
      </c>
      <c r="B159" s="536">
        <f>0.2*($B$117-1.36)*1.1*1.8</f>
        <v>0.88704000000000027</v>
      </c>
    </row>
    <row r="160" spans="1:15">
      <c r="A160" s="567" t="s">
        <v>520</v>
      </c>
      <c r="B160" s="536">
        <f>B158+B159+$B$143</f>
        <v>2.9120660903903395</v>
      </c>
    </row>
    <row r="161" spans="1:10">
      <c r="A161" s="569" t="s">
        <v>542</v>
      </c>
      <c r="B161" s="593" t="s">
        <v>546</v>
      </c>
    </row>
    <row r="162" spans="1:10">
      <c r="A162" s="567" t="s">
        <v>543</v>
      </c>
      <c r="B162" s="536">
        <f>$F$129*($C$128-$E$47)*1.1*2.5/F130</f>
        <v>0.12407159954939247</v>
      </c>
      <c r="J162" s="567">
        <f>1-2*0.51</f>
        <v>-2.0000000000000018E-2</v>
      </c>
    </row>
    <row r="163" spans="1:10">
      <c r="A163" s="567" t="s">
        <v>544</v>
      </c>
      <c r="B163" s="536">
        <f>0.2*($B$18-F168)*1.1*1.8/$F$130</f>
        <v>0.82185027541517575</v>
      </c>
    </row>
    <row r="164" spans="1:10">
      <c r="A164" s="567" t="s">
        <v>548</v>
      </c>
      <c r="B164" s="544">
        <f>D140*B149/F130</f>
        <v>1.7914811051300004</v>
      </c>
    </row>
    <row r="165" spans="1:10">
      <c r="A165" s="567" t="s">
        <v>521</v>
      </c>
      <c r="B165" s="544">
        <f>B162+B163+B164</f>
        <v>2.7374029800945685</v>
      </c>
    </row>
    <row r="166" spans="1:10">
      <c r="A166" s="569" t="s">
        <v>542</v>
      </c>
      <c r="B166" s="593" t="s">
        <v>547</v>
      </c>
    </row>
    <row r="167" spans="1:10">
      <c r="A167" s="567" t="s">
        <v>543</v>
      </c>
      <c r="B167" s="536">
        <f>$F$129*($C$128-$E$47)*1.1*2.5</f>
        <v>0.11000000000000001</v>
      </c>
    </row>
    <row r="168" spans="1:10">
      <c r="A168" s="567" t="s">
        <v>544</v>
      </c>
      <c r="B168" s="536">
        <f>0.2*($B$18-2.16)*1.1*1.8</f>
        <v>0.57024000000000008</v>
      </c>
      <c r="D168" s="567">
        <v>3.6</v>
      </c>
      <c r="E168" s="567">
        <v>1.36</v>
      </c>
      <c r="F168" s="567">
        <f>+(E168+E169)/2</f>
        <v>1.7600000000000002</v>
      </c>
    </row>
    <row r="169" spans="1:10">
      <c r="A169" s="567" t="s">
        <v>549</v>
      </c>
      <c r="B169" s="544">
        <f>B167+B168+$B$143</f>
        <v>2.5952660903903393</v>
      </c>
      <c r="E169" s="567">
        <v>2.16</v>
      </c>
    </row>
    <row r="170" spans="1:10">
      <c r="A170" s="567" t="s">
        <v>532</v>
      </c>
      <c r="B170" s="544">
        <f>((B160*B149^2/2)+B165*E149/F130*(E149/2+B149)+B169*B149*(B149+E149+B149/2))/(B149+E149+B149)</f>
        <v>5.563537433918877</v>
      </c>
    </row>
    <row r="171" spans="1:10">
      <c r="A171" s="567" t="s">
        <v>522</v>
      </c>
      <c r="B171" s="544">
        <f>B160*B149+B165*E149/F130+B169*B149-B170</f>
        <v>5.8518254339188749</v>
      </c>
      <c r="C171" s="569" t="s">
        <v>550</v>
      </c>
      <c r="D171" s="569">
        <f>E129/10</f>
        <v>20</v>
      </c>
      <c r="E171" s="569" t="s">
        <v>551</v>
      </c>
      <c r="F171" s="569">
        <f>B128/10</f>
        <v>30</v>
      </c>
      <c r="G171" s="592" t="s">
        <v>173</v>
      </c>
      <c r="H171" s="569">
        <v>3</v>
      </c>
      <c r="I171" s="569" t="s">
        <v>174</v>
      </c>
      <c r="J171" s="569">
        <f>+F171-H171</f>
        <v>27</v>
      </c>
    </row>
    <row r="172" spans="1:10">
      <c r="A172" s="567" t="s">
        <v>524</v>
      </c>
      <c r="B172" s="544">
        <f>(B171-B160*B149)*F130/B165+B149</f>
        <v>1.9748618782399361</v>
      </c>
      <c r="C172" s="567" t="s">
        <v>6</v>
      </c>
      <c r="D172" s="567" t="s">
        <v>528</v>
      </c>
      <c r="E172" s="567" t="s">
        <v>526</v>
      </c>
      <c r="F172" s="567" t="s">
        <v>529</v>
      </c>
      <c r="G172" s="568" t="s">
        <v>530</v>
      </c>
    </row>
    <row r="173" spans="1:10">
      <c r="A173" s="567" t="s">
        <v>525</v>
      </c>
      <c r="B173" s="544">
        <f>B171*B172-B160*B149*(B172-B149/2)-B165*(B172-B149)^2/2/F130</f>
        <v>5.8489014713448766</v>
      </c>
      <c r="C173" s="567" t="s">
        <v>528</v>
      </c>
      <c r="D173" s="582">
        <f>B173*100/($B$22*D171*J171^2)</f>
        <v>2.7666153310367892E-3</v>
      </c>
      <c r="E173" s="582">
        <f>1-SQRT(1-2*D173)</f>
        <v>2.7704530360492807E-3</v>
      </c>
      <c r="F173" s="582">
        <f>E173*$B$22*10*D171*J171/($B$31*10)</f>
        <v>7.7473740258092394E-2</v>
      </c>
      <c r="G173" s="588">
        <v>4</v>
      </c>
      <c r="H173" s="589">
        <v>18</v>
      </c>
      <c r="I173" s="590">
        <f>G173*VLOOKUP(H173,'tra thep'!$R$9:$S$17,2,0)</f>
        <v>10.178760197630931</v>
      </c>
      <c r="J173" s="567" t="str">
        <f>G173&amp;"Ø"&amp;H173</f>
        <v>4Ø18</v>
      </c>
    </row>
    <row r="174" spans="1:10">
      <c r="A174" s="569" t="s">
        <v>553</v>
      </c>
      <c r="B174" s="594"/>
    </row>
    <row r="175" spans="1:10">
      <c r="A175" s="567" t="s">
        <v>252</v>
      </c>
      <c r="B175" s="567">
        <v>6</v>
      </c>
      <c r="C175" s="567" t="str">
        <f>"Ø"&amp;B175</f>
        <v>Ø6</v>
      </c>
      <c r="D175" s="595">
        <f>VLOOKUP(B175,'tra thep'!$R$9:$S$17,2,0)</f>
        <v>0.28274333882308139</v>
      </c>
    </row>
    <row r="176" spans="1:10">
      <c r="A176" s="567" t="s">
        <v>14</v>
      </c>
      <c r="B176" s="567">
        <v>2</v>
      </c>
    </row>
    <row r="177" spans="1:9">
      <c r="A177" s="567" t="s">
        <v>460</v>
      </c>
      <c r="B177" s="567">
        <v>15</v>
      </c>
      <c r="C177" s="567" t="s">
        <v>160</v>
      </c>
    </row>
    <row r="178" spans="1:9">
      <c r="A178" s="567" t="s">
        <v>554</v>
      </c>
      <c r="B178" s="577">
        <f>SQRT(8*$D$23*$D$171*$J$171^2*D28*2*D175/B177)</f>
        <v>8988.826310970433</v>
      </c>
    </row>
    <row r="179" spans="1:9">
      <c r="A179" s="569" t="s">
        <v>569</v>
      </c>
    </row>
    <row r="180" spans="1:9">
      <c r="A180" s="567" t="s">
        <v>638</v>
      </c>
      <c r="B180" s="567">
        <v>5.5</v>
      </c>
      <c r="C180" s="567" t="s">
        <v>6</v>
      </c>
    </row>
    <row r="181" spans="1:9">
      <c r="A181" s="567" t="s">
        <v>639</v>
      </c>
      <c r="B181" s="567">
        <v>3</v>
      </c>
      <c r="C181" s="567" t="s">
        <v>6</v>
      </c>
      <c r="H181" s="582"/>
      <c r="I181" s="582"/>
    </row>
    <row r="182" spans="1:9">
      <c r="A182" s="567" t="s">
        <v>640</v>
      </c>
      <c r="B182" s="569">
        <f>+B180/2+B181/2</f>
        <v>4.25</v>
      </c>
      <c r="C182" s="567" t="s">
        <v>6</v>
      </c>
      <c r="H182" s="582"/>
      <c r="I182" s="582"/>
    </row>
    <row r="183" spans="1:9">
      <c r="A183" s="567" t="s">
        <v>101</v>
      </c>
      <c r="B183" s="567">
        <v>2</v>
      </c>
      <c r="C183" s="567" t="s">
        <v>6</v>
      </c>
      <c r="H183" s="582"/>
      <c r="I183" s="582"/>
    </row>
    <row r="184" spans="1:9">
      <c r="A184" s="567" t="s">
        <v>102</v>
      </c>
      <c r="B184" s="567">
        <v>4</v>
      </c>
      <c r="C184" s="567" t="s">
        <v>6</v>
      </c>
    </row>
    <row r="185" spans="1:9">
      <c r="A185" s="567" t="s">
        <v>230</v>
      </c>
      <c r="B185" s="569">
        <f>+B183/2+B184/2</f>
        <v>3</v>
      </c>
      <c r="C185" s="567" t="s">
        <v>6</v>
      </c>
      <c r="D185" s="569">
        <f>B185+B182</f>
        <v>7.25</v>
      </c>
    </row>
    <row r="186" spans="1:9">
      <c r="A186" s="567" t="s">
        <v>641</v>
      </c>
      <c r="B186" s="576">
        <f>(B184+B183)/2*B182</f>
        <v>12.75</v>
      </c>
      <c r="C186" s="567" t="s">
        <v>3</v>
      </c>
    </row>
    <row r="187" spans="1:9">
      <c r="A187" s="567" t="s">
        <v>642</v>
      </c>
      <c r="B187" s="579">
        <f>B186*(D187+E187)</f>
        <v>12.189</v>
      </c>
      <c r="C187" s="567" t="s">
        <v>586</v>
      </c>
      <c r="D187" s="567">
        <f>B91</f>
        <v>0.47600000000000003</v>
      </c>
      <c r="E187" s="567">
        <f>B92</f>
        <v>0.48</v>
      </c>
    </row>
    <row r="188" spans="1:9">
      <c r="A188" s="567" t="s">
        <v>643</v>
      </c>
      <c r="B188" s="567">
        <f>B50/1000</f>
        <v>0.4</v>
      </c>
      <c r="C188" s="567">
        <f>B53/1000</f>
        <v>0.2</v>
      </c>
    </row>
    <row r="189" spans="1:9">
      <c r="A189" s="567" t="s">
        <v>543</v>
      </c>
      <c r="B189" s="579">
        <f>1.1*2500*C188*B188*D185</f>
        <v>1595</v>
      </c>
      <c r="C189" s="567" t="s">
        <v>586</v>
      </c>
    </row>
    <row r="190" spans="1:9">
      <c r="A190" s="567" t="s">
        <v>644</v>
      </c>
      <c r="B190" s="576">
        <f>D185/2</f>
        <v>3.625</v>
      </c>
      <c r="C190" s="567" t="s">
        <v>6</v>
      </c>
    </row>
    <row r="191" spans="1:9">
      <c r="A191" s="567" t="s">
        <v>544</v>
      </c>
      <c r="B191" s="579">
        <f>1.1*0.1*1800*B190*3.6</f>
        <v>2583.9000000000005</v>
      </c>
      <c r="C191" s="567" t="s">
        <v>586</v>
      </c>
    </row>
    <row r="192" spans="1:9">
      <c r="A192" s="567" t="s">
        <v>645</v>
      </c>
      <c r="B192" s="567">
        <v>20</v>
      </c>
      <c r="C192" s="567">
        <v>20</v>
      </c>
      <c r="D192" s="567">
        <f>B192/100</f>
        <v>0.2</v>
      </c>
      <c r="E192" s="567">
        <f>C192/100</f>
        <v>0.2</v>
      </c>
    </row>
    <row r="193" spans="1:5">
      <c r="A193" s="567" t="s">
        <v>646</v>
      </c>
      <c r="B193" s="567">
        <f>1.1*2500*D192*E192*3.6</f>
        <v>396</v>
      </c>
      <c r="C193" s="567" t="s">
        <v>586</v>
      </c>
    </row>
    <row r="194" spans="1:5">
      <c r="A194" s="567" t="s">
        <v>1</v>
      </c>
      <c r="B194" s="567">
        <v>2</v>
      </c>
    </row>
    <row r="195" spans="1:5">
      <c r="A195" s="567" t="s">
        <v>647</v>
      </c>
      <c r="B195" s="580">
        <f>(B187+B189+B191+B193)*B194</f>
        <v>9174.1780000000017</v>
      </c>
    </row>
    <row r="196" spans="1:5">
      <c r="A196" s="567" t="s">
        <v>648</v>
      </c>
      <c r="B196" s="567">
        <f>D22</f>
        <v>145</v>
      </c>
    </row>
    <row r="197" spans="1:5">
      <c r="A197" s="567" t="s">
        <v>625</v>
      </c>
      <c r="B197" s="580">
        <f>B195/B196*E197</f>
        <v>75.92423172413794</v>
      </c>
      <c r="C197" s="567" t="s">
        <v>552</v>
      </c>
      <c r="D197" s="567" t="s">
        <v>649</v>
      </c>
      <c r="E197" s="567">
        <v>1.2</v>
      </c>
    </row>
    <row r="198" spans="1:5">
      <c r="A198" s="567" t="s">
        <v>244</v>
      </c>
      <c r="B198" s="587">
        <f>SQRT(B197)</f>
        <v>8.7134511947986457</v>
      </c>
      <c r="C198" s="567" t="s">
        <v>650</v>
      </c>
    </row>
    <row r="199" spans="1:5">
      <c r="A199" s="567" t="s">
        <v>651</v>
      </c>
      <c r="B199" s="567">
        <v>20</v>
      </c>
      <c r="C199" s="567" t="s">
        <v>650</v>
      </c>
    </row>
    <row r="200" spans="1:5">
      <c r="A200" s="567" t="s">
        <v>172</v>
      </c>
      <c r="B200" s="567">
        <v>20</v>
      </c>
      <c r="C200" s="567" t="s">
        <v>650</v>
      </c>
    </row>
    <row r="201" spans="1:5">
      <c r="A201" s="567" t="s">
        <v>625</v>
      </c>
      <c r="B201" s="567">
        <f>B200*B199</f>
        <v>400</v>
      </c>
    </row>
    <row r="202" spans="1:5">
      <c r="A202" s="569" t="s">
        <v>652</v>
      </c>
    </row>
    <row r="203" spans="1:5">
      <c r="A203" s="567" t="s">
        <v>638</v>
      </c>
      <c r="B203" s="567">
        <v>5.5</v>
      </c>
    </row>
    <row r="204" spans="1:5">
      <c r="A204" s="567" t="s">
        <v>639</v>
      </c>
      <c r="B204" s="567">
        <v>3</v>
      </c>
    </row>
    <row r="205" spans="1:5">
      <c r="A205" s="567" t="s">
        <v>640</v>
      </c>
      <c r="B205" s="569">
        <f>+B203/2+B204/2</f>
        <v>4.25</v>
      </c>
    </row>
    <row r="206" spans="1:5">
      <c r="A206" s="567" t="s">
        <v>101</v>
      </c>
      <c r="B206" s="567">
        <v>0</v>
      </c>
    </row>
    <row r="207" spans="1:5">
      <c r="A207" s="567" t="s">
        <v>102</v>
      </c>
      <c r="B207" s="567">
        <v>4</v>
      </c>
    </row>
    <row r="208" spans="1:5">
      <c r="A208" s="567" t="s">
        <v>230</v>
      </c>
      <c r="B208" s="569">
        <f>+B206/2+B207/2</f>
        <v>2</v>
      </c>
      <c r="C208" s="567" t="s">
        <v>6</v>
      </c>
      <c r="D208" s="569">
        <f>B208+B205</f>
        <v>6.25</v>
      </c>
    </row>
    <row r="209" spans="1:5">
      <c r="A209" s="567" t="s">
        <v>641</v>
      </c>
      <c r="B209" s="576">
        <f>(B207+B206)/2*B205</f>
        <v>8.5</v>
      </c>
      <c r="C209" s="567" t="s">
        <v>3</v>
      </c>
    </row>
    <row r="210" spans="1:5">
      <c r="A210" s="567" t="s">
        <v>642</v>
      </c>
      <c r="B210" s="579">
        <f>B209*(D210+E210)</f>
        <v>8.1259999999999994</v>
      </c>
      <c r="C210" s="567" t="s">
        <v>586</v>
      </c>
      <c r="D210" s="567">
        <f>B91</f>
        <v>0.47600000000000003</v>
      </c>
      <c r="E210" s="567">
        <f>B92</f>
        <v>0.48</v>
      </c>
    </row>
    <row r="211" spans="1:5">
      <c r="A211" s="567" t="s">
        <v>643</v>
      </c>
      <c r="B211" s="567">
        <f>B50/1000</f>
        <v>0.4</v>
      </c>
      <c r="C211" s="567">
        <f>B53/1000</f>
        <v>0.2</v>
      </c>
    </row>
    <row r="212" spans="1:5">
      <c r="A212" s="567" t="s">
        <v>543</v>
      </c>
      <c r="B212" s="579">
        <f>1.1*2500*C211*B211*D208</f>
        <v>1375</v>
      </c>
      <c r="C212" s="567" t="s">
        <v>586</v>
      </c>
    </row>
    <row r="213" spans="1:5">
      <c r="A213" s="567" t="s">
        <v>644</v>
      </c>
      <c r="B213" s="576">
        <f>(B205/2+B208/2)</f>
        <v>3.125</v>
      </c>
      <c r="C213" s="567" t="s">
        <v>6</v>
      </c>
    </row>
    <row r="214" spans="1:5">
      <c r="A214" s="567" t="s">
        <v>544</v>
      </c>
      <c r="B214" s="579">
        <f>1.1*0.2*1800*B213*3.6</f>
        <v>4455.0000000000009</v>
      </c>
      <c r="C214" s="567" t="s">
        <v>586</v>
      </c>
    </row>
    <row r="215" spans="1:5">
      <c r="A215" s="567" t="s">
        <v>645</v>
      </c>
      <c r="B215" s="567">
        <v>20</v>
      </c>
      <c r="C215" s="567">
        <v>20</v>
      </c>
      <c r="D215" s="567">
        <f>B215/100</f>
        <v>0.2</v>
      </c>
      <c r="E215" s="567">
        <f>C215/100</f>
        <v>0.2</v>
      </c>
    </row>
    <row r="216" spans="1:5">
      <c r="A216" s="567" t="s">
        <v>646</v>
      </c>
      <c r="B216" s="567">
        <f>1.1*2500*D215*E215*3.6</f>
        <v>396</v>
      </c>
      <c r="C216" s="567" t="s">
        <v>586</v>
      </c>
    </row>
    <row r="217" spans="1:5">
      <c r="A217" s="567" t="s">
        <v>1</v>
      </c>
      <c r="B217" s="567">
        <v>2</v>
      </c>
    </row>
    <row r="218" spans="1:5">
      <c r="A218" s="567" t="s">
        <v>647</v>
      </c>
      <c r="B218" s="580">
        <f>(B210+B212+B214+B216)*B217</f>
        <v>12468.252000000002</v>
      </c>
    </row>
    <row r="219" spans="1:5">
      <c r="A219" s="567" t="s">
        <v>648</v>
      </c>
      <c r="B219" s="567">
        <f>D22</f>
        <v>145</v>
      </c>
    </row>
    <row r="220" spans="1:5">
      <c r="A220" s="567" t="s">
        <v>625</v>
      </c>
      <c r="B220" s="580">
        <f>B218/B219*E220</f>
        <v>103.18553379310346</v>
      </c>
      <c r="C220" s="567" t="s">
        <v>552</v>
      </c>
      <c r="D220" s="567" t="s">
        <v>649</v>
      </c>
      <c r="E220" s="567">
        <v>1.2</v>
      </c>
    </row>
    <row r="221" spans="1:5">
      <c r="A221" s="567" t="s">
        <v>244</v>
      </c>
      <c r="B221" s="587">
        <f>SQRT(B220)</f>
        <v>10.158028046481435</v>
      </c>
      <c r="C221" s="567" t="s">
        <v>650</v>
      </c>
    </row>
    <row r="222" spans="1:5">
      <c r="A222" s="567" t="s">
        <v>651</v>
      </c>
      <c r="B222" s="567">
        <v>20</v>
      </c>
      <c r="C222" s="567" t="s">
        <v>650</v>
      </c>
    </row>
    <row r="223" spans="1:5">
      <c r="A223" s="567" t="s">
        <v>172</v>
      </c>
      <c r="B223" s="567">
        <v>20</v>
      </c>
      <c r="C223" s="567" t="s">
        <v>650</v>
      </c>
    </row>
    <row r="224" spans="1:5">
      <c r="A224" s="567" t="s">
        <v>625</v>
      </c>
      <c r="B224" s="567">
        <f>B223*B222</f>
        <v>400</v>
      </c>
    </row>
    <row r="225" spans="1:5">
      <c r="A225" s="567" t="s">
        <v>678</v>
      </c>
    </row>
    <row r="226" spans="1:5">
      <c r="A226" s="567" t="s">
        <v>679</v>
      </c>
      <c r="B226" s="567">
        <v>95</v>
      </c>
    </row>
    <row r="227" spans="1:5">
      <c r="A227" s="567" t="s">
        <v>681</v>
      </c>
      <c r="D227" s="567">
        <f>D228-$B$241</f>
        <v>15</v>
      </c>
      <c r="E227" s="567">
        <f>E228-$B$241</f>
        <v>15</v>
      </c>
    </row>
    <row r="228" spans="1:5">
      <c r="A228" s="567" t="s">
        <v>682</v>
      </c>
      <c r="B228" s="567" t="s">
        <v>683</v>
      </c>
      <c r="C228" s="567" t="s">
        <v>692</v>
      </c>
      <c r="D228" s="567">
        <v>20</v>
      </c>
      <c r="E228" s="567">
        <f>B223</f>
        <v>20</v>
      </c>
    </row>
    <row r="229" spans="1:5">
      <c r="A229" s="567" t="s">
        <v>684</v>
      </c>
      <c r="B229" s="567">
        <f>B12</f>
        <v>2.85</v>
      </c>
      <c r="C229" s="567" t="s">
        <v>6</v>
      </c>
      <c r="D229" s="577">
        <f>B229*100</f>
        <v>285</v>
      </c>
    </row>
    <row r="230" spans="1:5">
      <c r="A230" s="567" t="s">
        <v>475</v>
      </c>
      <c r="B230" s="576">
        <f>0.7*B229</f>
        <v>1.9949999999999999</v>
      </c>
      <c r="C230" s="567" t="s">
        <v>6</v>
      </c>
      <c r="D230" s="577">
        <f>B230*100</f>
        <v>199.5</v>
      </c>
    </row>
    <row r="231" spans="1:5">
      <c r="A231" s="567" t="s">
        <v>685</v>
      </c>
    </row>
    <row r="232" spans="1:5">
      <c r="A232" s="567" t="s">
        <v>686</v>
      </c>
      <c r="B232" s="567">
        <v>36.75</v>
      </c>
      <c r="C232" s="567" t="s">
        <v>689</v>
      </c>
      <c r="D232" s="567">
        <f>B232*1000</f>
        <v>36750</v>
      </c>
    </row>
    <row r="233" spans="1:5">
      <c r="A233" s="567" t="s">
        <v>687</v>
      </c>
      <c r="B233" s="567">
        <v>0.46029999999999999</v>
      </c>
      <c r="C233" s="567" t="s">
        <v>691</v>
      </c>
      <c r="D233" s="567">
        <f t="shared" ref="D233:D240" si="2">B233*1000</f>
        <v>460.3</v>
      </c>
    </row>
    <row r="234" spans="1:5">
      <c r="A234" s="567" t="s">
        <v>525</v>
      </c>
      <c r="B234" s="567">
        <v>0.48</v>
      </c>
      <c r="C234" s="567" t="s">
        <v>691</v>
      </c>
      <c r="D234" s="567">
        <f t="shared" si="2"/>
        <v>480</v>
      </c>
    </row>
    <row r="235" spans="1:5">
      <c r="A235" s="567" t="s">
        <v>688</v>
      </c>
      <c r="B235" s="567">
        <v>8.31</v>
      </c>
      <c r="C235" s="567" t="s">
        <v>689</v>
      </c>
      <c r="D235" s="567">
        <f t="shared" si="2"/>
        <v>8310</v>
      </c>
    </row>
    <row r="236" spans="1:5">
      <c r="A236" s="567" t="s">
        <v>690</v>
      </c>
      <c r="D236" s="567">
        <f t="shared" si="2"/>
        <v>0</v>
      </c>
    </row>
    <row r="237" spans="1:5">
      <c r="A237" s="567" t="s">
        <v>686</v>
      </c>
      <c r="B237" s="567">
        <v>36.75</v>
      </c>
      <c r="C237" s="567" t="s">
        <v>689</v>
      </c>
      <c r="D237" s="567">
        <f t="shared" si="2"/>
        <v>36750</v>
      </c>
    </row>
    <row r="238" spans="1:5">
      <c r="A238" s="567" t="s">
        <v>687</v>
      </c>
      <c r="B238" s="567">
        <v>0.43</v>
      </c>
      <c r="C238" s="567" t="s">
        <v>691</v>
      </c>
      <c r="D238" s="567">
        <f t="shared" si="2"/>
        <v>430</v>
      </c>
    </row>
    <row r="239" spans="1:5">
      <c r="A239" s="567" t="s">
        <v>525</v>
      </c>
      <c r="B239" s="567">
        <v>0.77</v>
      </c>
      <c r="C239" s="567" t="s">
        <v>691</v>
      </c>
      <c r="D239" s="567">
        <f t="shared" si="2"/>
        <v>770</v>
      </c>
    </row>
    <row r="240" spans="1:5">
      <c r="A240" s="567" t="s">
        <v>688</v>
      </c>
      <c r="B240" s="567">
        <v>7.99</v>
      </c>
      <c r="C240" s="567" t="s">
        <v>689</v>
      </c>
      <c r="D240" s="567">
        <f t="shared" si="2"/>
        <v>7990</v>
      </c>
    </row>
    <row r="241" spans="1:10">
      <c r="A241" s="567" t="s">
        <v>526</v>
      </c>
      <c r="B241" s="567">
        <v>5</v>
      </c>
    </row>
    <row r="242" spans="1:10">
      <c r="A242" s="572" t="s">
        <v>950</v>
      </c>
    </row>
    <row r="243" spans="1:10">
      <c r="A243" s="567" t="s">
        <v>527</v>
      </c>
      <c r="B243" s="567">
        <f>D228-$B$241</f>
        <v>15</v>
      </c>
      <c r="C243" s="567" t="s">
        <v>650</v>
      </c>
    </row>
    <row r="244" spans="1:10">
      <c r="A244" s="567" t="s">
        <v>693</v>
      </c>
      <c r="B244" s="573">
        <f>D230/B245</f>
        <v>34.635416666666671</v>
      </c>
      <c r="C244" s="567" t="s">
        <v>695</v>
      </c>
      <c r="D244" s="567">
        <v>100</v>
      </c>
    </row>
    <row r="245" spans="1:10">
      <c r="A245" s="567" t="s">
        <v>694</v>
      </c>
      <c r="B245" s="567">
        <f>0.288*D228</f>
        <v>5.76</v>
      </c>
    </row>
    <row r="246" spans="1:10">
      <c r="A246" s="567" t="s">
        <v>696</v>
      </c>
      <c r="B246" s="575">
        <f>B233/B232</f>
        <v>1.2525170068027211E-2</v>
      </c>
      <c r="C246" s="576">
        <f>B246*100</f>
        <v>1.2525170068027212</v>
      </c>
    </row>
    <row r="247" spans="1:10">
      <c r="A247" s="567" t="s">
        <v>697</v>
      </c>
      <c r="B247" s="576">
        <f>MAX(C247,D247)</f>
        <v>0.66666666666666663</v>
      </c>
      <c r="C247" s="576">
        <f>+D229/600</f>
        <v>0.47499999999999998</v>
      </c>
      <c r="D247" s="576">
        <f>D228/30</f>
        <v>0.66666666666666663</v>
      </c>
    </row>
    <row r="248" spans="1:10">
      <c r="A248" s="567" t="s">
        <v>698</v>
      </c>
      <c r="B248" s="576">
        <f>MAX(C246,B247)</f>
        <v>1.2525170068027212</v>
      </c>
    </row>
    <row r="249" spans="1:10">
      <c r="A249" s="567" t="s">
        <v>699</v>
      </c>
      <c r="B249" s="576">
        <f>B248+0.5*D228-B241</f>
        <v>6.2525170068027212</v>
      </c>
    </row>
    <row r="250" spans="1:10">
      <c r="A250" s="567" t="s">
        <v>524</v>
      </c>
      <c r="B250" s="587">
        <f>D232/(0.85*D22*D228)</f>
        <v>14.908722109533469</v>
      </c>
      <c r="D250" s="567">
        <f>0.595*D228</f>
        <v>11.899999999999999</v>
      </c>
    </row>
    <row r="251" spans="1:10">
      <c r="A251" s="567" t="s">
        <v>700</v>
      </c>
      <c r="B251" s="568">
        <f>B248/D228</f>
        <v>6.2625850340136055E-2</v>
      </c>
    </row>
    <row r="252" spans="1:10">
      <c r="A252" s="567" t="s">
        <v>701</v>
      </c>
      <c r="B252" s="568">
        <f>(0.595+(1-0.595)/(1+50*B251^2))*D227</f>
        <v>14.004007381178848</v>
      </c>
    </row>
    <row r="253" spans="1:10">
      <c r="A253" s="567" t="s">
        <v>264</v>
      </c>
      <c r="B253" s="567">
        <f>(D232*B249-0.85*$D$22*$D$228*B252*($D$227-0.5*B252))/($D$31*($D$227-$B$241))</f>
        <v>-1.6539235143485815</v>
      </c>
      <c r="D253" s="579">
        <f>($D$31*($D$227-$B$241))</f>
        <v>28000</v>
      </c>
      <c r="E253" s="579"/>
      <c r="F253" s="579">
        <f>(D232*B249)</f>
        <v>229780</v>
      </c>
      <c r="G253" s="568">
        <f>0.85*$D$22*$D$228*B252*($D$227-0.5*B252)</f>
        <v>276089.85840176028</v>
      </c>
      <c r="H253" s="579">
        <f>($D$227-0.5*B252)</f>
        <v>7.9979963094105759</v>
      </c>
      <c r="I253" s="585">
        <f>($D$227-0.5*B252)</f>
        <v>7.9979963094105759</v>
      </c>
      <c r="J253" s="585">
        <f>0.85*$D$22*$D$228*B252</f>
        <v>34519.878194605859</v>
      </c>
    </row>
    <row r="254" spans="1:10">
      <c r="D254" s="567">
        <f>(415400*39-0.85*145*60*43.2*(55-0.5*43.2))/(2800*50)</f>
        <v>39.503588571428573</v>
      </c>
      <c r="H254" s="567">
        <f>(G266*(G265-5))</f>
        <v>28000</v>
      </c>
      <c r="I254" s="585">
        <f>(G265-0.5*G264)</f>
        <v>7.66</v>
      </c>
      <c r="J254" s="585">
        <f>0.85*G262*G263*G264</f>
        <v>36186.199999999997</v>
      </c>
    </row>
    <row r="255" spans="1:10">
      <c r="D255" s="567">
        <f>+(372700*35.4-0.85*145*60*41.7*(55-0.5*41.7))/(2800*50)</f>
        <v>19.019237678571432</v>
      </c>
    </row>
    <row r="259" spans="7:8">
      <c r="G259" s="568">
        <v>36750</v>
      </c>
      <c r="H259" s="585">
        <f>(G259*G260-0.85*G262*G263*G264*(G265-0.5*G264))/(G266*(G265-5))</f>
        <v>-2.457635428571427</v>
      </c>
    </row>
    <row r="260" spans="7:8">
      <c r="G260" s="568">
        <v>5.67</v>
      </c>
    </row>
    <row r="261" spans="7:8">
      <c r="G261" s="568">
        <v>0.85</v>
      </c>
    </row>
    <row r="262" spans="7:8">
      <c r="G262" s="568">
        <v>145</v>
      </c>
    </row>
    <row r="263" spans="7:8">
      <c r="G263" s="568">
        <v>20</v>
      </c>
    </row>
    <row r="264" spans="7:8">
      <c r="G264" s="568">
        <v>14.68</v>
      </c>
    </row>
    <row r="265" spans="7:8">
      <c r="G265" s="568">
        <v>15</v>
      </c>
    </row>
    <row r="266" spans="7:8">
      <c r="G266" s="568">
        <v>2800</v>
      </c>
    </row>
  </sheetData>
  <conditionalFormatting sqref="D50">
    <cfRule type="expression" priority="17">
      <formula>$B$50&lt;$B$49</formula>
    </cfRule>
  </conditionalFormatting>
  <conditionalFormatting sqref="B50">
    <cfRule type="cellIs" dxfId="8" priority="16" operator="lessThan">
      <formula>$B$49</formula>
    </cfRule>
  </conditionalFormatting>
  <conditionalFormatting sqref="B53">
    <cfRule type="cellIs" dxfId="7" priority="13" operator="lessThan">
      <formula>$B$52</formula>
    </cfRule>
  </conditionalFormatting>
  <conditionalFormatting sqref="B90">
    <cfRule type="cellIs" dxfId="6" priority="9" operator="greaterThan">
      <formula>2</formula>
    </cfRule>
  </conditionalFormatting>
  <conditionalFormatting sqref="I155:I156">
    <cfRule type="cellIs" dxfId="5" priority="6" operator="lessThan">
      <formula>$J$11</formula>
    </cfRule>
  </conditionalFormatting>
  <conditionalFormatting sqref="I173">
    <cfRule type="cellIs" dxfId="4" priority="5" operator="lessThan">
      <formula>$J$11</formula>
    </cfRule>
  </conditionalFormatting>
  <conditionalFormatting sqref="D175">
    <cfRule type="cellIs" dxfId="3" priority="4" operator="lessThan">
      <formula>$J$11</formula>
    </cfRule>
  </conditionalFormatting>
  <conditionalFormatting sqref="D58">
    <cfRule type="expression" priority="3">
      <formula>$B$50&lt;$B$49</formula>
    </cfRule>
  </conditionalFormatting>
  <conditionalFormatting sqref="B58">
    <cfRule type="cellIs" dxfId="2" priority="2" operator="lessThan">
      <formula>$B$49</formula>
    </cfRule>
  </conditionalFormatting>
  <conditionalFormatting sqref="B61">
    <cfRule type="cellIs" dxfId="1" priority="1" operator="lessThan">
      <formula>$B$52</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B7A9-5BCB-427C-86C5-92833CFA74D0}">
  <dimension ref="A1:O25"/>
  <sheetViews>
    <sheetView topLeftCell="A7" workbookViewId="0">
      <selection activeCell="O23" sqref="O23"/>
    </sheetView>
  </sheetViews>
  <sheetFormatPr defaultRowHeight="15"/>
  <cols>
    <col min="8" max="8" width="16.85546875" bestFit="1" customWidth="1"/>
  </cols>
  <sheetData>
    <row r="1" spans="1:8">
      <c r="A1" t="s">
        <v>951</v>
      </c>
    </row>
    <row r="2" spans="1:8">
      <c r="A2" t="s">
        <v>952</v>
      </c>
      <c r="B2" t="s">
        <v>958</v>
      </c>
      <c r="C2">
        <v>42</v>
      </c>
      <c r="D2" t="s">
        <v>957</v>
      </c>
      <c r="E2">
        <f>+C2*4</f>
        <v>168</v>
      </c>
    </row>
    <row r="3" spans="1:8">
      <c r="A3" t="s">
        <v>953</v>
      </c>
      <c r="C3">
        <v>18</v>
      </c>
      <c r="D3">
        <v>17200</v>
      </c>
      <c r="E3">
        <v>4</v>
      </c>
      <c r="F3">
        <f>E3*D3/1000</f>
        <v>68.8</v>
      </c>
      <c r="G3">
        <v>168</v>
      </c>
      <c r="H3" s="607">
        <f>G3*F3*7850*(C3/1000/2)^2*PI()</f>
        <v>23088.848191653349</v>
      </c>
    </row>
    <row r="4" spans="1:8">
      <c r="A4" t="s">
        <v>954</v>
      </c>
      <c r="C4">
        <v>28</v>
      </c>
      <c r="D4">
        <v>400</v>
      </c>
      <c r="E4">
        <v>1</v>
      </c>
      <c r="F4">
        <f t="shared" ref="F4:F6" si="0">E4*D4/1000</f>
        <v>0.4</v>
      </c>
      <c r="G4">
        <v>168</v>
      </c>
      <c r="H4" s="607">
        <f t="shared" ref="H4:H6" si="1">G4*F4*7850*(C4/1000/2)^2*PI()</f>
        <v>324.82157949785079</v>
      </c>
    </row>
    <row r="5" spans="1:8">
      <c r="A5" t="s">
        <v>955</v>
      </c>
      <c r="C5">
        <v>6</v>
      </c>
      <c r="D5">
        <v>370</v>
      </c>
      <c r="E5">
        <v>205</v>
      </c>
      <c r="F5">
        <f t="shared" si="0"/>
        <v>75.849999999999994</v>
      </c>
      <c r="G5">
        <v>168</v>
      </c>
      <c r="H5" s="607">
        <f t="shared" si="1"/>
        <v>2828.3093270944878</v>
      </c>
    </row>
    <row r="6" spans="1:8">
      <c r="A6" t="s">
        <v>956</v>
      </c>
      <c r="C6">
        <v>6</v>
      </c>
      <c r="D6">
        <v>250</v>
      </c>
      <c r="E6">
        <v>60</v>
      </c>
      <c r="F6">
        <f t="shared" si="0"/>
        <v>15</v>
      </c>
      <c r="G6">
        <v>168</v>
      </c>
      <c r="H6" s="607">
        <f t="shared" si="1"/>
        <v>559.32287285981965</v>
      </c>
    </row>
    <row r="7" spans="1:8">
      <c r="H7" s="9">
        <f>SUM(H3:H6)</f>
        <v>26801.301971105506</v>
      </c>
    </row>
    <row r="9" spans="1:8">
      <c r="A9" t="s">
        <v>959</v>
      </c>
    </row>
    <row r="10" spans="1:8">
      <c r="A10">
        <f>ROUNDUP(1000/150+1,0)</f>
        <v>8</v>
      </c>
    </row>
    <row r="11" spans="1:8">
      <c r="A11">
        <f>A10*1800</f>
        <v>14400</v>
      </c>
    </row>
    <row r="13" spans="1:8">
      <c r="A13">
        <v>12</v>
      </c>
      <c r="B13">
        <v>1800</v>
      </c>
      <c r="C13">
        <v>32</v>
      </c>
      <c r="D13">
        <f>+C13*B13/1000</f>
        <v>57.6</v>
      </c>
      <c r="E13">
        <v>42</v>
      </c>
      <c r="F13" s="6">
        <f>+D13*E13*7.85*(A13/1000/2)^2*PI()</f>
        <v>2.1477998317817075</v>
      </c>
    </row>
    <row r="14" spans="1:8">
      <c r="A14">
        <v>12</v>
      </c>
      <c r="B14">
        <v>1800</v>
      </c>
      <c r="C14">
        <v>32</v>
      </c>
      <c r="D14">
        <f>+C14*B14/1000</f>
        <v>57.6</v>
      </c>
      <c r="E14">
        <v>42</v>
      </c>
      <c r="F14" s="6">
        <f>+D14*E14*7.85*(A14/1000/2)^2*PI()</f>
        <v>2.1477998317817075</v>
      </c>
    </row>
    <row r="15" spans="1:8">
      <c r="F15" s="6">
        <f>SUM(F13:F14)</f>
        <v>4.295599663563415</v>
      </c>
    </row>
    <row r="17" spans="1:15">
      <c r="K17">
        <v>10000</v>
      </c>
    </row>
    <row r="18" spans="1:15">
      <c r="H18">
        <v>900</v>
      </c>
      <c r="I18">
        <v>14</v>
      </c>
      <c r="J18">
        <f>+I18*H18</f>
        <v>12600</v>
      </c>
      <c r="K18">
        <f>+K17-J18</f>
        <v>-2600</v>
      </c>
    </row>
    <row r="19" spans="1:15">
      <c r="A19" t="s">
        <v>960</v>
      </c>
      <c r="J19">
        <v>150</v>
      </c>
      <c r="K19">
        <v>200</v>
      </c>
    </row>
    <row r="20" spans="1:15">
      <c r="A20" t="s">
        <v>961</v>
      </c>
      <c r="B20" t="s">
        <v>962</v>
      </c>
      <c r="C20" t="s">
        <v>963</v>
      </c>
      <c r="D20" t="s">
        <v>964</v>
      </c>
      <c r="E20" t="s">
        <v>965</v>
      </c>
    </row>
    <row r="21" spans="1:15">
      <c r="A21">
        <v>18</v>
      </c>
      <c r="B21">
        <v>33200</v>
      </c>
      <c r="C21">
        <v>4</v>
      </c>
      <c r="D21">
        <f>4*3</f>
        <v>12</v>
      </c>
      <c r="E21">
        <f>+C21*B21*D21/1000</f>
        <v>1593.6</v>
      </c>
      <c r="F21">
        <f>C21*8</f>
        <v>32</v>
      </c>
      <c r="G21" s="6">
        <f>+E21*7.85*(A21/1000/2)^2*PI()</f>
        <v>3.1833461792478865</v>
      </c>
      <c r="H21" s="6">
        <f>G21*1000</f>
        <v>3183.3461792478865</v>
      </c>
      <c r="J21">
        <f>+J18/J19+1</f>
        <v>85</v>
      </c>
      <c r="K21">
        <f>+K18/K19+1</f>
        <v>-12</v>
      </c>
      <c r="L21">
        <f>+K21+J21</f>
        <v>73</v>
      </c>
      <c r="O21">
        <v>189</v>
      </c>
    </row>
    <row r="22" spans="1:15">
      <c r="A22">
        <v>18</v>
      </c>
      <c r="B22">
        <v>14900</v>
      </c>
      <c r="C22">
        <v>4</v>
      </c>
      <c r="D22">
        <f>4*3</f>
        <v>12</v>
      </c>
      <c r="E22">
        <f t="shared" ref="E22:E24" si="2">+C22*B22*D22/1000</f>
        <v>715.2</v>
      </c>
      <c r="F22">
        <f t="shared" ref="F22:F23" si="3">C22*8</f>
        <v>32</v>
      </c>
      <c r="G22" s="6">
        <f t="shared" ref="G22:G24" si="4">+E22*7.85*(A22/1000/2)^2*PI()</f>
        <v>1.4286704238190817</v>
      </c>
      <c r="H22" s="6">
        <f t="shared" ref="H22:H25" si="5">G22*1000</f>
        <v>1428.6704238190816</v>
      </c>
      <c r="O22">
        <v>97</v>
      </c>
    </row>
    <row r="23" spans="1:15">
      <c r="A23">
        <v>18</v>
      </c>
      <c r="B23">
        <v>10000</v>
      </c>
      <c r="C23">
        <v>4</v>
      </c>
      <c r="D23">
        <f>4*3</f>
        <v>12</v>
      </c>
      <c r="E23">
        <f t="shared" si="2"/>
        <v>480</v>
      </c>
      <c r="F23">
        <f t="shared" si="3"/>
        <v>32</v>
      </c>
      <c r="G23" s="6">
        <f t="shared" si="4"/>
        <v>0.95883921061683353</v>
      </c>
      <c r="H23" s="6">
        <f t="shared" si="5"/>
        <v>958.8392106168335</v>
      </c>
      <c r="O23">
        <v>73</v>
      </c>
    </row>
    <row r="24" spans="1:15">
      <c r="A24">
        <v>6</v>
      </c>
      <c r="B24">
        <v>1160</v>
      </c>
      <c r="C24">
        <v>359</v>
      </c>
      <c r="D24">
        <f>4*3</f>
        <v>12</v>
      </c>
      <c r="E24">
        <f t="shared" si="2"/>
        <v>4997.28</v>
      </c>
      <c r="F24">
        <v>42</v>
      </c>
      <c r="G24" s="6">
        <f t="shared" si="4"/>
        <v>1.1091638913035393</v>
      </c>
      <c r="H24" s="6">
        <f t="shared" si="5"/>
        <v>1109.1638913035392</v>
      </c>
    </row>
    <row r="25" spans="1:15">
      <c r="G25" s="6">
        <f>SUM(G21:G24)</f>
        <v>6.6800197049873411</v>
      </c>
      <c r="H25" s="6">
        <f t="shared" si="5"/>
        <v>6680.0197049873414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D575F-F606-43A5-91A4-558515BBBE90}">
  <dimension ref="A1:I110"/>
  <sheetViews>
    <sheetView workbookViewId="0">
      <selection activeCell="E106" sqref="E106"/>
    </sheetView>
  </sheetViews>
  <sheetFormatPr defaultRowHeight="16.5"/>
  <cols>
    <col min="1" max="1" width="16" style="7" customWidth="1"/>
    <col min="2" max="2" width="14.28515625" style="7" customWidth="1"/>
    <col min="3" max="3" width="10.28515625" style="7" customWidth="1"/>
    <col min="4" max="4" width="17.42578125" style="7" bestFit="1" customWidth="1"/>
    <col min="5" max="5" width="13.7109375" style="7" customWidth="1"/>
    <col min="6" max="6" width="10.140625" style="7" bestFit="1" customWidth="1"/>
    <col min="7" max="7" width="9.140625" style="7"/>
    <col min="8" max="8" width="21.140625" style="7" customWidth="1"/>
    <col min="9" max="256" width="9.140625" style="7"/>
    <col min="257" max="257" width="16" style="7" customWidth="1"/>
    <col min="258" max="258" width="14.28515625" style="7" customWidth="1"/>
    <col min="259" max="259" width="9.140625" style="7"/>
    <col min="260" max="260" width="17.42578125" style="7" bestFit="1" customWidth="1"/>
    <col min="261" max="263" width="9.140625" style="7"/>
    <col min="264" max="264" width="21.140625" style="7" customWidth="1"/>
    <col min="265" max="512" width="9.140625" style="7"/>
    <col min="513" max="513" width="16" style="7" customWidth="1"/>
    <col min="514" max="514" width="14.28515625" style="7" customWidth="1"/>
    <col min="515" max="515" width="9.140625" style="7"/>
    <col min="516" max="516" width="17.42578125" style="7" bestFit="1" customWidth="1"/>
    <col min="517" max="519" width="9.140625" style="7"/>
    <col min="520" max="520" width="21.140625" style="7" customWidth="1"/>
    <col min="521" max="768" width="9.140625" style="7"/>
    <col min="769" max="769" width="16" style="7" customWidth="1"/>
    <col min="770" max="770" width="14.28515625" style="7" customWidth="1"/>
    <col min="771" max="771" width="9.140625" style="7"/>
    <col min="772" max="772" width="17.42578125" style="7" bestFit="1" customWidth="1"/>
    <col min="773" max="775" width="9.140625" style="7"/>
    <col min="776" max="776" width="21.140625" style="7" customWidth="1"/>
    <col min="777" max="1024" width="9.140625" style="7"/>
    <col min="1025" max="1025" width="16" style="7" customWidth="1"/>
    <col min="1026" max="1026" width="14.28515625" style="7" customWidth="1"/>
    <col min="1027" max="1027" width="9.140625" style="7"/>
    <col min="1028" max="1028" width="17.42578125" style="7" bestFit="1" customWidth="1"/>
    <col min="1029" max="1031" width="9.140625" style="7"/>
    <col min="1032" max="1032" width="21.140625" style="7" customWidth="1"/>
    <col min="1033" max="1280" width="9.140625" style="7"/>
    <col min="1281" max="1281" width="16" style="7" customWidth="1"/>
    <col min="1282" max="1282" width="14.28515625" style="7" customWidth="1"/>
    <col min="1283" max="1283" width="9.140625" style="7"/>
    <col min="1284" max="1284" width="17.42578125" style="7" bestFit="1" customWidth="1"/>
    <col min="1285" max="1287" width="9.140625" style="7"/>
    <col min="1288" max="1288" width="21.140625" style="7" customWidth="1"/>
    <col min="1289" max="1536" width="9.140625" style="7"/>
    <col min="1537" max="1537" width="16" style="7" customWidth="1"/>
    <col min="1538" max="1538" width="14.28515625" style="7" customWidth="1"/>
    <col min="1539" max="1539" width="9.140625" style="7"/>
    <col min="1540" max="1540" width="17.42578125" style="7" bestFit="1" customWidth="1"/>
    <col min="1541" max="1543" width="9.140625" style="7"/>
    <col min="1544" max="1544" width="21.140625" style="7" customWidth="1"/>
    <col min="1545" max="1792" width="9.140625" style="7"/>
    <col min="1793" max="1793" width="16" style="7" customWidth="1"/>
    <col min="1794" max="1794" width="14.28515625" style="7" customWidth="1"/>
    <col min="1795" max="1795" width="9.140625" style="7"/>
    <col min="1796" max="1796" width="17.42578125" style="7" bestFit="1" customWidth="1"/>
    <col min="1797" max="1799" width="9.140625" style="7"/>
    <col min="1800" max="1800" width="21.140625" style="7" customWidth="1"/>
    <col min="1801" max="2048" width="9.140625" style="7"/>
    <col min="2049" max="2049" width="16" style="7" customWidth="1"/>
    <col min="2050" max="2050" width="14.28515625" style="7" customWidth="1"/>
    <col min="2051" max="2051" width="9.140625" style="7"/>
    <col min="2052" max="2052" width="17.42578125" style="7" bestFit="1" customWidth="1"/>
    <col min="2053" max="2055" width="9.140625" style="7"/>
    <col min="2056" max="2056" width="21.140625" style="7" customWidth="1"/>
    <col min="2057" max="2304" width="9.140625" style="7"/>
    <col min="2305" max="2305" width="16" style="7" customWidth="1"/>
    <col min="2306" max="2306" width="14.28515625" style="7" customWidth="1"/>
    <col min="2307" max="2307" width="9.140625" style="7"/>
    <col min="2308" max="2308" width="17.42578125" style="7" bestFit="1" customWidth="1"/>
    <col min="2309" max="2311" width="9.140625" style="7"/>
    <col min="2312" max="2312" width="21.140625" style="7" customWidth="1"/>
    <col min="2313" max="2560" width="9.140625" style="7"/>
    <col min="2561" max="2561" width="16" style="7" customWidth="1"/>
    <col min="2562" max="2562" width="14.28515625" style="7" customWidth="1"/>
    <col min="2563" max="2563" width="9.140625" style="7"/>
    <col min="2564" max="2564" width="17.42578125" style="7" bestFit="1" customWidth="1"/>
    <col min="2565" max="2567" width="9.140625" style="7"/>
    <col min="2568" max="2568" width="21.140625" style="7" customWidth="1"/>
    <col min="2569" max="2816" width="9.140625" style="7"/>
    <col min="2817" max="2817" width="16" style="7" customWidth="1"/>
    <col min="2818" max="2818" width="14.28515625" style="7" customWidth="1"/>
    <col min="2819" max="2819" width="9.140625" style="7"/>
    <col min="2820" max="2820" width="17.42578125" style="7" bestFit="1" customWidth="1"/>
    <col min="2821" max="2823" width="9.140625" style="7"/>
    <col min="2824" max="2824" width="21.140625" style="7" customWidth="1"/>
    <col min="2825" max="3072" width="9.140625" style="7"/>
    <col min="3073" max="3073" width="16" style="7" customWidth="1"/>
    <col min="3074" max="3074" width="14.28515625" style="7" customWidth="1"/>
    <col min="3075" max="3075" width="9.140625" style="7"/>
    <col min="3076" max="3076" width="17.42578125" style="7" bestFit="1" customWidth="1"/>
    <col min="3077" max="3079" width="9.140625" style="7"/>
    <col min="3080" max="3080" width="21.140625" style="7" customWidth="1"/>
    <col min="3081" max="3328" width="9.140625" style="7"/>
    <col min="3329" max="3329" width="16" style="7" customWidth="1"/>
    <col min="3330" max="3330" width="14.28515625" style="7" customWidth="1"/>
    <col min="3331" max="3331" width="9.140625" style="7"/>
    <col min="3332" max="3332" width="17.42578125" style="7" bestFit="1" customWidth="1"/>
    <col min="3333" max="3335" width="9.140625" style="7"/>
    <col min="3336" max="3336" width="21.140625" style="7" customWidth="1"/>
    <col min="3337" max="3584" width="9.140625" style="7"/>
    <col min="3585" max="3585" width="16" style="7" customWidth="1"/>
    <col min="3586" max="3586" width="14.28515625" style="7" customWidth="1"/>
    <col min="3587" max="3587" width="9.140625" style="7"/>
    <col min="3588" max="3588" width="17.42578125" style="7" bestFit="1" customWidth="1"/>
    <col min="3589" max="3591" width="9.140625" style="7"/>
    <col min="3592" max="3592" width="21.140625" style="7" customWidth="1"/>
    <col min="3593" max="3840" width="9.140625" style="7"/>
    <col min="3841" max="3841" width="16" style="7" customWidth="1"/>
    <col min="3842" max="3842" width="14.28515625" style="7" customWidth="1"/>
    <col min="3843" max="3843" width="9.140625" style="7"/>
    <col min="3844" max="3844" width="17.42578125" style="7" bestFit="1" customWidth="1"/>
    <col min="3845" max="3847" width="9.140625" style="7"/>
    <col min="3848" max="3848" width="21.140625" style="7" customWidth="1"/>
    <col min="3849" max="4096" width="9.140625" style="7"/>
    <col min="4097" max="4097" width="16" style="7" customWidth="1"/>
    <col min="4098" max="4098" width="14.28515625" style="7" customWidth="1"/>
    <col min="4099" max="4099" width="9.140625" style="7"/>
    <col min="4100" max="4100" width="17.42578125" style="7" bestFit="1" customWidth="1"/>
    <col min="4101" max="4103" width="9.140625" style="7"/>
    <col min="4104" max="4104" width="21.140625" style="7" customWidth="1"/>
    <col min="4105" max="4352" width="9.140625" style="7"/>
    <col min="4353" max="4353" width="16" style="7" customWidth="1"/>
    <col min="4354" max="4354" width="14.28515625" style="7" customWidth="1"/>
    <col min="4355" max="4355" width="9.140625" style="7"/>
    <col min="4356" max="4356" width="17.42578125" style="7" bestFit="1" customWidth="1"/>
    <col min="4357" max="4359" width="9.140625" style="7"/>
    <col min="4360" max="4360" width="21.140625" style="7" customWidth="1"/>
    <col min="4361" max="4608" width="9.140625" style="7"/>
    <col min="4609" max="4609" width="16" style="7" customWidth="1"/>
    <col min="4610" max="4610" width="14.28515625" style="7" customWidth="1"/>
    <col min="4611" max="4611" width="9.140625" style="7"/>
    <col min="4612" max="4612" width="17.42578125" style="7" bestFit="1" customWidth="1"/>
    <col min="4613" max="4615" width="9.140625" style="7"/>
    <col min="4616" max="4616" width="21.140625" style="7" customWidth="1"/>
    <col min="4617" max="4864" width="9.140625" style="7"/>
    <col min="4865" max="4865" width="16" style="7" customWidth="1"/>
    <col min="4866" max="4866" width="14.28515625" style="7" customWidth="1"/>
    <col min="4867" max="4867" width="9.140625" style="7"/>
    <col min="4868" max="4868" width="17.42578125" style="7" bestFit="1" customWidth="1"/>
    <col min="4869" max="4871" width="9.140625" style="7"/>
    <col min="4872" max="4872" width="21.140625" style="7" customWidth="1"/>
    <col min="4873" max="5120" width="9.140625" style="7"/>
    <col min="5121" max="5121" width="16" style="7" customWidth="1"/>
    <col min="5122" max="5122" width="14.28515625" style="7" customWidth="1"/>
    <col min="5123" max="5123" width="9.140625" style="7"/>
    <col min="5124" max="5124" width="17.42578125" style="7" bestFit="1" customWidth="1"/>
    <col min="5125" max="5127" width="9.140625" style="7"/>
    <col min="5128" max="5128" width="21.140625" style="7" customWidth="1"/>
    <col min="5129" max="5376" width="9.140625" style="7"/>
    <col min="5377" max="5377" width="16" style="7" customWidth="1"/>
    <col min="5378" max="5378" width="14.28515625" style="7" customWidth="1"/>
    <col min="5379" max="5379" width="9.140625" style="7"/>
    <col min="5380" max="5380" width="17.42578125" style="7" bestFit="1" customWidth="1"/>
    <col min="5381" max="5383" width="9.140625" style="7"/>
    <col min="5384" max="5384" width="21.140625" style="7" customWidth="1"/>
    <col min="5385" max="5632" width="9.140625" style="7"/>
    <col min="5633" max="5633" width="16" style="7" customWidth="1"/>
    <col min="5634" max="5634" width="14.28515625" style="7" customWidth="1"/>
    <col min="5635" max="5635" width="9.140625" style="7"/>
    <col min="5636" max="5636" width="17.42578125" style="7" bestFit="1" customWidth="1"/>
    <col min="5637" max="5639" width="9.140625" style="7"/>
    <col min="5640" max="5640" width="21.140625" style="7" customWidth="1"/>
    <col min="5641" max="5888" width="9.140625" style="7"/>
    <col min="5889" max="5889" width="16" style="7" customWidth="1"/>
    <col min="5890" max="5890" width="14.28515625" style="7" customWidth="1"/>
    <col min="5891" max="5891" width="9.140625" style="7"/>
    <col min="5892" max="5892" width="17.42578125" style="7" bestFit="1" customWidth="1"/>
    <col min="5893" max="5895" width="9.140625" style="7"/>
    <col min="5896" max="5896" width="21.140625" style="7" customWidth="1"/>
    <col min="5897" max="6144" width="9.140625" style="7"/>
    <col min="6145" max="6145" width="16" style="7" customWidth="1"/>
    <col min="6146" max="6146" width="14.28515625" style="7" customWidth="1"/>
    <col min="6147" max="6147" width="9.140625" style="7"/>
    <col min="6148" max="6148" width="17.42578125" style="7" bestFit="1" customWidth="1"/>
    <col min="6149" max="6151" width="9.140625" style="7"/>
    <col min="6152" max="6152" width="21.140625" style="7" customWidth="1"/>
    <col min="6153" max="6400" width="9.140625" style="7"/>
    <col min="6401" max="6401" width="16" style="7" customWidth="1"/>
    <col min="6402" max="6402" width="14.28515625" style="7" customWidth="1"/>
    <col min="6403" max="6403" width="9.140625" style="7"/>
    <col min="6404" max="6404" width="17.42578125" style="7" bestFit="1" customWidth="1"/>
    <col min="6405" max="6407" width="9.140625" style="7"/>
    <col min="6408" max="6408" width="21.140625" style="7" customWidth="1"/>
    <col min="6409" max="6656" width="9.140625" style="7"/>
    <col min="6657" max="6657" width="16" style="7" customWidth="1"/>
    <col min="6658" max="6658" width="14.28515625" style="7" customWidth="1"/>
    <col min="6659" max="6659" width="9.140625" style="7"/>
    <col min="6660" max="6660" width="17.42578125" style="7" bestFit="1" customWidth="1"/>
    <col min="6661" max="6663" width="9.140625" style="7"/>
    <col min="6664" max="6664" width="21.140625" style="7" customWidth="1"/>
    <col min="6665" max="6912" width="9.140625" style="7"/>
    <col min="6913" max="6913" width="16" style="7" customWidth="1"/>
    <col min="6914" max="6914" width="14.28515625" style="7" customWidth="1"/>
    <col min="6915" max="6915" width="9.140625" style="7"/>
    <col min="6916" max="6916" width="17.42578125" style="7" bestFit="1" customWidth="1"/>
    <col min="6917" max="6919" width="9.140625" style="7"/>
    <col min="6920" max="6920" width="21.140625" style="7" customWidth="1"/>
    <col min="6921" max="7168" width="9.140625" style="7"/>
    <col min="7169" max="7169" width="16" style="7" customWidth="1"/>
    <col min="7170" max="7170" width="14.28515625" style="7" customWidth="1"/>
    <col min="7171" max="7171" width="9.140625" style="7"/>
    <col min="7172" max="7172" width="17.42578125" style="7" bestFit="1" customWidth="1"/>
    <col min="7173" max="7175" width="9.140625" style="7"/>
    <col min="7176" max="7176" width="21.140625" style="7" customWidth="1"/>
    <col min="7177" max="7424" width="9.140625" style="7"/>
    <col min="7425" max="7425" width="16" style="7" customWidth="1"/>
    <col min="7426" max="7426" width="14.28515625" style="7" customWidth="1"/>
    <col min="7427" max="7427" width="9.140625" style="7"/>
    <col min="7428" max="7428" width="17.42578125" style="7" bestFit="1" customWidth="1"/>
    <col min="7429" max="7431" width="9.140625" style="7"/>
    <col min="7432" max="7432" width="21.140625" style="7" customWidth="1"/>
    <col min="7433" max="7680" width="9.140625" style="7"/>
    <col min="7681" max="7681" width="16" style="7" customWidth="1"/>
    <col min="7682" max="7682" width="14.28515625" style="7" customWidth="1"/>
    <col min="7683" max="7683" width="9.140625" style="7"/>
    <col min="7684" max="7684" width="17.42578125" style="7" bestFit="1" customWidth="1"/>
    <col min="7685" max="7687" width="9.140625" style="7"/>
    <col min="7688" max="7688" width="21.140625" style="7" customWidth="1"/>
    <col min="7689" max="7936" width="9.140625" style="7"/>
    <col min="7937" max="7937" width="16" style="7" customWidth="1"/>
    <col min="7938" max="7938" width="14.28515625" style="7" customWidth="1"/>
    <col min="7939" max="7939" width="9.140625" style="7"/>
    <col min="7940" max="7940" width="17.42578125" style="7" bestFit="1" customWidth="1"/>
    <col min="7941" max="7943" width="9.140625" style="7"/>
    <col min="7944" max="7944" width="21.140625" style="7" customWidth="1"/>
    <col min="7945" max="8192" width="9.140625" style="7"/>
    <col min="8193" max="8193" width="16" style="7" customWidth="1"/>
    <col min="8194" max="8194" width="14.28515625" style="7" customWidth="1"/>
    <col min="8195" max="8195" width="9.140625" style="7"/>
    <col min="8196" max="8196" width="17.42578125" style="7" bestFit="1" customWidth="1"/>
    <col min="8197" max="8199" width="9.140625" style="7"/>
    <col min="8200" max="8200" width="21.140625" style="7" customWidth="1"/>
    <col min="8201" max="8448" width="9.140625" style="7"/>
    <col min="8449" max="8449" width="16" style="7" customWidth="1"/>
    <col min="8450" max="8450" width="14.28515625" style="7" customWidth="1"/>
    <col min="8451" max="8451" width="9.140625" style="7"/>
    <col min="8452" max="8452" width="17.42578125" style="7" bestFit="1" customWidth="1"/>
    <col min="8453" max="8455" width="9.140625" style="7"/>
    <col min="8456" max="8456" width="21.140625" style="7" customWidth="1"/>
    <col min="8457" max="8704" width="9.140625" style="7"/>
    <col min="8705" max="8705" width="16" style="7" customWidth="1"/>
    <col min="8706" max="8706" width="14.28515625" style="7" customWidth="1"/>
    <col min="8707" max="8707" width="9.140625" style="7"/>
    <col min="8708" max="8708" width="17.42578125" style="7" bestFit="1" customWidth="1"/>
    <col min="8709" max="8711" width="9.140625" style="7"/>
    <col min="8712" max="8712" width="21.140625" style="7" customWidth="1"/>
    <col min="8713" max="8960" width="9.140625" style="7"/>
    <col min="8961" max="8961" width="16" style="7" customWidth="1"/>
    <col min="8962" max="8962" width="14.28515625" style="7" customWidth="1"/>
    <col min="8963" max="8963" width="9.140625" style="7"/>
    <col min="8964" max="8964" width="17.42578125" style="7" bestFit="1" customWidth="1"/>
    <col min="8965" max="8967" width="9.140625" style="7"/>
    <col min="8968" max="8968" width="21.140625" style="7" customWidth="1"/>
    <col min="8969" max="9216" width="9.140625" style="7"/>
    <col min="9217" max="9217" width="16" style="7" customWidth="1"/>
    <col min="9218" max="9218" width="14.28515625" style="7" customWidth="1"/>
    <col min="9219" max="9219" width="9.140625" style="7"/>
    <col min="9220" max="9220" width="17.42578125" style="7" bestFit="1" customWidth="1"/>
    <col min="9221" max="9223" width="9.140625" style="7"/>
    <col min="9224" max="9224" width="21.140625" style="7" customWidth="1"/>
    <col min="9225" max="9472" width="9.140625" style="7"/>
    <col min="9473" max="9473" width="16" style="7" customWidth="1"/>
    <col min="9474" max="9474" width="14.28515625" style="7" customWidth="1"/>
    <col min="9475" max="9475" width="9.140625" style="7"/>
    <col min="9476" max="9476" width="17.42578125" style="7" bestFit="1" customWidth="1"/>
    <col min="9477" max="9479" width="9.140625" style="7"/>
    <col min="9480" max="9480" width="21.140625" style="7" customWidth="1"/>
    <col min="9481" max="9728" width="9.140625" style="7"/>
    <col min="9729" max="9729" width="16" style="7" customWidth="1"/>
    <col min="9730" max="9730" width="14.28515625" style="7" customWidth="1"/>
    <col min="9731" max="9731" width="9.140625" style="7"/>
    <col min="9732" max="9732" width="17.42578125" style="7" bestFit="1" customWidth="1"/>
    <col min="9733" max="9735" width="9.140625" style="7"/>
    <col min="9736" max="9736" width="21.140625" style="7" customWidth="1"/>
    <col min="9737" max="9984" width="9.140625" style="7"/>
    <col min="9985" max="9985" width="16" style="7" customWidth="1"/>
    <col min="9986" max="9986" width="14.28515625" style="7" customWidth="1"/>
    <col min="9987" max="9987" width="9.140625" style="7"/>
    <col min="9988" max="9988" width="17.42578125" style="7" bestFit="1" customWidth="1"/>
    <col min="9989" max="9991" width="9.140625" style="7"/>
    <col min="9992" max="9992" width="21.140625" style="7" customWidth="1"/>
    <col min="9993" max="10240" width="9.140625" style="7"/>
    <col min="10241" max="10241" width="16" style="7" customWidth="1"/>
    <col min="10242" max="10242" width="14.28515625" style="7" customWidth="1"/>
    <col min="10243" max="10243" width="9.140625" style="7"/>
    <col min="10244" max="10244" width="17.42578125" style="7" bestFit="1" customWidth="1"/>
    <col min="10245" max="10247" width="9.140625" style="7"/>
    <col min="10248" max="10248" width="21.140625" style="7" customWidth="1"/>
    <col min="10249" max="10496" width="9.140625" style="7"/>
    <col min="10497" max="10497" width="16" style="7" customWidth="1"/>
    <col min="10498" max="10498" width="14.28515625" style="7" customWidth="1"/>
    <col min="10499" max="10499" width="9.140625" style="7"/>
    <col min="10500" max="10500" width="17.42578125" style="7" bestFit="1" customWidth="1"/>
    <col min="10501" max="10503" width="9.140625" style="7"/>
    <col min="10504" max="10504" width="21.140625" style="7" customWidth="1"/>
    <col min="10505" max="10752" width="9.140625" style="7"/>
    <col min="10753" max="10753" width="16" style="7" customWidth="1"/>
    <col min="10754" max="10754" width="14.28515625" style="7" customWidth="1"/>
    <col min="10755" max="10755" width="9.140625" style="7"/>
    <col min="10756" max="10756" width="17.42578125" style="7" bestFit="1" customWidth="1"/>
    <col min="10757" max="10759" width="9.140625" style="7"/>
    <col min="10760" max="10760" width="21.140625" style="7" customWidth="1"/>
    <col min="10761" max="11008" width="9.140625" style="7"/>
    <col min="11009" max="11009" width="16" style="7" customWidth="1"/>
    <col min="11010" max="11010" width="14.28515625" style="7" customWidth="1"/>
    <col min="11011" max="11011" width="9.140625" style="7"/>
    <col min="11012" max="11012" width="17.42578125" style="7" bestFit="1" customWidth="1"/>
    <col min="11013" max="11015" width="9.140625" style="7"/>
    <col min="11016" max="11016" width="21.140625" style="7" customWidth="1"/>
    <col min="11017" max="11264" width="9.140625" style="7"/>
    <col min="11265" max="11265" width="16" style="7" customWidth="1"/>
    <col min="11266" max="11266" width="14.28515625" style="7" customWidth="1"/>
    <col min="11267" max="11267" width="9.140625" style="7"/>
    <col min="11268" max="11268" width="17.42578125" style="7" bestFit="1" customWidth="1"/>
    <col min="11269" max="11271" width="9.140625" style="7"/>
    <col min="11272" max="11272" width="21.140625" style="7" customWidth="1"/>
    <col min="11273" max="11520" width="9.140625" style="7"/>
    <col min="11521" max="11521" width="16" style="7" customWidth="1"/>
    <col min="11522" max="11522" width="14.28515625" style="7" customWidth="1"/>
    <col min="11523" max="11523" width="9.140625" style="7"/>
    <col min="11524" max="11524" width="17.42578125" style="7" bestFit="1" customWidth="1"/>
    <col min="11525" max="11527" width="9.140625" style="7"/>
    <col min="11528" max="11528" width="21.140625" style="7" customWidth="1"/>
    <col min="11529" max="11776" width="9.140625" style="7"/>
    <col min="11777" max="11777" width="16" style="7" customWidth="1"/>
    <col min="11778" max="11778" width="14.28515625" style="7" customWidth="1"/>
    <col min="11779" max="11779" width="9.140625" style="7"/>
    <col min="11780" max="11780" width="17.42578125" style="7" bestFit="1" customWidth="1"/>
    <col min="11781" max="11783" width="9.140625" style="7"/>
    <col min="11784" max="11784" width="21.140625" style="7" customWidth="1"/>
    <col min="11785" max="12032" width="9.140625" style="7"/>
    <col min="12033" max="12033" width="16" style="7" customWidth="1"/>
    <col min="12034" max="12034" width="14.28515625" style="7" customWidth="1"/>
    <col min="12035" max="12035" width="9.140625" style="7"/>
    <col min="12036" max="12036" width="17.42578125" style="7" bestFit="1" customWidth="1"/>
    <col min="12037" max="12039" width="9.140625" style="7"/>
    <col min="12040" max="12040" width="21.140625" style="7" customWidth="1"/>
    <col min="12041" max="12288" width="9.140625" style="7"/>
    <col min="12289" max="12289" width="16" style="7" customWidth="1"/>
    <col min="12290" max="12290" width="14.28515625" style="7" customWidth="1"/>
    <col min="12291" max="12291" width="9.140625" style="7"/>
    <col min="12292" max="12292" width="17.42578125" style="7" bestFit="1" customWidth="1"/>
    <col min="12293" max="12295" width="9.140625" style="7"/>
    <col min="12296" max="12296" width="21.140625" style="7" customWidth="1"/>
    <col min="12297" max="12544" width="9.140625" style="7"/>
    <col min="12545" max="12545" width="16" style="7" customWidth="1"/>
    <col min="12546" max="12546" width="14.28515625" style="7" customWidth="1"/>
    <col min="12547" max="12547" width="9.140625" style="7"/>
    <col min="12548" max="12548" width="17.42578125" style="7" bestFit="1" customWidth="1"/>
    <col min="12549" max="12551" width="9.140625" style="7"/>
    <col min="12552" max="12552" width="21.140625" style="7" customWidth="1"/>
    <col min="12553" max="12800" width="9.140625" style="7"/>
    <col min="12801" max="12801" width="16" style="7" customWidth="1"/>
    <col min="12802" max="12802" width="14.28515625" style="7" customWidth="1"/>
    <col min="12803" max="12803" width="9.140625" style="7"/>
    <col min="12804" max="12804" width="17.42578125" style="7" bestFit="1" customWidth="1"/>
    <col min="12805" max="12807" width="9.140625" style="7"/>
    <col min="12808" max="12808" width="21.140625" style="7" customWidth="1"/>
    <col min="12809" max="13056" width="9.140625" style="7"/>
    <col min="13057" max="13057" width="16" style="7" customWidth="1"/>
    <col min="13058" max="13058" width="14.28515625" style="7" customWidth="1"/>
    <col min="13059" max="13059" width="9.140625" style="7"/>
    <col min="13060" max="13060" width="17.42578125" style="7" bestFit="1" customWidth="1"/>
    <col min="13061" max="13063" width="9.140625" style="7"/>
    <col min="13064" max="13064" width="21.140625" style="7" customWidth="1"/>
    <col min="13065" max="13312" width="9.140625" style="7"/>
    <col min="13313" max="13313" width="16" style="7" customWidth="1"/>
    <col min="13314" max="13314" width="14.28515625" style="7" customWidth="1"/>
    <col min="13315" max="13315" width="9.140625" style="7"/>
    <col min="13316" max="13316" width="17.42578125" style="7" bestFit="1" customWidth="1"/>
    <col min="13317" max="13319" width="9.140625" style="7"/>
    <col min="13320" max="13320" width="21.140625" style="7" customWidth="1"/>
    <col min="13321" max="13568" width="9.140625" style="7"/>
    <col min="13569" max="13569" width="16" style="7" customWidth="1"/>
    <col min="13570" max="13570" width="14.28515625" style="7" customWidth="1"/>
    <col min="13571" max="13571" width="9.140625" style="7"/>
    <col min="13572" max="13572" width="17.42578125" style="7" bestFit="1" customWidth="1"/>
    <col min="13573" max="13575" width="9.140625" style="7"/>
    <col min="13576" max="13576" width="21.140625" style="7" customWidth="1"/>
    <col min="13577" max="13824" width="9.140625" style="7"/>
    <col min="13825" max="13825" width="16" style="7" customWidth="1"/>
    <col min="13826" max="13826" width="14.28515625" style="7" customWidth="1"/>
    <col min="13827" max="13827" width="9.140625" style="7"/>
    <col min="13828" max="13828" width="17.42578125" style="7" bestFit="1" customWidth="1"/>
    <col min="13829" max="13831" width="9.140625" style="7"/>
    <col min="13832" max="13832" width="21.140625" style="7" customWidth="1"/>
    <col min="13833" max="14080" width="9.140625" style="7"/>
    <col min="14081" max="14081" width="16" style="7" customWidth="1"/>
    <col min="14082" max="14082" width="14.28515625" style="7" customWidth="1"/>
    <col min="14083" max="14083" width="9.140625" style="7"/>
    <col min="14084" max="14084" width="17.42578125" style="7" bestFit="1" customWidth="1"/>
    <col min="14085" max="14087" width="9.140625" style="7"/>
    <col min="14088" max="14088" width="21.140625" style="7" customWidth="1"/>
    <col min="14089" max="14336" width="9.140625" style="7"/>
    <col min="14337" max="14337" width="16" style="7" customWidth="1"/>
    <col min="14338" max="14338" width="14.28515625" style="7" customWidth="1"/>
    <col min="14339" max="14339" width="9.140625" style="7"/>
    <col min="14340" max="14340" width="17.42578125" style="7" bestFit="1" customWidth="1"/>
    <col min="14341" max="14343" width="9.140625" style="7"/>
    <col min="14344" max="14344" width="21.140625" style="7" customWidth="1"/>
    <col min="14345" max="14592" width="9.140625" style="7"/>
    <col min="14593" max="14593" width="16" style="7" customWidth="1"/>
    <col min="14594" max="14594" width="14.28515625" style="7" customWidth="1"/>
    <col min="14595" max="14595" width="9.140625" style="7"/>
    <col min="14596" max="14596" width="17.42578125" style="7" bestFit="1" customWidth="1"/>
    <col min="14597" max="14599" width="9.140625" style="7"/>
    <col min="14600" max="14600" width="21.140625" style="7" customWidth="1"/>
    <col min="14601" max="14848" width="9.140625" style="7"/>
    <col min="14849" max="14849" width="16" style="7" customWidth="1"/>
    <col min="14850" max="14850" width="14.28515625" style="7" customWidth="1"/>
    <col min="14851" max="14851" width="9.140625" style="7"/>
    <col min="14852" max="14852" width="17.42578125" style="7" bestFit="1" customWidth="1"/>
    <col min="14853" max="14855" width="9.140625" style="7"/>
    <col min="14856" max="14856" width="21.140625" style="7" customWidth="1"/>
    <col min="14857" max="15104" width="9.140625" style="7"/>
    <col min="15105" max="15105" width="16" style="7" customWidth="1"/>
    <col min="15106" max="15106" width="14.28515625" style="7" customWidth="1"/>
    <col min="15107" max="15107" width="9.140625" style="7"/>
    <col min="15108" max="15108" width="17.42578125" style="7" bestFit="1" customWidth="1"/>
    <col min="15109" max="15111" width="9.140625" style="7"/>
    <col min="15112" max="15112" width="21.140625" style="7" customWidth="1"/>
    <col min="15113" max="15360" width="9.140625" style="7"/>
    <col min="15361" max="15361" width="16" style="7" customWidth="1"/>
    <col min="15362" max="15362" width="14.28515625" style="7" customWidth="1"/>
    <col min="15363" max="15363" width="9.140625" style="7"/>
    <col min="15364" max="15364" width="17.42578125" style="7" bestFit="1" customWidth="1"/>
    <col min="15365" max="15367" width="9.140625" style="7"/>
    <col min="15368" max="15368" width="21.140625" style="7" customWidth="1"/>
    <col min="15369" max="15616" width="9.140625" style="7"/>
    <col min="15617" max="15617" width="16" style="7" customWidth="1"/>
    <col min="15618" max="15618" width="14.28515625" style="7" customWidth="1"/>
    <col min="15619" max="15619" width="9.140625" style="7"/>
    <col min="15620" max="15620" width="17.42578125" style="7" bestFit="1" customWidth="1"/>
    <col min="15621" max="15623" width="9.140625" style="7"/>
    <col min="15624" max="15624" width="21.140625" style="7" customWidth="1"/>
    <col min="15625" max="15872" width="9.140625" style="7"/>
    <col min="15873" max="15873" width="16" style="7" customWidth="1"/>
    <col min="15874" max="15874" width="14.28515625" style="7" customWidth="1"/>
    <col min="15875" max="15875" width="9.140625" style="7"/>
    <col min="15876" max="15876" width="17.42578125" style="7" bestFit="1" customWidth="1"/>
    <col min="15877" max="15879" width="9.140625" style="7"/>
    <col min="15880" max="15880" width="21.140625" style="7" customWidth="1"/>
    <col min="15881" max="16128" width="9.140625" style="7"/>
    <col min="16129" max="16129" width="16" style="7" customWidth="1"/>
    <col min="16130" max="16130" width="14.28515625" style="7" customWidth="1"/>
    <col min="16131" max="16131" width="9.140625" style="7"/>
    <col min="16132" max="16132" width="17.42578125" style="7" bestFit="1" customWidth="1"/>
    <col min="16133" max="16135" width="9.140625" style="7"/>
    <col min="16136" max="16136" width="21.140625" style="7" customWidth="1"/>
    <col min="16137" max="16384" width="9.140625" style="7"/>
  </cols>
  <sheetData>
    <row r="1" spans="1:8">
      <c r="A1" s="621" t="s">
        <v>946</v>
      </c>
      <c r="B1" s="621"/>
      <c r="C1" s="621"/>
      <c r="D1" s="621" t="s">
        <v>947</v>
      </c>
      <c r="E1" s="621"/>
      <c r="F1" s="621"/>
      <c r="G1" s="621"/>
    </row>
    <row r="3" spans="1:8">
      <c r="C3" s="622" t="s">
        <v>844</v>
      </c>
      <c r="D3" s="622"/>
      <c r="E3" s="622"/>
      <c r="F3" s="622"/>
      <c r="G3" s="622"/>
      <c r="H3" s="622"/>
    </row>
    <row r="4" spans="1:8">
      <c r="C4" s="622"/>
      <c r="D4" s="622"/>
      <c r="E4" s="622"/>
      <c r="F4" s="622"/>
      <c r="G4" s="622"/>
      <c r="H4" s="622"/>
    </row>
    <row r="5" spans="1:8">
      <c r="C5" s="7" t="s">
        <v>105</v>
      </c>
      <c r="D5" s="623" t="s">
        <v>845</v>
      </c>
      <c r="E5" s="623"/>
      <c r="F5" s="623"/>
      <c r="G5" s="623"/>
    </row>
    <row r="6" spans="1:8">
      <c r="A6" s="518" t="s">
        <v>846</v>
      </c>
      <c r="B6" s="518"/>
    </row>
    <row r="7" spans="1:8">
      <c r="A7" s="519" t="s">
        <v>847</v>
      </c>
      <c r="C7" s="520" t="s">
        <v>848</v>
      </c>
    </row>
    <row r="8" spans="1:8">
      <c r="A8" s="519" t="s">
        <v>849</v>
      </c>
      <c r="C8" s="520" t="s">
        <v>387</v>
      </c>
      <c r="D8" s="521"/>
    </row>
    <row r="9" spans="1:8">
      <c r="B9" s="341" t="s">
        <v>850</v>
      </c>
      <c r="C9" s="341" t="s">
        <v>851</v>
      </c>
      <c r="D9" s="341" t="s">
        <v>852</v>
      </c>
      <c r="E9" s="341" t="s">
        <v>853</v>
      </c>
      <c r="F9" s="341" t="s">
        <v>854</v>
      </c>
    </row>
    <row r="10" spans="1:8">
      <c r="B10" s="522">
        <f>HLOOKUP(C7,'[1]Bảng Tra_Vl'!D5:O16,2)*100</f>
        <v>1450</v>
      </c>
      <c r="C10" s="522">
        <f>VLOOKUP(C8,'[1]Bảng Tra_Vl'!B35:G42,2)*100</f>
        <v>28000</v>
      </c>
      <c r="D10" s="523">
        <v>100</v>
      </c>
      <c r="E10" s="523">
        <v>20</v>
      </c>
      <c r="F10" s="523">
        <f>D10-E10</f>
        <v>80</v>
      </c>
    </row>
    <row r="11" spans="1:8">
      <c r="A11" s="519" t="s">
        <v>855</v>
      </c>
      <c r="C11" s="524" t="s">
        <v>856</v>
      </c>
      <c r="D11" s="525">
        <f>TH!C41</f>
        <v>6</v>
      </c>
      <c r="E11" s="524" t="s">
        <v>857</v>
      </c>
      <c r="H11" s="547">
        <f>D11*1000</f>
        <v>6000</v>
      </c>
    </row>
    <row r="12" spans="1:8">
      <c r="A12" s="519"/>
      <c r="C12" s="521" t="s">
        <v>858</v>
      </c>
      <c r="D12" s="525">
        <f>TH!C40+0.0000000001</f>
        <v>4.0000000001</v>
      </c>
      <c r="E12" s="524" t="s">
        <v>857</v>
      </c>
      <c r="H12" s="547">
        <f>D12*1000</f>
        <v>4000.0000000999999</v>
      </c>
    </row>
    <row r="13" spans="1:8">
      <c r="A13" s="518" t="s">
        <v>859</v>
      </c>
      <c r="D13" s="7">
        <v>4.5</v>
      </c>
    </row>
    <row r="14" spans="1:8">
      <c r="A14" s="519" t="s">
        <v>860</v>
      </c>
      <c r="B14" s="521" t="s">
        <v>861</v>
      </c>
      <c r="C14" s="520">
        <f>TH!B91</f>
        <v>0.47600000000000003</v>
      </c>
      <c r="D14" s="7" t="s">
        <v>862</v>
      </c>
      <c r="E14" s="7" t="s">
        <v>618</v>
      </c>
      <c r="F14" s="7">
        <v>1.2</v>
      </c>
    </row>
    <row r="15" spans="1:8">
      <c r="A15" s="519" t="s">
        <v>863</v>
      </c>
      <c r="B15" s="521" t="s">
        <v>861</v>
      </c>
      <c r="C15" s="520">
        <f>TH!B92</f>
        <v>0.48</v>
      </c>
      <c r="D15" s="7" t="s">
        <v>862</v>
      </c>
      <c r="E15" s="7" t="s">
        <v>6</v>
      </c>
      <c r="F15" s="7">
        <v>45</v>
      </c>
    </row>
    <row r="16" spans="1:8">
      <c r="A16" s="519" t="s">
        <v>864</v>
      </c>
      <c r="B16" s="521" t="s">
        <v>861</v>
      </c>
      <c r="C16" s="526">
        <f>SUM(C14:C15)</f>
        <v>0.95599999999999996</v>
      </c>
      <c r="D16" s="7" t="s">
        <v>750</v>
      </c>
      <c r="E16" s="7" t="s">
        <v>918</v>
      </c>
      <c r="F16" s="345">
        <f>F14/F15*D12*1000</f>
        <v>106.66666666933334</v>
      </c>
      <c r="G16" s="7" t="s">
        <v>160</v>
      </c>
      <c r="H16" s="527"/>
    </row>
    <row r="18" spans="1:6">
      <c r="A18" s="518" t="s">
        <v>865</v>
      </c>
    </row>
    <row r="19" spans="1:6">
      <c r="A19" s="519" t="s">
        <v>866</v>
      </c>
      <c r="B19" s="521" t="s">
        <v>861</v>
      </c>
      <c r="C19" s="528">
        <f>D11/D12</f>
        <v>1.4999999999625</v>
      </c>
      <c r="D19" s="529" t="s">
        <v>867</v>
      </c>
    </row>
    <row r="20" spans="1:6">
      <c r="A20" s="519" t="s">
        <v>868</v>
      </c>
      <c r="B20" s="521"/>
      <c r="C20" s="530" t="s">
        <v>869</v>
      </c>
      <c r="D20" s="529"/>
    </row>
    <row r="21" spans="1:6">
      <c r="A21" s="519" t="s">
        <v>870</v>
      </c>
    </row>
    <row r="22" spans="1:6">
      <c r="A22" s="531"/>
      <c r="B22" s="341" t="s">
        <v>334</v>
      </c>
      <c r="C22" s="341" t="s">
        <v>435</v>
      </c>
      <c r="D22" s="341" t="s">
        <v>3</v>
      </c>
      <c r="E22" s="341" t="s">
        <v>436</v>
      </c>
      <c r="F22" s="341" t="s">
        <v>437</v>
      </c>
    </row>
    <row r="23" spans="1:6">
      <c r="A23" s="341" t="s">
        <v>871</v>
      </c>
      <c r="B23" s="341">
        <f>VLOOKUP(B24,'[1]Bảng tra hệ số ĐH'!M82:Q102,1)</f>
        <v>1.45</v>
      </c>
      <c r="C23" s="341">
        <f>VLOOKUP(B23,'[1]Bảng tra hệ số ĐH'!M82:Q102,2)</f>
        <v>2.0899999999999998E-2</v>
      </c>
      <c r="D23" s="341">
        <f>VLOOKUP(B23,'[1]Bảng tra hệ số ĐH'!M82:Q102,3)</f>
        <v>0.01</v>
      </c>
      <c r="E23" s="341">
        <f>VLOOKUP(B23,'[1]Bảng tra hệ số ĐH'!M82:Q102,4)</f>
        <v>4.6899999999999997E-2</v>
      </c>
      <c r="F23" s="341">
        <f>VLOOKUP(B23,'[1]Bảng tra hệ số ĐH'!M82:Q102,5)</f>
        <v>2.23E-2</v>
      </c>
    </row>
    <row r="24" spans="1:6">
      <c r="A24" s="522" t="s">
        <v>872</v>
      </c>
      <c r="B24" s="532">
        <f>C19</f>
        <v>1.4999999999625</v>
      </c>
      <c r="C24" s="532">
        <f>C23+((B24-B23)*(C25-C23))/(B25-B23)</f>
        <v>2.0800000000074998E-2</v>
      </c>
      <c r="D24" s="532">
        <f>D23+((B24-B23)*(D25-D23))/(B25-B23)</f>
        <v>9.3000000005249994E-3</v>
      </c>
      <c r="E24" s="532">
        <f>E23+((B24-B23)*(E25-E23))/(B25-B23)</f>
        <v>4.6400000000374995E-2</v>
      </c>
      <c r="F24" s="532">
        <f>F23+((B24-B23)*(F25-F23))/(B25-B23)</f>
        <v>2.0600000001275001E-2</v>
      </c>
    </row>
    <row r="25" spans="1:6">
      <c r="A25" s="341" t="s">
        <v>873</v>
      </c>
      <c r="B25" s="341">
        <f>CEILING(B24,0.05)</f>
        <v>1.5</v>
      </c>
      <c r="C25" s="341">
        <f>VLOOKUP(B25,'[1]Bảng tra hệ số ĐH'!M82:Q102,2)</f>
        <v>2.0799999999999999E-2</v>
      </c>
      <c r="D25" s="341">
        <f>VLOOKUP(B25,'[1]Bảng tra hệ số ĐH'!M82:Q102,3)</f>
        <v>9.2999999999999992E-3</v>
      </c>
      <c r="E25" s="341">
        <f>VLOOKUP(B25,'[1]Bảng tra hệ số ĐH'!M82:Q102,4)</f>
        <v>4.6399999999999997E-2</v>
      </c>
      <c r="F25" s="341">
        <f>VLOOKUP(B25,'[1]Bảng tra hệ số ĐH'!M82:Q102,5)</f>
        <v>2.06E-2</v>
      </c>
    </row>
    <row r="27" spans="1:6">
      <c r="A27" s="518" t="s">
        <v>874</v>
      </c>
    </row>
    <row r="28" spans="1:6">
      <c r="A28" s="7" t="s">
        <v>875</v>
      </c>
      <c r="B28" s="521" t="s">
        <v>861</v>
      </c>
      <c r="C28" s="533">
        <f>C16*D12*D11</f>
        <v>22.944000000573599</v>
      </c>
      <c r="D28" s="521" t="s">
        <v>876</v>
      </c>
    </row>
    <row r="30" spans="1:6">
      <c r="A30" s="518" t="s">
        <v>877</v>
      </c>
    </row>
    <row r="31" spans="1:6">
      <c r="A31" s="7" t="s">
        <v>878</v>
      </c>
      <c r="B31" s="521" t="s">
        <v>879</v>
      </c>
      <c r="C31" s="521" t="s">
        <v>861</v>
      </c>
      <c r="D31" s="534">
        <f>C28*C24</f>
        <v>0.47723520001365161</v>
      </c>
      <c r="E31" s="521" t="s">
        <v>880</v>
      </c>
    </row>
    <row r="32" spans="1:6">
      <c r="A32" s="7" t="s">
        <v>881</v>
      </c>
      <c r="B32" s="521" t="s">
        <v>882</v>
      </c>
      <c r="C32" s="521" t="s">
        <v>861</v>
      </c>
      <c r="D32" s="534">
        <f>C28*D24</f>
        <v>0.21337920001738006</v>
      </c>
      <c r="E32" s="521" t="s">
        <v>880</v>
      </c>
    </row>
    <row r="33" spans="1:9">
      <c r="A33" s="7" t="s">
        <v>883</v>
      </c>
      <c r="B33" s="521" t="s">
        <v>884</v>
      </c>
      <c r="C33" s="521" t="s">
        <v>861</v>
      </c>
      <c r="D33" s="534">
        <f>C28*E24</f>
        <v>1.064601600035219</v>
      </c>
      <c r="E33" s="521" t="s">
        <v>880</v>
      </c>
    </row>
    <row r="34" spans="1:9">
      <c r="A34" s="7" t="s">
        <v>885</v>
      </c>
      <c r="B34" s="521" t="s">
        <v>886</v>
      </c>
      <c r="C34" s="521" t="s">
        <v>861</v>
      </c>
      <c r="D34" s="534">
        <f>C28*F24</f>
        <v>0.47264640004106978</v>
      </c>
      <c r="E34" s="521" t="s">
        <v>880</v>
      </c>
    </row>
    <row r="36" spans="1:9">
      <c r="A36" s="518" t="s">
        <v>887</v>
      </c>
    </row>
    <row r="37" spans="1:9">
      <c r="A37" s="535" t="s">
        <v>888</v>
      </c>
      <c r="C37" s="536">
        <f>D31</f>
        <v>0.47723520001365161</v>
      </c>
      <c r="D37" s="521" t="s">
        <v>880</v>
      </c>
    </row>
    <row r="38" spans="1:9">
      <c r="A38" s="535"/>
      <c r="C38" s="536"/>
      <c r="D38" s="521"/>
    </row>
    <row r="39" spans="1:9">
      <c r="C39" s="346"/>
    </row>
    <row r="40" spans="1:9">
      <c r="C40" s="537">
        <f>C37/(B10*1*((F10*0.001)^2))</f>
        <v>5.1426206898022797E-2</v>
      </c>
      <c r="D40" s="538" t="s">
        <v>889</v>
      </c>
      <c r="E40" s="539" t="str">
        <f>IF(C40&lt;0.255,"Kh«ng cÇn KT ®iÒu kiÖn h¹n chÕ","CÇn KT ®iÒu kiÖn h¹n chÕ")</f>
        <v>Kh«ng cÇn KT ®iÒu kiÖn h¹n chÕ</v>
      </c>
    </row>
    <row r="41" spans="1:9">
      <c r="C41" s="537"/>
      <c r="D41" s="540"/>
    </row>
    <row r="42" spans="1:9">
      <c r="C42" s="537">
        <f>1-SQRT(1-(2*C40))</f>
        <v>5.2821249074941345E-2</v>
      </c>
      <c r="D42" s="541"/>
    </row>
    <row r="43" spans="1:9">
      <c r="C43" s="537">
        <f>1-(0.5*C42)</f>
        <v>0.97358937546252933</v>
      </c>
      <c r="D43" s="541"/>
    </row>
    <row r="46" spans="1:9">
      <c r="C46" s="624" t="s">
        <v>861</v>
      </c>
      <c r="D46" s="537">
        <f>10000*C37/(C10*C43*F10*0.001)</f>
        <v>2.1883088902475678</v>
      </c>
      <c r="E46" s="625" t="s">
        <v>890</v>
      </c>
      <c r="H46" s="626">
        <f>D46/(F10*0.1)</f>
        <v>0.27353861128094598</v>
      </c>
      <c r="I46" s="625" t="s">
        <v>891</v>
      </c>
    </row>
    <row r="47" spans="1:9">
      <c r="C47" s="624"/>
      <c r="D47" s="537"/>
      <c r="E47" s="625"/>
      <c r="H47" s="626"/>
      <c r="I47" s="625"/>
    </row>
    <row r="49" spans="1:9">
      <c r="A49" s="542" t="s">
        <v>892</v>
      </c>
      <c r="D49" s="520">
        <v>10</v>
      </c>
      <c r="E49" s="7" t="s">
        <v>948</v>
      </c>
      <c r="F49" s="520">
        <v>150</v>
      </c>
      <c r="G49" s="524" t="s">
        <v>160</v>
      </c>
      <c r="H49" s="7" t="str">
        <f>"Ø"&amp;D49&amp;"@"&amp;F49</f>
        <v>Ø10@150</v>
      </c>
    </row>
    <row r="50" spans="1:9">
      <c r="C50" s="7" t="s">
        <v>893</v>
      </c>
      <c r="D50" s="543">
        <f>ROUND(1000*(0.25*PI()*D49^2)/100/F49,2)</f>
        <v>5.24</v>
      </c>
      <c r="E50" s="524" t="s">
        <v>894</v>
      </c>
    </row>
    <row r="52" spans="1:9">
      <c r="D52" s="7" t="s">
        <v>895</v>
      </c>
      <c r="E52" s="544">
        <f>D50/(F10*0.1)</f>
        <v>0.65500000000000003</v>
      </c>
      <c r="F52" s="524" t="s">
        <v>891</v>
      </c>
      <c r="G52" s="545" t="s">
        <v>889</v>
      </c>
      <c r="H52" s="546" t="str">
        <f>IF(AND(E52&gt;0.4,E52&lt;0.8),"Hîp Lý","Kh«ng Hîp Lý")</f>
        <v>Hîp Lý</v>
      </c>
    </row>
    <row r="54" spans="1:9">
      <c r="A54" s="519" t="s">
        <v>896</v>
      </c>
      <c r="B54" s="7" t="s">
        <v>897</v>
      </c>
      <c r="E54" s="7" t="s">
        <v>14</v>
      </c>
      <c r="F54" s="7">
        <f>$H$11/F49+1</f>
        <v>41</v>
      </c>
    </row>
    <row r="55" spans="1:9">
      <c r="A55" s="535" t="s">
        <v>898</v>
      </c>
      <c r="C55" s="536">
        <f>D32</f>
        <v>0.21337920001738006</v>
      </c>
      <c r="D55" s="521" t="s">
        <v>880</v>
      </c>
    </row>
    <row r="56" spans="1:9">
      <c r="A56" s="535"/>
      <c r="C56" s="528"/>
      <c r="D56" s="521"/>
    </row>
    <row r="58" spans="1:9">
      <c r="C58" s="537">
        <f>C55/(B10*1*(((F10-(D49+D67)/2)*0.001)^2))</f>
        <v>3.0032258975000708E-2</v>
      </c>
      <c r="D58" s="538" t="s">
        <v>889</v>
      </c>
      <c r="E58" s="539" t="str">
        <f>IF(C58&lt;0.255,"Kh«ng cÇn KT ®iÒu kiÖn h¹n chÕ","CÇn KT ®iÒu kiÖn h¹n chÕ")</f>
        <v>Kh«ng cÇn KT ®iÒu kiÖn h¹n chÕ</v>
      </c>
    </row>
    <row r="59" spans="1:9">
      <c r="C59" s="537"/>
      <c r="D59" s="540"/>
    </row>
    <row r="60" spans="1:9">
      <c r="C60" s="537">
        <f>1-SQRT(1-(2*C58))</f>
        <v>3.0497301679877409E-2</v>
      </c>
      <c r="D60" s="541"/>
    </row>
    <row r="61" spans="1:9">
      <c r="C61" s="537">
        <f>1-(0.5*C60)</f>
        <v>0.98475134916006124</v>
      </c>
      <c r="D61" s="541"/>
    </row>
    <row r="64" spans="1:9">
      <c r="C64" s="624" t="s">
        <v>861</v>
      </c>
      <c r="D64" s="537">
        <f>10000*C55/(C10*C61*F10*0.001)</f>
        <v>0.96733628765861268</v>
      </c>
      <c r="E64" s="625" t="s">
        <v>899</v>
      </c>
      <c r="H64" s="626">
        <f>D64/(F10*0.1)</f>
        <v>0.12091703595732659</v>
      </c>
      <c r="I64" s="625" t="s">
        <v>891</v>
      </c>
    </row>
    <row r="65" spans="1:9">
      <c r="C65" s="624"/>
      <c r="D65" s="537"/>
      <c r="E65" s="625"/>
      <c r="H65" s="626"/>
      <c r="I65" s="625"/>
    </row>
    <row r="67" spans="1:9">
      <c r="A67" s="542" t="s">
        <v>892</v>
      </c>
      <c r="D67" s="520">
        <v>10</v>
      </c>
      <c r="E67" s="7" t="s">
        <v>948</v>
      </c>
      <c r="F67" s="520">
        <v>150</v>
      </c>
      <c r="G67" s="524" t="s">
        <v>160</v>
      </c>
      <c r="H67" s="7" t="str">
        <f>"Ø"&amp;D67&amp;"@"&amp;F67</f>
        <v>Ø10@150</v>
      </c>
    </row>
    <row r="68" spans="1:9">
      <c r="C68" s="7" t="s">
        <v>893</v>
      </c>
      <c r="D68" s="543">
        <f>ROUND(1000*(0.25*PI()*D67^2)/100/F67,2)</f>
        <v>5.24</v>
      </c>
      <c r="E68" s="524" t="s">
        <v>894</v>
      </c>
    </row>
    <row r="70" spans="1:9">
      <c r="D70" s="7" t="s">
        <v>895</v>
      </c>
      <c r="E70" s="544">
        <f>D68/(F10*0.1)</f>
        <v>0.65500000000000003</v>
      </c>
      <c r="F70" s="524" t="s">
        <v>891</v>
      </c>
      <c r="G70" s="545" t="s">
        <v>889</v>
      </c>
      <c r="H70" s="546" t="str">
        <f>IF(AND(E70&gt;0.4,E70&lt;0.8),"Hîp Lý","Kh«ng Hîp Lý")</f>
        <v>Hîp Lý</v>
      </c>
    </row>
    <row r="72" spans="1:9">
      <c r="A72" s="519" t="s">
        <v>896</v>
      </c>
      <c r="B72" s="7" t="s">
        <v>897</v>
      </c>
      <c r="E72" s="7" t="s">
        <v>14</v>
      </c>
      <c r="F72" s="345">
        <f>$H$12/F67+1</f>
        <v>27.666666667333331</v>
      </c>
    </row>
    <row r="73" spans="1:9">
      <c r="A73" s="535" t="s">
        <v>900</v>
      </c>
      <c r="C73" s="536">
        <f>D33</f>
        <v>1.064601600035219</v>
      </c>
      <c r="D73" s="521" t="s">
        <v>880</v>
      </c>
    </row>
    <row r="74" spans="1:9">
      <c r="A74" s="535"/>
      <c r="C74" s="528"/>
      <c r="D74" s="521"/>
    </row>
    <row r="76" spans="1:9">
      <c r="C76" s="537">
        <f>C73/(B10*1*((F10*0.001)^2))</f>
        <v>0.11472000000379513</v>
      </c>
      <c r="D76" s="538" t="s">
        <v>889</v>
      </c>
      <c r="E76" s="539" t="str">
        <f>IF(C76&lt;0.255,"Kh«ng cÇn KT ®iÒu kiÖn h¹n chÕ","CÇn KT ®iÒu kiÖn h¹n chÕ")</f>
        <v>Kh«ng cÇn KT ®iÒu kiÖn h¹n chÕ</v>
      </c>
    </row>
    <row r="77" spans="1:9">
      <c r="C77" s="537"/>
      <c r="D77" s="540"/>
    </row>
    <row r="78" spans="1:9">
      <c r="C78" s="537">
        <f>1-SQRT(1-(2*C76))</f>
        <v>0.12218452964623039</v>
      </c>
      <c r="D78" s="541"/>
    </row>
    <row r="79" spans="1:9">
      <c r="C79" s="537">
        <f>1-(0.5*C78)</f>
        <v>0.93890773517688486</v>
      </c>
      <c r="D79" s="541"/>
    </row>
    <row r="82" spans="1:9">
      <c r="C82" s="624" t="s">
        <v>861</v>
      </c>
      <c r="D82" s="537">
        <f>10000*C73/(C10*C79*F10*0.001)</f>
        <v>5.0619305139152599</v>
      </c>
      <c r="E82" s="625" t="s">
        <v>901</v>
      </c>
      <c r="H82" s="626">
        <f>D82/(F10*0.1)</f>
        <v>0.63274131423940749</v>
      </c>
      <c r="I82" s="625" t="s">
        <v>891</v>
      </c>
    </row>
    <row r="83" spans="1:9">
      <c r="C83" s="624"/>
      <c r="D83" s="537"/>
      <c r="E83" s="625"/>
      <c r="H83" s="626"/>
      <c r="I83" s="625"/>
    </row>
    <row r="85" spans="1:9">
      <c r="A85" s="542" t="s">
        <v>892</v>
      </c>
      <c r="D85" s="520">
        <v>10</v>
      </c>
      <c r="E85" s="7" t="s">
        <v>948</v>
      </c>
      <c r="F85" s="520">
        <v>150</v>
      </c>
      <c r="G85" s="524" t="s">
        <v>160</v>
      </c>
      <c r="H85" s="7" t="str">
        <f>"Ø"&amp;D85&amp;"@"&amp;F85</f>
        <v>Ø10@150</v>
      </c>
    </row>
    <row r="86" spans="1:9">
      <c r="C86" s="7" t="s">
        <v>893</v>
      </c>
      <c r="D86" s="543">
        <f>ROUND(1000*(0.25*PI()*D85^2)/100/F85,2)</f>
        <v>5.24</v>
      </c>
      <c r="E86" s="524" t="s">
        <v>894</v>
      </c>
    </row>
    <row r="88" spans="1:9">
      <c r="D88" s="7" t="s">
        <v>895</v>
      </c>
      <c r="E88" s="544">
        <f>D86/(F10*0.1)</f>
        <v>0.65500000000000003</v>
      </c>
      <c r="F88" s="524" t="s">
        <v>891</v>
      </c>
      <c r="G88" s="545" t="s">
        <v>889</v>
      </c>
      <c r="H88" s="546" t="str">
        <f>IF(AND(E88&gt;0.4,E88&lt;0.8),"Hîp Lý","Kh«ng Hîp Lý")</f>
        <v>Hîp Lý</v>
      </c>
    </row>
    <row r="90" spans="1:9">
      <c r="A90" s="519" t="s">
        <v>896</v>
      </c>
      <c r="B90" s="7" t="s">
        <v>897</v>
      </c>
      <c r="E90" s="7" t="s">
        <v>14</v>
      </c>
      <c r="F90" s="7">
        <f>$H$11/F85+1</f>
        <v>41</v>
      </c>
    </row>
    <row r="91" spans="1:9">
      <c r="A91" s="535" t="s">
        <v>902</v>
      </c>
      <c r="C91" s="536">
        <f>D34</f>
        <v>0.47264640004106978</v>
      </c>
      <c r="D91" s="521" t="s">
        <v>880</v>
      </c>
    </row>
    <row r="92" spans="1:9">
      <c r="A92" s="535"/>
      <c r="C92" s="536"/>
      <c r="D92" s="521"/>
    </row>
    <row r="93" spans="1:9">
      <c r="C93" s="346"/>
    </row>
    <row r="94" spans="1:9">
      <c r="C94" s="537">
        <f>C91/(B10*1*((F10*0.001)^2))</f>
        <v>5.0931724142356652E-2</v>
      </c>
      <c r="D94" s="538" t="s">
        <v>889</v>
      </c>
      <c r="E94" s="539" t="str">
        <f>IF(C94&lt;0.255,"Kh«ng cÇn KT ®iÒu kiÖn h¹n chÕ","CÇn KT ®iÒu kiÖn h¹n chÕ")</f>
        <v>Kh«ng cÇn KT ®iÒu kiÖn h¹n chÕ</v>
      </c>
    </row>
    <row r="95" spans="1:9">
      <c r="C95" s="537"/>
      <c r="D95" s="540"/>
    </row>
    <row r="96" spans="1:9">
      <c r="C96" s="537">
        <f>1-SQRT(1-(2*C94))</f>
        <v>5.2299334327928881E-2</v>
      </c>
      <c r="D96" s="541"/>
    </row>
    <row r="97" spans="1:9">
      <c r="C97" s="537">
        <f>1-(0.5*C96)</f>
        <v>0.9738503328360355</v>
      </c>
      <c r="D97" s="541"/>
    </row>
    <row r="100" spans="1:9">
      <c r="C100" s="624" t="s">
        <v>861</v>
      </c>
      <c r="D100" s="537">
        <f>10000*C91/(C10*C97*F10*0.001)</f>
        <v>2.1666867078713401</v>
      </c>
      <c r="E100" s="625" t="s">
        <v>899</v>
      </c>
      <c r="H100" s="626">
        <f>D100/(F10*0.1)</f>
        <v>0.27083583848391751</v>
      </c>
      <c r="I100" s="625" t="s">
        <v>891</v>
      </c>
    </row>
    <row r="101" spans="1:9">
      <c r="C101" s="624"/>
      <c r="D101" s="537"/>
      <c r="E101" s="625"/>
      <c r="H101" s="626"/>
      <c r="I101" s="625"/>
    </row>
    <row r="103" spans="1:9">
      <c r="A103" s="542" t="s">
        <v>892</v>
      </c>
      <c r="D103" s="520">
        <v>10</v>
      </c>
      <c r="E103" s="7" t="s">
        <v>948</v>
      </c>
      <c r="F103" s="520">
        <v>150</v>
      </c>
      <c r="G103" s="524" t="s">
        <v>160</v>
      </c>
      <c r="H103" s="7" t="str">
        <f>"Ø"&amp;D103&amp;"@"&amp;F103</f>
        <v>Ø10@150</v>
      </c>
    </row>
    <row r="104" spans="1:9">
      <c r="C104" s="7" t="s">
        <v>893</v>
      </c>
      <c r="D104" s="543">
        <f>ROUND(1000*(0.25*PI()*D103^2)/100/F103,2)</f>
        <v>5.24</v>
      </c>
      <c r="E104" s="524" t="s">
        <v>894</v>
      </c>
    </row>
    <row r="106" spans="1:9">
      <c r="D106" s="7" t="s">
        <v>895</v>
      </c>
      <c r="E106" s="544">
        <f>D104/(F10*0.1)</f>
        <v>0.65500000000000003</v>
      </c>
      <c r="F106" s="524" t="s">
        <v>891</v>
      </c>
      <c r="G106" s="545" t="s">
        <v>889</v>
      </c>
      <c r="H106" s="546" t="str">
        <f>IF(AND(E106&gt;0.4,E106&lt;0.8),"Hîp Lý","Kh«ng Hîp Lý")</f>
        <v>Hîp Lý</v>
      </c>
    </row>
    <row r="108" spans="1:9">
      <c r="A108" s="519" t="s">
        <v>896</v>
      </c>
      <c r="B108" s="7" t="s">
        <v>897</v>
      </c>
      <c r="E108" s="7" t="s">
        <v>14</v>
      </c>
      <c r="F108" s="345">
        <f>$H$12/F103+1</f>
        <v>27.666666667333331</v>
      </c>
    </row>
    <row r="109" spans="1:9">
      <c r="A109" s="518" t="s">
        <v>903</v>
      </c>
    </row>
    <row r="110" spans="1:9">
      <c r="A110" s="542" t="s">
        <v>904</v>
      </c>
    </row>
  </sheetData>
  <mergeCells count="20">
    <mergeCell ref="C82:C83"/>
    <mergeCell ref="E82:E83"/>
    <mergeCell ref="H82:H83"/>
    <mergeCell ref="I82:I83"/>
    <mergeCell ref="C100:C101"/>
    <mergeCell ref="E100:E101"/>
    <mergeCell ref="H100:H101"/>
    <mergeCell ref="I100:I101"/>
    <mergeCell ref="I46:I47"/>
    <mergeCell ref="C64:C65"/>
    <mergeCell ref="E64:E65"/>
    <mergeCell ref="H64:H65"/>
    <mergeCell ref="I64:I65"/>
    <mergeCell ref="A1:C1"/>
    <mergeCell ref="D1:G1"/>
    <mergeCell ref="C3:H4"/>
    <mergeCell ref="D5:G5"/>
    <mergeCell ref="C46:C47"/>
    <mergeCell ref="E46:E47"/>
    <mergeCell ref="H46:H47"/>
  </mergeCells>
  <dataValidations disablePrompts="1" count="3">
    <dataValidation type="list" allowBlank="1" showInputMessage="1" showErrorMessage="1" sqref="C20 IY20 SU20 ACQ20 AMM20 AWI20 BGE20 BQA20 BZW20 CJS20 CTO20 DDK20 DNG20 DXC20 EGY20 EQU20 FAQ20 FKM20 FUI20 GEE20 GOA20 GXW20 HHS20 HRO20 IBK20 ILG20 IVC20 JEY20 JOU20 JYQ20 KIM20 KSI20 LCE20 LMA20 LVW20 MFS20 MPO20 MZK20 NJG20 NTC20 OCY20 OMU20 OWQ20 PGM20 PQI20 QAE20 QKA20 QTW20 RDS20 RNO20 RXK20 SHG20 SRC20 TAY20 TKU20 TUQ20 UEM20 UOI20 UYE20 VIA20 VRW20 WBS20 WLO20 WVK20 C65556 IY65556 SU65556 ACQ65556 AMM65556 AWI65556 BGE65556 BQA65556 BZW65556 CJS65556 CTO65556 DDK65556 DNG65556 DXC65556 EGY65556 EQU65556 FAQ65556 FKM65556 FUI65556 GEE65556 GOA65556 GXW65556 HHS65556 HRO65556 IBK65556 ILG65556 IVC65556 JEY65556 JOU65556 JYQ65556 KIM65556 KSI65556 LCE65556 LMA65556 LVW65556 MFS65556 MPO65556 MZK65556 NJG65556 NTC65556 OCY65556 OMU65556 OWQ65556 PGM65556 PQI65556 QAE65556 QKA65556 QTW65556 RDS65556 RNO65556 RXK65556 SHG65556 SRC65556 TAY65556 TKU65556 TUQ65556 UEM65556 UOI65556 UYE65556 VIA65556 VRW65556 WBS65556 WLO65556 WVK65556 C131092 IY131092 SU131092 ACQ131092 AMM131092 AWI131092 BGE131092 BQA131092 BZW131092 CJS131092 CTO131092 DDK131092 DNG131092 DXC131092 EGY131092 EQU131092 FAQ131092 FKM131092 FUI131092 GEE131092 GOA131092 GXW131092 HHS131092 HRO131092 IBK131092 ILG131092 IVC131092 JEY131092 JOU131092 JYQ131092 KIM131092 KSI131092 LCE131092 LMA131092 LVW131092 MFS131092 MPO131092 MZK131092 NJG131092 NTC131092 OCY131092 OMU131092 OWQ131092 PGM131092 PQI131092 QAE131092 QKA131092 QTW131092 RDS131092 RNO131092 RXK131092 SHG131092 SRC131092 TAY131092 TKU131092 TUQ131092 UEM131092 UOI131092 UYE131092 VIA131092 VRW131092 WBS131092 WLO131092 WVK131092 C196628 IY196628 SU196628 ACQ196628 AMM196628 AWI196628 BGE196628 BQA196628 BZW196628 CJS196628 CTO196628 DDK196628 DNG196628 DXC196628 EGY196628 EQU196628 FAQ196628 FKM196628 FUI196628 GEE196628 GOA196628 GXW196628 HHS196628 HRO196628 IBK196628 ILG196628 IVC196628 JEY196628 JOU196628 JYQ196628 KIM196628 KSI196628 LCE196628 LMA196628 LVW196628 MFS196628 MPO196628 MZK196628 NJG196628 NTC196628 OCY196628 OMU196628 OWQ196628 PGM196628 PQI196628 QAE196628 QKA196628 QTW196628 RDS196628 RNO196628 RXK196628 SHG196628 SRC196628 TAY196628 TKU196628 TUQ196628 UEM196628 UOI196628 UYE196628 VIA196628 VRW196628 WBS196628 WLO196628 WVK196628 C262164 IY262164 SU262164 ACQ262164 AMM262164 AWI262164 BGE262164 BQA262164 BZW262164 CJS262164 CTO262164 DDK262164 DNG262164 DXC262164 EGY262164 EQU262164 FAQ262164 FKM262164 FUI262164 GEE262164 GOA262164 GXW262164 HHS262164 HRO262164 IBK262164 ILG262164 IVC262164 JEY262164 JOU262164 JYQ262164 KIM262164 KSI262164 LCE262164 LMA262164 LVW262164 MFS262164 MPO262164 MZK262164 NJG262164 NTC262164 OCY262164 OMU262164 OWQ262164 PGM262164 PQI262164 QAE262164 QKA262164 QTW262164 RDS262164 RNO262164 RXK262164 SHG262164 SRC262164 TAY262164 TKU262164 TUQ262164 UEM262164 UOI262164 UYE262164 VIA262164 VRW262164 WBS262164 WLO262164 WVK262164 C327700 IY327700 SU327700 ACQ327700 AMM327700 AWI327700 BGE327700 BQA327700 BZW327700 CJS327700 CTO327700 DDK327700 DNG327700 DXC327700 EGY327700 EQU327700 FAQ327700 FKM327700 FUI327700 GEE327700 GOA327700 GXW327700 HHS327700 HRO327700 IBK327700 ILG327700 IVC327700 JEY327700 JOU327700 JYQ327700 KIM327700 KSI327700 LCE327700 LMA327700 LVW327700 MFS327700 MPO327700 MZK327700 NJG327700 NTC327700 OCY327700 OMU327700 OWQ327700 PGM327700 PQI327700 QAE327700 QKA327700 QTW327700 RDS327700 RNO327700 RXK327700 SHG327700 SRC327700 TAY327700 TKU327700 TUQ327700 UEM327700 UOI327700 UYE327700 VIA327700 VRW327700 WBS327700 WLO327700 WVK327700 C393236 IY393236 SU393236 ACQ393236 AMM393236 AWI393236 BGE393236 BQA393236 BZW393236 CJS393236 CTO393236 DDK393236 DNG393236 DXC393236 EGY393236 EQU393236 FAQ393236 FKM393236 FUI393236 GEE393236 GOA393236 GXW393236 HHS393236 HRO393236 IBK393236 ILG393236 IVC393236 JEY393236 JOU393236 JYQ393236 KIM393236 KSI393236 LCE393236 LMA393236 LVW393236 MFS393236 MPO393236 MZK393236 NJG393236 NTC393236 OCY393236 OMU393236 OWQ393236 PGM393236 PQI393236 QAE393236 QKA393236 QTW393236 RDS393236 RNO393236 RXK393236 SHG393236 SRC393236 TAY393236 TKU393236 TUQ393236 UEM393236 UOI393236 UYE393236 VIA393236 VRW393236 WBS393236 WLO393236 WVK393236 C458772 IY458772 SU458772 ACQ458772 AMM458772 AWI458772 BGE458772 BQA458772 BZW458772 CJS458772 CTO458772 DDK458772 DNG458772 DXC458772 EGY458772 EQU458772 FAQ458772 FKM458772 FUI458772 GEE458772 GOA458772 GXW458772 HHS458772 HRO458772 IBK458772 ILG458772 IVC458772 JEY458772 JOU458772 JYQ458772 KIM458772 KSI458772 LCE458772 LMA458772 LVW458772 MFS458772 MPO458772 MZK458772 NJG458772 NTC458772 OCY458772 OMU458772 OWQ458772 PGM458772 PQI458772 QAE458772 QKA458772 QTW458772 RDS458772 RNO458772 RXK458772 SHG458772 SRC458772 TAY458772 TKU458772 TUQ458772 UEM458772 UOI458772 UYE458772 VIA458772 VRW458772 WBS458772 WLO458772 WVK458772 C524308 IY524308 SU524308 ACQ524308 AMM524308 AWI524308 BGE524308 BQA524308 BZW524308 CJS524308 CTO524308 DDK524308 DNG524308 DXC524308 EGY524308 EQU524308 FAQ524308 FKM524308 FUI524308 GEE524308 GOA524308 GXW524308 HHS524308 HRO524308 IBK524308 ILG524308 IVC524308 JEY524308 JOU524308 JYQ524308 KIM524308 KSI524308 LCE524308 LMA524308 LVW524308 MFS524308 MPO524308 MZK524308 NJG524308 NTC524308 OCY524308 OMU524308 OWQ524308 PGM524308 PQI524308 QAE524308 QKA524308 QTW524308 RDS524308 RNO524308 RXK524308 SHG524308 SRC524308 TAY524308 TKU524308 TUQ524308 UEM524308 UOI524308 UYE524308 VIA524308 VRW524308 WBS524308 WLO524308 WVK524308 C589844 IY589844 SU589844 ACQ589844 AMM589844 AWI589844 BGE589844 BQA589844 BZW589844 CJS589844 CTO589844 DDK589844 DNG589844 DXC589844 EGY589844 EQU589844 FAQ589844 FKM589844 FUI589844 GEE589844 GOA589844 GXW589844 HHS589844 HRO589844 IBK589844 ILG589844 IVC589844 JEY589844 JOU589844 JYQ589844 KIM589844 KSI589844 LCE589844 LMA589844 LVW589844 MFS589844 MPO589844 MZK589844 NJG589844 NTC589844 OCY589844 OMU589844 OWQ589844 PGM589844 PQI589844 QAE589844 QKA589844 QTW589844 RDS589844 RNO589844 RXK589844 SHG589844 SRC589844 TAY589844 TKU589844 TUQ589844 UEM589844 UOI589844 UYE589844 VIA589844 VRW589844 WBS589844 WLO589844 WVK589844 C655380 IY655380 SU655380 ACQ655380 AMM655380 AWI655380 BGE655380 BQA655380 BZW655380 CJS655380 CTO655380 DDK655380 DNG655380 DXC655380 EGY655380 EQU655380 FAQ655380 FKM655380 FUI655380 GEE655380 GOA655380 GXW655380 HHS655380 HRO655380 IBK655380 ILG655380 IVC655380 JEY655380 JOU655380 JYQ655380 KIM655380 KSI655380 LCE655380 LMA655380 LVW655380 MFS655380 MPO655380 MZK655380 NJG655380 NTC655380 OCY655380 OMU655380 OWQ655380 PGM655380 PQI655380 QAE655380 QKA655380 QTW655380 RDS655380 RNO655380 RXK655380 SHG655380 SRC655380 TAY655380 TKU655380 TUQ655380 UEM655380 UOI655380 UYE655380 VIA655380 VRW655380 WBS655380 WLO655380 WVK655380 C720916 IY720916 SU720916 ACQ720916 AMM720916 AWI720916 BGE720916 BQA720916 BZW720916 CJS720916 CTO720916 DDK720916 DNG720916 DXC720916 EGY720916 EQU720916 FAQ720916 FKM720916 FUI720916 GEE720916 GOA720916 GXW720916 HHS720916 HRO720916 IBK720916 ILG720916 IVC720916 JEY720916 JOU720916 JYQ720916 KIM720916 KSI720916 LCE720916 LMA720916 LVW720916 MFS720916 MPO720916 MZK720916 NJG720916 NTC720916 OCY720916 OMU720916 OWQ720916 PGM720916 PQI720916 QAE720916 QKA720916 QTW720916 RDS720916 RNO720916 RXK720916 SHG720916 SRC720916 TAY720916 TKU720916 TUQ720916 UEM720916 UOI720916 UYE720916 VIA720916 VRW720916 WBS720916 WLO720916 WVK720916 C786452 IY786452 SU786452 ACQ786452 AMM786452 AWI786452 BGE786452 BQA786452 BZW786452 CJS786452 CTO786452 DDK786452 DNG786452 DXC786452 EGY786452 EQU786452 FAQ786452 FKM786452 FUI786452 GEE786452 GOA786452 GXW786452 HHS786452 HRO786452 IBK786452 ILG786452 IVC786452 JEY786452 JOU786452 JYQ786452 KIM786452 KSI786452 LCE786452 LMA786452 LVW786452 MFS786452 MPO786452 MZK786452 NJG786452 NTC786452 OCY786452 OMU786452 OWQ786452 PGM786452 PQI786452 QAE786452 QKA786452 QTW786452 RDS786452 RNO786452 RXK786452 SHG786452 SRC786452 TAY786452 TKU786452 TUQ786452 UEM786452 UOI786452 UYE786452 VIA786452 VRW786452 WBS786452 WLO786452 WVK786452 C851988 IY851988 SU851988 ACQ851988 AMM851988 AWI851988 BGE851988 BQA851988 BZW851988 CJS851988 CTO851988 DDK851988 DNG851988 DXC851988 EGY851988 EQU851988 FAQ851988 FKM851988 FUI851988 GEE851988 GOA851988 GXW851988 HHS851988 HRO851988 IBK851988 ILG851988 IVC851988 JEY851988 JOU851988 JYQ851988 KIM851988 KSI851988 LCE851988 LMA851988 LVW851988 MFS851988 MPO851988 MZK851988 NJG851988 NTC851988 OCY851988 OMU851988 OWQ851988 PGM851988 PQI851988 QAE851988 QKA851988 QTW851988 RDS851988 RNO851988 RXK851988 SHG851988 SRC851988 TAY851988 TKU851988 TUQ851988 UEM851988 UOI851988 UYE851988 VIA851988 VRW851988 WBS851988 WLO851988 WVK851988 C917524 IY917524 SU917524 ACQ917524 AMM917524 AWI917524 BGE917524 BQA917524 BZW917524 CJS917524 CTO917524 DDK917524 DNG917524 DXC917524 EGY917524 EQU917524 FAQ917524 FKM917524 FUI917524 GEE917524 GOA917524 GXW917524 HHS917524 HRO917524 IBK917524 ILG917524 IVC917524 JEY917524 JOU917524 JYQ917524 KIM917524 KSI917524 LCE917524 LMA917524 LVW917524 MFS917524 MPO917524 MZK917524 NJG917524 NTC917524 OCY917524 OMU917524 OWQ917524 PGM917524 PQI917524 QAE917524 QKA917524 QTW917524 RDS917524 RNO917524 RXK917524 SHG917524 SRC917524 TAY917524 TKU917524 TUQ917524 UEM917524 UOI917524 UYE917524 VIA917524 VRW917524 WBS917524 WLO917524 WVK917524 C983060 IY983060 SU983060 ACQ983060 AMM983060 AWI983060 BGE983060 BQA983060 BZW983060 CJS983060 CTO983060 DDK983060 DNG983060 DXC983060 EGY983060 EQU983060 FAQ983060 FKM983060 FUI983060 GEE983060 GOA983060 GXW983060 HHS983060 HRO983060 IBK983060 ILG983060 IVC983060 JEY983060 JOU983060 JYQ983060 KIM983060 KSI983060 LCE983060 LMA983060 LVW983060 MFS983060 MPO983060 MZK983060 NJG983060 NTC983060 OCY983060 OMU983060 OWQ983060 PGM983060 PQI983060 QAE983060 QKA983060 QTW983060 RDS983060 RNO983060 RXK983060 SHG983060 SRC983060 TAY983060 TKU983060 TUQ983060 UEM983060 UOI983060 UYE983060 VIA983060 VRW983060 WBS983060 WLO983060 WVK983060" xr:uid="{78DDE109-E4CF-4BE3-B427-BC08489EBE47}">
      <formula1>"SƠ ĐỒ 1,SƠ ĐỒ 2,SƠ ĐỒ 3,SƠ ĐỒ 4,SƠ ĐỒ 5,SƠ ĐỒ 6,SƠ ĐỒ 7,SƠ ĐỒ 8,SƠ ĐỒ 9,SƠ ĐỒ 10,SƠ ĐỒ 11,"</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52B43A3E-5826-4DF8-9CE6-6A4EB7BB5497}">
      <formula1>"AI,AII,AIII1,AIII2,AIV,AV,AVI"</formula1>
    </dataValidation>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7DB10913-C329-47BF-A8AD-00AE170924B6}">
      <mc:AlternateContent xmlns:x12ac="http://schemas.microsoft.com/office/spreadsheetml/2011/1/ac" xmlns:mc="http://schemas.openxmlformats.org/markup-compatibility/2006">
        <mc:Choice Requires="x12ac">
          <x12ac:list>"B12,5(M150)",B15(M200),B20(M250),"B22,5(M300)",B25(M350),B30(M400),B35(M450),B40(M500),B45(M600),B50(M700),B55(M750),B60(M800)</x12ac:list>
        </mc:Choice>
        <mc:Fallback>
          <formula1>"B12,5(M150),B15(M200),B20(M250),B22,5(M300),B25(M350),B30(M400),B35(M450),B40(M500),B45(M600),B50(M700),B55(M750),B60(M800)"</formula1>
        </mc:Fallback>
      </mc:AlternateContent>
    </dataValidation>
  </dataValidations>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Equation.DSMT4" shapeId="27649" r:id="rId4">
          <objectPr defaultSize="0" autoPict="0" r:id="rId5">
            <anchor moveWithCells="1">
              <from>
                <xdr:col>0</xdr:col>
                <xdr:colOff>495300</xdr:colOff>
                <xdr:row>38</xdr:row>
                <xdr:rowOff>85725</xdr:rowOff>
              </from>
              <to>
                <xdr:col>1</xdr:col>
                <xdr:colOff>904875</xdr:colOff>
                <xdr:row>43</xdr:row>
                <xdr:rowOff>123825</xdr:rowOff>
              </to>
            </anchor>
          </objectPr>
        </oleObject>
      </mc:Choice>
      <mc:Fallback>
        <oleObject progId="Equation.DSMT4" shapeId="27649" r:id="rId4"/>
      </mc:Fallback>
    </mc:AlternateContent>
    <mc:AlternateContent xmlns:mc="http://schemas.openxmlformats.org/markup-compatibility/2006">
      <mc:Choice Requires="x14">
        <oleObject progId="Equation.DSMT4" shapeId="27650" r:id="rId6">
          <objectPr defaultSize="0" autoPict="0" r:id="rId7">
            <anchor moveWithCells="1">
              <from>
                <xdr:col>1</xdr:col>
                <xdr:colOff>180975</xdr:colOff>
                <xdr:row>44</xdr:row>
                <xdr:rowOff>152400</xdr:rowOff>
              </from>
              <to>
                <xdr:col>2</xdr:col>
                <xdr:colOff>466725</xdr:colOff>
                <xdr:row>48</xdr:row>
                <xdr:rowOff>38100</xdr:rowOff>
              </to>
            </anchor>
          </objectPr>
        </oleObject>
      </mc:Choice>
      <mc:Fallback>
        <oleObject progId="Equation.DSMT4" shapeId="27650" r:id="rId6"/>
      </mc:Fallback>
    </mc:AlternateContent>
    <mc:AlternateContent xmlns:mc="http://schemas.openxmlformats.org/markup-compatibility/2006">
      <mc:Choice Requires="x14">
        <oleObject progId="Equation.DSMT4" shapeId="27651" r:id="rId8">
          <objectPr defaultSize="0" autoPict="0" r:id="rId9">
            <anchor moveWithCells="1">
              <from>
                <xdr:col>2</xdr:col>
                <xdr:colOff>333375</xdr:colOff>
                <xdr:row>47</xdr:row>
                <xdr:rowOff>200025</xdr:rowOff>
              </from>
              <to>
                <xdr:col>2</xdr:col>
                <xdr:colOff>542925</xdr:colOff>
                <xdr:row>49</xdr:row>
                <xdr:rowOff>76200</xdr:rowOff>
              </to>
            </anchor>
          </objectPr>
        </oleObject>
      </mc:Choice>
      <mc:Fallback>
        <oleObject progId="Equation.DSMT4" shapeId="27651" r:id="rId8"/>
      </mc:Fallback>
    </mc:AlternateContent>
    <mc:AlternateContent xmlns:mc="http://schemas.openxmlformats.org/markup-compatibility/2006">
      <mc:Choice Requires="x14">
        <oleObject progId="Equation.DSMT4" shapeId="27652" r:id="rId10">
          <objectPr defaultSize="0" autoPict="0" r:id="rId11">
            <anchor moveWithCells="1">
              <from>
                <xdr:col>0</xdr:col>
                <xdr:colOff>495300</xdr:colOff>
                <xdr:row>56</xdr:row>
                <xdr:rowOff>85725</xdr:rowOff>
              </from>
              <to>
                <xdr:col>1</xdr:col>
                <xdr:colOff>904875</xdr:colOff>
                <xdr:row>61</xdr:row>
                <xdr:rowOff>123825</xdr:rowOff>
              </to>
            </anchor>
          </objectPr>
        </oleObject>
      </mc:Choice>
      <mc:Fallback>
        <oleObject progId="Equation.DSMT4" shapeId="27652" r:id="rId10"/>
      </mc:Fallback>
    </mc:AlternateContent>
    <mc:AlternateContent xmlns:mc="http://schemas.openxmlformats.org/markup-compatibility/2006">
      <mc:Choice Requires="x14">
        <oleObject progId="Equation.DSMT4" shapeId="27653" r:id="rId12">
          <objectPr defaultSize="0" autoPict="0" r:id="rId7">
            <anchor moveWithCells="1">
              <from>
                <xdr:col>1</xdr:col>
                <xdr:colOff>180975</xdr:colOff>
                <xdr:row>62</xdr:row>
                <xdr:rowOff>152400</xdr:rowOff>
              </from>
              <to>
                <xdr:col>2</xdr:col>
                <xdr:colOff>466725</xdr:colOff>
                <xdr:row>66</xdr:row>
                <xdr:rowOff>38100</xdr:rowOff>
              </to>
            </anchor>
          </objectPr>
        </oleObject>
      </mc:Choice>
      <mc:Fallback>
        <oleObject progId="Equation.DSMT4" shapeId="27653" r:id="rId12"/>
      </mc:Fallback>
    </mc:AlternateContent>
    <mc:AlternateContent xmlns:mc="http://schemas.openxmlformats.org/markup-compatibility/2006">
      <mc:Choice Requires="x14">
        <oleObject progId="Equation.DSMT4" shapeId="27654" r:id="rId13">
          <objectPr defaultSize="0" autoPict="0" r:id="rId14">
            <anchor moveWithCells="1">
              <from>
                <xdr:col>0</xdr:col>
                <xdr:colOff>495300</xdr:colOff>
                <xdr:row>74</xdr:row>
                <xdr:rowOff>85725</xdr:rowOff>
              </from>
              <to>
                <xdr:col>1</xdr:col>
                <xdr:colOff>904875</xdr:colOff>
                <xdr:row>79</xdr:row>
                <xdr:rowOff>123825</xdr:rowOff>
              </to>
            </anchor>
          </objectPr>
        </oleObject>
      </mc:Choice>
      <mc:Fallback>
        <oleObject progId="Equation.DSMT4" shapeId="27654" r:id="rId13"/>
      </mc:Fallback>
    </mc:AlternateContent>
    <mc:AlternateContent xmlns:mc="http://schemas.openxmlformats.org/markup-compatibility/2006">
      <mc:Choice Requires="x14">
        <oleObject progId="Equation.DSMT4" shapeId="27655" r:id="rId15">
          <objectPr defaultSize="0" autoPict="0" r:id="rId7">
            <anchor moveWithCells="1">
              <from>
                <xdr:col>1</xdr:col>
                <xdr:colOff>180975</xdr:colOff>
                <xdr:row>80</xdr:row>
                <xdr:rowOff>152400</xdr:rowOff>
              </from>
              <to>
                <xdr:col>2</xdr:col>
                <xdr:colOff>466725</xdr:colOff>
                <xdr:row>84</xdr:row>
                <xdr:rowOff>38100</xdr:rowOff>
              </to>
            </anchor>
          </objectPr>
        </oleObject>
      </mc:Choice>
      <mc:Fallback>
        <oleObject progId="Equation.DSMT4" shapeId="27655" r:id="rId15"/>
      </mc:Fallback>
    </mc:AlternateContent>
    <mc:AlternateContent xmlns:mc="http://schemas.openxmlformats.org/markup-compatibility/2006">
      <mc:Choice Requires="x14">
        <oleObject progId="Equation.DSMT4" shapeId="27656" r:id="rId16">
          <objectPr defaultSize="0" autoPict="0" r:id="rId17">
            <anchor moveWithCells="1">
              <from>
                <xdr:col>0</xdr:col>
                <xdr:colOff>495300</xdr:colOff>
                <xdr:row>92</xdr:row>
                <xdr:rowOff>85725</xdr:rowOff>
              </from>
              <to>
                <xdr:col>1</xdr:col>
                <xdr:colOff>904875</xdr:colOff>
                <xdr:row>97</xdr:row>
                <xdr:rowOff>123825</xdr:rowOff>
              </to>
            </anchor>
          </objectPr>
        </oleObject>
      </mc:Choice>
      <mc:Fallback>
        <oleObject progId="Equation.DSMT4" shapeId="27656" r:id="rId16"/>
      </mc:Fallback>
    </mc:AlternateContent>
    <mc:AlternateContent xmlns:mc="http://schemas.openxmlformats.org/markup-compatibility/2006">
      <mc:Choice Requires="x14">
        <oleObject progId="Equation.DSMT4" shapeId="27657" r:id="rId18">
          <objectPr defaultSize="0" autoPict="0" r:id="rId7">
            <anchor moveWithCells="1">
              <from>
                <xdr:col>1</xdr:col>
                <xdr:colOff>180975</xdr:colOff>
                <xdr:row>98</xdr:row>
                <xdr:rowOff>152400</xdr:rowOff>
              </from>
              <to>
                <xdr:col>2</xdr:col>
                <xdr:colOff>466725</xdr:colOff>
                <xdr:row>102</xdr:row>
                <xdr:rowOff>38100</xdr:rowOff>
              </to>
            </anchor>
          </objectPr>
        </oleObject>
      </mc:Choice>
      <mc:Fallback>
        <oleObject progId="Equation.DSMT4" shapeId="27657" r:id="rId18"/>
      </mc:Fallback>
    </mc:AlternateContent>
    <mc:AlternateContent xmlns:mc="http://schemas.openxmlformats.org/markup-compatibility/2006">
      <mc:Choice Requires="x14">
        <oleObject progId="Equation.DSMT4" shapeId="27658" r:id="rId19">
          <objectPr defaultSize="0" autoPict="0" r:id="rId20">
            <anchor moveWithCells="1">
              <from>
                <xdr:col>2</xdr:col>
                <xdr:colOff>19050</xdr:colOff>
                <xdr:row>50</xdr:row>
                <xdr:rowOff>66675</xdr:rowOff>
              </from>
              <to>
                <xdr:col>3</xdr:col>
                <xdr:colOff>466725</xdr:colOff>
                <xdr:row>53</xdr:row>
                <xdr:rowOff>76200</xdr:rowOff>
              </to>
            </anchor>
          </objectPr>
        </oleObject>
      </mc:Choice>
      <mc:Fallback>
        <oleObject progId="Equation.DSMT4" shapeId="27658" r:id="rId19"/>
      </mc:Fallback>
    </mc:AlternateContent>
    <mc:AlternateContent xmlns:mc="http://schemas.openxmlformats.org/markup-compatibility/2006">
      <mc:Choice Requires="x14">
        <oleObject progId="Equation.DSMT4" shapeId="27659" r:id="rId21">
          <objectPr defaultSize="0" autoPict="0" r:id="rId9">
            <anchor moveWithCells="1">
              <from>
                <xdr:col>2</xdr:col>
                <xdr:colOff>333375</xdr:colOff>
                <xdr:row>65</xdr:row>
                <xdr:rowOff>200025</xdr:rowOff>
              </from>
              <to>
                <xdr:col>2</xdr:col>
                <xdr:colOff>542925</xdr:colOff>
                <xdr:row>67</xdr:row>
                <xdr:rowOff>76200</xdr:rowOff>
              </to>
            </anchor>
          </objectPr>
        </oleObject>
      </mc:Choice>
      <mc:Fallback>
        <oleObject progId="Equation.DSMT4" shapeId="27659" r:id="rId21"/>
      </mc:Fallback>
    </mc:AlternateContent>
    <mc:AlternateContent xmlns:mc="http://schemas.openxmlformats.org/markup-compatibility/2006">
      <mc:Choice Requires="x14">
        <oleObject progId="Equation.DSMT4" shapeId="27660" r:id="rId22">
          <objectPr defaultSize="0" autoPict="0" r:id="rId20">
            <anchor moveWithCells="1">
              <from>
                <xdr:col>2</xdr:col>
                <xdr:colOff>9525</xdr:colOff>
                <xdr:row>68</xdr:row>
                <xdr:rowOff>76200</xdr:rowOff>
              </from>
              <to>
                <xdr:col>3</xdr:col>
                <xdr:colOff>457200</xdr:colOff>
                <xdr:row>71</xdr:row>
                <xdr:rowOff>85725</xdr:rowOff>
              </to>
            </anchor>
          </objectPr>
        </oleObject>
      </mc:Choice>
      <mc:Fallback>
        <oleObject progId="Equation.DSMT4" shapeId="27660" r:id="rId22"/>
      </mc:Fallback>
    </mc:AlternateContent>
    <mc:AlternateContent xmlns:mc="http://schemas.openxmlformats.org/markup-compatibility/2006">
      <mc:Choice Requires="x14">
        <oleObject progId="Equation.DSMT4" shapeId="27661" r:id="rId23">
          <objectPr defaultSize="0" autoPict="0" r:id="rId9">
            <anchor moveWithCells="1">
              <from>
                <xdr:col>2</xdr:col>
                <xdr:colOff>333375</xdr:colOff>
                <xdr:row>83</xdr:row>
                <xdr:rowOff>200025</xdr:rowOff>
              </from>
              <to>
                <xdr:col>2</xdr:col>
                <xdr:colOff>542925</xdr:colOff>
                <xdr:row>85</xdr:row>
                <xdr:rowOff>76200</xdr:rowOff>
              </to>
            </anchor>
          </objectPr>
        </oleObject>
      </mc:Choice>
      <mc:Fallback>
        <oleObject progId="Equation.DSMT4" shapeId="27661" r:id="rId23"/>
      </mc:Fallback>
    </mc:AlternateContent>
    <mc:AlternateContent xmlns:mc="http://schemas.openxmlformats.org/markup-compatibility/2006">
      <mc:Choice Requires="x14">
        <oleObject progId="Equation.DSMT4" shapeId="27662" r:id="rId24">
          <objectPr defaultSize="0" autoPict="0" r:id="rId20">
            <anchor moveWithCells="1">
              <from>
                <xdr:col>2</xdr:col>
                <xdr:colOff>9525</xdr:colOff>
                <xdr:row>86</xdr:row>
                <xdr:rowOff>76200</xdr:rowOff>
              </from>
              <to>
                <xdr:col>3</xdr:col>
                <xdr:colOff>457200</xdr:colOff>
                <xdr:row>89</xdr:row>
                <xdr:rowOff>85725</xdr:rowOff>
              </to>
            </anchor>
          </objectPr>
        </oleObject>
      </mc:Choice>
      <mc:Fallback>
        <oleObject progId="Equation.DSMT4" shapeId="27662" r:id="rId24"/>
      </mc:Fallback>
    </mc:AlternateContent>
    <mc:AlternateContent xmlns:mc="http://schemas.openxmlformats.org/markup-compatibility/2006">
      <mc:Choice Requires="x14">
        <oleObject progId="Equation.DSMT4" shapeId="27663" r:id="rId25">
          <objectPr defaultSize="0" autoPict="0" r:id="rId9">
            <anchor moveWithCells="1">
              <from>
                <xdr:col>2</xdr:col>
                <xdr:colOff>333375</xdr:colOff>
                <xdr:row>101</xdr:row>
                <xdr:rowOff>200025</xdr:rowOff>
              </from>
              <to>
                <xdr:col>2</xdr:col>
                <xdr:colOff>542925</xdr:colOff>
                <xdr:row>103</xdr:row>
                <xdr:rowOff>76200</xdr:rowOff>
              </to>
            </anchor>
          </objectPr>
        </oleObject>
      </mc:Choice>
      <mc:Fallback>
        <oleObject progId="Equation.DSMT4" shapeId="27663" r:id="rId25"/>
      </mc:Fallback>
    </mc:AlternateContent>
    <mc:AlternateContent xmlns:mc="http://schemas.openxmlformats.org/markup-compatibility/2006">
      <mc:Choice Requires="x14">
        <oleObject progId="Equation.DSMT4" shapeId="27664" r:id="rId26">
          <objectPr defaultSize="0" autoPict="0" r:id="rId20">
            <anchor moveWithCells="1">
              <from>
                <xdr:col>2</xdr:col>
                <xdr:colOff>9525</xdr:colOff>
                <xdr:row>104</xdr:row>
                <xdr:rowOff>76200</xdr:rowOff>
              </from>
              <to>
                <xdr:col>3</xdr:col>
                <xdr:colOff>457200</xdr:colOff>
                <xdr:row>107</xdr:row>
                <xdr:rowOff>85725</xdr:rowOff>
              </to>
            </anchor>
          </objectPr>
        </oleObject>
      </mc:Choice>
      <mc:Fallback>
        <oleObject progId="Equation.DSMT4" shapeId="27664" r:id="rId26"/>
      </mc:Fallback>
    </mc:AlternateContent>
    <mc:AlternateContent xmlns:mc="http://schemas.openxmlformats.org/markup-compatibility/2006">
      <mc:Choice Requires="x14">
        <oleObject progId="Equation.DSMT4" shapeId="27665" r:id="rId27">
          <objectPr defaultSize="0" autoPict="0" r:id="rId28">
            <anchor moveWithCells="1">
              <from>
                <xdr:col>5</xdr:col>
                <xdr:colOff>104775</xdr:colOff>
                <xdr:row>44</xdr:row>
                <xdr:rowOff>133350</xdr:rowOff>
              </from>
              <to>
                <xdr:col>6</xdr:col>
                <xdr:colOff>542925</xdr:colOff>
                <xdr:row>47</xdr:row>
                <xdr:rowOff>142875</xdr:rowOff>
              </to>
            </anchor>
          </objectPr>
        </oleObject>
      </mc:Choice>
      <mc:Fallback>
        <oleObject progId="Equation.DSMT4" shapeId="27665" r:id="rId27"/>
      </mc:Fallback>
    </mc:AlternateContent>
    <mc:AlternateContent xmlns:mc="http://schemas.openxmlformats.org/markup-compatibility/2006">
      <mc:Choice Requires="x14">
        <oleObject progId="Equation.DSMT4" shapeId="27666" r:id="rId29">
          <objectPr defaultSize="0" autoPict="0" r:id="rId28">
            <anchor moveWithCells="1">
              <from>
                <xdr:col>5</xdr:col>
                <xdr:colOff>104775</xdr:colOff>
                <xdr:row>62</xdr:row>
                <xdr:rowOff>133350</xdr:rowOff>
              </from>
              <to>
                <xdr:col>6</xdr:col>
                <xdr:colOff>542925</xdr:colOff>
                <xdr:row>65</xdr:row>
                <xdr:rowOff>142875</xdr:rowOff>
              </to>
            </anchor>
          </objectPr>
        </oleObject>
      </mc:Choice>
      <mc:Fallback>
        <oleObject progId="Equation.DSMT4" shapeId="27666" r:id="rId29"/>
      </mc:Fallback>
    </mc:AlternateContent>
    <mc:AlternateContent xmlns:mc="http://schemas.openxmlformats.org/markup-compatibility/2006">
      <mc:Choice Requires="x14">
        <oleObject progId="Equation.DSMT4" shapeId="27667" r:id="rId30">
          <objectPr defaultSize="0" autoPict="0" r:id="rId28">
            <anchor moveWithCells="1">
              <from>
                <xdr:col>5</xdr:col>
                <xdr:colOff>104775</xdr:colOff>
                <xdr:row>80</xdr:row>
                <xdr:rowOff>133350</xdr:rowOff>
              </from>
              <to>
                <xdr:col>6</xdr:col>
                <xdr:colOff>542925</xdr:colOff>
                <xdr:row>83</xdr:row>
                <xdr:rowOff>142875</xdr:rowOff>
              </to>
            </anchor>
          </objectPr>
        </oleObject>
      </mc:Choice>
      <mc:Fallback>
        <oleObject progId="Equation.DSMT4" shapeId="27667" r:id="rId30"/>
      </mc:Fallback>
    </mc:AlternateContent>
    <mc:AlternateContent xmlns:mc="http://schemas.openxmlformats.org/markup-compatibility/2006">
      <mc:Choice Requires="x14">
        <oleObject progId="Equation.DSMT4" shapeId="27668" r:id="rId31">
          <objectPr defaultSize="0" autoPict="0" r:id="rId28">
            <anchor moveWithCells="1">
              <from>
                <xdr:col>5</xdr:col>
                <xdr:colOff>104775</xdr:colOff>
                <xdr:row>98</xdr:row>
                <xdr:rowOff>133350</xdr:rowOff>
              </from>
              <to>
                <xdr:col>6</xdr:col>
                <xdr:colOff>542925</xdr:colOff>
                <xdr:row>101</xdr:row>
                <xdr:rowOff>142875</xdr:rowOff>
              </to>
            </anchor>
          </objectPr>
        </oleObject>
      </mc:Choice>
      <mc:Fallback>
        <oleObject progId="Equation.DSMT4" shapeId="27668" r:id="rId31"/>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E49D-02AD-4DBC-BA09-51057EF34140}">
  <dimension ref="A1:AH68"/>
  <sheetViews>
    <sheetView topLeftCell="S10" workbookViewId="0">
      <selection activeCell="AE16" sqref="AE16"/>
    </sheetView>
  </sheetViews>
  <sheetFormatPr defaultRowHeight="15"/>
  <cols>
    <col min="2" max="2" width="7.140625" customWidth="1"/>
    <col min="3" max="3" width="6.85546875" customWidth="1"/>
    <col min="4" max="4" width="7.85546875" customWidth="1"/>
    <col min="5" max="5" width="8.42578125" customWidth="1"/>
    <col min="6" max="6" width="4.85546875" customWidth="1"/>
    <col min="7" max="7" width="8.5703125" hidden="1" customWidth="1"/>
    <col min="8" max="8" width="9.140625" hidden="1" customWidth="1"/>
    <col min="9" max="9" width="7.42578125" customWidth="1"/>
    <col min="10" max="10" width="7" customWidth="1"/>
    <col min="11" max="11" width="7.140625" customWidth="1"/>
    <col min="12" max="12" width="5.7109375" customWidth="1"/>
    <col min="13" max="13" width="5.85546875" customWidth="1"/>
    <col min="14" max="14" width="6" customWidth="1"/>
    <col min="15" max="15" width="6.28515625" customWidth="1"/>
    <col min="16" max="16" width="9.140625" customWidth="1"/>
    <col min="17" max="17" width="8.42578125" hidden="1" customWidth="1"/>
    <col min="18" max="18" width="9.140625" hidden="1" customWidth="1"/>
    <col min="24" max="25" width="0" hidden="1" customWidth="1"/>
    <col min="27" max="27" width="13.28515625" style="25" bestFit="1" customWidth="1"/>
    <col min="28" max="28" width="10.5703125" style="6" bestFit="1" customWidth="1"/>
  </cols>
  <sheetData>
    <row r="1" spans="1:28">
      <c r="A1" s="192"/>
      <c r="B1" s="192"/>
      <c r="C1" s="192"/>
      <c r="D1" s="192"/>
      <c r="E1" s="192"/>
      <c r="F1" s="192"/>
      <c r="G1" s="192"/>
      <c r="H1" s="192"/>
      <c r="I1" s="202"/>
      <c r="J1" s="192"/>
      <c r="K1" s="192"/>
      <c r="L1" s="192"/>
      <c r="M1" s="192"/>
      <c r="N1" s="192"/>
      <c r="O1" s="203"/>
      <c r="P1" s="192"/>
      <c r="Q1" s="204"/>
      <c r="R1" s="192"/>
    </row>
    <row r="2" spans="1:28">
      <c r="A2" s="192"/>
      <c r="B2" s="192"/>
      <c r="C2" s="192"/>
      <c r="D2" s="192"/>
      <c r="E2" s="192"/>
      <c r="F2" s="192"/>
      <c r="G2" s="192"/>
      <c r="H2" s="192"/>
      <c r="I2" s="202"/>
      <c r="J2" s="192"/>
      <c r="K2" s="192"/>
      <c r="L2" s="192"/>
      <c r="M2" s="192"/>
      <c r="N2" s="192"/>
      <c r="O2" s="203"/>
      <c r="P2" s="192"/>
      <c r="Q2" s="204"/>
      <c r="R2" s="192"/>
    </row>
    <row r="3" spans="1:28" ht="18.75">
      <c r="A3" s="185"/>
      <c r="B3" s="224"/>
      <c r="C3" s="224"/>
      <c r="D3" s="225" t="s">
        <v>232</v>
      </c>
      <c r="E3" s="224"/>
      <c r="F3" s="224"/>
      <c r="G3" s="224"/>
      <c r="H3" s="224"/>
      <c r="I3" s="226"/>
      <c r="J3" s="224"/>
      <c r="K3" s="224"/>
      <c r="L3" s="224"/>
      <c r="M3" s="227"/>
      <c r="N3" s="224"/>
      <c r="O3" s="227"/>
      <c r="P3" s="227"/>
      <c r="Q3" s="184"/>
      <c r="R3" s="185"/>
    </row>
    <row r="4" spans="1:28" ht="18.75">
      <c r="A4" s="185"/>
      <c r="B4" s="228" t="s">
        <v>233</v>
      </c>
      <c r="C4" s="229" t="s">
        <v>234</v>
      </c>
      <c r="D4" s="230"/>
      <c r="E4" s="231"/>
      <c r="F4" s="232"/>
      <c r="G4" s="232"/>
      <c r="H4" s="232"/>
      <c r="I4" s="233"/>
      <c r="J4" s="232"/>
      <c r="K4" s="234"/>
      <c r="L4" s="232"/>
      <c r="M4" s="234"/>
      <c r="N4" s="232"/>
      <c r="O4" s="227"/>
      <c r="P4" s="227"/>
      <c r="Q4" s="196"/>
      <c r="R4" s="186"/>
    </row>
    <row r="5" spans="1:28" ht="18.75">
      <c r="A5" s="185"/>
      <c r="B5" s="232"/>
      <c r="C5" s="229" t="s">
        <v>235</v>
      </c>
      <c r="D5" s="229"/>
      <c r="E5" s="231"/>
      <c r="F5" s="232"/>
      <c r="G5" s="232"/>
      <c r="H5" s="232"/>
      <c r="I5" s="233"/>
      <c r="J5" s="232"/>
      <c r="K5" s="232"/>
      <c r="L5" s="232"/>
      <c r="M5" s="234"/>
      <c r="N5" s="232"/>
      <c r="O5" s="227"/>
      <c r="P5" s="227"/>
      <c r="Q5" s="196"/>
      <c r="R5" s="186"/>
    </row>
    <row r="6" spans="1:28" ht="18.75">
      <c r="A6" s="185"/>
      <c r="B6" s="234"/>
      <c r="C6" s="235" t="s">
        <v>236</v>
      </c>
      <c r="D6" s="229"/>
      <c r="E6" s="231"/>
      <c r="F6" s="236">
        <v>25</v>
      </c>
      <c r="G6" s="237" t="s">
        <v>237</v>
      </c>
      <c r="H6" s="238">
        <f>IF(F6=12.5,7.5,IF(F6=15,8.5,IF(F6=20,11.5,IF(F6=25,14.5,"!!!"))))</f>
        <v>14.5</v>
      </c>
      <c r="I6" s="239" t="s">
        <v>238</v>
      </c>
      <c r="J6" s="234"/>
      <c r="K6" s="234"/>
      <c r="L6" s="234"/>
      <c r="M6" s="234"/>
      <c r="N6" s="232"/>
      <c r="O6" s="227"/>
      <c r="P6" s="227"/>
      <c r="Q6" s="196"/>
      <c r="R6" s="186"/>
    </row>
    <row r="7" spans="1:28" ht="15.75">
      <c r="A7" s="185"/>
      <c r="B7" s="234"/>
      <c r="C7" s="229" t="s">
        <v>239</v>
      </c>
      <c r="D7" s="229"/>
      <c r="E7" s="234"/>
      <c r="F7" s="240"/>
      <c r="G7" s="237"/>
      <c r="H7" s="239"/>
      <c r="I7" s="239"/>
      <c r="J7" s="234"/>
      <c r="K7" s="234"/>
      <c r="L7" s="234"/>
      <c r="M7" s="234"/>
      <c r="N7" s="234"/>
      <c r="O7" s="227"/>
      <c r="P7" s="227"/>
      <c r="Q7" s="196"/>
      <c r="R7" s="187"/>
    </row>
    <row r="8" spans="1:28" ht="18.75">
      <c r="A8" s="185"/>
      <c r="B8" s="548" t="s">
        <v>240</v>
      </c>
      <c r="C8" s="548" t="s">
        <v>241</v>
      </c>
      <c r="D8" s="549" t="s">
        <v>242</v>
      </c>
      <c r="E8" s="548" t="s">
        <v>243</v>
      </c>
      <c r="F8" s="549" t="s">
        <v>244</v>
      </c>
      <c r="G8" s="548" t="s">
        <v>245</v>
      </c>
      <c r="H8" s="548" t="s">
        <v>246</v>
      </c>
      <c r="I8" s="550" t="s">
        <v>247</v>
      </c>
      <c r="J8" s="550" t="s">
        <v>248</v>
      </c>
      <c r="K8" s="549" t="s">
        <v>249</v>
      </c>
      <c r="L8" s="551" t="s">
        <v>250</v>
      </c>
      <c r="M8" s="552"/>
      <c r="N8" s="552" t="s">
        <v>249</v>
      </c>
      <c r="O8" s="550" t="s">
        <v>251</v>
      </c>
      <c r="P8" s="553" t="s">
        <v>252</v>
      </c>
      <c r="Q8" s="197" t="s">
        <v>253</v>
      </c>
      <c r="R8" s="198" t="s">
        <v>251</v>
      </c>
    </row>
    <row r="9" spans="1:28" ht="18.75">
      <c r="A9" s="185"/>
      <c r="B9" s="554" t="s">
        <v>254</v>
      </c>
      <c r="C9" s="554"/>
      <c r="D9" s="555" t="s">
        <v>924</v>
      </c>
      <c r="E9" s="556" t="s">
        <v>58</v>
      </c>
      <c r="F9" s="556" t="s">
        <v>58</v>
      </c>
      <c r="G9" s="556" t="s">
        <v>923</v>
      </c>
      <c r="H9" s="556" t="s">
        <v>923</v>
      </c>
      <c r="I9" s="554"/>
      <c r="J9" s="554"/>
      <c r="K9" s="555" t="s">
        <v>255</v>
      </c>
      <c r="L9" s="557" t="s">
        <v>256</v>
      </c>
      <c r="M9" s="558" t="s">
        <v>257</v>
      </c>
      <c r="N9" s="559" t="s">
        <v>258</v>
      </c>
      <c r="O9" s="554"/>
      <c r="P9" s="560" t="s">
        <v>259</v>
      </c>
      <c r="Q9" s="199" t="s">
        <v>258</v>
      </c>
      <c r="R9" s="191"/>
    </row>
    <row r="10" spans="1:28" ht="15.75">
      <c r="A10" s="185"/>
      <c r="B10" s="561">
        <v>1</v>
      </c>
      <c r="C10" s="562">
        <v>2</v>
      </c>
      <c r="D10" s="562">
        <v>3</v>
      </c>
      <c r="E10" s="562">
        <v>4</v>
      </c>
      <c r="F10" s="562">
        <v>5</v>
      </c>
      <c r="G10" s="562">
        <v>6</v>
      </c>
      <c r="H10" s="562">
        <v>7</v>
      </c>
      <c r="I10" s="562">
        <v>8</v>
      </c>
      <c r="J10" s="562">
        <v>9</v>
      </c>
      <c r="K10" s="562">
        <v>10</v>
      </c>
      <c r="L10" s="562">
        <v>11</v>
      </c>
      <c r="M10" s="562">
        <v>12</v>
      </c>
      <c r="N10" s="563">
        <v>13</v>
      </c>
      <c r="O10" s="563">
        <v>14</v>
      </c>
      <c r="P10" s="564">
        <v>11</v>
      </c>
      <c r="Q10" s="190">
        <v>12</v>
      </c>
      <c r="R10" s="190">
        <v>13</v>
      </c>
      <c r="V10" t="s">
        <v>970</v>
      </c>
      <c r="W10" t="s">
        <v>971</v>
      </c>
      <c r="Z10" t="s">
        <v>972</v>
      </c>
      <c r="AA10" s="25" t="s">
        <v>973</v>
      </c>
      <c r="AB10" s="6" t="s">
        <v>974</v>
      </c>
    </row>
    <row r="11" spans="1:28" s="212" customFormat="1" ht="15.75">
      <c r="A11" s="211"/>
      <c r="B11" s="213" t="s">
        <v>201</v>
      </c>
      <c r="C11" s="214" t="s">
        <v>453</v>
      </c>
      <c r="D11" s="517">
        <f t="array" ref="D11">VLOOKUP(B11&amp;C11,CHOOSE({1,2},(momensan!$C$12:$C$47)&amp;(momensan!$D$12:$D$47),momensan!$L$12:$L$47),2,0)</f>
        <v>0.66393600000000019</v>
      </c>
      <c r="E11" s="513">
        <f>TH!$I$45/10/100</f>
        <v>0.08</v>
      </c>
      <c r="F11" s="216">
        <v>1</v>
      </c>
      <c r="G11" s="460">
        <f>$H$6*100</f>
        <v>1450</v>
      </c>
      <c r="H11" s="215">
        <f t="shared" ref="H11:H46" si="0">Rs_2</f>
        <v>28000</v>
      </c>
      <c r="I11" s="218">
        <f>+D11/(G11*10*F11*E11*E11)*10</f>
        <v>7.1544827586206922E-2</v>
      </c>
      <c r="J11" s="219">
        <f t="shared" ref="J11:J21" si="1">0.5*(1+SQRT(1-2*I11))</f>
        <v>0.96284726012681165</v>
      </c>
      <c r="K11" s="220">
        <f>+D11/(H11*10*J11*E11)*100000</f>
        <v>3.0783698752070272</v>
      </c>
      <c r="L11" s="217">
        <v>10</v>
      </c>
      <c r="M11" s="217">
        <v>150</v>
      </c>
      <c r="N11" s="220">
        <f t="shared" ref="N11:N46" si="2">IF(L11=6,0.283*1000/M11,IF(L11=8,0.503*1000/M11,IF(L11=10,0.785*1000/M11,IF(L11=12,1.131*1000/M11,1.539*1000/M11))))</f>
        <v>5.2333333333333334</v>
      </c>
      <c r="O11" s="221">
        <v>0.16647058823529412</v>
      </c>
      <c r="P11" s="565" t="str">
        <f t="shared" ref="P11:P46" si="3">"Ø"&amp;L11&amp;"a"&amp;M11</f>
        <v>Ø10a150</v>
      </c>
      <c r="Q11" s="200">
        <f>VLOOKUP(P11,'tra thep'!$E$11:$F$62,2,)</f>
        <v>5.23</v>
      </c>
      <c r="R11" s="193">
        <f t="shared" ref="R11:R46" si="4">M11/E11</f>
        <v>1875</v>
      </c>
      <c r="S11" s="212" t="str">
        <f>IF(N11&lt;K11,"False","")</f>
        <v/>
      </c>
      <c r="U11" s="781" t="s">
        <v>966</v>
      </c>
      <c r="V11" s="212">
        <v>12</v>
      </c>
      <c r="W11" s="212">
        <f>1550+100</f>
        <v>1650</v>
      </c>
      <c r="X11" s="212">
        <v>2</v>
      </c>
      <c r="Y11" s="212">
        <v>8000</v>
      </c>
      <c r="Z11" s="212">
        <f>ROUNDUP(Y11/150+1,0)</f>
        <v>55</v>
      </c>
      <c r="AA11" s="784">
        <f>Z11*W11/1000</f>
        <v>90.75</v>
      </c>
      <c r="AB11" s="783">
        <f>ROUND(AA11*(V11/1000)^2*PI()*7850,2)</f>
        <v>322.27999999999997</v>
      </c>
    </row>
    <row r="12" spans="1:28" s="212" customFormat="1" ht="15.75">
      <c r="A12" s="211"/>
      <c r="B12" s="222" t="str">
        <f>B11</f>
        <v>S1A</v>
      </c>
      <c r="C12" s="214" t="s">
        <v>454</v>
      </c>
      <c r="D12" s="517">
        <f t="array" ref="D12">VLOOKUP(B12&amp;C12,CHOOSE({1,2},(momensan!$C$12:$C$47)&amp;(momensan!$D$12:$D$47),momensan!$L$12:$L$47),2,0)</f>
        <v>0.29685600000000006</v>
      </c>
      <c r="E12" s="513">
        <f>(TH!$I$45/10-(L12+L11)/2/10)/100</f>
        <v>7.0000000000000007E-2</v>
      </c>
      <c r="F12" s="216">
        <v>1</v>
      </c>
      <c r="G12" s="460">
        <f t="shared" ref="G12:G46" si="5">$H$6*100</f>
        <v>1450</v>
      </c>
      <c r="H12" s="215">
        <f t="shared" si="0"/>
        <v>28000</v>
      </c>
      <c r="I12" s="218">
        <f t="shared" ref="I12:I46" si="6">+D12/(G12*10*F12*E12*E12)*10</f>
        <v>4.178128078817734E-2</v>
      </c>
      <c r="J12" s="219">
        <f t="shared" si="1"/>
        <v>0.97865369486290543</v>
      </c>
      <c r="K12" s="220">
        <f t="shared" ref="K12:K46" si="7">+D12/(H12*10*J12*E12)*100000</f>
        <v>1.5476071224393604</v>
      </c>
      <c r="L12" s="217">
        <v>10</v>
      </c>
      <c r="M12" s="217">
        <v>150</v>
      </c>
      <c r="N12" s="220">
        <f t="shared" si="2"/>
        <v>5.2333333333333334</v>
      </c>
      <c r="O12" s="221">
        <v>0.17911392405063289</v>
      </c>
      <c r="P12" s="565" t="str">
        <f t="shared" si="3"/>
        <v>Ø10a150</v>
      </c>
      <c r="Q12" s="200">
        <f>VLOOKUP(P12,'tra thep'!$E$11:$F$62,2,)</f>
        <v>5.23</v>
      </c>
      <c r="R12" s="193">
        <f t="shared" si="4"/>
        <v>2142.8571428571427</v>
      </c>
      <c r="S12" s="212" t="str">
        <f t="shared" ref="S12:S46" si="8">IF(N12&lt;K12,"False","")</f>
        <v/>
      </c>
      <c r="U12" s="781" t="s">
        <v>967</v>
      </c>
      <c r="V12" s="212">
        <v>12</v>
      </c>
      <c r="W12" s="212">
        <f>1550+800+100</f>
        <v>2450</v>
      </c>
      <c r="X12" s="212">
        <v>2</v>
      </c>
      <c r="Y12" s="212">
        <v>8000</v>
      </c>
      <c r="Z12" s="212">
        <f t="shared" ref="Z12:Z43" si="9">ROUNDUP(Y12/150+1,0)</f>
        <v>55</v>
      </c>
      <c r="AA12" s="784">
        <f t="shared" ref="AA12:AA28" si="10">Z12*W12/1000</f>
        <v>134.75</v>
      </c>
      <c r="AB12" s="783">
        <f t="shared" ref="AB12:AB28" si="11">ROUND(AA12*(V12/1000)^2*PI()*7850,2)</f>
        <v>478.53</v>
      </c>
    </row>
    <row r="13" spans="1:28" s="212" customFormat="1" ht="15.75">
      <c r="A13" s="211"/>
      <c r="B13" s="222" t="str">
        <f>B11</f>
        <v>S1A</v>
      </c>
      <c r="C13" s="214" t="s">
        <v>455</v>
      </c>
      <c r="D13" s="517">
        <f t="array" ref="D13">VLOOKUP(B13&amp;C13,CHOOSE({1,2},(momensan!$C$12:$C$47)&amp;(momensan!$D$12:$D$47),momensan!$L$12:$L$47),2,0)</f>
        <v>1.4810880000000004</v>
      </c>
      <c r="E13" s="513">
        <f>TH!$I$45/10/100</f>
        <v>0.08</v>
      </c>
      <c r="F13" s="216">
        <v>1</v>
      </c>
      <c r="G13" s="460">
        <f t="shared" si="5"/>
        <v>1450</v>
      </c>
      <c r="H13" s="215">
        <f t="shared" si="0"/>
        <v>28000</v>
      </c>
      <c r="I13" s="218">
        <f t="shared" si="6"/>
        <v>0.15960000000000005</v>
      </c>
      <c r="J13" s="219">
        <f t="shared" si="1"/>
        <v>0.91255302689472528</v>
      </c>
      <c r="K13" s="220">
        <f t="shared" si="7"/>
        <v>7.245606343008471</v>
      </c>
      <c r="L13" s="217">
        <v>12</v>
      </c>
      <c r="M13" s="217">
        <v>150</v>
      </c>
      <c r="N13" s="220">
        <f t="shared" si="2"/>
        <v>7.54</v>
      </c>
      <c r="O13" s="221">
        <v>0.39450980392156865</v>
      </c>
      <c r="P13" s="565" t="str">
        <f t="shared" si="3"/>
        <v>Ø12a150</v>
      </c>
      <c r="Q13" s="200">
        <f>VLOOKUP(P13,'tra thep'!$E$11:$F$62,2,)</f>
        <v>7.54</v>
      </c>
      <c r="R13" s="193">
        <f t="shared" si="4"/>
        <v>1875</v>
      </c>
      <c r="S13" s="212" t="str">
        <f t="shared" si="8"/>
        <v/>
      </c>
      <c r="U13" s="781" t="s">
        <v>968</v>
      </c>
      <c r="V13" s="212">
        <v>12</v>
      </c>
      <c r="W13" s="212">
        <f>1062+100</f>
        <v>1162</v>
      </c>
      <c r="X13" s="212">
        <v>2</v>
      </c>
      <c r="Y13" s="212">
        <v>12000</v>
      </c>
      <c r="Z13" s="212">
        <f t="shared" si="9"/>
        <v>81</v>
      </c>
      <c r="AA13" s="784">
        <f t="shared" si="10"/>
        <v>94.122</v>
      </c>
      <c r="AB13" s="783">
        <f t="shared" si="11"/>
        <v>334.25</v>
      </c>
    </row>
    <row r="14" spans="1:28" s="212" customFormat="1" ht="15.75">
      <c r="A14" s="211"/>
      <c r="B14" s="223" t="str">
        <f>B11</f>
        <v>S1A</v>
      </c>
      <c r="C14" s="214" t="s">
        <v>456</v>
      </c>
      <c r="D14" s="517">
        <f t="array" ref="D14">VLOOKUP(B14&amp;C14,CHOOSE({1,2},(momensan!$C$12:$C$47)&amp;(momensan!$D$12:$D$47),momensan!$L$12:$L$47),2,0)</f>
        <v>0.65755200000000014</v>
      </c>
      <c r="E14" s="513">
        <f>TH!$I$45/10/100</f>
        <v>0.08</v>
      </c>
      <c r="F14" s="216">
        <v>1</v>
      </c>
      <c r="G14" s="460">
        <f t="shared" si="5"/>
        <v>1450</v>
      </c>
      <c r="H14" s="215">
        <f t="shared" si="0"/>
        <v>28000</v>
      </c>
      <c r="I14" s="218">
        <f t="shared" si="6"/>
        <v>7.0856896551724155E-2</v>
      </c>
      <c r="J14" s="219">
        <f t="shared" si="1"/>
        <v>0.96321868671734079</v>
      </c>
      <c r="K14" s="220">
        <f t="shared" si="7"/>
        <v>3.0475945291346194</v>
      </c>
      <c r="L14" s="217">
        <v>10</v>
      </c>
      <c r="M14" s="217">
        <v>150</v>
      </c>
      <c r="N14" s="220">
        <f t="shared" si="2"/>
        <v>5.2333333333333334</v>
      </c>
      <c r="O14" s="221">
        <v>0.16647058823529412</v>
      </c>
      <c r="P14" s="565" t="str">
        <f t="shared" si="3"/>
        <v>Ø10a150</v>
      </c>
      <c r="Q14" s="200">
        <f>VLOOKUP(P14,'tra thep'!$E$11:$F$62,2,)</f>
        <v>5.23</v>
      </c>
      <c r="R14" s="193">
        <f t="shared" si="4"/>
        <v>1875</v>
      </c>
      <c r="S14" s="212" t="str">
        <f t="shared" si="8"/>
        <v/>
      </c>
      <c r="U14" s="781" t="s">
        <v>969</v>
      </c>
      <c r="V14" s="212">
        <v>12</v>
      </c>
      <c r="W14" s="212">
        <f>3050+1050+100</f>
        <v>4200</v>
      </c>
      <c r="X14" s="212">
        <v>2</v>
      </c>
      <c r="Y14" s="212">
        <v>12000</v>
      </c>
      <c r="Z14" s="212">
        <f>ROUNDUP(Y14/150+1,0)</f>
        <v>81</v>
      </c>
      <c r="AA14" s="784">
        <f>Z14*W14/1000</f>
        <v>340.2</v>
      </c>
      <c r="AB14" s="783">
        <f>ROUND(AA14*(V14/1000)^2*PI()*7850,2)</f>
        <v>1208.1400000000001</v>
      </c>
    </row>
    <row r="15" spans="1:28" ht="15.75">
      <c r="A15" s="185"/>
      <c r="B15" s="213" t="s">
        <v>204</v>
      </c>
      <c r="C15" s="214" t="s">
        <v>453</v>
      </c>
      <c r="D15" s="517">
        <f t="array" ref="D15">VLOOKUP(B15&amp;C15,CHOOSE({1,2},(momensan!$C$12:$C$47)&amp;(momensan!$D$12:$D$47),momensan!$L$12:$L$47),2,0)</f>
        <v>0.65694720000000006</v>
      </c>
      <c r="E15" s="513">
        <f>TH!$I$45/10/100</f>
        <v>0.08</v>
      </c>
      <c r="F15" s="216">
        <v>1</v>
      </c>
      <c r="G15" s="460">
        <f t="shared" si="5"/>
        <v>1450</v>
      </c>
      <c r="H15" s="215">
        <f t="shared" si="0"/>
        <v>28000</v>
      </c>
      <c r="I15" s="218">
        <f t="shared" si="6"/>
        <v>7.0791724137931042E-2</v>
      </c>
      <c r="J15" s="219">
        <f t="shared" si="1"/>
        <v>0.96325385905681826</v>
      </c>
      <c r="K15" s="220">
        <f t="shared" si="7"/>
        <v>3.0446802495779122</v>
      </c>
      <c r="L15" s="217">
        <v>10</v>
      </c>
      <c r="M15" s="217">
        <v>150</v>
      </c>
      <c r="N15" s="220">
        <f t="shared" si="2"/>
        <v>5.2333333333333334</v>
      </c>
      <c r="O15" s="221">
        <v>0.16647058823529412</v>
      </c>
      <c r="P15" s="565" t="str">
        <f t="shared" si="3"/>
        <v>Ø10a150</v>
      </c>
      <c r="Q15" s="200">
        <f>VLOOKUP(P15,'tra thep'!$E$11:$F$62,2,)</f>
        <v>5.23</v>
      </c>
      <c r="R15" s="193">
        <f t="shared" si="4"/>
        <v>1875</v>
      </c>
      <c r="S15" s="212" t="str">
        <f t="shared" si="8"/>
        <v/>
      </c>
      <c r="U15" s="397">
        <v>1</v>
      </c>
      <c r="V15" s="212">
        <v>10</v>
      </c>
      <c r="W15" s="212">
        <f>1550+100</f>
        <v>1650</v>
      </c>
      <c r="X15">
        <f>3*2</f>
        <v>6</v>
      </c>
      <c r="Y15">
        <v>28000</v>
      </c>
      <c r="Z15" s="212">
        <f t="shared" si="9"/>
        <v>188</v>
      </c>
      <c r="AA15" s="784">
        <f t="shared" si="10"/>
        <v>310.2</v>
      </c>
      <c r="AB15" s="783">
        <f t="shared" si="11"/>
        <v>765</v>
      </c>
    </row>
    <row r="16" spans="1:28" ht="15.75">
      <c r="A16" s="185"/>
      <c r="B16" s="222" t="str">
        <f>B15</f>
        <v>S1B</v>
      </c>
      <c r="C16" s="214" t="s">
        <v>454</v>
      </c>
      <c r="D16" s="517">
        <f t="array" ref="D16">VLOOKUP(B16&amp;C16,CHOOSE({1,2},(momensan!$C$12:$C$47)&amp;(momensan!$D$12:$D$47),momensan!$L$12:$L$47),2,0)</f>
        <v>0.29373120000000003</v>
      </c>
      <c r="E16" s="513">
        <f>(TH!$I$45/10-(L16+L15)/2/10)/100</f>
        <v>7.0000000000000007E-2</v>
      </c>
      <c r="F16" s="216">
        <v>1</v>
      </c>
      <c r="G16" s="460">
        <f t="shared" si="5"/>
        <v>1450</v>
      </c>
      <c r="H16" s="215">
        <f t="shared" si="0"/>
        <v>28000</v>
      </c>
      <c r="I16" s="218">
        <f t="shared" si="6"/>
        <v>4.1341477832512318E-2</v>
      </c>
      <c r="J16" s="219">
        <f t="shared" si="1"/>
        <v>0.97888334809611388</v>
      </c>
      <c r="K16" s="220">
        <f t="shared" si="7"/>
        <v>1.530957263031739</v>
      </c>
      <c r="L16" s="217">
        <v>10</v>
      </c>
      <c r="M16" s="217">
        <v>150</v>
      </c>
      <c r="N16" s="220">
        <f t="shared" si="2"/>
        <v>5.2333333333333334</v>
      </c>
      <c r="O16" s="221">
        <v>0.17911392405063289</v>
      </c>
      <c r="P16" s="565" t="str">
        <f t="shared" si="3"/>
        <v>Ø10a150</v>
      </c>
      <c r="Q16" s="200">
        <f>VLOOKUP(P16,'tra thep'!$E$11:$F$62,2,)</f>
        <v>5.23</v>
      </c>
      <c r="R16" s="193">
        <f t="shared" si="4"/>
        <v>2142.8571428571427</v>
      </c>
      <c r="S16" s="212" t="str">
        <f t="shared" si="8"/>
        <v/>
      </c>
      <c r="U16" s="397">
        <v>2</v>
      </c>
      <c r="V16" s="212">
        <v>10</v>
      </c>
      <c r="W16" s="212">
        <f>1550+800+100</f>
        <v>2450</v>
      </c>
      <c r="X16">
        <f>6*2</f>
        <v>12</v>
      </c>
      <c r="Y16">
        <f>4000*6</f>
        <v>24000</v>
      </c>
      <c r="Z16" s="212">
        <f t="shared" si="9"/>
        <v>161</v>
      </c>
      <c r="AA16" s="784">
        <f t="shared" si="10"/>
        <v>394.45</v>
      </c>
      <c r="AB16" s="783">
        <f t="shared" si="11"/>
        <v>972.77</v>
      </c>
    </row>
    <row r="17" spans="1:34" ht="15.75">
      <c r="A17" s="185"/>
      <c r="B17" s="222" t="str">
        <f>B15</f>
        <v>S1B</v>
      </c>
      <c r="C17" s="214" t="s">
        <v>455</v>
      </c>
      <c r="D17" s="517">
        <f t="array" ref="D17">VLOOKUP(B17&amp;C17,CHOOSE({1,2},(momensan!$C$12:$C$47)&amp;(momensan!$D$12:$D$47),momensan!$L$12:$L$47),2,0)</f>
        <v>1.4654976</v>
      </c>
      <c r="E17" s="513">
        <f>TH!$I$45/10/100</f>
        <v>0.08</v>
      </c>
      <c r="F17" s="216">
        <v>1</v>
      </c>
      <c r="G17" s="460">
        <f t="shared" si="5"/>
        <v>1450</v>
      </c>
      <c r="H17" s="215">
        <f t="shared" si="0"/>
        <v>28000</v>
      </c>
      <c r="I17" s="218">
        <f t="shared" si="6"/>
        <v>0.15792</v>
      </c>
      <c r="J17" s="219">
        <f t="shared" si="1"/>
        <v>0.91356982481801063</v>
      </c>
      <c r="K17" s="220">
        <f t="shared" si="7"/>
        <v>7.1613573722219765</v>
      </c>
      <c r="L17" s="217">
        <v>12</v>
      </c>
      <c r="M17" s="217">
        <v>150</v>
      </c>
      <c r="N17" s="220">
        <f t="shared" si="2"/>
        <v>7.54</v>
      </c>
      <c r="O17" s="221">
        <v>0.39450980392156865</v>
      </c>
      <c r="P17" s="565" t="str">
        <f t="shared" si="3"/>
        <v>Ø12a150</v>
      </c>
      <c r="Q17" s="200">
        <f>VLOOKUP(P17,'tra thep'!$E$11:$F$62,2,)</f>
        <v>7.54</v>
      </c>
      <c r="R17" s="193">
        <f t="shared" si="4"/>
        <v>1875</v>
      </c>
      <c r="S17" s="212" t="str">
        <f t="shared" si="8"/>
        <v/>
      </c>
      <c r="U17" s="397">
        <v>3</v>
      </c>
      <c r="V17" s="212">
        <v>10</v>
      </c>
      <c r="W17" s="212">
        <f>1062+100</f>
        <v>1162</v>
      </c>
      <c r="X17">
        <f>5*2</f>
        <v>10</v>
      </c>
      <c r="Y17">
        <f>17000+6000*2</f>
        <v>29000</v>
      </c>
      <c r="Z17" s="212">
        <f t="shared" si="9"/>
        <v>195</v>
      </c>
      <c r="AA17" s="784">
        <f t="shared" si="10"/>
        <v>226.59</v>
      </c>
      <c r="AB17" s="783">
        <f t="shared" si="11"/>
        <v>558.79999999999995</v>
      </c>
    </row>
    <row r="18" spans="1:34" ht="15.75">
      <c r="A18" s="185"/>
      <c r="B18" s="223" t="str">
        <f>B15</f>
        <v>S1B</v>
      </c>
      <c r="C18" s="214" t="s">
        <v>456</v>
      </c>
      <c r="D18" s="517">
        <f t="array" ref="D18">VLOOKUP(B18&amp;C18,CHOOSE({1,2},(momensan!$C$12:$C$47)&amp;(momensan!$D$12:$D$47),momensan!$L$12:$L$47),2,0)</f>
        <v>0.65063040000000005</v>
      </c>
      <c r="E18" s="513">
        <f>TH!$I$45/10/100</f>
        <v>0.08</v>
      </c>
      <c r="F18" s="216">
        <v>1</v>
      </c>
      <c r="G18" s="460">
        <f t="shared" si="5"/>
        <v>1450</v>
      </c>
      <c r="H18" s="215">
        <f t="shared" si="0"/>
        <v>28000</v>
      </c>
      <c r="I18" s="218">
        <f t="shared" si="6"/>
        <v>7.0111034482758627E-2</v>
      </c>
      <c r="J18" s="219">
        <f t="shared" si="1"/>
        <v>0.96362105512866936</v>
      </c>
      <c r="K18" s="220">
        <f t="shared" si="7"/>
        <v>3.014255432195966</v>
      </c>
      <c r="L18" s="217">
        <v>10</v>
      </c>
      <c r="M18" s="217">
        <v>150</v>
      </c>
      <c r="N18" s="220">
        <f t="shared" si="2"/>
        <v>5.2333333333333334</v>
      </c>
      <c r="O18" s="221">
        <v>0.16647058823529412</v>
      </c>
      <c r="P18" s="565" t="str">
        <f t="shared" si="3"/>
        <v>Ø10a150</v>
      </c>
      <c r="Q18" s="200">
        <f>VLOOKUP(P18,'tra thep'!$E$11:$F$62,2,)</f>
        <v>5.23</v>
      </c>
      <c r="R18" s="193">
        <f t="shared" si="4"/>
        <v>1875</v>
      </c>
      <c r="S18" s="212" t="str">
        <f t="shared" si="8"/>
        <v/>
      </c>
      <c r="U18" s="397">
        <v>4</v>
      </c>
      <c r="V18" s="212">
        <v>10</v>
      </c>
      <c r="W18" s="212">
        <f>3050+1050+100</f>
        <v>4200</v>
      </c>
      <c r="X18">
        <v>4</v>
      </c>
      <c r="Y18">
        <v>17000</v>
      </c>
      <c r="Z18" s="212">
        <f t="shared" si="9"/>
        <v>115</v>
      </c>
      <c r="AA18" s="784">
        <f t="shared" si="10"/>
        <v>483</v>
      </c>
      <c r="AB18" s="783">
        <f t="shared" si="11"/>
        <v>1191.1500000000001</v>
      </c>
    </row>
    <row r="19" spans="1:34" ht="15.75">
      <c r="A19" s="185"/>
      <c r="B19" s="213" t="s">
        <v>105</v>
      </c>
      <c r="C19" s="214" t="s">
        <v>453</v>
      </c>
      <c r="D19" s="517">
        <f t="array" ref="D19">VLOOKUP(B19&amp;C19,CHOOSE({1,2},(momensan!$C$12:$C$47)&amp;(momensan!$D$12:$D$47),momensan!$L$12:$L$47),2,0)</f>
        <v>0.47723519999999997</v>
      </c>
      <c r="E19" s="513">
        <f>TH!$I$45/10/100</f>
        <v>0.08</v>
      </c>
      <c r="F19" s="216">
        <v>1</v>
      </c>
      <c r="G19" s="460">
        <f t="shared" si="5"/>
        <v>1450</v>
      </c>
      <c r="H19" s="215">
        <f t="shared" si="0"/>
        <v>28000</v>
      </c>
      <c r="I19" s="218">
        <f t="shared" si="6"/>
        <v>5.1426206896551724E-2</v>
      </c>
      <c r="J19" s="219">
        <f t="shared" si="1"/>
        <v>0.97358937546330582</v>
      </c>
      <c r="K19" s="220">
        <f t="shared" si="7"/>
        <v>2.1883088901832246</v>
      </c>
      <c r="L19" s="217">
        <v>10</v>
      </c>
      <c r="M19" s="217">
        <v>150</v>
      </c>
      <c r="N19" s="220">
        <f t="shared" si="2"/>
        <v>5.2333333333333334</v>
      </c>
      <c r="O19" s="221">
        <v>0.16647058823529412</v>
      </c>
      <c r="P19" s="565" t="str">
        <f t="shared" si="3"/>
        <v>Ø10a150</v>
      </c>
      <c r="Q19" s="200">
        <f>VLOOKUP(P19,'tra thep'!$E$11:$F$62,2,)</f>
        <v>5.23</v>
      </c>
      <c r="R19" s="193">
        <f t="shared" si="4"/>
        <v>1875</v>
      </c>
      <c r="S19" s="212" t="str">
        <f t="shared" si="8"/>
        <v/>
      </c>
      <c r="U19" s="397">
        <v>5</v>
      </c>
      <c r="V19" s="212">
        <v>10</v>
      </c>
      <c r="W19">
        <f>1050+1074+100</f>
        <v>2224</v>
      </c>
      <c r="X19">
        <v>2</v>
      </c>
      <c r="Y19">
        <v>12000</v>
      </c>
      <c r="Z19" s="212">
        <f t="shared" si="9"/>
        <v>81</v>
      </c>
      <c r="AA19" s="784">
        <f t="shared" si="10"/>
        <v>180.14400000000001</v>
      </c>
      <c r="AB19" s="783">
        <f t="shared" si="11"/>
        <v>444.26</v>
      </c>
    </row>
    <row r="20" spans="1:34" ht="15.75">
      <c r="A20" s="185"/>
      <c r="B20" s="222" t="str">
        <f>B19</f>
        <v>S1</v>
      </c>
      <c r="C20" s="214" t="s">
        <v>454</v>
      </c>
      <c r="D20" s="517">
        <f t="array" ref="D20">VLOOKUP(B20&amp;C20,CHOOSE({1,2},(momensan!$C$12:$C$47)&amp;(momensan!$D$12:$D$47),momensan!$L$12:$L$47),2,0)</f>
        <v>0.21337919999999996</v>
      </c>
      <c r="E20" s="513">
        <f>(TH!$I$45/10-(L20+L19)/2/10)/100</f>
        <v>7.0000000000000007E-2</v>
      </c>
      <c r="F20" s="216">
        <v>1</v>
      </c>
      <c r="G20" s="460">
        <f t="shared" si="5"/>
        <v>1450</v>
      </c>
      <c r="H20" s="215">
        <f t="shared" si="0"/>
        <v>28000</v>
      </c>
      <c r="I20" s="218">
        <f>+D20/(G20*10*F20*E20*E20)*10</f>
        <v>3.0032258972554529E-2</v>
      </c>
      <c r="J20" s="219">
        <f t="shared" si="1"/>
        <v>0.9847513491613229</v>
      </c>
      <c r="K20" s="220">
        <f>+D20/(H20*10*J20*E20)*100000</f>
        <v>1.1055271858040936</v>
      </c>
      <c r="L20" s="217">
        <v>10</v>
      </c>
      <c r="M20" s="217">
        <v>150</v>
      </c>
      <c r="N20" s="220">
        <f t="shared" si="2"/>
        <v>5.2333333333333334</v>
      </c>
      <c r="O20" s="221">
        <v>0.17911392405063289</v>
      </c>
      <c r="P20" s="565" t="str">
        <f t="shared" si="3"/>
        <v>Ø10a150</v>
      </c>
      <c r="Q20" s="200">
        <f>VLOOKUP(P20,'tra thep'!$E$11:$F$62,2,)</f>
        <v>5.23</v>
      </c>
      <c r="R20" s="193">
        <f t="shared" si="4"/>
        <v>2142.8571428571427</v>
      </c>
      <c r="S20" s="212" t="str">
        <f t="shared" si="8"/>
        <v/>
      </c>
      <c r="U20" s="397">
        <v>6</v>
      </c>
      <c r="V20" s="212">
        <v>10</v>
      </c>
      <c r="W20">
        <f>2008+1074+100</f>
        <v>3182</v>
      </c>
      <c r="X20">
        <v>2</v>
      </c>
      <c r="Y20">
        <v>5400</v>
      </c>
      <c r="Z20" s="212">
        <f t="shared" si="9"/>
        <v>37</v>
      </c>
      <c r="AA20" s="784">
        <f t="shared" si="10"/>
        <v>117.73399999999999</v>
      </c>
      <c r="AB20" s="783">
        <f t="shared" si="11"/>
        <v>290.35000000000002</v>
      </c>
    </row>
    <row r="21" spans="1:34" ht="15.75">
      <c r="A21" s="185"/>
      <c r="B21" s="222" t="str">
        <f>B19</f>
        <v>S1</v>
      </c>
      <c r="C21" s="214" t="s">
        <v>455</v>
      </c>
      <c r="D21" s="517">
        <f t="array" ref="D21">VLOOKUP(B21&amp;C21,CHOOSE({1,2},(momensan!$C$12:$C$47)&amp;(momensan!$D$12:$D$47),momensan!$L$12:$L$47),2,0)</f>
        <v>1.0646015999999998</v>
      </c>
      <c r="E21" s="513">
        <f>TH!$I$45/10/100</f>
        <v>0.08</v>
      </c>
      <c r="F21" s="216">
        <v>1</v>
      </c>
      <c r="G21" s="460">
        <f t="shared" si="5"/>
        <v>1450</v>
      </c>
      <c r="H21" s="215">
        <f t="shared" si="0"/>
        <v>28000</v>
      </c>
      <c r="I21" s="218">
        <f t="shared" si="6"/>
        <v>0.11471999999999997</v>
      </c>
      <c r="J21" s="219">
        <f t="shared" si="1"/>
        <v>0.93890773517904647</v>
      </c>
      <c r="K21" s="220">
        <f t="shared" si="7"/>
        <v>5.0619305137361472</v>
      </c>
      <c r="L21" s="217">
        <v>10</v>
      </c>
      <c r="M21" s="217">
        <v>150</v>
      </c>
      <c r="N21" s="220">
        <f t="shared" si="2"/>
        <v>5.2333333333333334</v>
      </c>
      <c r="O21" s="221">
        <v>0.39450980392156865</v>
      </c>
      <c r="P21" s="565" t="str">
        <f t="shared" si="3"/>
        <v>Ø10a150</v>
      </c>
      <c r="Q21" s="200">
        <f>VLOOKUP(P21,'tra thep'!$E$11:$F$62,2,)</f>
        <v>5.23</v>
      </c>
      <c r="R21" s="193">
        <f t="shared" si="4"/>
        <v>1875</v>
      </c>
      <c r="S21" s="212" t="str">
        <f t="shared" si="8"/>
        <v/>
      </c>
      <c r="U21" s="397">
        <v>7</v>
      </c>
      <c r="V21" s="212">
        <v>10</v>
      </c>
      <c r="W21">
        <v>6800</v>
      </c>
      <c r="X21">
        <v>1</v>
      </c>
      <c r="Y21">
        <v>4000</v>
      </c>
      <c r="Z21" s="212">
        <f t="shared" si="9"/>
        <v>28</v>
      </c>
      <c r="AA21" s="784">
        <f t="shared" si="10"/>
        <v>190.4</v>
      </c>
      <c r="AB21" s="783">
        <f t="shared" si="11"/>
        <v>469.56</v>
      </c>
    </row>
    <row r="22" spans="1:34" ht="15.75">
      <c r="A22" s="185"/>
      <c r="B22" s="223" t="str">
        <f>B19</f>
        <v>S1</v>
      </c>
      <c r="C22" s="214" t="s">
        <v>456</v>
      </c>
      <c r="D22" s="517">
        <f t="array" ref="D22">VLOOKUP(B22&amp;C22,CHOOSE({1,2},(momensan!$C$12:$C$47)&amp;(momensan!$D$12:$D$47),momensan!$L$12:$L$47),2,0)</f>
        <v>0.47264639999999997</v>
      </c>
      <c r="E22" s="513">
        <f>TH!$I$45/10/100</f>
        <v>0.08</v>
      </c>
      <c r="F22" s="216">
        <v>1</v>
      </c>
      <c r="G22" s="460">
        <f t="shared" si="5"/>
        <v>1450</v>
      </c>
      <c r="H22" s="215">
        <f t="shared" si="0"/>
        <v>28000</v>
      </c>
      <c r="I22" s="218">
        <f t="shared" si="6"/>
        <v>5.0931724137931032E-2</v>
      </c>
      <c r="J22" s="219">
        <f t="shared" ref="J22:J46" si="12">0.5*(1+SQRT(1-2*I22))</f>
        <v>0.97385033283837052</v>
      </c>
      <c r="K22" s="220">
        <f t="shared" si="7"/>
        <v>2.1666867076778749</v>
      </c>
      <c r="L22" s="217">
        <v>10</v>
      </c>
      <c r="M22" s="217">
        <v>150</v>
      </c>
      <c r="N22" s="220">
        <f t="shared" si="2"/>
        <v>5.2333333333333334</v>
      </c>
      <c r="O22" s="221">
        <v>0.16647058823529412</v>
      </c>
      <c r="P22" s="565" t="str">
        <f t="shared" si="3"/>
        <v>Ø10a150</v>
      </c>
      <c r="Q22" s="200">
        <f>VLOOKUP(P22,'tra thep'!$E$11:$F$62,2,)</f>
        <v>5.23</v>
      </c>
      <c r="R22" s="193">
        <f t="shared" si="4"/>
        <v>1875</v>
      </c>
      <c r="S22" s="212" t="str">
        <f t="shared" si="8"/>
        <v/>
      </c>
      <c r="U22" s="397">
        <v>8</v>
      </c>
      <c r="V22" s="212">
        <v>10</v>
      </c>
      <c r="W22">
        <f>11700</f>
        <v>11700</v>
      </c>
      <c r="X22">
        <v>1</v>
      </c>
      <c r="Y22">
        <v>4000</v>
      </c>
      <c r="Z22" s="212">
        <f t="shared" si="9"/>
        <v>28</v>
      </c>
      <c r="AA22" s="784">
        <f t="shared" si="10"/>
        <v>327.60000000000002</v>
      </c>
      <c r="AB22" s="783">
        <f t="shared" si="11"/>
        <v>807.91</v>
      </c>
    </row>
    <row r="23" spans="1:34" s="212" customFormat="1" ht="15.75">
      <c r="A23" s="211"/>
      <c r="B23" s="213" t="s">
        <v>103</v>
      </c>
      <c r="C23" s="214" t="s">
        <v>453</v>
      </c>
      <c r="D23" s="517">
        <f t="array" ref="D23">VLOOKUP(B23&amp;C23,CHOOSE({1,2},(momensan!$C$12:$C$47)&amp;(momensan!$D$12:$D$47),momensan!$L$12:$L$47),2,0)</f>
        <v>0.20986944000000002</v>
      </c>
      <c r="E23" s="513">
        <f>TH!$I$45/10/100</f>
        <v>0.08</v>
      </c>
      <c r="F23" s="216">
        <v>1</v>
      </c>
      <c r="G23" s="460">
        <f t="shared" si="5"/>
        <v>1450</v>
      </c>
      <c r="H23" s="215">
        <f t="shared" si="0"/>
        <v>28000</v>
      </c>
      <c r="I23" s="218">
        <f t="shared" si="6"/>
        <v>2.2615241379310348E-2</v>
      </c>
      <c r="J23" s="219">
        <f>0.5*(1+SQRT(1-2*I23))</f>
        <v>0.98856154096525528</v>
      </c>
      <c r="K23" s="220">
        <f t="shared" si="7"/>
        <v>0.94775803430741856</v>
      </c>
      <c r="L23" s="217">
        <v>10</v>
      </c>
      <c r="M23" s="217">
        <v>150</v>
      </c>
      <c r="N23" s="220">
        <f t="shared" si="2"/>
        <v>5.2333333333333334</v>
      </c>
      <c r="O23" s="221">
        <v>0.16647058823529412</v>
      </c>
      <c r="P23" s="565" t="str">
        <f t="shared" si="3"/>
        <v>Ø10a150</v>
      </c>
      <c r="Q23" s="200">
        <f>VLOOKUP(P23,'tra thep'!$E$11:$F$62,2,)</f>
        <v>5.23</v>
      </c>
      <c r="R23" s="193">
        <f t="shared" si="4"/>
        <v>1875</v>
      </c>
      <c r="S23" s="212" t="str">
        <f t="shared" si="8"/>
        <v/>
      </c>
      <c r="U23" s="397">
        <v>9</v>
      </c>
      <c r="V23" s="212">
        <v>10</v>
      </c>
      <c r="W23" s="212">
        <f>14000+100</f>
        <v>14100</v>
      </c>
      <c r="X23" s="212">
        <v>2</v>
      </c>
      <c r="Y23" s="212">
        <v>12000</v>
      </c>
      <c r="Z23" s="212">
        <f t="shared" si="9"/>
        <v>81</v>
      </c>
      <c r="AA23" s="784">
        <f t="shared" si="10"/>
        <v>1142.0999999999999</v>
      </c>
      <c r="AB23" s="783">
        <f t="shared" si="11"/>
        <v>2816.59</v>
      </c>
    </row>
    <row r="24" spans="1:34" s="212" customFormat="1" ht="15.75">
      <c r="A24" s="211"/>
      <c r="B24" s="222" t="str">
        <f>B23</f>
        <v>S2</v>
      </c>
      <c r="C24" s="214" t="s">
        <v>454</v>
      </c>
      <c r="D24" s="517">
        <f t="array" ref="D24">VLOOKUP(B24&amp;C24,CHOOSE({1,2},(momensan!$C$12:$C$47)&amp;(momensan!$D$12:$D$47),momensan!$L$12:$L$47),2,0)</f>
        <v>0.11857824</v>
      </c>
      <c r="E24" s="513">
        <f>(TH!$I$45/10-(L24+L23)/2/10)/100</f>
        <v>7.0000000000000007E-2</v>
      </c>
      <c r="F24" s="216">
        <v>1</v>
      </c>
      <c r="G24" s="460">
        <f t="shared" si="5"/>
        <v>1450</v>
      </c>
      <c r="H24" s="215">
        <f t="shared" si="0"/>
        <v>28000</v>
      </c>
      <c r="I24" s="218">
        <f t="shared" si="6"/>
        <v>1.6689407459535534E-2</v>
      </c>
      <c r="J24" s="219">
        <f t="shared" si="12"/>
        <v>0.99158447521278803</v>
      </c>
      <c r="K24" s="220">
        <f t="shared" si="7"/>
        <v>0.61012554707286615</v>
      </c>
      <c r="L24" s="217">
        <v>10</v>
      </c>
      <c r="M24" s="217">
        <v>150</v>
      </c>
      <c r="N24" s="220">
        <f t="shared" si="2"/>
        <v>5.2333333333333334</v>
      </c>
      <c r="O24" s="221">
        <v>0.17911392405063289</v>
      </c>
      <c r="P24" s="565" t="str">
        <f t="shared" si="3"/>
        <v>Ø10a150</v>
      </c>
      <c r="Q24" s="200">
        <f>VLOOKUP(P24,'tra thep'!$E$11:$F$62,2,)</f>
        <v>5.23</v>
      </c>
      <c r="R24" s="193">
        <f t="shared" si="4"/>
        <v>2142.8571428571427</v>
      </c>
      <c r="S24" s="212" t="str">
        <f t="shared" si="8"/>
        <v/>
      </c>
      <c r="U24" s="397">
        <v>10</v>
      </c>
      <c r="V24" s="212">
        <v>10</v>
      </c>
      <c r="W24" s="212">
        <f>10000+100</f>
        <v>10100</v>
      </c>
      <c r="X24" s="212">
        <v>4</v>
      </c>
      <c r="Y24" s="212">
        <v>11600</v>
      </c>
      <c r="Z24" s="212">
        <f t="shared" si="9"/>
        <v>79</v>
      </c>
      <c r="AA24" s="784">
        <f t="shared" si="10"/>
        <v>797.9</v>
      </c>
      <c r="AB24" s="783">
        <f t="shared" si="11"/>
        <v>1967.74</v>
      </c>
    </row>
    <row r="25" spans="1:34" s="212" customFormat="1" ht="15.75">
      <c r="A25" s="211"/>
      <c r="B25" s="222" t="str">
        <f>B23</f>
        <v>S2</v>
      </c>
      <c r="C25" s="214" t="s">
        <v>455</v>
      </c>
      <c r="D25" s="517">
        <f t="array" ref="D25">VLOOKUP(B25&amp;C25,CHOOSE({1,2},(momensan!$C$12:$C$47)&amp;(momensan!$D$12:$D$47),momensan!$L$12:$L$47),2,0)</f>
        <v>0.47591807999999997</v>
      </c>
      <c r="E25" s="513">
        <f>TH!$I$45/10/100</f>
        <v>0.08</v>
      </c>
      <c r="F25" s="216">
        <v>1</v>
      </c>
      <c r="G25" s="460">
        <f t="shared" si="5"/>
        <v>1450</v>
      </c>
      <c r="H25" s="215">
        <f t="shared" si="0"/>
        <v>28000</v>
      </c>
      <c r="I25" s="218">
        <f t="shared" si="6"/>
        <v>5.1284275862068962E-2</v>
      </c>
      <c r="J25" s="219">
        <f t="shared" si="12"/>
        <v>0.97366429258385678</v>
      </c>
      <c r="K25" s="220">
        <f t="shared" si="7"/>
        <v>2.1821014716232923</v>
      </c>
      <c r="L25" s="217">
        <v>10</v>
      </c>
      <c r="M25" s="217">
        <v>150</v>
      </c>
      <c r="N25" s="220">
        <f t="shared" si="2"/>
        <v>5.2333333333333334</v>
      </c>
      <c r="O25" s="221">
        <v>0.39450980392156865</v>
      </c>
      <c r="P25" s="565" t="str">
        <f t="shared" si="3"/>
        <v>Ø10a150</v>
      </c>
      <c r="Q25" s="200">
        <f>VLOOKUP(P25,'tra thep'!$E$11:$F$62,2,)</f>
        <v>5.23</v>
      </c>
      <c r="R25" s="193">
        <f t="shared" si="4"/>
        <v>1875</v>
      </c>
      <c r="S25" s="212" t="str">
        <f t="shared" si="8"/>
        <v/>
      </c>
      <c r="U25" s="397">
        <v>11</v>
      </c>
      <c r="V25" s="212">
        <v>10</v>
      </c>
      <c r="W25" s="212">
        <v>12100</v>
      </c>
      <c r="X25" s="782">
        <v>2</v>
      </c>
      <c r="Y25" s="782">
        <v>5400</v>
      </c>
      <c r="Z25" s="212">
        <f t="shared" si="9"/>
        <v>37</v>
      </c>
      <c r="AA25" s="784">
        <f t="shared" si="10"/>
        <v>447.7</v>
      </c>
      <c r="AB25" s="783">
        <f t="shared" si="11"/>
        <v>1104.0999999999999</v>
      </c>
    </row>
    <row r="26" spans="1:34" s="212" customFormat="1" ht="15.75">
      <c r="A26" s="211"/>
      <c r="B26" s="223" t="str">
        <f>B23</f>
        <v>S2</v>
      </c>
      <c r="C26" s="214" t="s">
        <v>456</v>
      </c>
      <c r="D26" s="517">
        <f t="array" ref="D26">VLOOKUP(B26&amp;C26,CHOOSE({1,2},(momensan!$C$12:$C$47)&amp;(momensan!$D$12:$D$47),momensan!$L$12:$L$47),2,0)</f>
        <v>0.27046271999999999</v>
      </c>
      <c r="E26" s="513">
        <f>TH!$I$45/10/100</f>
        <v>0.08</v>
      </c>
      <c r="F26" s="216">
        <v>1</v>
      </c>
      <c r="G26" s="460">
        <f t="shared" si="5"/>
        <v>1450</v>
      </c>
      <c r="H26" s="215">
        <f t="shared" si="0"/>
        <v>28000</v>
      </c>
      <c r="I26" s="218">
        <f t="shared" si="6"/>
        <v>2.9144689655172411E-2</v>
      </c>
      <c r="J26" s="219">
        <f t="shared" si="12"/>
        <v>0.98520887787880984</v>
      </c>
      <c r="K26" s="220">
        <f t="shared" si="7"/>
        <v>1.2255501186128994</v>
      </c>
      <c r="L26" s="217">
        <v>10</v>
      </c>
      <c r="M26" s="217">
        <v>150</v>
      </c>
      <c r="N26" s="220">
        <f t="shared" si="2"/>
        <v>5.2333333333333334</v>
      </c>
      <c r="O26" s="221">
        <v>0.16647058823529412</v>
      </c>
      <c r="P26" s="565" t="str">
        <f t="shared" si="3"/>
        <v>Ø10a150</v>
      </c>
      <c r="Q26" s="200">
        <f>VLOOKUP(P26,'tra thep'!$E$11:$F$62,2,)</f>
        <v>5.23</v>
      </c>
      <c r="R26" s="193">
        <f t="shared" si="4"/>
        <v>1875</v>
      </c>
      <c r="S26" s="212" t="str">
        <f t="shared" si="8"/>
        <v/>
      </c>
      <c r="U26" s="397">
        <v>12</v>
      </c>
      <c r="V26" s="212">
        <v>10</v>
      </c>
      <c r="W26" s="212">
        <v>6000</v>
      </c>
      <c r="X26" s="782">
        <v>2</v>
      </c>
      <c r="Y26" s="782">
        <v>8000</v>
      </c>
      <c r="Z26" s="212">
        <f t="shared" si="9"/>
        <v>55</v>
      </c>
      <c r="AA26" s="784">
        <f t="shared" si="10"/>
        <v>330</v>
      </c>
      <c r="AB26" s="783">
        <f t="shared" si="11"/>
        <v>813.83</v>
      </c>
    </row>
    <row r="27" spans="1:34" ht="15.75">
      <c r="A27" s="185"/>
      <c r="B27" s="213" t="s">
        <v>104</v>
      </c>
      <c r="C27" s="214" t="s">
        <v>453</v>
      </c>
      <c r="D27" s="517">
        <f t="array" ref="D27">VLOOKUP(B27&amp;C27,CHOOSE({1,2},(momensan!$C$12:$C$47)&amp;(momensan!$D$12:$D$47),momensan!$L$12:$L$47),2,0)</f>
        <v>0.44629200000000008</v>
      </c>
      <c r="E27" s="513">
        <f>TH!$I$45/10/100</f>
        <v>0.08</v>
      </c>
      <c r="F27" s="216">
        <v>1</v>
      </c>
      <c r="G27" s="460">
        <f t="shared" si="5"/>
        <v>1450</v>
      </c>
      <c r="H27" s="215">
        <f t="shared" si="0"/>
        <v>28000</v>
      </c>
      <c r="I27" s="218">
        <f t="shared" si="6"/>
        <v>4.8091810344827596E-2</v>
      </c>
      <c r="J27" s="219">
        <f>0.5*(1+SQRT(1-2*I27))</f>
        <v>0.97534628938026458</v>
      </c>
      <c r="K27" s="220">
        <f t="shared" si="7"/>
        <v>2.0427360227780804</v>
      </c>
      <c r="L27" s="217">
        <v>10</v>
      </c>
      <c r="M27" s="217">
        <v>150</v>
      </c>
      <c r="N27" s="220">
        <f t="shared" si="2"/>
        <v>5.2333333333333334</v>
      </c>
      <c r="O27" s="221">
        <v>0.16647058823529412</v>
      </c>
      <c r="P27" s="565" t="str">
        <f t="shared" si="3"/>
        <v>Ø10a150</v>
      </c>
      <c r="Q27" s="200">
        <f>VLOOKUP(P27,'tra thep'!$E$11:$F$62,2,)</f>
        <v>5.23</v>
      </c>
      <c r="R27" s="193">
        <f t="shared" si="4"/>
        <v>1875</v>
      </c>
      <c r="S27" s="212" t="str">
        <f t="shared" si="8"/>
        <v/>
      </c>
      <c r="U27" s="397">
        <v>13</v>
      </c>
      <c r="V27" s="212">
        <v>10</v>
      </c>
      <c r="W27">
        <v>33200</v>
      </c>
      <c r="X27" s="212">
        <v>2</v>
      </c>
      <c r="Y27" s="212">
        <v>12000</v>
      </c>
      <c r="Z27" s="212">
        <f t="shared" si="9"/>
        <v>81</v>
      </c>
      <c r="AA27" s="784">
        <f t="shared" si="10"/>
        <v>2689.2</v>
      </c>
      <c r="AB27" s="783">
        <f t="shared" si="11"/>
        <v>6631.97</v>
      </c>
    </row>
    <row r="28" spans="1:34" ht="15.75">
      <c r="A28" s="185"/>
      <c r="B28" s="222" t="str">
        <f>B27</f>
        <v>S3</v>
      </c>
      <c r="C28" s="214" t="s">
        <v>454</v>
      </c>
      <c r="D28" s="517">
        <f t="array" ref="D28">VLOOKUP(B28&amp;C28,CHOOSE({1,2},(momensan!$C$12:$C$47)&amp;(momensan!$D$12:$D$47),momensan!$L$12:$L$47),2,0)</f>
        <v>0.23419704000000002</v>
      </c>
      <c r="E28" s="513">
        <f>(TH!$I$45/10-(L28+L27)/2/10)/100</f>
        <v>7.0000000000000007E-2</v>
      </c>
      <c r="F28" s="216">
        <v>1</v>
      </c>
      <c r="G28" s="460">
        <f t="shared" si="5"/>
        <v>1450</v>
      </c>
      <c r="H28" s="215">
        <f t="shared" si="0"/>
        <v>28000</v>
      </c>
      <c r="I28" s="218">
        <f t="shared" si="6"/>
        <v>3.2962285714285708E-2</v>
      </c>
      <c r="J28" s="219">
        <f t="shared" si="12"/>
        <v>0.9832378887699692</v>
      </c>
      <c r="K28" s="220">
        <f t="shared" si="7"/>
        <v>1.2152530641772317</v>
      </c>
      <c r="L28" s="217">
        <v>10</v>
      </c>
      <c r="M28" s="217">
        <v>150</v>
      </c>
      <c r="N28" s="220">
        <f t="shared" si="2"/>
        <v>5.2333333333333334</v>
      </c>
      <c r="O28" s="221">
        <v>0.17911392405063289</v>
      </c>
      <c r="P28" s="565" t="str">
        <f t="shared" si="3"/>
        <v>Ø10a150</v>
      </c>
      <c r="Q28" s="200">
        <f>VLOOKUP(P28,'tra thep'!$E$11:$F$62,2,)</f>
        <v>5.23</v>
      </c>
      <c r="R28" s="193">
        <f t="shared" si="4"/>
        <v>2142.8571428571427</v>
      </c>
      <c r="S28" s="212" t="str">
        <f t="shared" si="8"/>
        <v/>
      </c>
      <c r="U28" s="397">
        <v>14</v>
      </c>
      <c r="V28" s="212">
        <v>10</v>
      </c>
      <c r="W28">
        <v>14500</v>
      </c>
      <c r="X28" s="212">
        <v>2</v>
      </c>
      <c r="Y28" s="212">
        <v>8000</v>
      </c>
      <c r="Z28" s="212">
        <f t="shared" si="9"/>
        <v>55</v>
      </c>
      <c r="AA28" s="784">
        <f t="shared" si="10"/>
        <v>797.5</v>
      </c>
      <c r="AB28" s="783">
        <f t="shared" si="11"/>
        <v>1966.75</v>
      </c>
    </row>
    <row r="29" spans="1:34" ht="15.75">
      <c r="A29" s="185"/>
      <c r="B29" s="222" t="str">
        <f>B27</f>
        <v>S3</v>
      </c>
      <c r="C29" s="214" t="s">
        <v>455</v>
      </c>
      <c r="D29" s="517">
        <f t="array" ref="D29">VLOOKUP(B29&amp;C29,CHOOSE({1,2},(momensan!$C$12:$C$47)&amp;(momensan!$D$12:$D$47),momensan!$L$12:$L$47),2,0)</f>
        <v>0.87855768000000045</v>
      </c>
      <c r="E29" s="513">
        <f>TH!$I$45/10/100</f>
        <v>0.08</v>
      </c>
      <c r="F29" s="216">
        <v>1</v>
      </c>
      <c r="G29" s="460">
        <f t="shared" si="5"/>
        <v>1450</v>
      </c>
      <c r="H29" s="215">
        <f t="shared" si="0"/>
        <v>28000</v>
      </c>
      <c r="I29" s="218">
        <f t="shared" si="6"/>
        <v>9.4672163793103489E-2</v>
      </c>
      <c r="J29" s="219">
        <f t="shared" si="12"/>
        <v>0.95018209438342649</v>
      </c>
      <c r="K29" s="220">
        <f t="shared" si="7"/>
        <v>4.1277693225160972</v>
      </c>
      <c r="L29" s="217">
        <v>10</v>
      </c>
      <c r="M29" s="217">
        <v>150</v>
      </c>
      <c r="N29" s="220">
        <f t="shared" si="2"/>
        <v>5.2333333333333334</v>
      </c>
      <c r="O29" s="221">
        <v>0.39450980392156865</v>
      </c>
      <c r="P29" s="565" t="str">
        <f t="shared" si="3"/>
        <v>Ø10a150</v>
      </c>
      <c r="Q29" s="200">
        <f>VLOOKUP(P29,'tra thep'!$E$11:$F$62,2,)</f>
        <v>5.23</v>
      </c>
      <c r="R29" s="193">
        <f t="shared" si="4"/>
        <v>1875</v>
      </c>
      <c r="S29" s="212" t="str">
        <f t="shared" si="8"/>
        <v/>
      </c>
      <c r="U29" s="397"/>
      <c r="V29" s="212"/>
      <c r="Z29" s="212"/>
      <c r="AB29" s="783">
        <f>SUM(AB11:AB28)</f>
        <v>23143.98</v>
      </c>
      <c r="AG29">
        <v>338</v>
      </c>
      <c r="AH29">
        <f>+AG29*0.1*2500</f>
        <v>84500.000000000015</v>
      </c>
    </row>
    <row r="30" spans="1:34" ht="15.75">
      <c r="A30" s="185"/>
      <c r="B30" s="223" t="str">
        <f>B27</f>
        <v>S3</v>
      </c>
      <c r="C30" s="214" t="s">
        <v>456</v>
      </c>
      <c r="D30" s="517">
        <f t="array" ref="D30">VLOOKUP(B30&amp;C30,CHOOSE({1,2},(momensan!$C$12:$C$47)&amp;(momensan!$D$12:$D$47),momensan!$L$12:$L$47),2,0)</f>
        <v>0.52874976000000018</v>
      </c>
      <c r="E30" s="513">
        <f>TH!$I$45/10/100</f>
        <v>0.08</v>
      </c>
      <c r="F30" s="216">
        <v>1</v>
      </c>
      <c r="G30" s="460">
        <f t="shared" si="5"/>
        <v>1450</v>
      </c>
      <c r="H30" s="215">
        <f t="shared" si="0"/>
        <v>28000</v>
      </c>
      <c r="I30" s="218">
        <f t="shared" si="6"/>
        <v>5.6977344827586221E-2</v>
      </c>
      <c r="J30" s="219">
        <f t="shared" si="12"/>
        <v>0.97064989916731825</v>
      </c>
      <c r="K30" s="220">
        <f t="shared" si="7"/>
        <v>2.4318654975650551</v>
      </c>
      <c r="L30" s="217">
        <v>10</v>
      </c>
      <c r="M30" s="217">
        <v>150</v>
      </c>
      <c r="N30" s="220">
        <f t="shared" si="2"/>
        <v>5.2333333333333334</v>
      </c>
      <c r="O30" s="221">
        <v>0.16647058823529412</v>
      </c>
      <c r="P30" s="565" t="str">
        <f t="shared" si="3"/>
        <v>Ø10a150</v>
      </c>
      <c r="Q30" s="200">
        <f>VLOOKUP(P30,'tra thep'!$E$11:$F$62,2,)</f>
        <v>5.23</v>
      </c>
      <c r="R30" s="193">
        <f t="shared" si="4"/>
        <v>1875</v>
      </c>
      <c r="S30" s="212" t="str">
        <f t="shared" si="8"/>
        <v/>
      </c>
      <c r="U30" s="397"/>
      <c r="V30" s="212"/>
      <c r="Z30" s="212"/>
      <c r="AH30">
        <f>+AB29/AH29</f>
        <v>0.27389325443786977</v>
      </c>
    </row>
    <row r="31" spans="1:34" ht="15.75">
      <c r="A31" s="185"/>
      <c r="B31" s="213" t="s">
        <v>107</v>
      </c>
      <c r="C31" s="214" t="s">
        <v>453</v>
      </c>
      <c r="D31" s="517">
        <f t="array" ref="D31">VLOOKUP(B31&amp;C31,CHOOSE({1,2},(momensan!$C$12:$C$47)&amp;(momensan!$D$12:$D$47),momensan!$L$12:$L$47),2,0)</f>
        <v>0.11930879999999999</v>
      </c>
      <c r="E31" s="513">
        <f>TH!$I$45/10/100</f>
        <v>0.08</v>
      </c>
      <c r="F31" s="216">
        <v>1</v>
      </c>
      <c r="G31" s="460">
        <f t="shared" si="5"/>
        <v>1450</v>
      </c>
      <c r="H31" s="215">
        <f t="shared" si="0"/>
        <v>28000</v>
      </c>
      <c r="I31" s="218">
        <f t="shared" si="6"/>
        <v>1.2856551724137931E-2</v>
      </c>
      <c r="J31" s="219">
        <f>0.5*(1+SQRT(1-2*I31))</f>
        <v>0.99352986144501032</v>
      </c>
      <c r="K31" s="220">
        <f t="shared" si="7"/>
        <v>0.5360971945562919</v>
      </c>
      <c r="L31" s="217">
        <v>10</v>
      </c>
      <c r="M31" s="217">
        <v>150</v>
      </c>
      <c r="N31" s="220">
        <f t="shared" si="2"/>
        <v>5.2333333333333334</v>
      </c>
      <c r="O31" s="221">
        <v>0.16647058823529412</v>
      </c>
      <c r="P31" s="565" t="str">
        <f t="shared" si="3"/>
        <v>Ø10a150</v>
      </c>
      <c r="Q31" s="200">
        <f>VLOOKUP(P31,'tra thep'!$E$11:$F$62,2,)</f>
        <v>5.23</v>
      </c>
      <c r="R31" s="193">
        <f t="shared" si="4"/>
        <v>1875</v>
      </c>
      <c r="S31" s="212" t="str">
        <f t="shared" si="8"/>
        <v/>
      </c>
      <c r="U31" s="397"/>
      <c r="V31" s="212"/>
      <c r="Z31" s="212"/>
    </row>
    <row r="32" spans="1:34" ht="15.75">
      <c r="A32" s="185"/>
      <c r="B32" s="222" t="str">
        <f>B31</f>
        <v>S5</v>
      </c>
      <c r="C32" s="214" t="s">
        <v>454</v>
      </c>
      <c r="D32" s="517">
        <f t="array" ref="D32">VLOOKUP(B32&amp;C32,CHOOSE({1,2},(momensan!$C$12:$C$47)&amp;(momensan!$D$12:$D$47),momensan!$L$12:$L$47),2,0)</f>
        <v>5.3344799999999991E-2</v>
      </c>
      <c r="E32" s="513">
        <f>(TH!$I$45/10-(L32+L31)/2/10)/100</f>
        <v>7.0000000000000007E-2</v>
      </c>
      <c r="F32" s="216">
        <v>1</v>
      </c>
      <c r="G32" s="460">
        <f t="shared" si="5"/>
        <v>1450</v>
      </c>
      <c r="H32" s="215">
        <f t="shared" si="0"/>
        <v>28000</v>
      </c>
      <c r="I32" s="218">
        <f t="shared" si="6"/>
        <v>7.5080647431386323E-3</v>
      </c>
      <c r="J32" s="219">
        <f t="shared" si="12"/>
        <v>0.99623176805645031</v>
      </c>
      <c r="K32" s="220">
        <f t="shared" si="7"/>
        <v>0.27319681590735362</v>
      </c>
      <c r="L32" s="217">
        <v>10</v>
      </c>
      <c r="M32" s="217">
        <v>150</v>
      </c>
      <c r="N32" s="220">
        <f t="shared" si="2"/>
        <v>5.2333333333333334</v>
      </c>
      <c r="O32" s="221">
        <v>0.17911392405063289</v>
      </c>
      <c r="P32" s="565" t="str">
        <f t="shared" si="3"/>
        <v>Ø10a150</v>
      </c>
      <c r="Q32" s="200">
        <f>VLOOKUP(P32,'tra thep'!$E$11:$F$62,2,)</f>
        <v>5.23</v>
      </c>
      <c r="R32" s="193">
        <f t="shared" si="4"/>
        <v>2142.8571428571427</v>
      </c>
      <c r="S32" s="212" t="str">
        <f t="shared" si="8"/>
        <v/>
      </c>
      <c r="U32" s="397"/>
      <c r="V32" s="212"/>
      <c r="Z32" s="212"/>
    </row>
    <row r="33" spans="1:26" ht="15.75">
      <c r="A33" s="185"/>
      <c r="B33" s="222" t="str">
        <f>B31</f>
        <v>S5</v>
      </c>
      <c r="C33" s="214" t="s">
        <v>455</v>
      </c>
      <c r="D33" s="517">
        <f t="array" ref="D33">VLOOKUP(B33&amp;C33,CHOOSE({1,2},(momensan!$C$12:$C$47)&amp;(momensan!$D$12:$D$47),momensan!$L$12:$L$47),2,0)</f>
        <v>0.26615039999999995</v>
      </c>
      <c r="E33" s="513">
        <f>TH!$I$45/10/100</f>
        <v>0.08</v>
      </c>
      <c r="F33" s="216">
        <v>1</v>
      </c>
      <c r="G33" s="460">
        <f t="shared" si="5"/>
        <v>1450</v>
      </c>
      <c r="H33" s="215">
        <f t="shared" si="0"/>
        <v>28000</v>
      </c>
      <c r="I33" s="218">
        <f t="shared" si="6"/>
        <v>2.8679999999999994E-2</v>
      </c>
      <c r="J33" s="219">
        <f t="shared" si="12"/>
        <v>0.98544824646917828</v>
      </c>
      <c r="K33" s="220">
        <f t="shared" si="7"/>
        <v>1.2057167211252333</v>
      </c>
      <c r="L33" s="217">
        <v>10</v>
      </c>
      <c r="M33" s="217">
        <v>150</v>
      </c>
      <c r="N33" s="220">
        <f t="shared" si="2"/>
        <v>5.2333333333333334</v>
      </c>
      <c r="O33" s="221">
        <v>0.39450980392156865</v>
      </c>
      <c r="P33" s="565" t="str">
        <f t="shared" si="3"/>
        <v>Ø10a150</v>
      </c>
      <c r="Q33" s="200">
        <f>VLOOKUP(P33,'tra thep'!$E$11:$F$62,2,)</f>
        <v>5.23</v>
      </c>
      <c r="R33" s="193">
        <f t="shared" si="4"/>
        <v>1875</v>
      </c>
      <c r="S33" s="212" t="str">
        <f t="shared" si="8"/>
        <v/>
      </c>
      <c r="U33" s="397"/>
      <c r="V33" s="212"/>
      <c r="Z33" s="212"/>
    </row>
    <row r="34" spans="1:26" ht="15.75">
      <c r="A34" s="185"/>
      <c r="B34" s="223" t="str">
        <f>B31</f>
        <v>S5</v>
      </c>
      <c r="C34" s="214" t="s">
        <v>456</v>
      </c>
      <c r="D34" s="517">
        <f t="array" ref="D34">VLOOKUP(B34&amp;C34,CHOOSE({1,2},(momensan!$C$12:$C$47)&amp;(momensan!$D$12:$D$47),momensan!$L$12:$L$47),2,0)</f>
        <v>0.11816159999999999</v>
      </c>
      <c r="E34" s="513">
        <f>TH!$I$45/10/100</f>
        <v>0.08</v>
      </c>
      <c r="F34" s="216">
        <v>1</v>
      </c>
      <c r="G34" s="460">
        <f t="shared" si="5"/>
        <v>1450</v>
      </c>
      <c r="H34" s="215">
        <f t="shared" si="0"/>
        <v>28000</v>
      </c>
      <c r="I34" s="218">
        <f t="shared" si="6"/>
        <v>1.2732931034482758E-2</v>
      </c>
      <c r="J34" s="219">
        <f t="shared" si="12"/>
        <v>0.9935924781464549</v>
      </c>
      <c r="K34" s="220">
        <f t="shared" si="7"/>
        <v>0.5309089535794459</v>
      </c>
      <c r="L34" s="217">
        <v>10</v>
      </c>
      <c r="M34" s="217">
        <v>150</v>
      </c>
      <c r="N34" s="220">
        <f t="shared" si="2"/>
        <v>5.2333333333333334</v>
      </c>
      <c r="O34" s="221">
        <v>0.16647058823529412</v>
      </c>
      <c r="P34" s="565" t="str">
        <f t="shared" si="3"/>
        <v>Ø10a150</v>
      </c>
      <c r="Q34" s="200">
        <f>VLOOKUP(P34,'tra thep'!$E$11:$F$62,2,)</f>
        <v>5.23</v>
      </c>
      <c r="R34" s="193">
        <f t="shared" si="4"/>
        <v>1875</v>
      </c>
      <c r="S34" s="212" t="str">
        <f t="shared" si="8"/>
        <v/>
      </c>
      <c r="U34" s="397"/>
      <c r="V34" s="212"/>
      <c r="Z34" s="212"/>
    </row>
    <row r="35" spans="1:26" ht="15.75">
      <c r="A35" s="185"/>
      <c r="B35" s="213" t="s">
        <v>110</v>
      </c>
      <c r="C35" s="214" t="s">
        <v>453</v>
      </c>
      <c r="D35" s="517">
        <f t="array" ref="D35">VLOOKUP(B35&amp;C35,CHOOSE({1,2},(momensan!$C$12:$C$47)&amp;(momensan!$D$12:$D$47),momensan!$L$12:$L$47),2,0)</f>
        <v>0.2737984</v>
      </c>
      <c r="E35" s="513">
        <f>TH!$I$45/10/100</f>
        <v>0.08</v>
      </c>
      <c r="F35" s="216">
        <v>1</v>
      </c>
      <c r="G35" s="460">
        <f t="shared" si="5"/>
        <v>1450</v>
      </c>
      <c r="H35" s="215">
        <f t="shared" si="0"/>
        <v>28000</v>
      </c>
      <c r="I35" s="218">
        <f t="shared" si="6"/>
        <v>2.9504137931034482E-2</v>
      </c>
      <c r="J35" s="219">
        <f>0.5*(1+SQRT(1-2*I35))</f>
        <v>0.98502363966561757</v>
      </c>
      <c r="K35" s="220">
        <f t="shared" si="7"/>
        <v>1.2408984277059789</v>
      </c>
      <c r="L35" s="217">
        <v>10</v>
      </c>
      <c r="M35" s="217">
        <v>150</v>
      </c>
      <c r="N35" s="220">
        <f t="shared" si="2"/>
        <v>5.2333333333333334</v>
      </c>
      <c r="O35" s="221">
        <v>0.16647058823529412</v>
      </c>
      <c r="P35" s="565" t="str">
        <f t="shared" si="3"/>
        <v>Ø10a150</v>
      </c>
      <c r="Q35" s="200">
        <f>VLOOKUP(P35,'tra thep'!$E$11:$F$62,2,)</f>
        <v>5.23</v>
      </c>
      <c r="R35" s="193">
        <f t="shared" si="4"/>
        <v>1875</v>
      </c>
      <c r="S35" s="212" t="str">
        <f t="shared" si="8"/>
        <v/>
      </c>
      <c r="U35" s="397"/>
      <c r="V35" s="212"/>
      <c r="Z35" s="212"/>
    </row>
    <row r="36" spans="1:26" ht="15.75">
      <c r="A36" s="185"/>
      <c r="B36" s="222" t="str">
        <f>B35</f>
        <v>S8</v>
      </c>
      <c r="C36" s="214" t="s">
        <v>454</v>
      </c>
      <c r="D36" s="517">
        <f t="array" ref="D36">VLOOKUP(B36&amp;C36,CHOOSE({1,2},(momensan!$C$12:$C$47)&amp;(momensan!$D$12:$D$47),momensan!$L$12:$L$47),2,0)</f>
        <v>0.2737984</v>
      </c>
      <c r="E36" s="513">
        <f>(TH!$I$45/10-(L36+L35)/2/10)/100</f>
        <v>7.0000000000000007E-2</v>
      </c>
      <c r="F36" s="216">
        <v>1</v>
      </c>
      <c r="G36" s="460">
        <f t="shared" si="5"/>
        <v>1450</v>
      </c>
      <c r="H36" s="215">
        <f t="shared" si="0"/>
        <v>28000</v>
      </c>
      <c r="I36" s="218">
        <f t="shared" si="6"/>
        <v>3.853601688951442E-2</v>
      </c>
      <c r="J36" s="219">
        <f t="shared" si="12"/>
        <v>0.98034570004866572</v>
      </c>
      <c r="K36" s="220">
        <f t="shared" si="7"/>
        <v>1.4249367464717315</v>
      </c>
      <c r="L36" s="217">
        <v>10</v>
      </c>
      <c r="M36" s="217">
        <v>150</v>
      </c>
      <c r="N36" s="220">
        <f t="shared" si="2"/>
        <v>5.2333333333333334</v>
      </c>
      <c r="O36" s="221">
        <v>0.17911392405063289</v>
      </c>
      <c r="P36" s="565" t="str">
        <f t="shared" si="3"/>
        <v>Ø10a150</v>
      </c>
      <c r="Q36" s="200">
        <f>VLOOKUP(P36,'tra thep'!$E$11:$F$62,2,)</f>
        <v>5.23</v>
      </c>
      <c r="R36" s="193">
        <f t="shared" si="4"/>
        <v>2142.8571428571427</v>
      </c>
      <c r="S36" s="212" t="str">
        <f t="shared" si="8"/>
        <v/>
      </c>
      <c r="U36" s="397"/>
      <c r="V36" s="212"/>
      <c r="Z36" s="212"/>
    </row>
    <row r="37" spans="1:26" ht="15.75">
      <c r="A37" s="185"/>
      <c r="B37" s="222" t="str">
        <f>B35</f>
        <v>S8</v>
      </c>
      <c r="C37" s="214" t="s">
        <v>455</v>
      </c>
      <c r="D37" s="517">
        <f t="array" ref="D37">VLOOKUP(B37&amp;C37,CHOOSE({1,2},(momensan!$C$12:$C$47)&amp;(momensan!$D$12:$D$47),momensan!$L$12:$L$47),2,0)</f>
        <v>0.63784319999999994</v>
      </c>
      <c r="E37" s="513">
        <f>TH!$I$45/10/100</f>
        <v>0.08</v>
      </c>
      <c r="F37" s="216">
        <v>1</v>
      </c>
      <c r="G37" s="460">
        <f t="shared" si="5"/>
        <v>1450</v>
      </c>
      <c r="H37" s="215">
        <f t="shared" si="0"/>
        <v>28000</v>
      </c>
      <c r="I37" s="218">
        <f t="shared" si="6"/>
        <v>6.8733103448275851E-2</v>
      </c>
      <c r="J37" s="219">
        <f t="shared" si="12"/>
        <v>0.9643634872337209</v>
      </c>
      <c r="K37" s="220">
        <f t="shared" si="7"/>
        <v>2.9527396292059827</v>
      </c>
      <c r="L37" s="217">
        <v>10</v>
      </c>
      <c r="M37" s="217">
        <v>150</v>
      </c>
      <c r="N37" s="220">
        <f t="shared" si="2"/>
        <v>5.2333333333333334</v>
      </c>
      <c r="O37" s="221">
        <v>0.39450980392156865</v>
      </c>
      <c r="P37" s="565" t="str">
        <f t="shared" si="3"/>
        <v>Ø10a150</v>
      </c>
      <c r="Q37" s="200">
        <f>VLOOKUP(P37,'tra thep'!$E$11:$F$62,2,)</f>
        <v>5.23</v>
      </c>
      <c r="R37" s="193">
        <f t="shared" si="4"/>
        <v>1875</v>
      </c>
      <c r="S37" s="212" t="str">
        <f t="shared" si="8"/>
        <v/>
      </c>
      <c r="U37" s="397"/>
      <c r="V37" s="212"/>
      <c r="Z37" s="212"/>
    </row>
    <row r="38" spans="1:26" ht="15.75">
      <c r="A38" s="185"/>
      <c r="B38" s="223" t="str">
        <f>B35</f>
        <v>S8</v>
      </c>
      <c r="C38" s="214" t="s">
        <v>456</v>
      </c>
      <c r="D38" s="517">
        <f t="array" ref="D38">VLOOKUP(B38&amp;C38,CHOOSE({1,2},(momensan!$C$12:$C$47)&amp;(momensan!$D$12:$D$47),momensan!$L$12:$L$47),2,0)</f>
        <v>0.63784319999999994</v>
      </c>
      <c r="E38" s="513">
        <f>TH!$I$45/10/100</f>
        <v>0.08</v>
      </c>
      <c r="F38" s="216">
        <v>1</v>
      </c>
      <c r="G38" s="460">
        <f t="shared" si="5"/>
        <v>1450</v>
      </c>
      <c r="H38" s="215">
        <f t="shared" si="0"/>
        <v>28000</v>
      </c>
      <c r="I38" s="218">
        <f t="shared" si="6"/>
        <v>6.8733103448275851E-2</v>
      </c>
      <c r="J38" s="219">
        <f t="shared" si="12"/>
        <v>0.9643634872337209</v>
      </c>
      <c r="K38" s="220">
        <f t="shared" si="7"/>
        <v>2.9527396292059827</v>
      </c>
      <c r="L38" s="217">
        <v>10</v>
      </c>
      <c r="M38" s="217">
        <v>150</v>
      </c>
      <c r="N38" s="220">
        <f t="shared" si="2"/>
        <v>5.2333333333333334</v>
      </c>
      <c r="O38" s="221">
        <v>0.16647058823529412</v>
      </c>
      <c r="P38" s="565" t="str">
        <f t="shared" si="3"/>
        <v>Ø10a150</v>
      </c>
      <c r="Q38" s="200">
        <f>VLOOKUP(P38,'tra thep'!$E$11:$F$62,2,)</f>
        <v>5.23</v>
      </c>
      <c r="R38" s="193">
        <f t="shared" si="4"/>
        <v>1875</v>
      </c>
      <c r="S38" s="212" t="str">
        <f t="shared" si="8"/>
        <v/>
      </c>
      <c r="U38" s="397"/>
      <c r="V38" s="212"/>
      <c r="Z38" s="212"/>
    </row>
    <row r="39" spans="1:26" ht="15.75">
      <c r="A39" s="185"/>
      <c r="B39" s="213" t="s">
        <v>112</v>
      </c>
      <c r="C39" s="214" t="s">
        <v>453</v>
      </c>
      <c r="D39" s="517">
        <f t="array" ref="D39">VLOOKUP(B39&amp;C39,CHOOSE({1,2},(momensan!$C$12:$C$47)&amp;(momensan!$D$12:$D$47),momensan!$L$12:$L$47),2,0)</f>
        <v>0.1084104</v>
      </c>
      <c r="E39" s="513">
        <f>TH!$I$45/10/100</f>
        <v>0.08</v>
      </c>
      <c r="F39" s="216">
        <v>1</v>
      </c>
      <c r="G39" s="460">
        <f t="shared" si="5"/>
        <v>1450</v>
      </c>
      <c r="H39" s="215">
        <f t="shared" si="0"/>
        <v>28000</v>
      </c>
      <c r="I39" s="218">
        <f t="shared" si="6"/>
        <v>1.1682155172413793E-2</v>
      </c>
      <c r="J39" s="219">
        <f>0.5*(1+SQRT(1-2*I39))</f>
        <v>0.99412439973532285</v>
      </c>
      <c r="K39" s="220">
        <f t="shared" si="7"/>
        <v>0.48683545050182275</v>
      </c>
      <c r="L39" s="217">
        <v>10</v>
      </c>
      <c r="M39" s="217">
        <v>150</v>
      </c>
      <c r="N39" s="220">
        <f t="shared" si="2"/>
        <v>5.2333333333333334</v>
      </c>
      <c r="O39" s="221">
        <v>0.16647058823529412</v>
      </c>
      <c r="P39" s="565" t="str">
        <f t="shared" si="3"/>
        <v>Ø10a150</v>
      </c>
      <c r="Q39" s="200">
        <f>VLOOKUP(P39,'tra thep'!$E$11:$F$62,2,)</f>
        <v>5.23</v>
      </c>
      <c r="R39" s="193">
        <f t="shared" si="4"/>
        <v>1875</v>
      </c>
      <c r="S39" s="212" t="str">
        <f t="shared" si="8"/>
        <v/>
      </c>
      <c r="U39" s="397"/>
      <c r="V39" s="212"/>
      <c r="Z39" s="212"/>
    </row>
    <row r="40" spans="1:26" ht="15.75">
      <c r="A40" s="185"/>
      <c r="B40" s="222" t="str">
        <f>B39</f>
        <v>S9</v>
      </c>
      <c r="C40" s="214" t="s">
        <v>454</v>
      </c>
      <c r="D40" s="517">
        <f t="array" ref="D40">VLOOKUP(B40&amp;C40,CHOOSE({1,2},(momensan!$C$12:$C$47)&amp;(momensan!$D$12:$D$47),momensan!$L$12:$L$47),2,0)</f>
        <v>5.93676E-2</v>
      </c>
      <c r="E40" s="513">
        <f>(TH!$I$45/10-(L40+L39)/2/10)/100</f>
        <v>7.0000000000000007E-2</v>
      </c>
      <c r="F40" s="216">
        <v>1</v>
      </c>
      <c r="G40" s="460">
        <f t="shared" si="5"/>
        <v>1450</v>
      </c>
      <c r="H40" s="215">
        <f t="shared" si="0"/>
        <v>28000</v>
      </c>
      <c r="I40" s="218">
        <f t="shared" si="6"/>
        <v>8.3557494722026719E-3</v>
      </c>
      <c r="J40" s="219">
        <f t="shared" si="12"/>
        <v>0.99580452323864355</v>
      </c>
      <c r="K40" s="220">
        <f t="shared" si="7"/>
        <v>0.30417206519834034</v>
      </c>
      <c r="L40" s="217">
        <v>10</v>
      </c>
      <c r="M40" s="217">
        <v>150</v>
      </c>
      <c r="N40" s="220">
        <f t="shared" si="2"/>
        <v>5.2333333333333334</v>
      </c>
      <c r="O40" s="221">
        <v>0.17911392405063289</v>
      </c>
      <c r="P40" s="565" t="str">
        <f t="shared" si="3"/>
        <v>Ø10a150</v>
      </c>
      <c r="Q40" s="200">
        <f>VLOOKUP(P40,'tra thep'!$E$11:$F$62,2,)</f>
        <v>5.23</v>
      </c>
      <c r="R40" s="193">
        <f t="shared" si="4"/>
        <v>2142.8571428571427</v>
      </c>
      <c r="S40" s="212" t="str">
        <f t="shared" si="8"/>
        <v/>
      </c>
      <c r="U40" s="397"/>
      <c r="V40" s="212"/>
      <c r="Z40" s="212"/>
    </row>
    <row r="41" spans="1:26" ht="15.75">
      <c r="A41" s="185"/>
      <c r="B41" s="222" t="str">
        <f>B39</f>
        <v>S9</v>
      </c>
      <c r="C41" s="214" t="s">
        <v>455</v>
      </c>
      <c r="D41" s="517">
        <f t="array" ref="D41">VLOOKUP(B41&amp;C41,CHOOSE({1,2},(momensan!$C$12:$C$47)&amp;(momensan!$D$12:$D$47),momensan!$L$12:$L$47),2,0)</f>
        <v>0.24469775999999999</v>
      </c>
      <c r="E41" s="513">
        <f>TH!$I$45/10/100</f>
        <v>0.08</v>
      </c>
      <c r="F41" s="216">
        <v>1</v>
      </c>
      <c r="G41" s="460">
        <f t="shared" si="5"/>
        <v>1450</v>
      </c>
      <c r="H41" s="215">
        <f t="shared" si="0"/>
        <v>28000</v>
      </c>
      <c r="I41" s="218">
        <f t="shared" si="6"/>
        <v>2.6368293103448272E-2</v>
      </c>
      <c r="J41" s="219">
        <f t="shared" si="12"/>
        <v>0.98663729146899115</v>
      </c>
      <c r="K41" s="220">
        <f t="shared" si="7"/>
        <v>1.1071958497121606</v>
      </c>
      <c r="L41" s="217">
        <v>10</v>
      </c>
      <c r="M41" s="217">
        <v>150</v>
      </c>
      <c r="N41" s="220">
        <f t="shared" si="2"/>
        <v>5.2333333333333334</v>
      </c>
      <c r="O41" s="221">
        <v>0.39450980392156865</v>
      </c>
      <c r="P41" s="565" t="str">
        <f t="shared" si="3"/>
        <v>Ø10a150</v>
      </c>
      <c r="Q41" s="200">
        <f>VLOOKUP(P41,'tra thep'!$E$11:$F$62,2,)</f>
        <v>5.23</v>
      </c>
      <c r="R41" s="193">
        <f t="shared" si="4"/>
        <v>1875</v>
      </c>
      <c r="S41" s="212" t="str">
        <f t="shared" si="8"/>
        <v/>
      </c>
      <c r="U41" s="397"/>
      <c r="V41" s="212"/>
      <c r="Z41" s="212"/>
    </row>
    <row r="42" spans="1:26" ht="15.75">
      <c r="A42" s="185"/>
      <c r="B42" s="223" t="str">
        <f>B39</f>
        <v>S9</v>
      </c>
      <c r="C42" s="214" t="s">
        <v>456</v>
      </c>
      <c r="D42" s="517">
        <f t="array" ref="D42">VLOOKUP(B42&amp;C42,CHOOSE({1,2},(momensan!$C$12:$C$47)&amp;(momensan!$D$12:$D$47),momensan!$L$12:$L$47),2,0)</f>
        <v>0.13525487999999999</v>
      </c>
      <c r="E42" s="513">
        <f>TH!$I$45/10/100</f>
        <v>0.08</v>
      </c>
      <c r="F42" s="216">
        <v>1</v>
      </c>
      <c r="G42" s="460">
        <f t="shared" si="5"/>
        <v>1450</v>
      </c>
      <c r="H42" s="215">
        <f t="shared" si="0"/>
        <v>28000</v>
      </c>
      <c r="I42" s="218">
        <f t="shared" si="6"/>
        <v>1.4574879310344827E-2</v>
      </c>
      <c r="J42" s="219">
        <f t="shared" si="12"/>
        <v>0.99265866514740975</v>
      </c>
      <c r="K42" s="220">
        <f t="shared" si="7"/>
        <v>0.60828203064319375</v>
      </c>
      <c r="L42" s="217">
        <v>10</v>
      </c>
      <c r="M42" s="217">
        <v>150</v>
      </c>
      <c r="N42" s="220">
        <f t="shared" si="2"/>
        <v>5.2333333333333334</v>
      </c>
      <c r="O42" s="221">
        <v>0.16647058823529412</v>
      </c>
      <c r="P42" s="565" t="str">
        <f t="shared" si="3"/>
        <v>Ø10a150</v>
      </c>
      <c r="Q42" s="200">
        <f>VLOOKUP(P42,'tra thep'!$E$11:$F$62,2,)</f>
        <v>5.23</v>
      </c>
      <c r="R42" s="193">
        <f t="shared" si="4"/>
        <v>1875</v>
      </c>
      <c r="S42" s="212" t="str">
        <f t="shared" si="8"/>
        <v/>
      </c>
      <c r="U42" s="397"/>
      <c r="V42" s="212"/>
      <c r="Z42" s="212"/>
    </row>
    <row r="43" spans="1:26" ht="15.75">
      <c r="A43" s="185"/>
      <c r="B43" s="213" t="s">
        <v>111</v>
      </c>
      <c r="C43" s="214" t="s">
        <v>453</v>
      </c>
      <c r="D43" s="517">
        <f t="array" ref="D43">VLOOKUP(B43&amp;C43,CHOOSE({1,2},(momensan!$C$12:$C$47)&amp;(momensan!$D$12:$D$47),momensan!$L$12:$L$47),2,0)</f>
        <v>0.23288160000000002</v>
      </c>
      <c r="E43" s="513">
        <f>TH!$I$45/10/100</f>
        <v>0.08</v>
      </c>
      <c r="F43" s="216">
        <v>1</v>
      </c>
      <c r="G43" s="460">
        <f t="shared" si="5"/>
        <v>1450</v>
      </c>
      <c r="H43" s="215">
        <f t="shared" si="0"/>
        <v>28000</v>
      </c>
      <c r="I43" s="218">
        <f t="shared" si="6"/>
        <v>2.5095000000000006E-2</v>
      </c>
      <c r="J43" s="219">
        <f>0.5*(1+SQRT(1-2*I43))</f>
        <v>0.98729098083178179</v>
      </c>
      <c r="K43" s="220">
        <f t="shared" si="7"/>
        <v>1.0530330167952171</v>
      </c>
      <c r="L43" s="217">
        <v>10</v>
      </c>
      <c r="M43" s="217">
        <v>150</v>
      </c>
      <c r="N43" s="220">
        <f t="shared" si="2"/>
        <v>5.2333333333333334</v>
      </c>
      <c r="O43" s="221">
        <v>0.16647058823529412</v>
      </c>
      <c r="P43" s="565" t="str">
        <f t="shared" si="3"/>
        <v>Ø10a150</v>
      </c>
      <c r="Q43" s="200">
        <f>VLOOKUP(P43,'tra thep'!$E$11:$F$62,2,)</f>
        <v>5.23</v>
      </c>
      <c r="R43" s="193">
        <f t="shared" si="4"/>
        <v>1875</v>
      </c>
      <c r="S43" s="212" t="str">
        <f t="shared" si="8"/>
        <v/>
      </c>
      <c r="U43" s="397"/>
      <c r="V43" s="212"/>
      <c r="Z43" s="212"/>
    </row>
    <row r="44" spans="1:26" ht="15.75">
      <c r="A44" s="185"/>
      <c r="B44" s="222" t="str">
        <f>B43</f>
        <v>S10</v>
      </c>
      <c r="C44" s="214" t="s">
        <v>454</v>
      </c>
      <c r="D44" s="517">
        <f t="array" ref="D44">VLOOKUP(B44&amp;C44,CHOOSE({1,2},(momensan!$C$12:$C$47)&amp;(momensan!$D$12:$D$47),momensan!$L$12:$L$47),2,0)</f>
        <v>0.12220739200000001</v>
      </c>
      <c r="E44" s="513">
        <f>(TH!$I$45/10-(L44+L43)/2/10)/100</f>
        <v>7.0000000000000007E-2</v>
      </c>
      <c r="F44" s="216">
        <v>1</v>
      </c>
      <c r="G44" s="460">
        <f t="shared" si="5"/>
        <v>1450</v>
      </c>
      <c r="H44" s="215">
        <f t="shared" si="0"/>
        <v>28000</v>
      </c>
      <c r="I44" s="218">
        <f t="shared" si="6"/>
        <v>1.7200195918367345E-2</v>
      </c>
      <c r="J44" s="219">
        <f t="shared" si="12"/>
        <v>0.99132464017268296</v>
      </c>
      <c r="K44" s="220">
        <f t="shared" si="7"/>
        <v>0.62896358748048975</v>
      </c>
      <c r="L44" s="217">
        <v>10</v>
      </c>
      <c r="M44" s="217">
        <v>150</v>
      </c>
      <c r="N44" s="220">
        <f t="shared" si="2"/>
        <v>5.2333333333333334</v>
      </c>
      <c r="O44" s="221">
        <v>0.17911392405063289</v>
      </c>
      <c r="P44" s="565" t="str">
        <f t="shared" si="3"/>
        <v>Ø10a150</v>
      </c>
      <c r="Q44" s="200">
        <f>VLOOKUP(P44,'tra thep'!$E$11:$F$62,2,)</f>
        <v>5.23</v>
      </c>
      <c r="R44" s="193">
        <f t="shared" si="4"/>
        <v>2142.8571428571427</v>
      </c>
      <c r="S44" s="212" t="str">
        <f t="shared" si="8"/>
        <v/>
      </c>
    </row>
    <row r="45" spans="1:26" ht="15.75">
      <c r="A45" s="185"/>
      <c r="B45" s="222" t="str">
        <f>B43</f>
        <v>S10</v>
      </c>
      <c r="C45" s="214" t="s">
        <v>455</v>
      </c>
      <c r="D45" s="517">
        <f t="array" ref="D45">VLOOKUP(B45&amp;C45,CHOOSE({1,2},(momensan!$C$12:$C$47)&amp;(momensan!$D$12:$D$47),momensan!$L$12:$L$47),2,0)</f>
        <v>0.45844406400000021</v>
      </c>
      <c r="E45" s="513">
        <f>TH!$I$45/10/100</f>
        <v>0.08</v>
      </c>
      <c r="F45" s="216">
        <v>1</v>
      </c>
      <c r="G45" s="460">
        <f t="shared" si="5"/>
        <v>1450</v>
      </c>
      <c r="H45" s="215">
        <f t="shared" si="0"/>
        <v>28000</v>
      </c>
      <c r="I45" s="218">
        <f t="shared" si="6"/>
        <v>4.9401300000000023E-2</v>
      </c>
      <c r="J45" s="219">
        <f t="shared" si="12"/>
        <v>0.97465708674789631</v>
      </c>
      <c r="K45" s="220">
        <f t="shared" si="7"/>
        <v>2.0998413837457317</v>
      </c>
      <c r="L45" s="217">
        <v>10</v>
      </c>
      <c r="M45" s="217">
        <v>150</v>
      </c>
      <c r="N45" s="220">
        <f t="shared" si="2"/>
        <v>5.2333333333333334</v>
      </c>
      <c r="O45" s="221">
        <v>0.39450980392156865</v>
      </c>
      <c r="P45" s="565" t="str">
        <f t="shared" si="3"/>
        <v>Ø10a150</v>
      </c>
      <c r="Q45" s="200">
        <f>VLOOKUP(P45,'tra thep'!$E$11:$F$62,2,)</f>
        <v>5.23</v>
      </c>
      <c r="R45" s="193">
        <f t="shared" si="4"/>
        <v>1875</v>
      </c>
      <c r="S45" s="212" t="str">
        <f t="shared" si="8"/>
        <v/>
      </c>
    </row>
    <row r="46" spans="1:26" ht="15.75">
      <c r="A46" s="185"/>
      <c r="B46" s="223" t="str">
        <f>B43</f>
        <v>S10</v>
      </c>
      <c r="C46" s="214" t="s">
        <v>456</v>
      </c>
      <c r="D46" s="517">
        <f t="array" ref="D46">VLOOKUP(B46&amp;C46,CHOOSE({1,2},(momensan!$C$12:$C$47)&amp;(momensan!$D$12:$D$47),momensan!$L$12:$L$47),2,0)</f>
        <v>0.27590924800000011</v>
      </c>
      <c r="E46" s="513">
        <f>TH!$I$45/10/100</f>
        <v>0.08</v>
      </c>
      <c r="F46" s="216">
        <v>1</v>
      </c>
      <c r="G46" s="460">
        <f t="shared" si="5"/>
        <v>1450</v>
      </c>
      <c r="H46" s="215">
        <f t="shared" si="0"/>
        <v>28000</v>
      </c>
      <c r="I46" s="218">
        <f t="shared" si="6"/>
        <v>2.9731600000000011E-2</v>
      </c>
      <c r="J46" s="219">
        <f t="shared" si="12"/>
        <v>0.98490638271732411</v>
      </c>
      <c r="K46" s="220">
        <f t="shared" si="7"/>
        <v>1.2506140034217172</v>
      </c>
      <c r="L46" s="217">
        <v>10</v>
      </c>
      <c r="M46" s="217">
        <v>150</v>
      </c>
      <c r="N46" s="220">
        <f t="shared" si="2"/>
        <v>5.2333333333333334</v>
      </c>
      <c r="O46" s="221">
        <v>0.16647058823529412</v>
      </c>
      <c r="P46" s="565" t="str">
        <f t="shared" si="3"/>
        <v>Ø10a150</v>
      </c>
      <c r="Q46" s="200">
        <f>VLOOKUP(P46,'tra thep'!$E$11:$F$62,2,)</f>
        <v>5.23</v>
      </c>
      <c r="R46" s="193">
        <f t="shared" si="4"/>
        <v>1875</v>
      </c>
      <c r="S46" s="212" t="str">
        <f t="shared" si="8"/>
        <v/>
      </c>
    </row>
    <row r="47" spans="1:26">
      <c r="A47" s="185"/>
      <c r="B47" s="186"/>
      <c r="C47" s="186"/>
      <c r="D47" s="186"/>
      <c r="E47" s="186"/>
      <c r="F47" s="186"/>
      <c r="G47" s="186"/>
      <c r="H47" s="186"/>
      <c r="I47" s="189"/>
      <c r="J47" s="186"/>
      <c r="K47" s="186"/>
      <c r="L47" s="186"/>
      <c r="M47" s="186"/>
      <c r="N47" s="186"/>
      <c r="O47" s="187"/>
      <c r="P47" s="186"/>
      <c r="Q47" s="201"/>
      <c r="R47" s="186"/>
    </row>
    <row r="48" spans="1:26">
      <c r="A48" s="185"/>
      <c r="B48" s="186"/>
      <c r="C48" s="186"/>
      <c r="D48" s="186"/>
      <c r="E48" s="186"/>
      <c r="F48" s="186"/>
      <c r="G48" s="186"/>
      <c r="H48" s="186"/>
      <c r="I48" s="189"/>
      <c r="J48" s="186"/>
      <c r="K48" s="186"/>
      <c r="L48" s="186"/>
      <c r="M48" s="186"/>
      <c r="N48" s="186"/>
      <c r="O48" s="187"/>
      <c r="P48" s="186"/>
      <c r="Q48" s="201"/>
      <c r="R48" s="186"/>
    </row>
    <row r="49" spans="1:18">
      <c r="A49" s="185"/>
      <c r="B49" s="186"/>
      <c r="C49" s="186"/>
      <c r="D49" s="186"/>
      <c r="E49" s="186"/>
      <c r="F49" s="186"/>
      <c r="G49" s="186"/>
      <c r="H49" s="186"/>
      <c r="I49" s="189"/>
      <c r="J49" s="186"/>
      <c r="K49" s="186"/>
      <c r="L49" s="186"/>
      <c r="M49" s="186"/>
      <c r="N49" s="186"/>
      <c r="O49" s="187"/>
      <c r="P49" s="186"/>
      <c r="Q49" s="201"/>
      <c r="R49" s="186"/>
    </row>
    <row r="50" spans="1:18">
      <c r="A50" s="185"/>
      <c r="B50" s="186"/>
      <c r="C50" s="186"/>
      <c r="D50" s="186"/>
      <c r="E50" s="186"/>
      <c r="F50" s="186"/>
      <c r="G50" s="186"/>
      <c r="H50" s="186"/>
      <c r="I50" s="189"/>
      <c r="J50" s="186"/>
      <c r="K50" s="186"/>
      <c r="L50" s="186"/>
      <c r="M50" s="186"/>
      <c r="N50" s="186"/>
      <c r="O50" s="187"/>
      <c r="P50" s="186"/>
      <c r="Q50" s="201"/>
      <c r="R50" s="186"/>
    </row>
    <row r="51" spans="1:18">
      <c r="A51" s="185"/>
      <c r="B51" s="186"/>
      <c r="C51" s="186"/>
      <c r="D51" s="186"/>
      <c r="E51" s="186"/>
      <c r="F51" s="186"/>
      <c r="G51" s="186"/>
      <c r="H51" s="186"/>
      <c r="I51" s="189"/>
      <c r="J51" s="186"/>
      <c r="K51" s="186"/>
      <c r="L51" s="186"/>
      <c r="M51" s="186"/>
      <c r="N51" s="186"/>
      <c r="O51" s="187"/>
      <c r="P51" s="186"/>
      <c r="Q51" s="201"/>
      <c r="R51" s="186"/>
    </row>
    <row r="52" spans="1:18">
      <c r="A52" s="185"/>
      <c r="B52" s="186"/>
      <c r="C52" s="186"/>
      <c r="D52" s="186"/>
      <c r="E52" s="186"/>
      <c r="F52" s="186"/>
      <c r="G52" s="186"/>
      <c r="H52" s="186"/>
      <c r="I52" s="189"/>
      <c r="J52" s="186"/>
      <c r="K52" s="186"/>
      <c r="L52" s="186"/>
      <c r="M52" s="186"/>
      <c r="N52" s="186"/>
      <c r="O52" s="187"/>
      <c r="P52" s="186"/>
      <c r="Q52" s="201"/>
      <c r="R52" s="186"/>
    </row>
    <row r="53" spans="1:18">
      <c r="A53" s="185"/>
      <c r="B53" s="186"/>
      <c r="C53" s="186"/>
      <c r="D53" s="186"/>
      <c r="E53" s="186"/>
      <c r="F53" s="186"/>
      <c r="G53" s="186"/>
      <c r="H53" s="186"/>
      <c r="I53" s="189"/>
      <c r="J53" s="186"/>
      <c r="K53" s="186"/>
      <c r="L53" s="186"/>
      <c r="M53" s="186"/>
      <c r="N53" s="186"/>
      <c r="O53" s="187"/>
      <c r="P53" s="186"/>
      <c r="Q53" s="201"/>
      <c r="R53" s="186"/>
    </row>
    <row r="54" spans="1:18">
      <c r="A54" s="185"/>
      <c r="B54" s="185"/>
      <c r="C54" s="185"/>
      <c r="D54" s="185"/>
      <c r="E54" s="185"/>
      <c r="F54" s="185"/>
      <c r="G54" s="185"/>
      <c r="H54" s="185"/>
      <c r="I54" s="188"/>
      <c r="J54" s="185"/>
      <c r="K54" s="185"/>
      <c r="L54" s="185"/>
      <c r="M54" s="185"/>
      <c r="N54" s="185"/>
      <c r="O54" s="184"/>
      <c r="P54" s="185"/>
      <c r="Q54" s="195"/>
      <c r="R54" s="185"/>
    </row>
    <row r="55" spans="1:18">
      <c r="A55" s="185"/>
      <c r="B55" s="185"/>
      <c r="C55" s="185"/>
      <c r="D55" s="185"/>
      <c r="E55" s="185"/>
      <c r="F55" s="185"/>
      <c r="G55" s="185"/>
      <c r="H55" s="185"/>
      <c r="I55" s="188"/>
      <c r="J55" s="185"/>
      <c r="K55" s="185"/>
      <c r="L55" s="185"/>
      <c r="M55" s="185"/>
      <c r="N55" s="185"/>
      <c r="O55" s="184"/>
      <c r="P55" s="185"/>
      <c r="Q55" s="195"/>
      <c r="R55" s="185"/>
    </row>
    <row r="56" spans="1:18">
      <c r="A56" s="185"/>
      <c r="B56" s="185"/>
      <c r="C56" s="185"/>
      <c r="D56" s="185"/>
      <c r="E56" s="185"/>
      <c r="F56" s="185"/>
      <c r="G56" s="185"/>
      <c r="H56" s="185"/>
      <c r="I56" s="188"/>
      <c r="J56" s="185"/>
      <c r="K56" s="185"/>
      <c r="L56" s="185"/>
      <c r="M56" s="185"/>
      <c r="N56" s="185"/>
      <c r="O56" s="184"/>
      <c r="P56" s="185"/>
      <c r="Q56" s="195"/>
      <c r="R56" s="185"/>
    </row>
    <row r="57" spans="1:18">
      <c r="A57" s="185"/>
      <c r="B57" s="185"/>
      <c r="C57" s="185"/>
      <c r="D57" s="185"/>
      <c r="E57" s="185"/>
      <c r="F57" s="185"/>
      <c r="G57" s="185"/>
      <c r="H57" s="185"/>
      <c r="I57" s="188"/>
      <c r="J57" s="185"/>
      <c r="K57" s="185"/>
      <c r="L57" s="185"/>
      <c r="M57" s="185"/>
      <c r="N57" s="185"/>
      <c r="O57" s="184"/>
      <c r="P57" s="185"/>
      <c r="Q57" s="195"/>
      <c r="R57" s="185"/>
    </row>
    <row r="58" spans="1:18">
      <c r="A58" s="185"/>
      <c r="B58" s="185"/>
      <c r="C58" s="185"/>
      <c r="D58" s="185"/>
      <c r="E58" s="185"/>
      <c r="F58" s="185"/>
      <c r="G58" s="185"/>
      <c r="H58" s="185"/>
      <c r="I58" s="188"/>
      <c r="J58" s="185"/>
      <c r="K58" s="185"/>
      <c r="L58" s="185"/>
      <c r="M58" s="185"/>
      <c r="N58" s="185"/>
      <c r="O58" s="184"/>
      <c r="P58" s="185"/>
      <c r="Q58" s="195"/>
      <c r="R58" s="185"/>
    </row>
    <row r="59" spans="1:18">
      <c r="A59" s="185"/>
      <c r="B59" s="185"/>
      <c r="C59" s="185"/>
      <c r="D59" s="185"/>
      <c r="E59" s="185"/>
      <c r="F59" s="185"/>
      <c r="G59" s="185"/>
      <c r="H59" s="185"/>
      <c r="I59" s="188"/>
      <c r="J59" s="185"/>
      <c r="K59" s="185"/>
      <c r="L59" s="185"/>
      <c r="M59" s="185"/>
      <c r="N59" s="185"/>
      <c r="O59" s="184"/>
      <c r="P59" s="185"/>
      <c r="Q59" s="195"/>
      <c r="R59" s="185"/>
    </row>
    <row r="60" spans="1:18">
      <c r="A60" s="185"/>
      <c r="B60" s="185"/>
      <c r="C60" s="185"/>
      <c r="D60" s="185"/>
      <c r="E60" s="185"/>
      <c r="F60" s="185"/>
      <c r="G60" s="185"/>
      <c r="H60" s="185"/>
      <c r="I60" s="188"/>
      <c r="J60" s="185"/>
      <c r="K60" s="185"/>
      <c r="L60" s="185"/>
      <c r="M60" s="185"/>
      <c r="N60" s="185"/>
      <c r="O60" s="184"/>
      <c r="P60" s="185"/>
      <c r="Q60" s="195"/>
      <c r="R60" s="185"/>
    </row>
    <row r="61" spans="1:18">
      <c r="A61" s="185"/>
      <c r="B61" s="185"/>
      <c r="C61" s="185"/>
      <c r="D61" s="185"/>
      <c r="E61" s="185"/>
      <c r="F61" s="185"/>
      <c r="G61" s="185"/>
      <c r="H61" s="185"/>
      <c r="I61" s="188"/>
      <c r="J61" s="185"/>
      <c r="K61" s="185"/>
      <c r="L61" s="185"/>
      <c r="M61" s="185"/>
      <c r="N61" s="185"/>
      <c r="O61" s="184"/>
      <c r="P61" s="185"/>
      <c r="Q61" s="195"/>
      <c r="R61" s="185"/>
    </row>
    <row r="62" spans="1:18">
      <c r="A62" s="185"/>
      <c r="B62" s="185"/>
      <c r="C62" s="185"/>
      <c r="D62" s="185"/>
      <c r="E62" s="185"/>
      <c r="F62" s="185"/>
      <c r="G62" s="185"/>
      <c r="H62" s="185"/>
      <c r="I62" s="188"/>
      <c r="J62" s="185"/>
      <c r="K62" s="185"/>
      <c r="L62" s="185"/>
      <c r="M62" s="185"/>
      <c r="N62" s="185"/>
      <c r="O62" s="184"/>
      <c r="P62" s="185"/>
      <c r="Q62" s="195"/>
      <c r="R62" s="185"/>
    </row>
    <row r="63" spans="1:18">
      <c r="A63" s="185"/>
      <c r="B63" s="185"/>
      <c r="C63" s="185"/>
      <c r="D63" s="185"/>
      <c r="E63" s="185"/>
      <c r="F63" s="185"/>
      <c r="G63" s="185"/>
      <c r="H63" s="185"/>
      <c r="I63" s="188"/>
      <c r="J63" s="185"/>
      <c r="K63" s="185"/>
      <c r="L63" s="185"/>
      <c r="M63" s="185"/>
      <c r="N63" s="185"/>
      <c r="O63" s="184"/>
      <c r="P63" s="185"/>
      <c r="Q63" s="195"/>
      <c r="R63" s="185"/>
    </row>
    <row r="64" spans="1:18">
      <c r="A64" s="185"/>
      <c r="B64" s="185"/>
      <c r="C64" s="185"/>
      <c r="D64" s="185"/>
      <c r="E64" s="185"/>
      <c r="F64" s="185"/>
      <c r="G64" s="185"/>
      <c r="H64" s="185"/>
      <c r="I64" s="188"/>
      <c r="J64" s="185"/>
      <c r="K64" s="185"/>
      <c r="L64" s="185"/>
      <c r="M64" s="185"/>
      <c r="N64" s="185"/>
      <c r="O64" s="184"/>
      <c r="P64" s="185"/>
      <c r="Q64" s="195"/>
      <c r="R64" s="185"/>
    </row>
    <row r="65" spans="1:18">
      <c r="A65" s="185"/>
      <c r="B65" s="185"/>
      <c r="C65" s="185"/>
      <c r="D65" s="185"/>
      <c r="E65" s="185"/>
      <c r="F65" s="185"/>
      <c r="G65" s="185"/>
      <c r="H65" s="185"/>
      <c r="I65" s="188"/>
      <c r="J65" s="185"/>
      <c r="K65" s="185"/>
      <c r="L65" s="185"/>
      <c r="M65" s="185"/>
      <c r="N65" s="185"/>
      <c r="O65" s="184"/>
      <c r="P65" s="185"/>
      <c r="Q65" s="195"/>
      <c r="R65" s="185"/>
    </row>
    <row r="66" spans="1:18">
      <c r="A66" s="185"/>
      <c r="B66" s="185"/>
      <c r="C66" s="185"/>
      <c r="D66" s="185"/>
      <c r="E66" s="185"/>
      <c r="F66" s="185"/>
      <c r="G66" s="185"/>
      <c r="H66" s="185"/>
      <c r="I66" s="188"/>
      <c r="J66" s="185"/>
      <c r="K66" s="185"/>
      <c r="L66" s="185"/>
      <c r="M66" s="185"/>
      <c r="N66" s="185"/>
      <c r="O66" s="184"/>
      <c r="P66" s="185"/>
      <c r="Q66" s="195"/>
      <c r="R66" s="185"/>
    </row>
    <row r="67" spans="1:18">
      <c r="A67" s="185"/>
      <c r="B67" s="185"/>
      <c r="C67" s="185"/>
      <c r="D67" s="185"/>
      <c r="E67" s="185"/>
      <c r="F67" s="185"/>
      <c r="G67" s="185"/>
      <c r="H67" s="185"/>
      <c r="I67" s="188"/>
      <c r="J67" s="185"/>
      <c r="K67" s="185"/>
      <c r="L67" s="185"/>
      <c r="M67" s="185"/>
      <c r="N67" s="185"/>
      <c r="O67" s="184"/>
      <c r="P67" s="185"/>
      <c r="Q67" s="195"/>
      <c r="R67" s="185"/>
    </row>
    <row r="68" spans="1:18">
      <c r="A68" s="185"/>
      <c r="B68" s="185"/>
      <c r="C68" s="185"/>
      <c r="D68" s="185"/>
      <c r="E68" s="185"/>
      <c r="F68" s="185"/>
      <c r="G68" s="185"/>
      <c r="H68" s="185"/>
      <c r="I68" s="188"/>
      <c r="J68" s="185"/>
      <c r="K68" s="185"/>
      <c r="L68" s="185"/>
      <c r="M68" s="185"/>
      <c r="N68" s="185"/>
      <c r="O68" s="184"/>
      <c r="P68" s="185"/>
      <c r="Q68" s="195"/>
      <c r="R68" s="185"/>
    </row>
  </sheetData>
  <phoneticPr fontId="4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B6F7-E797-4E29-AC94-500E0AF055C0}">
  <dimension ref="A1:R99"/>
  <sheetViews>
    <sheetView topLeftCell="A88" workbookViewId="0">
      <selection sqref="A1:O99"/>
    </sheetView>
  </sheetViews>
  <sheetFormatPr defaultRowHeight="15"/>
  <cols>
    <col min="2" max="2" width="9.140625" customWidth="1"/>
    <col min="7" max="7" width="9.140625" style="212"/>
  </cols>
  <sheetData>
    <row r="1" spans="1:18" ht="15.75">
      <c r="A1" s="798" t="s">
        <v>668</v>
      </c>
      <c r="B1" s="798" t="s">
        <v>975</v>
      </c>
      <c r="C1" s="798" t="s">
        <v>976</v>
      </c>
      <c r="D1" s="785" t="s">
        <v>244</v>
      </c>
      <c r="E1" s="785" t="s">
        <v>977</v>
      </c>
      <c r="F1" s="785" t="s">
        <v>978</v>
      </c>
      <c r="G1" s="804" t="s">
        <v>979</v>
      </c>
      <c r="H1" s="785" t="s">
        <v>980</v>
      </c>
      <c r="I1" s="785" t="s">
        <v>982</v>
      </c>
      <c r="J1" s="785" t="s">
        <v>983</v>
      </c>
      <c r="K1" s="785" t="s">
        <v>985</v>
      </c>
      <c r="L1" s="801" t="s">
        <v>987</v>
      </c>
      <c r="M1" s="789" t="s">
        <v>988</v>
      </c>
      <c r="N1" s="791" t="s">
        <v>990</v>
      </c>
      <c r="O1" s="789" t="s">
        <v>991</v>
      </c>
    </row>
    <row r="2" spans="1:18">
      <c r="A2" s="799"/>
      <c r="B2" s="799"/>
      <c r="C2" s="799"/>
      <c r="D2" s="786" t="s">
        <v>58</v>
      </c>
      <c r="E2" s="786" t="s">
        <v>58</v>
      </c>
      <c r="F2" s="786" t="s">
        <v>58</v>
      </c>
      <c r="G2" s="805" t="s">
        <v>58</v>
      </c>
      <c r="H2" s="786" t="s">
        <v>981</v>
      </c>
      <c r="I2" s="786" t="s">
        <v>981</v>
      </c>
      <c r="J2" s="786" t="s">
        <v>647</v>
      </c>
      <c r="K2" s="786" t="s">
        <v>986</v>
      </c>
      <c r="L2" s="802"/>
      <c r="M2" s="790" t="s">
        <v>989</v>
      </c>
      <c r="N2" s="790" t="s">
        <v>717</v>
      </c>
      <c r="O2" s="790" t="s">
        <v>989</v>
      </c>
    </row>
    <row r="3" spans="1:18" ht="15.75" thickBot="1">
      <c r="A3" s="800"/>
      <c r="B3" s="800"/>
      <c r="C3" s="800"/>
      <c r="D3" s="787"/>
      <c r="E3" s="787"/>
      <c r="F3" s="787"/>
      <c r="G3" s="806"/>
      <c r="H3" s="787"/>
      <c r="I3" s="787"/>
      <c r="J3" s="788" t="s">
        <v>984</v>
      </c>
      <c r="K3" s="787"/>
      <c r="L3" s="803"/>
      <c r="M3" s="787"/>
      <c r="N3" s="787"/>
      <c r="O3" s="787"/>
    </row>
    <row r="4" spans="1:18" ht="16.5" thickTop="1" thickBot="1">
      <c r="A4" s="792" t="s">
        <v>992</v>
      </c>
      <c r="B4" s="793" t="s">
        <v>993</v>
      </c>
      <c r="C4" s="794">
        <v>149</v>
      </c>
      <c r="D4" s="794">
        <v>0.2</v>
      </c>
      <c r="E4" s="794">
        <v>0.2</v>
      </c>
      <c r="F4" s="794">
        <v>2.7</v>
      </c>
      <c r="G4" s="807">
        <v>0</v>
      </c>
      <c r="H4" s="795">
        <v>0.84</v>
      </c>
      <c r="I4" s="795">
        <v>0.63</v>
      </c>
      <c r="J4" s="795">
        <v>-15.49</v>
      </c>
      <c r="K4" s="796">
        <v>3.2</v>
      </c>
      <c r="L4" s="797" t="s">
        <v>994</v>
      </c>
      <c r="M4" s="796">
        <f>ROUND(Q4*(R4/2)^2*PI()/100,1)</f>
        <v>10.199999999999999</v>
      </c>
      <c r="N4" s="795">
        <v>3.4</v>
      </c>
      <c r="O4" s="795">
        <f>M4-K4</f>
        <v>6.9999999999999991</v>
      </c>
      <c r="P4" t="str">
        <f>IF(O4&lt;0,"THIEU THEP","")</f>
        <v/>
      </c>
      <c r="Q4">
        <v>4</v>
      </c>
      <c r="R4">
        <v>18</v>
      </c>
    </row>
    <row r="5" spans="1:18" ht="15.75" thickBot="1">
      <c r="A5" s="792" t="s">
        <v>992</v>
      </c>
      <c r="B5" s="793" t="s">
        <v>993</v>
      </c>
      <c r="C5" s="794">
        <v>149</v>
      </c>
      <c r="D5" s="794">
        <v>0.2</v>
      </c>
      <c r="E5" s="794">
        <v>0.2</v>
      </c>
      <c r="F5" s="794">
        <v>2.7</v>
      </c>
      <c r="G5" s="807">
        <v>2.7</v>
      </c>
      <c r="H5" s="795">
        <v>0.63</v>
      </c>
      <c r="I5" s="795">
        <v>0.36</v>
      </c>
      <c r="J5" s="795">
        <v>-15.49</v>
      </c>
      <c r="K5" s="796">
        <v>0.6</v>
      </c>
      <c r="L5" s="797" t="s">
        <v>994</v>
      </c>
      <c r="M5" s="796">
        <f t="shared" ref="M5:M68" si="0">ROUND(Q5*(R5/2)^2*PI()/100,1)</f>
        <v>10.199999999999999</v>
      </c>
      <c r="N5" s="795">
        <v>3.4</v>
      </c>
      <c r="O5" s="795">
        <f t="shared" ref="O5:O68" si="1">M5-K5</f>
        <v>9.6</v>
      </c>
      <c r="P5" t="str">
        <f t="shared" ref="P5:P68" si="2">IF(O5&lt;0,"THIEU THEP","")</f>
        <v/>
      </c>
      <c r="Q5">
        <v>4</v>
      </c>
      <c r="R5">
        <v>18</v>
      </c>
    </row>
    <row r="6" spans="1:18" ht="15.75" thickBot="1">
      <c r="A6" s="792" t="s">
        <v>992</v>
      </c>
      <c r="B6" s="793" t="s">
        <v>993</v>
      </c>
      <c r="C6" s="794">
        <v>149</v>
      </c>
      <c r="D6" s="794">
        <v>0.2</v>
      </c>
      <c r="E6" s="794">
        <v>0.2</v>
      </c>
      <c r="F6" s="794">
        <v>2.7</v>
      </c>
      <c r="G6" s="807">
        <v>0</v>
      </c>
      <c r="H6" s="795">
        <v>-0.69</v>
      </c>
      <c r="I6" s="795">
        <v>-0.67</v>
      </c>
      <c r="J6" s="795">
        <v>-28.07</v>
      </c>
      <c r="K6" s="796">
        <v>0.6</v>
      </c>
      <c r="L6" s="797" t="s">
        <v>994</v>
      </c>
      <c r="M6" s="796">
        <f t="shared" si="0"/>
        <v>10.199999999999999</v>
      </c>
      <c r="N6" s="795">
        <v>3.4</v>
      </c>
      <c r="O6" s="795">
        <f t="shared" si="1"/>
        <v>9.6</v>
      </c>
      <c r="P6" t="str">
        <f t="shared" si="2"/>
        <v/>
      </c>
      <c r="Q6">
        <v>4</v>
      </c>
      <c r="R6">
        <v>18</v>
      </c>
    </row>
    <row r="7" spans="1:18" ht="15.75" thickBot="1">
      <c r="A7" s="792" t="s">
        <v>992</v>
      </c>
      <c r="B7" s="793" t="s">
        <v>993</v>
      </c>
      <c r="C7" s="794">
        <v>149</v>
      </c>
      <c r="D7" s="794">
        <v>0.2</v>
      </c>
      <c r="E7" s="794">
        <v>0.2</v>
      </c>
      <c r="F7" s="794">
        <v>2.7</v>
      </c>
      <c r="G7" s="807">
        <v>2.7</v>
      </c>
      <c r="H7" s="795">
        <v>-0.8</v>
      </c>
      <c r="I7" s="795">
        <v>-0.2</v>
      </c>
      <c r="J7" s="795">
        <v>-28.07</v>
      </c>
      <c r="K7" s="796">
        <v>0.6</v>
      </c>
      <c r="L7" s="797" t="s">
        <v>994</v>
      </c>
      <c r="M7" s="796">
        <f t="shared" si="0"/>
        <v>10.199999999999999</v>
      </c>
      <c r="N7" s="795">
        <v>3.4</v>
      </c>
      <c r="O7" s="795">
        <f t="shared" si="1"/>
        <v>9.6</v>
      </c>
      <c r="P7" t="str">
        <f t="shared" si="2"/>
        <v/>
      </c>
      <c r="Q7">
        <v>4</v>
      </c>
      <c r="R7">
        <v>18</v>
      </c>
    </row>
    <row r="8" spans="1:18" ht="15.75" thickBot="1">
      <c r="A8" s="792" t="s">
        <v>995</v>
      </c>
      <c r="B8" s="793" t="s">
        <v>993</v>
      </c>
      <c r="C8" s="794">
        <v>150</v>
      </c>
      <c r="D8" s="794">
        <v>0.2</v>
      </c>
      <c r="E8" s="794">
        <v>0.2</v>
      </c>
      <c r="F8" s="794">
        <v>3.6</v>
      </c>
      <c r="G8" s="807">
        <v>0</v>
      </c>
      <c r="H8" s="795">
        <v>1.1499999999999999</v>
      </c>
      <c r="I8" s="795">
        <v>0.88</v>
      </c>
      <c r="J8" s="795">
        <v>-7.45</v>
      </c>
      <c r="K8" s="796">
        <v>13.3</v>
      </c>
      <c r="L8" s="797" t="s">
        <v>994</v>
      </c>
      <c r="M8" s="796">
        <f t="shared" si="0"/>
        <v>15.2</v>
      </c>
      <c r="N8" s="795">
        <v>3.4</v>
      </c>
      <c r="O8" s="795">
        <f t="shared" si="1"/>
        <v>1.8999999999999986</v>
      </c>
      <c r="P8" t="str">
        <f t="shared" si="2"/>
        <v/>
      </c>
      <c r="Q8">
        <v>4</v>
      </c>
      <c r="R8">
        <v>22</v>
      </c>
    </row>
    <row r="9" spans="1:18" ht="15.75" thickBot="1">
      <c r="A9" s="792" t="s">
        <v>995</v>
      </c>
      <c r="B9" s="793" t="s">
        <v>993</v>
      </c>
      <c r="C9" s="794">
        <v>150</v>
      </c>
      <c r="D9" s="794">
        <v>0.2</v>
      </c>
      <c r="E9" s="794">
        <v>0.2</v>
      </c>
      <c r="F9" s="794">
        <v>3.6</v>
      </c>
      <c r="G9" s="807">
        <v>3.6</v>
      </c>
      <c r="H9" s="795">
        <v>0.97</v>
      </c>
      <c r="I9" s="795">
        <v>0.49</v>
      </c>
      <c r="J9" s="795">
        <v>-7.45</v>
      </c>
      <c r="K9" s="796">
        <v>8.1</v>
      </c>
      <c r="L9" s="797" t="s">
        <v>994</v>
      </c>
      <c r="M9" s="796">
        <f t="shared" si="0"/>
        <v>10.199999999999999</v>
      </c>
      <c r="N9" s="795">
        <v>3.4</v>
      </c>
      <c r="O9" s="795">
        <f t="shared" si="1"/>
        <v>2.0999999999999996</v>
      </c>
      <c r="P9" t="str">
        <f t="shared" si="2"/>
        <v/>
      </c>
      <c r="Q9">
        <v>4</v>
      </c>
      <c r="R9">
        <v>18</v>
      </c>
    </row>
    <row r="10" spans="1:18" ht="15.75" thickBot="1">
      <c r="A10" s="792" t="s">
        <v>995</v>
      </c>
      <c r="B10" s="793" t="s">
        <v>993</v>
      </c>
      <c r="C10" s="794">
        <v>150</v>
      </c>
      <c r="D10" s="794">
        <v>0.2</v>
      </c>
      <c r="E10" s="794">
        <v>0.2</v>
      </c>
      <c r="F10" s="794">
        <v>3.6</v>
      </c>
      <c r="G10" s="807">
        <v>0</v>
      </c>
      <c r="H10" s="795">
        <v>-0.96</v>
      </c>
      <c r="I10" s="795">
        <v>-0.95</v>
      </c>
      <c r="J10" s="795">
        <v>-15.45</v>
      </c>
      <c r="K10" s="796">
        <v>8.6999999999999993</v>
      </c>
      <c r="L10" s="797" t="s">
        <v>994</v>
      </c>
      <c r="M10" s="796">
        <f t="shared" si="0"/>
        <v>10.199999999999999</v>
      </c>
      <c r="N10" s="795">
        <v>3.4</v>
      </c>
      <c r="O10" s="795">
        <f t="shared" si="1"/>
        <v>1.5</v>
      </c>
      <c r="P10" t="str">
        <f t="shared" si="2"/>
        <v/>
      </c>
      <c r="Q10">
        <v>4</v>
      </c>
      <c r="R10">
        <v>18</v>
      </c>
    </row>
    <row r="11" spans="1:18" ht="15.75" thickBot="1">
      <c r="A11" s="792" t="s">
        <v>995</v>
      </c>
      <c r="B11" s="793" t="s">
        <v>993</v>
      </c>
      <c r="C11" s="794">
        <v>150</v>
      </c>
      <c r="D11" s="794">
        <v>0.2</v>
      </c>
      <c r="E11" s="794">
        <v>0.2</v>
      </c>
      <c r="F11" s="794">
        <v>3.6</v>
      </c>
      <c r="G11" s="807">
        <v>3.6</v>
      </c>
      <c r="H11" s="795">
        <v>-1.1599999999999999</v>
      </c>
      <c r="I11" s="795">
        <v>-0.24</v>
      </c>
      <c r="J11" s="795">
        <v>-15.45</v>
      </c>
      <c r="K11" s="796">
        <v>4.5999999999999996</v>
      </c>
      <c r="L11" s="797" t="s">
        <v>994</v>
      </c>
      <c r="M11" s="796">
        <f t="shared" si="0"/>
        <v>10.199999999999999</v>
      </c>
      <c r="N11" s="795">
        <v>3.4</v>
      </c>
      <c r="O11" s="795">
        <f t="shared" si="1"/>
        <v>5.6</v>
      </c>
      <c r="P11" t="str">
        <f t="shared" si="2"/>
        <v/>
      </c>
      <c r="Q11">
        <v>4</v>
      </c>
      <c r="R11">
        <v>18</v>
      </c>
    </row>
    <row r="12" spans="1:18" ht="15.75" thickBot="1">
      <c r="A12" s="792" t="s">
        <v>996</v>
      </c>
      <c r="B12" s="793" t="s">
        <v>993</v>
      </c>
      <c r="C12" s="794">
        <v>151</v>
      </c>
      <c r="D12" s="794">
        <v>0.2</v>
      </c>
      <c r="E12" s="794">
        <v>0.2</v>
      </c>
      <c r="F12" s="794">
        <v>3.6</v>
      </c>
      <c r="G12" s="807">
        <v>0</v>
      </c>
      <c r="H12" s="795">
        <v>0.42</v>
      </c>
      <c r="I12" s="795">
        <v>0.5</v>
      </c>
      <c r="J12" s="795">
        <v>0.85</v>
      </c>
      <c r="K12" s="796">
        <v>7.5</v>
      </c>
      <c r="L12" s="797" t="s">
        <v>994</v>
      </c>
      <c r="M12" s="796">
        <f t="shared" si="0"/>
        <v>10.199999999999999</v>
      </c>
      <c r="N12" s="795">
        <v>3.4</v>
      </c>
      <c r="O12" s="795">
        <f t="shared" si="1"/>
        <v>2.6999999999999993</v>
      </c>
      <c r="P12" t="str">
        <f t="shared" si="2"/>
        <v/>
      </c>
      <c r="Q12">
        <v>4</v>
      </c>
      <c r="R12">
        <v>18</v>
      </c>
    </row>
    <row r="13" spans="1:18" ht="15.75" thickBot="1">
      <c r="A13" s="792" t="s">
        <v>996</v>
      </c>
      <c r="B13" s="793" t="s">
        <v>993</v>
      </c>
      <c r="C13" s="794">
        <v>151</v>
      </c>
      <c r="D13" s="794">
        <v>0.2</v>
      </c>
      <c r="E13" s="794">
        <v>0.2</v>
      </c>
      <c r="F13" s="794">
        <v>3.6</v>
      </c>
      <c r="G13" s="807">
        <v>3.6</v>
      </c>
      <c r="H13" s="795">
        <v>0.32</v>
      </c>
      <c r="I13" s="795">
        <v>0.16</v>
      </c>
      <c r="J13" s="795">
        <v>0.85</v>
      </c>
      <c r="K13" s="796">
        <v>3.6</v>
      </c>
      <c r="L13" s="797" t="s">
        <v>994</v>
      </c>
      <c r="M13" s="796">
        <f t="shared" si="0"/>
        <v>10.199999999999999</v>
      </c>
      <c r="N13" s="795">
        <v>3.4</v>
      </c>
      <c r="O13" s="795">
        <f t="shared" si="1"/>
        <v>6.6</v>
      </c>
      <c r="P13" t="str">
        <f t="shared" si="2"/>
        <v/>
      </c>
      <c r="Q13">
        <v>4</v>
      </c>
      <c r="R13">
        <v>18</v>
      </c>
    </row>
    <row r="14" spans="1:18" ht="15.75" thickBot="1">
      <c r="A14" s="792" t="s">
        <v>996</v>
      </c>
      <c r="B14" s="793" t="s">
        <v>993</v>
      </c>
      <c r="C14" s="794">
        <v>151</v>
      </c>
      <c r="D14" s="794">
        <v>0.2</v>
      </c>
      <c r="E14" s="794">
        <v>0.2</v>
      </c>
      <c r="F14" s="794">
        <v>3.6</v>
      </c>
      <c r="G14" s="808">
        <v>0</v>
      </c>
      <c r="H14" s="795">
        <v>-0.3</v>
      </c>
      <c r="I14" s="795">
        <v>-0.53</v>
      </c>
      <c r="J14" s="795">
        <v>-2.77</v>
      </c>
      <c r="K14" s="796">
        <v>5.2</v>
      </c>
      <c r="L14" s="797" t="s">
        <v>994</v>
      </c>
      <c r="M14" s="796">
        <f t="shared" si="0"/>
        <v>10.199999999999999</v>
      </c>
      <c r="N14" s="795">
        <v>3.4</v>
      </c>
      <c r="O14" s="795">
        <f t="shared" si="1"/>
        <v>4.9999999999999991</v>
      </c>
      <c r="P14" t="str">
        <f t="shared" si="2"/>
        <v/>
      </c>
      <c r="Q14">
        <v>4</v>
      </c>
      <c r="R14">
        <v>18</v>
      </c>
    </row>
    <row r="15" spans="1:18" ht="15.75" thickBot="1">
      <c r="A15" s="792" t="s">
        <v>996</v>
      </c>
      <c r="B15" s="793" t="s">
        <v>993</v>
      </c>
      <c r="C15" s="794">
        <v>151</v>
      </c>
      <c r="D15" s="794">
        <v>0.2</v>
      </c>
      <c r="E15" s="794">
        <v>0.2</v>
      </c>
      <c r="F15" s="794">
        <v>3.6</v>
      </c>
      <c r="G15" s="808">
        <v>3.6</v>
      </c>
      <c r="H15" s="795">
        <v>-0.43</v>
      </c>
      <c r="I15" s="795">
        <v>0.02</v>
      </c>
      <c r="J15" s="795">
        <v>-2.77</v>
      </c>
      <c r="K15" s="796">
        <v>1.8</v>
      </c>
      <c r="L15" s="797" t="s">
        <v>994</v>
      </c>
      <c r="M15" s="796">
        <f t="shared" si="0"/>
        <v>10.199999999999999</v>
      </c>
      <c r="N15" s="795">
        <v>3.4</v>
      </c>
      <c r="O15" s="795">
        <f t="shared" si="1"/>
        <v>8.3999999999999986</v>
      </c>
      <c r="P15" t="str">
        <f t="shared" si="2"/>
        <v/>
      </c>
      <c r="Q15">
        <v>4</v>
      </c>
      <c r="R15">
        <v>18</v>
      </c>
    </row>
    <row r="16" spans="1:18" ht="15.75" thickBot="1">
      <c r="A16" s="792" t="s">
        <v>992</v>
      </c>
      <c r="B16" s="793" t="s">
        <v>683</v>
      </c>
      <c r="C16" s="794">
        <v>152</v>
      </c>
      <c r="D16" s="794">
        <v>0.2</v>
      </c>
      <c r="E16" s="794">
        <v>0.2</v>
      </c>
      <c r="F16" s="794">
        <v>2.7</v>
      </c>
      <c r="G16" s="808">
        <v>0</v>
      </c>
      <c r="H16" s="795">
        <v>0.86</v>
      </c>
      <c r="I16" s="795">
        <v>0.65</v>
      </c>
      <c r="J16" s="795">
        <v>-17.22</v>
      </c>
      <c r="K16" s="796">
        <v>2.9</v>
      </c>
      <c r="L16" s="797" t="s">
        <v>994</v>
      </c>
      <c r="M16" s="796">
        <f t="shared" si="0"/>
        <v>10.199999999999999</v>
      </c>
      <c r="N16" s="795">
        <v>3.4</v>
      </c>
      <c r="O16" s="795">
        <f t="shared" si="1"/>
        <v>7.2999999999999989</v>
      </c>
      <c r="P16" t="str">
        <f t="shared" si="2"/>
        <v/>
      </c>
      <c r="Q16">
        <v>4</v>
      </c>
      <c r="R16">
        <v>18</v>
      </c>
    </row>
    <row r="17" spans="1:18" ht="15.75" thickBot="1">
      <c r="A17" s="792" t="s">
        <v>992</v>
      </c>
      <c r="B17" s="793" t="s">
        <v>683</v>
      </c>
      <c r="C17" s="794">
        <v>152</v>
      </c>
      <c r="D17" s="794">
        <v>0.2</v>
      </c>
      <c r="E17" s="794">
        <v>0.2</v>
      </c>
      <c r="F17" s="794">
        <v>2.7</v>
      </c>
      <c r="G17" s="808">
        <v>2.7</v>
      </c>
      <c r="H17" s="795">
        <v>0.53</v>
      </c>
      <c r="I17" s="795">
        <v>0.6</v>
      </c>
      <c r="J17" s="795">
        <v>-17.22</v>
      </c>
      <c r="K17" s="796">
        <v>0.6</v>
      </c>
      <c r="L17" s="797" t="s">
        <v>994</v>
      </c>
      <c r="M17" s="796">
        <f t="shared" si="0"/>
        <v>10.199999999999999</v>
      </c>
      <c r="N17" s="795">
        <v>3.4</v>
      </c>
      <c r="O17" s="795">
        <f t="shared" si="1"/>
        <v>9.6</v>
      </c>
      <c r="P17" t="str">
        <f t="shared" si="2"/>
        <v/>
      </c>
      <c r="Q17">
        <v>4</v>
      </c>
      <c r="R17">
        <v>18</v>
      </c>
    </row>
    <row r="18" spans="1:18" ht="15.75" thickBot="1">
      <c r="A18" s="792" t="s">
        <v>992</v>
      </c>
      <c r="B18" s="793" t="s">
        <v>683</v>
      </c>
      <c r="C18" s="794">
        <v>152</v>
      </c>
      <c r="D18" s="794">
        <v>0.2</v>
      </c>
      <c r="E18" s="794">
        <v>0.2</v>
      </c>
      <c r="F18" s="794">
        <v>2.7</v>
      </c>
      <c r="G18" s="808">
        <v>0</v>
      </c>
      <c r="H18" s="795">
        <v>-0.63</v>
      </c>
      <c r="I18" s="795">
        <v>-0.64</v>
      </c>
      <c r="J18" s="795">
        <v>-36.75</v>
      </c>
      <c r="K18" s="796">
        <v>0.6</v>
      </c>
      <c r="L18" s="797" t="s">
        <v>994</v>
      </c>
      <c r="M18" s="796">
        <f t="shared" si="0"/>
        <v>10.199999999999999</v>
      </c>
      <c r="N18" s="795">
        <v>3.4</v>
      </c>
      <c r="O18" s="795">
        <f t="shared" si="1"/>
        <v>9.6</v>
      </c>
      <c r="P18" t="str">
        <f t="shared" si="2"/>
        <v/>
      </c>
      <c r="Q18">
        <v>4</v>
      </c>
      <c r="R18">
        <v>18</v>
      </c>
    </row>
    <row r="19" spans="1:18" ht="15.75" thickBot="1">
      <c r="A19" s="792" t="s">
        <v>992</v>
      </c>
      <c r="B19" s="793" t="s">
        <v>683</v>
      </c>
      <c r="C19" s="794">
        <v>152</v>
      </c>
      <c r="D19" s="794">
        <v>0.2</v>
      </c>
      <c r="E19" s="794">
        <v>0.2</v>
      </c>
      <c r="F19" s="794">
        <v>2.7</v>
      </c>
      <c r="G19" s="808">
        <v>2.7</v>
      </c>
      <c r="H19" s="795">
        <v>-0.87</v>
      </c>
      <c r="I19" s="795">
        <v>-0.62</v>
      </c>
      <c r="J19" s="795">
        <v>-36.75</v>
      </c>
      <c r="K19" s="796">
        <v>2.5</v>
      </c>
      <c r="L19" s="797" t="s">
        <v>994</v>
      </c>
      <c r="M19" s="796">
        <f t="shared" si="0"/>
        <v>10.199999999999999</v>
      </c>
      <c r="N19" s="795">
        <v>3.4</v>
      </c>
      <c r="O19" s="795">
        <f t="shared" si="1"/>
        <v>7.6999999999999993</v>
      </c>
      <c r="P19" t="str">
        <f t="shared" si="2"/>
        <v/>
      </c>
      <c r="Q19">
        <v>4</v>
      </c>
      <c r="R19">
        <v>18</v>
      </c>
    </row>
    <row r="20" spans="1:18" ht="15.75" thickBot="1">
      <c r="A20" s="792" t="s">
        <v>995</v>
      </c>
      <c r="B20" s="793" t="s">
        <v>683</v>
      </c>
      <c r="C20" s="794">
        <v>153</v>
      </c>
      <c r="D20" s="794">
        <v>0.2</v>
      </c>
      <c r="E20" s="794">
        <v>0.2</v>
      </c>
      <c r="F20" s="794">
        <v>3.6</v>
      </c>
      <c r="G20" s="808">
        <v>0</v>
      </c>
      <c r="H20" s="795">
        <v>1.26</v>
      </c>
      <c r="I20" s="795">
        <v>0.86</v>
      </c>
      <c r="J20" s="795">
        <v>-7.77</v>
      </c>
      <c r="K20" s="796">
        <v>14</v>
      </c>
      <c r="L20" s="797" t="s">
        <v>994</v>
      </c>
      <c r="M20" s="796">
        <f t="shared" si="0"/>
        <v>15.2</v>
      </c>
      <c r="N20" s="795">
        <v>3.4</v>
      </c>
      <c r="O20" s="795">
        <f t="shared" si="1"/>
        <v>1.1999999999999993</v>
      </c>
      <c r="P20" t="str">
        <f t="shared" si="2"/>
        <v/>
      </c>
      <c r="Q20">
        <v>4</v>
      </c>
      <c r="R20">
        <v>22</v>
      </c>
    </row>
    <row r="21" spans="1:18" ht="15.75" thickBot="1">
      <c r="A21" s="792" t="s">
        <v>995</v>
      </c>
      <c r="B21" s="793" t="s">
        <v>683</v>
      </c>
      <c r="C21" s="794">
        <v>153</v>
      </c>
      <c r="D21" s="794">
        <v>0.2</v>
      </c>
      <c r="E21" s="794">
        <v>0.2</v>
      </c>
      <c r="F21" s="794">
        <v>3.6</v>
      </c>
      <c r="G21" s="808">
        <v>3.6</v>
      </c>
      <c r="H21" s="795">
        <v>0.89</v>
      </c>
      <c r="I21" s="795">
        <v>0.83</v>
      </c>
      <c r="J21" s="795">
        <v>-7.77</v>
      </c>
      <c r="K21" s="796">
        <v>10.1</v>
      </c>
      <c r="L21" s="797" t="s">
        <v>994</v>
      </c>
      <c r="M21" s="796">
        <f t="shared" si="0"/>
        <v>10.199999999999999</v>
      </c>
      <c r="N21" s="795">
        <v>3.4</v>
      </c>
      <c r="O21" s="795">
        <f t="shared" si="1"/>
        <v>9.9999999999999645E-2</v>
      </c>
      <c r="P21" t="str">
        <f t="shared" si="2"/>
        <v/>
      </c>
      <c r="Q21">
        <v>4</v>
      </c>
      <c r="R21">
        <v>18</v>
      </c>
    </row>
    <row r="22" spans="1:18" ht="15.75" thickBot="1">
      <c r="A22" s="792" t="s">
        <v>995</v>
      </c>
      <c r="B22" s="793" t="s">
        <v>683</v>
      </c>
      <c r="C22" s="794">
        <v>153</v>
      </c>
      <c r="D22" s="794">
        <v>0.2</v>
      </c>
      <c r="E22" s="794">
        <v>0.2</v>
      </c>
      <c r="F22" s="794">
        <v>3.6</v>
      </c>
      <c r="G22" s="808">
        <v>0</v>
      </c>
      <c r="H22" s="795">
        <v>-0.88</v>
      </c>
      <c r="I22" s="795">
        <v>-0.83</v>
      </c>
      <c r="J22" s="795">
        <v>-22.74</v>
      </c>
      <c r="K22" s="796">
        <v>5.4</v>
      </c>
      <c r="L22" s="797" t="s">
        <v>994</v>
      </c>
      <c r="M22" s="796">
        <f t="shared" si="0"/>
        <v>10.199999999999999</v>
      </c>
      <c r="N22" s="795">
        <v>3.4</v>
      </c>
      <c r="O22" s="795">
        <f t="shared" si="1"/>
        <v>4.7999999999999989</v>
      </c>
      <c r="P22" t="str">
        <f t="shared" si="2"/>
        <v/>
      </c>
      <c r="Q22">
        <v>4</v>
      </c>
      <c r="R22">
        <v>18</v>
      </c>
    </row>
    <row r="23" spans="1:18" ht="15.75" thickBot="1">
      <c r="A23" s="792" t="s">
        <v>995</v>
      </c>
      <c r="B23" s="793" t="s">
        <v>683</v>
      </c>
      <c r="C23" s="794">
        <v>153</v>
      </c>
      <c r="D23" s="794">
        <v>0.2</v>
      </c>
      <c r="E23" s="794">
        <v>0.2</v>
      </c>
      <c r="F23" s="794">
        <v>3.6</v>
      </c>
      <c r="G23" s="808">
        <v>3.6</v>
      </c>
      <c r="H23" s="795">
        <v>-1.26</v>
      </c>
      <c r="I23" s="795">
        <v>-0.87</v>
      </c>
      <c r="J23" s="795">
        <v>-22.74</v>
      </c>
      <c r="K23" s="796">
        <v>10.3</v>
      </c>
      <c r="L23" s="797" t="s">
        <v>994</v>
      </c>
      <c r="M23" s="796">
        <f t="shared" si="0"/>
        <v>15.2</v>
      </c>
      <c r="N23" s="795">
        <v>3.4</v>
      </c>
      <c r="O23" s="795">
        <f t="shared" si="1"/>
        <v>4.8999999999999986</v>
      </c>
      <c r="P23" t="str">
        <f t="shared" si="2"/>
        <v/>
      </c>
      <c r="Q23">
        <v>4</v>
      </c>
      <c r="R23">
        <v>22</v>
      </c>
    </row>
    <row r="24" spans="1:18" ht="15.75" thickBot="1">
      <c r="A24" s="792" t="s">
        <v>996</v>
      </c>
      <c r="B24" s="793" t="s">
        <v>683</v>
      </c>
      <c r="C24" s="794">
        <v>154</v>
      </c>
      <c r="D24" s="794">
        <v>0.2</v>
      </c>
      <c r="E24" s="794">
        <v>0.2</v>
      </c>
      <c r="F24" s="794">
        <v>3.6</v>
      </c>
      <c r="G24" s="808">
        <v>0</v>
      </c>
      <c r="H24" s="795">
        <v>0.47</v>
      </c>
      <c r="I24" s="795">
        <v>0.37</v>
      </c>
      <c r="J24" s="795">
        <v>1.67</v>
      </c>
      <c r="K24" s="796">
        <v>6.1</v>
      </c>
      <c r="L24" s="797" t="s">
        <v>994</v>
      </c>
      <c r="M24" s="796">
        <f t="shared" si="0"/>
        <v>10.199999999999999</v>
      </c>
      <c r="N24" s="795">
        <v>3.4</v>
      </c>
      <c r="O24" s="795">
        <f t="shared" si="1"/>
        <v>4.0999999999999996</v>
      </c>
      <c r="P24" t="str">
        <f t="shared" si="2"/>
        <v/>
      </c>
      <c r="Q24">
        <v>4</v>
      </c>
      <c r="R24">
        <v>18</v>
      </c>
    </row>
    <row r="25" spans="1:18" ht="15.75" thickBot="1">
      <c r="A25" s="792" t="s">
        <v>996</v>
      </c>
      <c r="B25" s="793" t="s">
        <v>683</v>
      </c>
      <c r="C25" s="794">
        <v>154</v>
      </c>
      <c r="D25" s="794">
        <v>0.2</v>
      </c>
      <c r="E25" s="794">
        <v>0.2</v>
      </c>
      <c r="F25" s="794">
        <v>3.6</v>
      </c>
      <c r="G25" s="808">
        <v>3.6</v>
      </c>
      <c r="H25" s="795">
        <v>0.35</v>
      </c>
      <c r="I25" s="795">
        <v>0.3</v>
      </c>
      <c r="J25" s="795">
        <v>1.67</v>
      </c>
      <c r="K25" s="796">
        <v>4.4000000000000004</v>
      </c>
      <c r="L25" s="797" t="s">
        <v>994</v>
      </c>
      <c r="M25" s="796">
        <f t="shared" si="0"/>
        <v>10.199999999999999</v>
      </c>
      <c r="N25" s="795">
        <v>3.4</v>
      </c>
      <c r="O25" s="795">
        <f t="shared" si="1"/>
        <v>5.7999999999999989</v>
      </c>
      <c r="P25" t="str">
        <f t="shared" si="2"/>
        <v/>
      </c>
      <c r="Q25">
        <v>4</v>
      </c>
      <c r="R25">
        <v>18</v>
      </c>
    </row>
    <row r="26" spans="1:18" ht="15.75" thickBot="1">
      <c r="A26" s="792" t="s">
        <v>996</v>
      </c>
      <c r="B26" s="793" t="s">
        <v>683</v>
      </c>
      <c r="C26" s="794">
        <v>154</v>
      </c>
      <c r="D26" s="794">
        <v>0.2</v>
      </c>
      <c r="E26" s="794">
        <v>0.2</v>
      </c>
      <c r="F26" s="795">
        <v>3.6</v>
      </c>
      <c r="G26" s="808">
        <v>0</v>
      </c>
      <c r="H26" s="795">
        <v>-0.26</v>
      </c>
      <c r="I26" s="795">
        <v>-0.28000000000000003</v>
      </c>
      <c r="J26" s="795">
        <v>-9.09</v>
      </c>
      <c r="K26" s="796">
        <v>0.6</v>
      </c>
      <c r="L26" s="797" t="s">
        <v>994</v>
      </c>
      <c r="M26" s="796">
        <f t="shared" si="0"/>
        <v>10.199999999999999</v>
      </c>
      <c r="N26" s="795">
        <v>3.4</v>
      </c>
      <c r="O26" s="795">
        <f t="shared" si="1"/>
        <v>9.6</v>
      </c>
      <c r="P26" t="str">
        <f t="shared" si="2"/>
        <v/>
      </c>
      <c r="Q26">
        <v>4</v>
      </c>
      <c r="R26">
        <v>18</v>
      </c>
    </row>
    <row r="27" spans="1:18" ht="15.75" thickBot="1">
      <c r="A27" s="792" t="s">
        <v>996</v>
      </c>
      <c r="B27" s="793" t="s">
        <v>683</v>
      </c>
      <c r="C27" s="794">
        <v>154</v>
      </c>
      <c r="D27" s="794">
        <v>0.2</v>
      </c>
      <c r="E27" s="794">
        <v>0.2</v>
      </c>
      <c r="F27" s="795">
        <v>3.6</v>
      </c>
      <c r="G27" s="808">
        <v>3.6</v>
      </c>
      <c r="H27" s="795">
        <v>-0.44</v>
      </c>
      <c r="I27" s="795">
        <v>-0.38</v>
      </c>
      <c r="J27" s="795">
        <v>-9.09</v>
      </c>
      <c r="K27" s="796">
        <v>1</v>
      </c>
      <c r="L27" s="797" t="s">
        <v>994</v>
      </c>
      <c r="M27" s="796">
        <f t="shared" si="0"/>
        <v>10.199999999999999</v>
      </c>
      <c r="N27" s="795">
        <v>3.4</v>
      </c>
      <c r="O27" s="795">
        <f t="shared" si="1"/>
        <v>9.1999999999999993</v>
      </c>
      <c r="P27" t="str">
        <f t="shared" si="2"/>
        <v/>
      </c>
      <c r="Q27">
        <v>4</v>
      </c>
      <c r="R27">
        <v>18</v>
      </c>
    </row>
    <row r="28" spans="1:18" ht="15.75" thickBot="1">
      <c r="A28" s="792" t="s">
        <v>992</v>
      </c>
      <c r="B28" s="793" t="s">
        <v>997</v>
      </c>
      <c r="C28" s="794">
        <v>155</v>
      </c>
      <c r="D28" s="794">
        <v>0.2</v>
      </c>
      <c r="E28" s="794">
        <v>0.2</v>
      </c>
      <c r="F28" s="795">
        <v>2.7</v>
      </c>
      <c r="G28" s="808">
        <v>0</v>
      </c>
      <c r="H28" s="795">
        <v>0.84</v>
      </c>
      <c r="I28" s="795">
        <v>0.53</v>
      </c>
      <c r="J28" s="795">
        <v>-15.15</v>
      </c>
      <c r="K28" s="796">
        <v>2.6</v>
      </c>
      <c r="L28" s="797" t="s">
        <v>994</v>
      </c>
      <c r="M28" s="796">
        <f t="shared" si="0"/>
        <v>10.199999999999999</v>
      </c>
      <c r="N28" s="795">
        <v>3.4</v>
      </c>
      <c r="O28" s="795">
        <f t="shared" si="1"/>
        <v>7.6</v>
      </c>
      <c r="P28" t="str">
        <f t="shared" si="2"/>
        <v/>
      </c>
      <c r="Q28">
        <v>4</v>
      </c>
      <c r="R28">
        <v>18</v>
      </c>
    </row>
    <row r="29" spans="1:18" ht="15.75" thickBot="1">
      <c r="A29" s="792" t="s">
        <v>992</v>
      </c>
      <c r="B29" s="793" t="s">
        <v>997</v>
      </c>
      <c r="C29" s="794">
        <v>155</v>
      </c>
      <c r="D29" s="794">
        <v>0.2</v>
      </c>
      <c r="E29" s="794">
        <v>0.2</v>
      </c>
      <c r="F29" s="795">
        <v>2.7</v>
      </c>
      <c r="G29" s="808">
        <v>2.7</v>
      </c>
      <c r="H29" s="795">
        <v>0.39</v>
      </c>
      <c r="I29" s="795">
        <v>0.82</v>
      </c>
      <c r="J29" s="795">
        <v>-15.15</v>
      </c>
      <c r="K29" s="796">
        <v>1.3</v>
      </c>
      <c r="L29" s="797" t="s">
        <v>994</v>
      </c>
      <c r="M29" s="796">
        <f t="shared" si="0"/>
        <v>10.199999999999999</v>
      </c>
      <c r="N29" s="795">
        <v>3.4</v>
      </c>
      <c r="O29" s="795">
        <f t="shared" si="1"/>
        <v>8.8999999999999986</v>
      </c>
      <c r="P29" t="str">
        <f t="shared" si="2"/>
        <v/>
      </c>
      <c r="Q29">
        <v>4</v>
      </c>
      <c r="R29">
        <v>18</v>
      </c>
    </row>
    <row r="30" spans="1:18" ht="15.75" thickBot="1">
      <c r="A30" s="792" t="s">
        <v>992</v>
      </c>
      <c r="B30" s="793" t="s">
        <v>997</v>
      </c>
      <c r="C30" s="794">
        <v>155</v>
      </c>
      <c r="D30" s="794">
        <v>0.2</v>
      </c>
      <c r="E30" s="794">
        <v>0.2</v>
      </c>
      <c r="F30" s="795">
        <v>2.7</v>
      </c>
      <c r="G30" s="807">
        <v>0</v>
      </c>
      <c r="H30" s="794">
        <v>-0.69</v>
      </c>
      <c r="I30" s="794">
        <v>-0.75</v>
      </c>
      <c r="J30" s="795">
        <v>-23.87</v>
      </c>
      <c r="K30" s="796">
        <v>0.6</v>
      </c>
      <c r="L30" s="797" t="s">
        <v>994</v>
      </c>
      <c r="M30" s="796">
        <f t="shared" si="0"/>
        <v>10.199999999999999</v>
      </c>
      <c r="N30" s="795">
        <v>3.4</v>
      </c>
      <c r="O30" s="795">
        <f t="shared" si="1"/>
        <v>9.6</v>
      </c>
      <c r="P30" t="str">
        <f t="shared" si="2"/>
        <v/>
      </c>
      <c r="Q30">
        <v>4</v>
      </c>
      <c r="R30">
        <v>18</v>
      </c>
    </row>
    <row r="31" spans="1:18" ht="15.75" thickBot="1">
      <c r="A31" s="792" t="s">
        <v>992</v>
      </c>
      <c r="B31" s="793" t="s">
        <v>997</v>
      </c>
      <c r="C31" s="794">
        <v>155</v>
      </c>
      <c r="D31" s="794">
        <v>0.2</v>
      </c>
      <c r="E31" s="794">
        <v>0.2</v>
      </c>
      <c r="F31" s="795">
        <v>2.7</v>
      </c>
      <c r="G31" s="807">
        <v>2.7</v>
      </c>
      <c r="H31" s="794">
        <v>-0.5</v>
      </c>
      <c r="I31" s="794">
        <v>-0.37</v>
      </c>
      <c r="J31" s="795">
        <v>-23.87</v>
      </c>
      <c r="K31" s="796">
        <v>0.6</v>
      </c>
      <c r="L31" s="797" t="s">
        <v>994</v>
      </c>
      <c r="M31" s="796">
        <f t="shared" si="0"/>
        <v>10.199999999999999</v>
      </c>
      <c r="N31" s="795">
        <v>3.4</v>
      </c>
      <c r="O31" s="795">
        <f t="shared" si="1"/>
        <v>9.6</v>
      </c>
      <c r="P31" t="str">
        <f t="shared" si="2"/>
        <v/>
      </c>
      <c r="Q31">
        <v>4</v>
      </c>
      <c r="R31">
        <v>18</v>
      </c>
    </row>
    <row r="32" spans="1:18" ht="15.75" thickBot="1">
      <c r="A32" s="792" t="s">
        <v>995</v>
      </c>
      <c r="B32" s="793" t="s">
        <v>997</v>
      </c>
      <c r="C32" s="794">
        <v>156</v>
      </c>
      <c r="D32" s="794">
        <v>0.2</v>
      </c>
      <c r="E32" s="794">
        <v>0.2</v>
      </c>
      <c r="F32" s="795">
        <v>3.6</v>
      </c>
      <c r="G32" s="807">
        <v>0</v>
      </c>
      <c r="H32" s="794">
        <v>1.29</v>
      </c>
      <c r="I32" s="794">
        <v>0.56000000000000005</v>
      </c>
      <c r="J32" s="795">
        <v>-7.29</v>
      </c>
      <c r="K32" s="796">
        <v>12</v>
      </c>
      <c r="L32" s="797" t="s">
        <v>994</v>
      </c>
      <c r="M32" s="796">
        <f t="shared" si="0"/>
        <v>12.6</v>
      </c>
      <c r="N32" s="795">
        <v>3.4</v>
      </c>
      <c r="O32" s="795">
        <f t="shared" si="1"/>
        <v>0.59999999999999964</v>
      </c>
      <c r="P32" t="str">
        <f t="shared" si="2"/>
        <v/>
      </c>
      <c r="Q32">
        <v>4</v>
      </c>
      <c r="R32">
        <v>20</v>
      </c>
    </row>
    <row r="33" spans="1:18" ht="15.75" thickBot="1">
      <c r="A33" s="792" t="s">
        <v>995</v>
      </c>
      <c r="B33" s="793" t="s">
        <v>997</v>
      </c>
      <c r="C33" s="794">
        <v>156</v>
      </c>
      <c r="D33" s="794">
        <v>0.2</v>
      </c>
      <c r="E33" s="794">
        <v>0.2</v>
      </c>
      <c r="F33" s="795">
        <v>3.6</v>
      </c>
      <c r="G33" s="807">
        <v>3.6</v>
      </c>
      <c r="H33" s="794">
        <v>0.65</v>
      </c>
      <c r="I33" s="794">
        <v>1.1100000000000001</v>
      </c>
      <c r="J33" s="795">
        <v>-7.29</v>
      </c>
      <c r="K33" s="796">
        <v>10.9</v>
      </c>
      <c r="L33" s="797" t="s">
        <v>994</v>
      </c>
      <c r="M33" s="796">
        <f t="shared" si="0"/>
        <v>12.6</v>
      </c>
      <c r="N33" s="795">
        <v>3.4</v>
      </c>
      <c r="O33" s="795">
        <f t="shared" si="1"/>
        <v>1.6999999999999993</v>
      </c>
      <c r="P33" t="str">
        <f t="shared" si="2"/>
        <v/>
      </c>
      <c r="Q33">
        <v>4</v>
      </c>
      <c r="R33">
        <v>20</v>
      </c>
    </row>
    <row r="34" spans="1:18" ht="15.75" thickBot="1">
      <c r="A34" s="792" t="s">
        <v>995</v>
      </c>
      <c r="B34" s="793" t="s">
        <v>997</v>
      </c>
      <c r="C34" s="794">
        <v>156</v>
      </c>
      <c r="D34" s="794">
        <v>0.2</v>
      </c>
      <c r="E34" s="794">
        <v>0.2</v>
      </c>
      <c r="F34" s="795">
        <v>3.6</v>
      </c>
      <c r="G34" s="807">
        <v>0</v>
      </c>
      <c r="H34" s="794">
        <v>-1.1200000000000001</v>
      </c>
      <c r="I34" s="794">
        <v>-1.1000000000000001</v>
      </c>
      <c r="J34" s="795">
        <v>-12.24</v>
      </c>
      <c r="K34" s="796">
        <v>12.7</v>
      </c>
      <c r="L34" s="797" t="s">
        <v>994</v>
      </c>
      <c r="M34" s="796">
        <f t="shared" si="0"/>
        <v>15.2</v>
      </c>
      <c r="N34" s="795">
        <v>3.4</v>
      </c>
      <c r="O34" s="795">
        <f t="shared" si="1"/>
        <v>2.5</v>
      </c>
      <c r="P34" t="str">
        <f t="shared" si="2"/>
        <v/>
      </c>
      <c r="Q34">
        <v>4</v>
      </c>
      <c r="R34">
        <v>22</v>
      </c>
    </row>
    <row r="35" spans="1:18" ht="15.75" thickBot="1">
      <c r="A35" s="792" t="s">
        <v>995</v>
      </c>
      <c r="B35" s="793" t="s">
        <v>997</v>
      </c>
      <c r="C35" s="794">
        <v>156</v>
      </c>
      <c r="D35" s="794">
        <v>0.2</v>
      </c>
      <c r="E35" s="794">
        <v>0.2</v>
      </c>
      <c r="F35" s="795">
        <v>3.6</v>
      </c>
      <c r="G35" s="807">
        <v>3.6</v>
      </c>
      <c r="H35" s="794">
        <v>-0.72</v>
      </c>
      <c r="I35" s="794">
        <v>-0.55000000000000004</v>
      </c>
      <c r="J35" s="795">
        <v>-12.24</v>
      </c>
      <c r="K35" s="796">
        <v>3.7</v>
      </c>
      <c r="L35" s="797" t="s">
        <v>994</v>
      </c>
      <c r="M35" s="796">
        <f t="shared" si="0"/>
        <v>10.199999999999999</v>
      </c>
      <c r="N35" s="795">
        <v>3.4</v>
      </c>
      <c r="O35" s="795">
        <f t="shared" si="1"/>
        <v>6.4999999999999991</v>
      </c>
      <c r="P35" t="str">
        <f t="shared" si="2"/>
        <v/>
      </c>
      <c r="Q35">
        <v>4</v>
      </c>
      <c r="R35">
        <v>18</v>
      </c>
    </row>
    <row r="36" spans="1:18" ht="15.75" thickBot="1">
      <c r="A36" s="792" t="s">
        <v>996</v>
      </c>
      <c r="B36" s="793" t="s">
        <v>997</v>
      </c>
      <c r="C36" s="794">
        <v>157</v>
      </c>
      <c r="D36" s="794">
        <v>0.2</v>
      </c>
      <c r="E36" s="794">
        <v>0.2</v>
      </c>
      <c r="F36" s="795">
        <v>3.6</v>
      </c>
      <c r="G36" s="807">
        <v>0</v>
      </c>
      <c r="H36" s="794">
        <v>0.65</v>
      </c>
      <c r="I36" s="794">
        <v>0.12</v>
      </c>
      <c r="J36" s="795">
        <v>0.34</v>
      </c>
      <c r="K36" s="796">
        <v>6.6</v>
      </c>
      <c r="L36" s="797" t="s">
        <v>994</v>
      </c>
      <c r="M36" s="796">
        <f t="shared" si="0"/>
        <v>10.199999999999999</v>
      </c>
      <c r="N36" s="795">
        <v>3.4</v>
      </c>
      <c r="O36" s="795">
        <f t="shared" si="1"/>
        <v>3.5999999999999996</v>
      </c>
      <c r="P36" t="str">
        <f t="shared" si="2"/>
        <v/>
      </c>
      <c r="Q36">
        <v>4</v>
      </c>
      <c r="R36">
        <v>18</v>
      </c>
    </row>
    <row r="37" spans="1:18" ht="15.75" thickBot="1">
      <c r="A37" s="792" t="s">
        <v>996</v>
      </c>
      <c r="B37" s="793" t="s">
        <v>997</v>
      </c>
      <c r="C37" s="794">
        <v>157</v>
      </c>
      <c r="D37" s="794">
        <v>0.2</v>
      </c>
      <c r="E37" s="794">
        <v>0.2</v>
      </c>
      <c r="F37" s="795">
        <v>3.6</v>
      </c>
      <c r="G37" s="807">
        <v>3.6</v>
      </c>
      <c r="H37" s="794">
        <v>0.26</v>
      </c>
      <c r="I37" s="794">
        <v>0.38</v>
      </c>
      <c r="J37" s="795">
        <v>0.34</v>
      </c>
      <c r="K37" s="796">
        <v>5.4</v>
      </c>
      <c r="L37" s="797" t="s">
        <v>994</v>
      </c>
      <c r="M37" s="796">
        <f t="shared" si="0"/>
        <v>10.199999999999999</v>
      </c>
      <c r="N37" s="795">
        <v>3.4</v>
      </c>
      <c r="O37" s="795">
        <f t="shared" si="1"/>
        <v>4.7999999999999989</v>
      </c>
      <c r="P37" t="str">
        <f t="shared" si="2"/>
        <v/>
      </c>
      <c r="Q37">
        <v>4</v>
      </c>
      <c r="R37">
        <v>18</v>
      </c>
    </row>
    <row r="38" spans="1:18" ht="15.75" thickBot="1">
      <c r="A38" s="792" t="s">
        <v>996</v>
      </c>
      <c r="B38" s="793" t="s">
        <v>997</v>
      </c>
      <c r="C38" s="794">
        <v>157</v>
      </c>
      <c r="D38" s="794">
        <v>0.2</v>
      </c>
      <c r="E38" s="794">
        <v>0.2</v>
      </c>
      <c r="F38" s="795">
        <v>3.6</v>
      </c>
      <c r="G38" s="807">
        <v>0</v>
      </c>
      <c r="H38" s="794">
        <v>-0.22</v>
      </c>
      <c r="I38" s="794">
        <v>-0.46</v>
      </c>
      <c r="J38" s="795">
        <v>-0.48</v>
      </c>
      <c r="K38" s="796">
        <v>5.7</v>
      </c>
      <c r="L38" s="797" t="s">
        <v>994</v>
      </c>
      <c r="M38" s="796">
        <f t="shared" si="0"/>
        <v>10.199999999999999</v>
      </c>
      <c r="N38" s="795">
        <v>3.4</v>
      </c>
      <c r="O38" s="795">
        <f t="shared" si="1"/>
        <v>4.4999999999999991</v>
      </c>
      <c r="P38" t="str">
        <f t="shared" si="2"/>
        <v/>
      </c>
      <c r="Q38">
        <v>4</v>
      </c>
      <c r="R38">
        <v>18</v>
      </c>
    </row>
    <row r="39" spans="1:18" ht="15.75" thickBot="1">
      <c r="A39" s="792" t="s">
        <v>996</v>
      </c>
      <c r="B39" s="793" t="s">
        <v>997</v>
      </c>
      <c r="C39" s="794">
        <v>157</v>
      </c>
      <c r="D39" s="794">
        <v>0.2</v>
      </c>
      <c r="E39" s="794">
        <v>0.2</v>
      </c>
      <c r="F39" s="795">
        <v>3.6</v>
      </c>
      <c r="G39" s="807">
        <v>3.6</v>
      </c>
      <c r="H39" s="794">
        <v>-0.09</v>
      </c>
      <c r="I39" s="794">
        <v>-0.27</v>
      </c>
      <c r="J39" s="795">
        <v>-0.48</v>
      </c>
      <c r="K39" s="796">
        <v>2.8</v>
      </c>
      <c r="L39" s="797" t="s">
        <v>994</v>
      </c>
      <c r="M39" s="796">
        <f t="shared" si="0"/>
        <v>10.199999999999999</v>
      </c>
      <c r="N39" s="795">
        <v>3.4</v>
      </c>
      <c r="O39" s="795">
        <f t="shared" si="1"/>
        <v>7.3999999999999995</v>
      </c>
      <c r="P39" t="str">
        <f t="shared" si="2"/>
        <v/>
      </c>
      <c r="Q39">
        <v>4</v>
      </c>
      <c r="R39">
        <v>18</v>
      </c>
    </row>
    <row r="40" spans="1:18" ht="15.75" thickBot="1">
      <c r="A40" s="792" t="s">
        <v>992</v>
      </c>
      <c r="B40" s="793" t="s">
        <v>998</v>
      </c>
      <c r="C40" s="794">
        <v>158</v>
      </c>
      <c r="D40" s="794">
        <v>0.2</v>
      </c>
      <c r="E40" s="794">
        <v>0.2</v>
      </c>
      <c r="F40" s="795">
        <v>2.7</v>
      </c>
      <c r="G40" s="807">
        <v>0</v>
      </c>
      <c r="H40" s="794">
        <v>1.1200000000000001</v>
      </c>
      <c r="I40" s="794">
        <v>0.71</v>
      </c>
      <c r="J40" s="795">
        <v>-17.97</v>
      </c>
      <c r="K40" s="796">
        <v>5.8</v>
      </c>
      <c r="L40" s="797" t="s">
        <v>994</v>
      </c>
      <c r="M40" s="796">
        <f t="shared" si="0"/>
        <v>10.199999999999999</v>
      </c>
      <c r="N40" s="795">
        <v>3.4</v>
      </c>
      <c r="O40" s="795">
        <f t="shared" si="1"/>
        <v>4.3999999999999995</v>
      </c>
      <c r="P40" t="str">
        <f t="shared" si="2"/>
        <v/>
      </c>
      <c r="Q40">
        <v>4</v>
      </c>
      <c r="R40">
        <v>18</v>
      </c>
    </row>
    <row r="41" spans="1:18" ht="15.75" thickBot="1">
      <c r="A41" s="792" t="s">
        <v>992</v>
      </c>
      <c r="B41" s="793" t="s">
        <v>998</v>
      </c>
      <c r="C41" s="794">
        <v>158</v>
      </c>
      <c r="D41" s="794">
        <v>0.2</v>
      </c>
      <c r="E41" s="794">
        <v>0.2</v>
      </c>
      <c r="F41" s="795">
        <v>2.7</v>
      </c>
      <c r="G41" s="807">
        <v>2.7</v>
      </c>
      <c r="H41" s="794">
        <v>0.97</v>
      </c>
      <c r="I41" s="794">
        <v>0.32</v>
      </c>
      <c r="J41" s="795">
        <v>-17.97</v>
      </c>
      <c r="K41" s="796">
        <v>1.3</v>
      </c>
      <c r="L41" s="797" t="s">
        <v>994</v>
      </c>
      <c r="M41" s="796">
        <f t="shared" si="0"/>
        <v>10.199999999999999</v>
      </c>
      <c r="N41" s="795">
        <v>3.4</v>
      </c>
      <c r="O41" s="795">
        <f t="shared" si="1"/>
        <v>8.8999999999999986</v>
      </c>
      <c r="P41" t="str">
        <f t="shared" si="2"/>
        <v/>
      </c>
      <c r="Q41">
        <v>4</v>
      </c>
      <c r="R41">
        <v>18</v>
      </c>
    </row>
    <row r="42" spans="1:18" ht="15.75" thickBot="1">
      <c r="A42" s="792" t="s">
        <v>992</v>
      </c>
      <c r="B42" s="793" t="s">
        <v>998</v>
      </c>
      <c r="C42" s="794">
        <v>158</v>
      </c>
      <c r="D42" s="794">
        <v>0.2</v>
      </c>
      <c r="E42" s="794">
        <v>0.2</v>
      </c>
      <c r="F42" s="795">
        <v>2.7</v>
      </c>
      <c r="G42" s="807">
        <v>0</v>
      </c>
      <c r="H42" s="794">
        <v>-0.97</v>
      </c>
      <c r="I42" s="794">
        <v>-0.5</v>
      </c>
      <c r="J42" s="795">
        <v>-34.03</v>
      </c>
      <c r="K42" s="796">
        <v>3.4</v>
      </c>
      <c r="L42" s="797" t="s">
        <v>994</v>
      </c>
      <c r="M42" s="796">
        <f t="shared" si="0"/>
        <v>10.199999999999999</v>
      </c>
      <c r="N42" s="795">
        <v>3.4</v>
      </c>
      <c r="O42" s="795">
        <f t="shared" si="1"/>
        <v>6.7999999999999989</v>
      </c>
      <c r="P42" t="str">
        <f t="shared" si="2"/>
        <v/>
      </c>
      <c r="Q42">
        <v>4</v>
      </c>
      <c r="R42">
        <v>18</v>
      </c>
    </row>
    <row r="43" spans="1:18" ht="15.75" thickBot="1">
      <c r="A43" s="792" t="s">
        <v>992</v>
      </c>
      <c r="B43" s="793" t="s">
        <v>998</v>
      </c>
      <c r="C43" s="794">
        <v>158</v>
      </c>
      <c r="D43" s="794">
        <v>0.2</v>
      </c>
      <c r="E43" s="794">
        <v>0.2</v>
      </c>
      <c r="F43" s="795">
        <v>2.7</v>
      </c>
      <c r="G43" s="807">
        <v>2.7</v>
      </c>
      <c r="H43" s="794">
        <v>-1.08</v>
      </c>
      <c r="I43" s="794">
        <v>-0.77</v>
      </c>
      <c r="J43" s="795">
        <v>-34.03</v>
      </c>
      <c r="K43" s="796">
        <v>6</v>
      </c>
      <c r="L43" s="797" t="s">
        <v>994</v>
      </c>
      <c r="M43" s="796">
        <f t="shared" si="0"/>
        <v>10.199999999999999</v>
      </c>
      <c r="N43" s="795">
        <v>3.4</v>
      </c>
      <c r="O43" s="795">
        <f t="shared" si="1"/>
        <v>4.1999999999999993</v>
      </c>
      <c r="P43" t="str">
        <f t="shared" si="2"/>
        <v/>
      </c>
      <c r="Q43">
        <v>4</v>
      </c>
      <c r="R43">
        <v>18</v>
      </c>
    </row>
    <row r="44" spans="1:18" ht="15.75" thickBot="1">
      <c r="A44" s="792" t="s">
        <v>995</v>
      </c>
      <c r="B44" s="793" t="s">
        <v>998</v>
      </c>
      <c r="C44" s="794">
        <v>159</v>
      </c>
      <c r="D44" s="794">
        <v>0.2</v>
      </c>
      <c r="E44" s="794">
        <v>0.2</v>
      </c>
      <c r="F44" s="794">
        <v>3.6</v>
      </c>
      <c r="G44" s="808">
        <v>0</v>
      </c>
      <c r="H44" s="795">
        <v>-0.88</v>
      </c>
      <c r="I44" s="795">
        <v>-0.83</v>
      </c>
      <c r="J44" s="795">
        <v>-22.74</v>
      </c>
      <c r="K44" s="796">
        <v>5.4</v>
      </c>
      <c r="L44" s="797" t="s">
        <v>994</v>
      </c>
      <c r="M44" s="796">
        <f t="shared" si="0"/>
        <v>10.199999999999999</v>
      </c>
      <c r="N44" s="795">
        <v>3.4</v>
      </c>
      <c r="O44" s="795">
        <f t="shared" si="1"/>
        <v>4.7999999999999989</v>
      </c>
      <c r="P44" t="str">
        <f t="shared" si="2"/>
        <v/>
      </c>
      <c r="Q44">
        <v>4</v>
      </c>
      <c r="R44">
        <v>18</v>
      </c>
    </row>
    <row r="45" spans="1:18" ht="15.75" thickBot="1">
      <c r="A45" s="792" t="s">
        <v>995</v>
      </c>
      <c r="B45" s="793" t="s">
        <v>998</v>
      </c>
      <c r="C45" s="794">
        <v>159</v>
      </c>
      <c r="D45" s="794">
        <v>0.2</v>
      </c>
      <c r="E45" s="794">
        <v>0.2</v>
      </c>
      <c r="F45" s="794">
        <v>3.6</v>
      </c>
      <c r="G45" s="807">
        <v>3.6</v>
      </c>
      <c r="H45" s="794">
        <v>0.9</v>
      </c>
      <c r="I45" s="795">
        <v>0.53</v>
      </c>
      <c r="J45" s="795">
        <v>-10.199999999999999</v>
      </c>
      <c r="K45" s="796">
        <v>6.3</v>
      </c>
      <c r="L45" s="797" t="s">
        <v>994</v>
      </c>
      <c r="M45" s="796">
        <f t="shared" si="0"/>
        <v>10.199999999999999</v>
      </c>
      <c r="N45" s="795">
        <v>3.4</v>
      </c>
      <c r="O45" s="795">
        <f t="shared" si="1"/>
        <v>3.8999999999999995</v>
      </c>
      <c r="P45" t="str">
        <f t="shared" si="2"/>
        <v/>
      </c>
      <c r="Q45">
        <v>4</v>
      </c>
      <c r="R45">
        <v>18</v>
      </c>
    </row>
    <row r="46" spans="1:18" ht="15.75" thickBot="1">
      <c r="A46" s="792" t="s">
        <v>995</v>
      </c>
      <c r="B46" s="793" t="s">
        <v>998</v>
      </c>
      <c r="C46" s="794">
        <v>159</v>
      </c>
      <c r="D46" s="794">
        <v>0.2</v>
      </c>
      <c r="E46" s="794">
        <v>0.2</v>
      </c>
      <c r="F46" s="794">
        <v>3.6</v>
      </c>
      <c r="G46" s="807">
        <v>0</v>
      </c>
      <c r="H46" s="794">
        <v>-1.59</v>
      </c>
      <c r="I46" s="795">
        <v>-0.53</v>
      </c>
      <c r="J46" s="795">
        <v>-17.7</v>
      </c>
      <c r="K46" s="796">
        <v>11.6</v>
      </c>
      <c r="L46" s="797" t="s">
        <v>994</v>
      </c>
      <c r="M46" s="796">
        <f t="shared" si="0"/>
        <v>12.6</v>
      </c>
      <c r="N46" s="795">
        <v>3.4</v>
      </c>
      <c r="O46" s="795">
        <f t="shared" si="1"/>
        <v>1</v>
      </c>
      <c r="P46" t="str">
        <f t="shared" si="2"/>
        <v/>
      </c>
      <c r="Q46">
        <v>4</v>
      </c>
      <c r="R46">
        <v>20</v>
      </c>
    </row>
    <row r="47" spans="1:18" ht="15.75" thickBot="1">
      <c r="A47" s="792" t="s">
        <v>995</v>
      </c>
      <c r="B47" s="793" t="s">
        <v>998</v>
      </c>
      <c r="C47" s="794">
        <v>159</v>
      </c>
      <c r="D47" s="794">
        <v>0.2</v>
      </c>
      <c r="E47" s="794">
        <v>0.2</v>
      </c>
      <c r="F47" s="794">
        <v>3.6</v>
      </c>
      <c r="G47" s="807">
        <v>3.6</v>
      </c>
      <c r="H47" s="794">
        <v>-1.23</v>
      </c>
      <c r="I47" s="795">
        <v>-1.0900000000000001</v>
      </c>
      <c r="J47" s="795">
        <v>-17.7</v>
      </c>
      <c r="K47" s="796">
        <v>12.3</v>
      </c>
      <c r="L47" s="797" t="s">
        <v>994</v>
      </c>
      <c r="M47" s="796">
        <f t="shared" si="0"/>
        <v>12.6</v>
      </c>
      <c r="N47" s="795">
        <v>3.4</v>
      </c>
      <c r="O47" s="795">
        <f t="shared" si="1"/>
        <v>0.29999999999999893</v>
      </c>
      <c r="P47" t="str">
        <f t="shared" si="2"/>
        <v/>
      </c>
      <c r="Q47">
        <v>4</v>
      </c>
      <c r="R47">
        <v>20</v>
      </c>
    </row>
    <row r="48" spans="1:18" ht="15.75" thickBot="1">
      <c r="A48" s="792" t="s">
        <v>996</v>
      </c>
      <c r="B48" s="793" t="s">
        <v>998</v>
      </c>
      <c r="C48" s="794">
        <v>160</v>
      </c>
      <c r="D48" s="794">
        <v>0.2</v>
      </c>
      <c r="E48" s="794">
        <v>0.2</v>
      </c>
      <c r="F48" s="794">
        <v>3.6</v>
      </c>
      <c r="G48" s="807">
        <v>0</v>
      </c>
      <c r="H48" s="794">
        <v>0.95</v>
      </c>
      <c r="I48" s="795">
        <v>0.47</v>
      </c>
      <c r="J48" s="795">
        <v>1.17</v>
      </c>
      <c r="K48" s="796">
        <v>11.8</v>
      </c>
      <c r="L48" s="797" t="s">
        <v>994</v>
      </c>
      <c r="M48" s="796">
        <f t="shared" si="0"/>
        <v>12.6</v>
      </c>
      <c r="N48" s="795">
        <v>3.4</v>
      </c>
      <c r="O48" s="795">
        <f t="shared" si="1"/>
        <v>0.79999999999999893</v>
      </c>
      <c r="P48" t="str">
        <f t="shared" si="2"/>
        <v/>
      </c>
      <c r="Q48">
        <v>4</v>
      </c>
      <c r="R48">
        <v>20</v>
      </c>
    </row>
    <row r="49" spans="1:18" ht="15.75" thickBot="1">
      <c r="A49" s="792" t="s">
        <v>996</v>
      </c>
      <c r="B49" s="793" t="s">
        <v>998</v>
      </c>
      <c r="C49" s="794">
        <v>160</v>
      </c>
      <c r="D49" s="794">
        <v>0.2</v>
      </c>
      <c r="E49" s="794">
        <v>0.2</v>
      </c>
      <c r="F49" s="794">
        <v>3.6</v>
      </c>
      <c r="G49" s="807">
        <v>3.6</v>
      </c>
      <c r="H49" s="794">
        <v>0.2</v>
      </c>
      <c r="I49" s="795">
        <v>0.21</v>
      </c>
      <c r="J49" s="795">
        <v>1.17</v>
      </c>
      <c r="K49" s="796">
        <v>2.7</v>
      </c>
      <c r="L49" s="797" t="s">
        <v>994</v>
      </c>
      <c r="M49" s="796">
        <f t="shared" si="0"/>
        <v>10.199999999999999</v>
      </c>
      <c r="N49" s="795">
        <v>3.4</v>
      </c>
      <c r="O49" s="795">
        <f t="shared" si="1"/>
        <v>7.4999999999999991</v>
      </c>
      <c r="P49" t="str">
        <f t="shared" si="2"/>
        <v/>
      </c>
      <c r="Q49">
        <v>4</v>
      </c>
      <c r="R49">
        <v>18</v>
      </c>
    </row>
    <row r="50" spans="1:18" ht="15.75" thickBot="1">
      <c r="A50" s="792" t="s">
        <v>996</v>
      </c>
      <c r="B50" s="793" t="s">
        <v>998</v>
      </c>
      <c r="C50" s="794">
        <v>160</v>
      </c>
      <c r="D50" s="794">
        <v>0.2</v>
      </c>
      <c r="E50" s="794">
        <v>0.2</v>
      </c>
      <c r="F50" s="794">
        <v>3.6</v>
      </c>
      <c r="G50" s="807">
        <v>0</v>
      </c>
      <c r="H50" s="794">
        <v>-0.17</v>
      </c>
      <c r="I50" s="795">
        <v>-0.08</v>
      </c>
      <c r="J50" s="795">
        <v>0.52</v>
      </c>
      <c r="K50" s="796">
        <v>1.8</v>
      </c>
      <c r="L50" s="797" t="s">
        <v>994</v>
      </c>
      <c r="M50" s="796">
        <f t="shared" si="0"/>
        <v>10.199999999999999</v>
      </c>
      <c r="N50" s="795">
        <v>3.4</v>
      </c>
      <c r="O50" s="795">
        <f t="shared" si="1"/>
        <v>8.3999999999999986</v>
      </c>
      <c r="P50" t="str">
        <f t="shared" si="2"/>
        <v/>
      </c>
      <c r="Q50">
        <v>4</v>
      </c>
      <c r="R50">
        <v>18</v>
      </c>
    </row>
    <row r="51" spans="1:18" ht="15.75" thickBot="1">
      <c r="A51" s="792" t="s">
        <v>996</v>
      </c>
      <c r="B51" s="793" t="s">
        <v>998</v>
      </c>
      <c r="C51" s="794">
        <v>160</v>
      </c>
      <c r="D51" s="794">
        <v>0.2</v>
      </c>
      <c r="E51" s="794">
        <v>0.2</v>
      </c>
      <c r="F51" s="794">
        <v>3.6</v>
      </c>
      <c r="G51" s="807">
        <v>3.6</v>
      </c>
      <c r="H51" s="794">
        <v>-0.25</v>
      </c>
      <c r="I51" s="795">
        <v>-0.36</v>
      </c>
      <c r="J51" s="795">
        <v>0.52</v>
      </c>
      <c r="K51" s="796">
        <v>5</v>
      </c>
      <c r="L51" s="797" t="s">
        <v>994</v>
      </c>
      <c r="M51" s="796">
        <f t="shared" si="0"/>
        <v>10.199999999999999</v>
      </c>
      <c r="N51" s="795">
        <v>3.4</v>
      </c>
      <c r="O51" s="795">
        <f t="shared" si="1"/>
        <v>5.1999999999999993</v>
      </c>
      <c r="P51" t="str">
        <f t="shared" si="2"/>
        <v/>
      </c>
      <c r="Q51">
        <v>4</v>
      </c>
      <c r="R51">
        <v>18</v>
      </c>
    </row>
    <row r="52" spans="1:18" ht="15.75" thickBot="1">
      <c r="A52" s="792" t="s">
        <v>992</v>
      </c>
      <c r="B52" s="793" t="s">
        <v>999</v>
      </c>
      <c r="C52" s="794">
        <v>161</v>
      </c>
      <c r="D52" s="794">
        <v>0.2</v>
      </c>
      <c r="E52" s="794">
        <v>0.2</v>
      </c>
      <c r="F52" s="794">
        <v>2.7</v>
      </c>
      <c r="G52" s="807">
        <v>0</v>
      </c>
      <c r="H52" s="794">
        <v>1.1200000000000001</v>
      </c>
      <c r="I52" s="795">
        <v>0.5</v>
      </c>
      <c r="J52" s="795">
        <v>-18.05</v>
      </c>
      <c r="K52" s="796">
        <v>4.2</v>
      </c>
      <c r="L52" s="797" t="s">
        <v>994</v>
      </c>
      <c r="M52" s="796">
        <f t="shared" si="0"/>
        <v>10.199999999999999</v>
      </c>
      <c r="N52" s="795">
        <v>3.4</v>
      </c>
      <c r="O52" s="795">
        <f t="shared" si="1"/>
        <v>5.9999999999999991</v>
      </c>
      <c r="P52" t="str">
        <f t="shared" si="2"/>
        <v/>
      </c>
      <c r="Q52">
        <v>4</v>
      </c>
      <c r="R52">
        <v>18</v>
      </c>
    </row>
    <row r="53" spans="1:18" ht="15.75" thickBot="1">
      <c r="A53" s="792" t="s">
        <v>992</v>
      </c>
      <c r="B53" s="793" t="s">
        <v>999</v>
      </c>
      <c r="C53" s="794">
        <v>161</v>
      </c>
      <c r="D53" s="794">
        <v>0.2</v>
      </c>
      <c r="E53" s="794">
        <v>0.2</v>
      </c>
      <c r="F53" s="794">
        <v>2.7</v>
      </c>
      <c r="G53" s="807">
        <v>2.7</v>
      </c>
      <c r="H53" s="794">
        <v>0.97</v>
      </c>
      <c r="I53" s="795">
        <v>0.77</v>
      </c>
      <c r="J53" s="795">
        <v>-18.05</v>
      </c>
      <c r="K53" s="796">
        <v>4.7</v>
      </c>
      <c r="L53" s="797" t="s">
        <v>994</v>
      </c>
      <c r="M53" s="796">
        <f t="shared" si="0"/>
        <v>10.199999999999999</v>
      </c>
      <c r="N53" s="795">
        <v>3.4</v>
      </c>
      <c r="O53" s="795">
        <f t="shared" si="1"/>
        <v>5.4999999999999991</v>
      </c>
      <c r="P53" t="str">
        <f t="shared" si="2"/>
        <v/>
      </c>
      <c r="Q53">
        <v>4</v>
      </c>
      <c r="R53">
        <v>18</v>
      </c>
    </row>
    <row r="54" spans="1:18" ht="15.75" thickBot="1">
      <c r="A54" s="792" t="s">
        <v>992</v>
      </c>
      <c r="B54" s="793" t="s">
        <v>999</v>
      </c>
      <c r="C54" s="794">
        <v>161</v>
      </c>
      <c r="D54" s="794">
        <v>0.2</v>
      </c>
      <c r="E54" s="794">
        <v>0.2</v>
      </c>
      <c r="F54" s="794">
        <v>2.7</v>
      </c>
      <c r="G54" s="807">
        <v>0</v>
      </c>
      <c r="H54" s="794">
        <v>-0.97</v>
      </c>
      <c r="I54" s="795">
        <v>-0.71</v>
      </c>
      <c r="J54" s="795">
        <v>-34.090000000000003</v>
      </c>
      <c r="K54" s="796">
        <v>6.1</v>
      </c>
      <c r="L54" s="797" t="s">
        <v>994</v>
      </c>
      <c r="M54" s="796">
        <f t="shared" si="0"/>
        <v>10.199999999999999</v>
      </c>
      <c r="N54" s="795">
        <v>3.4</v>
      </c>
      <c r="O54" s="795">
        <f t="shared" si="1"/>
        <v>4.0999999999999996</v>
      </c>
      <c r="P54" t="str">
        <f t="shared" si="2"/>
        <v/>
      </c>
      <c r="Q54">
        <v>4</v>
      </c>
      <c r="R54">
        <v>18</v>
      </c>
    </row>
    <row r="55" spans="1:18" ht="15.75" thickBot="1">
      <c r="A55" s="792" t="s">
        <v>992</v>
      </c>
      <c r="B55" s="793" t="s">
        <v>999</v>
      </c>
      <c r="C55" s="794">
        <v>161</v>
      </c>
      <c r="D55" s="794">
        <v>0.2</v>
      </c>
      <c r="E55" s="794">
        <v>0.2</v>
      </c>
      <c r="F55" s="794">
        <v>2.7</v>
      </c>
      <c r="G55" s="807">
        <v>2.7</v>
      </c>
      <c r="H55" s="794">
        <v>-1.08</v>
      </c>
      <c r="I55" s="795">
        <v>-0.32</v>
      </c>
      <c r="J55" s="795">
        <v>-34.090000000000003</v>
      </c>
      <c r="K55" s="796">
        <v>3.7</v>
      </c>
      <c r="L55" s="797" t="s">
        <v>994</v>
      </c>
      <c r="M55" s="796">
        <f t="shared" si="0"/>
        <v>10.199999999999999</v>
      </c>
      <c r="N55" s="795">
        <v>3.4</v>
      </c>
      <c r="O55" s="795">
        <f t="shared" si="1"/>
        <v>6.4999999999999991</v>
      </c>
      <c r="P55" t="str">
        <f t="shared" si="2"/>
        <v/>
      </c>
      <c r="Q55">
        <v>4</v>
      </c>
      <c r="R55">
        <v>18</v>
      </c>
    </row>
    <row r="56" spans="1:18" ht="15.75" thickBot="1">
      <c r="A56" s="792" t="s">
        <v>995</v>
      </c>
      <c r="B56" s="793" t="s">
        <v>999</v>
      </c>
      <c r="C56" s="794">
        <v>162</v>
      </c>
      <c r="D56" s="794">
        <v>0.2</v>
      </c>
      <c r="E56" s="794">
        <v>0.2</v>
      </c>
      <c r="F56" s="794">
        <v>3.6</v>
      </c>
      <c r="G56" s="807">
        <v>0</v>
      </c>
      <c r="H56" s="794">
        <v>1.29</v>
      </c>
      <c r="I56" s="794">
        <v>0.56000000000000005</v>
      </c>
      <c r="J56" s="795">
        <v>-7.29</v>
      </c>
      <c r="K56" s="796">
        <v>12</v>
      </c>
      <c r="L56" s="797" t="s">
        <v>994</v>
      </c>
      <c r="M56" s="796">
        <f t="shared" ref="M56" si="3">ROUND(Q56*(R56/2)^2*PI()/100,1)</f>
        <v>12.6</v>
      </c>
      <c r="N56" s="795">
        <v>3.4</v>
      </c>
      <c r="O56" s="795">
        <f t="shared" ref="O56" si="4">M56-K56</f>
        <v>0.59999999999999964</v>
      </c>
      <c r="P56" t="str">
        <f t="shared" si="2"/>
        <v/>
      </c>
      <c r="Q56">
        <v>4</v>
      </c>
      <c r="R56">
        <v>20</v>
      </c>
    </row>
    <row r="57" spans="1:18" ht="15.75" thickBot="1">
      <c r="A57" s="792" t="s">
        <v>995</v>
      </c>
      <c r="B57" s="793" t="s">
        <v>999</v>
      </c>
      <c r="C57" s="794">
        <v>162</v>
      </c>
      <c r="D57" s="794">
        <v>0.2</v>
      </c>
      <c r="E57" s="794">
        <v>0.2</v>
      </c>
      <c r="F57" s="794">
        <v>3.6</v>
      </c>
      <c r="G57" s="807">
        <v>3.6</v>
      </c>
      <c r="H57" s="794">
        <v>0.9</v>
      </c>
      <c r="I57" s="795">
        <v>1.0900000000000001</v>
      </c>
      <c r="J57" s="795">
        <v>-10.27</v>
      </c>
      <c r="K57" s="796">
        <v>11.5</v>
      </c>
      <c r="L57" s="797" t="s">
        <v>994</v>
      </c>
      <c r="M57" s="796">
        <f t="shared" si="0"/>
        <v>12.6</v>
      </c>
      <c r="N57" s="795">
        <v>3.4</v>
      </c>
      <c r="O57" s="795">
        <f t="shared" si="1"/>
        <v>1.0999999999999996</v>
      </c>
      <c r="P57" t="str">
        <f t="shared" si="2"/>
        <v/>
      </c>
      <c r="Q57">
        <v>4</v>
      </c>
      <c r="R57">
        <v>20</v>
      </c>
    </row>
    <row r="58" spans="1:18" ht="15.75" thickBot="1">
      <c r="A58" s="792" t="s">
        <v>995</v>
      </c>
      <c r="B58" s="793" t="s">
        <v>999</v>
      </c>
      <c r="C58" s="794">
        <v>162</v>
      </c>
      <c r="D58" s="794">
        <v>0.2</v>
      </c>
      <c r="E58" s="794">
        <v>0.2</v>
      </c>
      <c r="F58" s="794">
        <v>3.6</v>
      </c>
      <c r="G58" s="807">
        <v>0</v>
      </c>
      <c r="H58" s="794">
        <v>0.84</v>
      </c>
      <c r="I58" s="795">
        <v>0.67</v>
      </c>
      <c r="J58" s="795">
        <v>-15.89</v>
      </c>
      <c r="K58" s="796">
        <v>3.3</v>
      </c>
      <c r="L58" s="797" t="s">
        <v>994</v>
      </c>
      <c r="M58" s="796">
        <f t="shared" si="0"/>
        <v>10.199999999999999</v>
      </c>
      <c r="N58" s="795">
        <v>3.4</v>
      </c>
      <c r="O58" s="795">
        <f t="shared" si="1"/>
        <v>6.8999999999999995</v>
      </c>
      <c r="P58" t="str">
        <f t="shared" si="2"/>
        <v/>
      </c>
      <c r="Q58">
        <v>4</v>
      </c>
      <c r="R58">
        <v>18</v>
      </c>
    </row>
    <row r="59" spans="1:18" ht="15.75" thickBot="1">
      <c r="A59" s="792" t="s">
        <v>995</v>
      </c>
      <c r="B59" s="793" t="s">
        <v>999</v>
      </c>
      <c r="C59" s="794">
        <v>162</v>
      </c>
      <c r="D59" s="794">
        <v>0.2</v>
      </c>
      <c r="E59" s="794">
        <v>0.2</v>
      </c>
      <c r="F59" s="794">
        <v>3.6</v>
      </c>
      <c r="G59" s="807">
        <v>3.6</v>
      </c>
      <c r="H59" s="794">
        <v>-1.23</v>
      </c>
      <c r="I59" s="795">
        <v>-0.53</v>
      </c>
      <c r="J59" s="795">
        <v>-17.77</v>
      </c>
      <c r="K59" s="796">
        <v>7.5</v>
      </c>
      <c r="L59" s="797" t="s">
        <v>994</v>
      </c>
      <c r="M59" s="796">
        <f t="shared" si="0"/>
        <v>10.199999999999999</v>
      </c>
      <c r="N59" s="795">
        <v>3.4</v>
      </c>
      <c r="O59" s="795">
        <f t="shared" si="1"/>
        <v>2.6999999999999993</v>
      </c>
      <c r="P59" t="str">
        <f t="shared" si="2"/>
        <v/>
      </c>
      <c r="Q59">
        <v>4</v>
      </c>
      <c r="R59">
        <v>18</v>
      </c>
    </row>
    <row r="60" spans="1:18" ht="15.75" thickBot="1">
      <c r="A60" s="792" t="s">
        <v>996</v>
      </c>
      <c r="B60" s="793" t="s">
        <v>999</v>
      </c>
      <c r="C60" s="794">
        <v>163</v>
      </c>
      <c r="D60" s="794">
        <v>0.2</v>
      </c>
      <c r="E60" s="794">
        <v>0.2</v>
      </c>
      <c r="F60" s="794">
        <v>3.6</v>
      </c>
      <c r="G60" s="807">
        <v>0</v>
      </c>
      <c r="H60" s="794">
        <v>0.95</v>
      </c>
      <c r="I60" s="795">
        <v>7.0000000000000007E-2</v>
      </c>
      <c r="J60" s="795">
        <v>1.1499999999999999</v>
      </c>
      <c r="K60" s="796">
        <v>8.3000000000000007</v>
      </c>
      <c r="L60" s="797" t="s">
        <v>994</v>
      </c>
      <c r="M60" s="796">
        <f t="shared" si="0"/>
        <v>10.199999999999999</v>
      </c>
      <c r="N60" s="795">
        <v>3.4</v>
      </c>
      <c r="O60" s="795">
        <f t="shared" si="1"/>
        <v>1.8999999999999986</v>
      </c>
      <c r="P60" t="str">
        <f t="shared" si="2"/>
        <v/>
      </c>
      <c r="Q60">
        <v>4</v>
      </c>
      <c r="R60">
        <v>18</v>
      </c>
    </row>
    <row r="61" spans="1:18" ht="15.75" thickBot="1">
      <c r="A61" s="792" t="s">
        <v>996</v>
      </c>
      <c r="B61" s="793" t="s">
        <v>999</v>
      </c>
      <c r="C61" s="794">
        <v>163</v>
      </c>
      <c r="D61" s="794">
        <v>0.2</v>
      </c>
      <c r="E61" s="794">
        <v>0.2</v>
      </c>
      <c r="F61" s="794">
        <v>3.6</v>
      </c>
      <c r="G61" s="807">
        <v>3.6</v>
      </c>
      <c r="H61" s="794">
        <v>0.2</v>
      </c>
      <c r="I61" s="795">
        <v>0.37</v>
      </c>
      <c r="J61" s="795">
        <v>1.1499999999999999</v>
      </c>
      <c r="K61" s="796">
        <v>4.0999999999999996</v>
      </c>
      <c r="L61" s="797" t="s">
        <v>994</v>
      </c>
      <c r="M61" s="796">
        <f t="shared" si="0"/>
        <v>10.199999999999999</v>
      </c>
      <c r="N61" s="795">
        <v>3.4</v>
      </c>
      <c r="O61" s="795">
        <f t="shared" si="1"/>
        <v>6.1</v>
      </c>
      <c r="P61" t="str">
        <f t="shared" si="2"/>
        <v/>
      </c>
      <c r="Q61">
        <v>4</v>
      </c>
      <c r="R61">
        <v>18</v>
      </c>
    </row>
    <row r="62" spans="1:18" ht="15.75" thickBot="1">
      <c r="A62" s="792" t="s">
        <v>996</v>
      </c>
      <c r="B62" s="793" t="s">
        <v>999</v>
      </c>
      <c r="C62" s="794">
        <v>163</v>
      </c>
      <c r="D62" s="794">
        <v>0.2</v>
      </c>
      <c r="E62" s="794">
        <v>0.2</v>
      </c>
      <c r="F62" s="794">
        <v>3.6</v>
      </c>
      <c r="G62" s="807">
        <v>0</v>
      </c>
      <c r="H62" s="794">
        <v>-0.17</v>
      </c>
      <c r="I62" s="795">
        <v>-0.47</v>
      </c>
      <c r="J62" s="795">
        <v>0.48</v>
      </c>
      <c r="K62" s="796">
        <v>5.4</v>
      </c>
      <c r="L62" s="797" t="s">
        <v>994</v>
      </c>
      <c r="M62" s="796">
        <f t="shared" si="0"/>
        <v>10.199999999999999</v>
      </c>
      <c r="N62" s="795">
        <v>3.4</v>
      </c>
      <c r="O62" s="795">
        <f t="shared" si="1"/>
        <v>4.7999999999999989</v>
      </c>
      <c r="P62" t="str">
        <f t="shared" si="2"/>
        <v/>
      </c>
      <c r="Q62">
        <v>4</v>
      </c>
      <c r="R62">
        <v>18</v>
      </c>
    </row>
    <row r="63" spans="1:18" ht="15.75" thickBot="1">
      <c r="A63" s="792" t="s">
        <v>996</v>
      </c>
      <c r="B63" s="793" t="s">
        <v>999</v>
      </c>
      <c r="C63" s="794">
        <v>163</v>
      </c>
      <c r="D63" s="794">
        <v>0.2</v>
      </c>
      <c r="E63" s="794">
        <v>0.2</v>
      </c>
      <c r="F63" s="794">
        <v>3.6</v>
      </c>
      <c r="G63" s="807">
        <v>3.6</v>
      </c>
      <c r="H63" s="794">
        <v>-0.25</v>
      </c>
      <c r="I63" s="795">
        <v>-0.21</v>
      </c>
      <c r="J63" s="795">
        <v>0.48</v>
      </c>
      <c r="K63" s="796">
        <v>3.7</v>
      </c>
      <c r="L63" s="797" t="s">
        <v>994</v>
      </c>
      <c r="M63" s="796">
        <f t="shared" si="0"/>
        <v>10.199999999999999</v>
      </c>
      <c r="N63" s="795">
        <v>3.4</v>
      </c>
      <c r="O63" s="795">
        <f t="shared" si="1"/>
        <v>6.4999999999999991</v>
      </c>
      <c r="P63" t="str">
        <f t="shared" si="2"/>
        <v/>
      </c>
      <c r="Q63">
        <v>4</v>
      </c>
      <c r="R63">
        <v>18</v>
      </c>
    </row>
    <row r="64" spans="1:18" ht="15.75" thickBot="1">
      <c r="A64" s="792" t="s">
        <v>992</v>
      </c>
      <c r="B64" s="793" t="s">
        <v>1000</v>
      </c>
      <c r="C64" s="794">
        <v>164</v>
      </c>
      <c r="D64" s="794">
        <v>0.2</v>
      </c>
      <c r="E64" s="794">
        <v>0.2</v>
      </c>
      <c r="F64" s="794">
        <v>2.7</v>
      </c>
      <c r="G64" s="807">
        <v>0</v>
      </c>
      <c r="H64" s="794">
        <v>0.77</v>
      </c>
      <c r="I64" s="795">
        <v>0.75</v>
      </c>
      <c r="J64" s="795">
        <v>-17.68</v>
      </c>
      <c r="K64" s="796">
        <v>2.6</v>
      </c>
      <c r="L64" s="797" t="s">
        <v>994</v>
      </c>
      <c r="M64" s="796">
        <f t="shared" si="0"/>
        <v>10.199999999999999</v>
      </c>
      <c r="N64" s="795">
        <v>3.4</v>
      </c>
      <c r="O64" s="795">
        <f t="shared" si="1"/>
        <v>7.6</v>
      </c>
      <c r="P64" t="str">
        <f t="shared" si="2"/>
        <v/>
      </c>
      <c r="Q64">
        <v>4</v>
      </c>
      <c r="R64">
        <v>18</v>
      </c>
    </row>
    <row r="65" spans="1:18" ht="15.75" thickBot="1">
      <c r="A65" s="792" t="s">
        <v>992</v>
      </c>
      <c r="B65" s="793" t="s">
        <v>1000</v>
      </c>
      <c r="C65" s="794">
        <v>164</v>
      </c>
      <c r="D65" s="794">
        <v>0.2</v>
      </c>
      <c r="E65" s="794">
        <v>0.2</v>
      </c>
      <c r="F65" s="794">
        <v>2.7</v>
      </c>
      <c r="G65" s="807">
        <v>2.7</v>
      </c>
      <c r="H65" s="794">
        <v>0.55000000000000004</v>
      </c>
      <c r="I65" s="795">
        <v>0.36</v>
      </c>
      <c r="J65" s="795">
        <v>-17.68</v>
      </c>
      <c r="K65" s="796">
        <v>0.6</v>
      </c>
      <c r="L65" s="797" t="s">
        <v>994</v>
      </c>
      <c r="M65" s="796">
        <f t="shared" si="0"/>
        <v>10.199999999999999</v>
      </c>
      <c r="N65" s="795">
        <v>3.4</v>
      </c>
      <c r="O65" s="795">
        <f t="shared" si="1"/>
        <v>9.6</v>
      </c>
      <c r="P65" t="str">
        <f t="shared" si="2"/>
        <v/>
      </c>
      <c r="Q65">
        <v>4</v>
      </c>
      <c r="R65">
        <v>18</v>
      </c>
    </row>
    <row r="66" spans="1:18" ht="15.75" thickBot="1">
      <c r="A66" s="792" t="s">
        <v>992</v>
      </c>
      <c r="B66" s="793" t="s">
        <v>1000</v>
      </c>
      <c r="C66" s="794">
        <v>164</v>
      </c>
      <c r="D66" s="794">
        <v>0.2</v>
      </c>
      <c r="E66" s="794">
        <v>0.2</v>
      </c>
      <c r="F66" s="794">
        <v>2.7</v>
      </c>
      <c r="G66" s="807">
        <v>0</v>
      </c>
      <c r="H66" s="794">
        <v>-0.77</v>
      </c>
      <c r="I66" s="795">
        <v>-0.52</v>
      </c>
      <c r="J66" s="795">
        <v>-26.52</v>
      </c>
      <c r="K66" s="796">
        <v>0.6</v>
      </c>
      <c r="L66" s="797" t="s">
        <v>994</v>
      </c>
      <c r="M66" s="796">
        <f t="shared" si="0"/>
        <v>10.199999999999999</v>
      </c>
      <c r="N66" s="795">
        <v>3.4</v>
      </c>
      <c r="O66" s="795">
        <f t="shared" si="1"/>
        <v>9.6</v>
      </c>
      <c r="P66" t="str">
        <f t="shared" si="2"/>
        <v/>
      </c>
      <c r="Q66">
        <v>4</v>
      </c>
      <c r="R66">
        <v>18</v>
      </c>
    </row>
    <row r="67" spans="1:18" ht="15.75" thickBot="1">
      <c r="A67" s="792" t="s">
        <v>992</v>
      </c>
      <c r="B67" s="793" t="s">
        <v>1000</v>
      </c>
      <c r="C67" s="794">
        <v>164</v>
      </c>
      <c r="D67" s="794">
        <v>0.2</v>
      </c>
      <c r="E67" s="794">
        <v>0.2</v>
      </c>
      <c r="F67" s="794">
        <v>2.7</v>
      </c>
      <c r="G67" s="807">
        <v>2.7</v>
      </c>
      <c r="H67" s="794">
        <v>-0.35</v>
      </c>
      <c r="I67" s="795">
        <v>-0.82</v>
      </c>
      <c r="J67" s="795">
        <v>-26.52</v>
      </c>
      <c r="K67" s="796">
        <v>0.6</v>
      </c>
      <c r="L67" s="797" t="s">
        <v>994</v>
      </c>
      <c r="M67" s="796">
        <f t="shared" si="0"/>
        <v>10.199999999999999</v>
      </c>
      <c r="N67" s="795">
        <v>3.4</v>
      </c>
      <c r="O67" s="795">
        <f t="shared" si="1"/>
        <v>9.6</v>
      </c>
      <c r="P67" t="str">
        <f t="shared" si="2"/>
        <v/>
      </c>
      <c r="Q67">
        <v>4</v>
      </c>
      <c r="R67">
        <v>18</v>
      </c>
    </row>
    <row r="68" spans="1:18" ht="15.75" thickBot="1">
      <c r="A68" s="792" t="s">
        <v>995</v>
      </c>
      <c r="B68" s="793" t="s">
        <v>1000</v>
      </c>
      <c r="C68" s="794">
        <v>165</v>
      </c>
      <c r="D68" s="794">
        <v>0.2</v>
      </c>
      <c r="E68" s="794">
        <v>0.2</v>
      </c>
      <c r="F68" s="794">
        <v>3.6</v>
      </c>
      <c r="G68" s="807">
        <v>0</v>
      </c>
      <c r="H68" s="794">
        <v>1.1200000000000001</v>
      </c>
      <c r="I68" s="795">
        <v>0.5</v>
      </c>
      <c r="J68" s="795">
        <v>-18.05</v>
      </c>
      <c r="K68" s="796">
        <v>4.2</v>
      </c>
      <c r="L68" s="797" t="s">
        <v>994</v>
      </c>
      <c r="M68" s="796">
        <f t="shared" ref="M68" si="5">ROUND(Q68*(R68/2)^2*PI()/100,1)</f>
        <v>10.199999999999999</v>
      </c>
      <c r="N68" s="795">
        <v>3.4</v>
      </c>
      <c r="O68" s="795">
        <f t="shared" ref="O68" si="6">M68-K68</f>
        <v>5.9999999999999991</v>
      </c>
      <c r="P68" t="str">
        <f t="shared" si="2"/>
        <v/>
      </c>
      <c r="Q68">
        <v>4</v>
      </c>
      <c r="R68">
        <v>18</v>
      </c>
    </row>
    <row r="69" spans="1:18" ht="15.75" thickBot="1">
      <c r="A69" s="792" t="s">
        <v>995</v>
      </c>
      <c r="B69" s="793" t="s">
        <v>1000</v>
      </c>
      <c r="C69" s="794">
        <v>165</v>
      </c>
      <c r="D69" s="794">
        <v>0.2</v>
      </c>
      <c r="E69" s="794">
        <v>0.2</v>
      </c>
      <c r="F69" s="794">
        <v>3.6</v>
      </c>
      <c r="G69" s="807">
        <v>3.6</v>
      </c>
      <c r="H69" s="794">
        <v>0.83</v>
      </c>
      <c r="I69" s="795">
        <v>0.54</v>
      </c>
      <c r="J69" s="795">
        <v>-8.5500000000000007</v>
      </c>
      <c r="K69" s="796">
        <v>6.5</v>
      </c>
      <c r="L69" s="797" t="s">
        <v>994</v>
      </c>
      <c r="M69" s="796">
        <f t="shared" ref="M69:M99" si="7">ROUND(Q69*(R69/2)^2*PI()/100,1)</f>
        <v>10.199999999999999</v>
      </c>
      <c r="N69" s="795">
        <v>3.4</v>
      </c>
      <c r="O69" s="795">
        <f t="shared" ref="O69:O99" si="8">M69-K69</f>
        <v>3.6999999999999993</v>
      </c>
      <c r="P69" t="str">
        <f t="shared" ref="P69:P99" si="9">IF(O69&lt;0,"THIEU THEP","")</f>
        <v/>
      </c>
      <c r="Q69">
        <v>4</v>
      </c>
      <c r="R69">
        <v>18</v>
      </c>
    </row>
    <row r="70" spans="1:18" ht="15.75" thickBot="1">
      <c r="A70" s="792" t="s">
        <v>995</v>
      </c>
      <c r="B70" s="793" t="s">
        <v>1000</v>
      </c>
      <c r="C70" s="794">
        <v>165</v>
      </c>
      <c r="D70" s="794">
        <v>0.2</v>
      </c>
      <c r="E70" s="794">
        <v>0.2</v>
      </c>
      <c r="F70" s="794">
        <v>3.6</v>
      </c>
      <c r="G70" s="807">
        <v>0</v>
      </c>
      <c r="H70" s="794">
        <v>-1.3</v>
      </c>
      <c r="I70" s="795">
        <v>-0.55000000000000004</v>
      </c>
      <c r="J70" s="795">
        <v>-13.58</v>
      </c>
      <c r="K70" s="796">
        <v>9.4</v>
      </c>
      <c r="L70" s="797" t="s">
        <v>994</v>
      </c>
      <c r="M70" s="796">
        <f t="shared" si="7"/>
        <v>10.199999999999999</v>
      </c>
      <c r="N70" s="795">
        <v>3.4</v>
      </c>
      <c r="O70" s="795">
        <f t="shared" si="8"/>
        <v>0.79999999999999893</v>
      </c>
      <c r="P70" t="str">
        <f t="shared" si="9"/>
        <v/>
      </c>
      <c r="Q70">
        <v>4</v>
      </c>
      <c r="R70">
        <v>18</v>
      </c>
    </row>
    <row r="71" spans="1:18" ht="15.75" thickBot="1">
      <c r="A71" s="792" t="s">
        <v>995</v>
      </c>
      <c r="B71" s="793" t="s">
        <v>1000</v>
      </c>
      <c r="C71" s="794">
        <v>165</v>
      </c>
      <c r="D71" s="794">
        <v>0.2</v>
      </c>
      <c r="E71" s="794">
        <v>0.2</v>
      </c>
      <c r="F71" s="794">
        <v>3.6</v>
      </c>
      <c r="G71" s="807">
        <v>3.6</v>
      </c>
      <c r="H71" s="794">
        <v>-0.54</v>
      </c>
      <c r="I71" s="795">
        <v>-1.1200000000000001</v>
      </c>
      <c r="J71" s="795">
        <v>-13.58</v>
      </c>
      <c r="K71" s="796">
        <v>7.4</v>
      </c>
      <c r="L71" s="797" t="s">
        <v>994</v>
      </c>
      <c r="M71" s="796">
        <f t="shared" si="7"/>
        <v>10.199999999999999</v>
      </c>
      <c r="N71" s="795">
        <v>3.4</v>
      </c>
      <c r="O71" s="795">
        <f t="shared" si="8"/>
        <v>2.7999999999999989</v>
      </c>
      <c r="P71" t="str">
        <f t="shared" si="9"/>
        <v/>
      </c>
      <c r="Q71">
        <v>4</v>
      </c>
      <c r="R71">
        <v>18</v>
      </c>
    </row>
    <row r="72" spans="1:18" ht="15.75" thickBot="1">
      <c r="A72" s="792" t="s">
        <v>996</v>
      </c>
      <c r="B72" s="793" t="s">
        <v>1000</v>
      </c>
      <c r="C72" s="794">
        <v>166</v>
      </c>
      <c r="D72" s="794">
        <v>0.2</v>
      </c>
      <c r="E72" s="794">
        <v>0.2</v>
      </c>
      <c r="F72" s="794">
        <v>3.6</v>
      </c>
      <c r="G72" s="807">
        <v>0</v>
      </c>
      <c r="H72" s="794">
        <v>0.53</v>
      </c>
      <c r="I72" s="795">
        <v>0.48</v>
      </c>
      <c r="J72" s="795">
        <v>0.37</v>
      </c>
      <c r="K72" s="796">
        <v>8.6999999999999993</v>
      </c>
      <c r="L72" s="797" t="s">
        <v>994</v>
      </c>
      <c r="M72" s="796">
        <f t="shared" si="7"/>
        <v>10.199999999999999</v>
      </c>
      <c r="N72" s="795">
        <v>3.4</v>
      </c>
      <c r="O72" s="795">
        <f t="shared" si="8"/>
        <v>1.5</v>
      </c>
      <c r="P72" t="str">
        <f t="shared" si="9"/>
        <v/>
      </c>
      <c r="Q72">
        <v>4</v>
      </c>
      <c r="R72">
        <v>18</v>
      </c>
    </row>
    <row r="73" spans="1:18" ht="15.75" thickBot="1">
      <c r="A73" s="792" t="s">
        <v>996</v>
      </c>
      <c r="B73" s="793" t="s">
        <v>1000</v>
      </c>
      <c r="C73" s="794">
        <v>166</v>
      </c>
      <c r="D73" s="794">
        <v>0.2</v>
      </c>
      <c r="E73" s="794">
        <v>0.2</v>
      </c>
      <c r="F73" s="794">
        <v>3.6</v>
      </c>
      <c r="G73" s="807">
        <v>3.6</v>
      </c>
      <c r="H73" s="794">
        <v>0.31</v>
      </c>
      <c r="I73" s="795">
        <v>0.24</v>
      </c>
      <c r="J73" s="795">
        <v>0.37</v>
      </c>
      <c r="K73" s="796">
        <v>4.5999999999999996</v>
      </c>
      <c r="L73" s="797" t="s">
        <v>994</v>
      </c>
      <c r="M73" s="796">
        <f t="shared" si="7"/>
        <v>10.199999999999999</v>
      </c>
      <c r="N73" s="795">
        <v>3.4</v>
      </c>
      <c r="O73" s="795">
        <f t="shared" si="8"/>
        <v>5.6</v>
      </c>
      <c r="P73" t="str">
        <f t="shared" si="9"/>
        <v/>
      </c>
      <c r="Q73">
        <v>4</v>
      </c>
      <c r="R73">
        <v>18</v>
      </c>
    </row>
    <row r="74" spans="1:18" ht="15.75" thickBot="1">
      <c r="A74" s="792" t="s">
        <v>996</v>
      </c>
      <c r="B74" s="793" t="s">
        <v>1000</v>
      </c>
      <c r="C74" s="794">
        <v>166</v>
      </c>
      <c r="D74" s="794">
        <v>0.2</v>
      </c>
      <c r="E74" s="794">
        <v>0.2</v>
      </c>
      <c r="F74" s="794">
        <v>3.6</v>
      </c>
      <c r="G74" s="807">
        <v>0</v>
      </c>
      <c r="H74" s="794">
        <v>-0.34</v>
      </c>
      <c r="I74" s="795">
        <v>-0.09</v>
      </c>
      <c r="J74" s="795">
        <v>-0.49</v>
      </c>
      <c r="K74" s="796">
        <v>3.4</v>
      </c>
      <c r="L74" s="797" t="s">
        <v>994</v>
      </c>
      <c r="M74" s="796">
        <f t="shared" si="7"/>
        <v>10.199999999999999</v>
      </c>
      <c r="N74" s="795">
        <v>3.4</v>
      </c>
      <c r="O74" s="795">
        <f t="shared" si="8"/>
        <v>6.7999999999999989</v>
      </c>
      <c r="P74" t="str">
        <f t="shared" si="9"/>
        <v/>
      </c>
      <c r="Q74">
        <v>4</v>
      </c>
      <c r="R74">
        <v>18</v>
      </c>
    </row>
    <row r="75" spans="1:18" ht="15.75" thickBot="1">
      <c r="A75" s="792" t="s">
        <v>996</v>
      </c>
      <c r="B75" s="793" t="s">
        <v>1000</v>
      </c>
      <c r="C75" s="794">
        <v>166</v>
      </c>
      <c r="D75" s="794">
        <v>0.2</v>
      </c>
      <c r="E75" s="794">
        <v>0.2</v>
      </c>
      <c r="F75" s="794">
        <v>3.6</v>
      </c>
      <c r="G75" s="807">
        <v>3.6</v>
      </c>
      <c r="H75" s="794">
        <v>-0.03</v>
      </c>
      <c r="I75" s="795">
        <v>-0.39</v>
      </c>
      <c r="J75" s="795">
        <v>-0.49</v>
      </c>
      <c r="K75" s="796">
        <v>3.4</v>
      </c>
      <c r="L75" s="797" t="s">
        <v>994</v>
      </c>
      <c r="M75" s="796">
        <f t="shared" si="7"/>
        <v>10.199999999999999</v>
      </c>
      <c r="N75" s="795">
        <v>3.4</v>
      </c>
      <c r="O75" s="795">
        <f t="shared" si="8"/>
        <v>6.7999999999999989</v>
      </c>
      <c r="P75" t="str">
        <f t="shared" si="9"/>
        <v/>
      </c>
      <c r="Q75">
        <v>4</v>
      </c>
      <c r="R75">
        <v>18</v>
      </c>
    </row>
    <row r="76" spans="1:18" ht="15.75" thickBot="1">
      <c r="A76" s="792" t="s">
        <v>992</v>
      </c>
      <c r="B76" s="793" t="s">
        <v>1001</v>
      </c>
      <c r="C76" s="794">
        <v>167</v>
      </c>
      <c r="D76" s="794">
        <v>0.2</v>
      </c>
      <c r="E76" s="794">
        <v>0.2</v>
      </c>
      <c r="F76" s="794">
        <v>2.7</v>
      </c>
      <c r="G76" s="807">
        <v>0</v>
      </c>
      <c r="H76" s="794">
        <v>0.86</v>
      </c>
      <c r="I76" s="795">
        <v>0.65</v>
      </c>
      <c r="J76" s="795">
        <v>-17.420000000000002</v>
      </c>
      <c r="K76" s="796">
        <v>2.8</v>
      </c>
      <c r="L76" s="797" t="s">
        <v>994</v>
      </c>
      <c r="M76" s="796">
        <f t="shared" si="7"/>
        <v>10.199999999999999</v>
      </c>
      <c r="N76" s="795">
        <v>3.4</v>
      </c>
      <c r="O76" s="795">
        <f t="shared" si="8"/>
        <v>7.3999999999999995</v>
      </c>
      <c r="P76" t="str">
        <f t="shared" si="9"/>
        <v/>
      </c>
      <c r="Q76">
        <v>4</v>
      </c>
      <c r="R76">
        <v>18</v>
      </c>
    </row>
    <row r="77" spans="1:18" ht="15.75" thickBot="1">
      <c r="A77" s="792" t="s">
        <v>992</v>
      </c>
      <c r="B77" s="793" t="s">
        <v>1001</v>
      </c>
      <c r="C77" s="794">
        <v>167</v>
      </c>
      <c r="D77" s="794">
        <v>0.2</v>
      </c>
      <c r="E77" s="794">
        <v>0.2</v>
      </c>
      <c r="F77" s="794">
        <v>2.7</v>
      </c>
      <c r="G77" s="807">
        <v>2.7</v>
      </c>
      <c r="H77" s="794">
        <v>0.54</v>
      </c>
      <c r="I77" s="795">
        <v>0.61</v>
      </c>
      <c r="J77" s="795">
        <v>-17.420000000000002</v>
      </c>
      <c r="K77" s="796">
        <v>0.6</v>
      </c>
      <c r="L77" s="797" t="s">
        <v>994</v>
      </c>
      <c r="M77" s="796">
        <f t="shared" si="7"/>
        <v>10.199999999999999</v>
      </c>
      <c r="N77" s="795">
        <v>3.4</v>
      </c>
      <c r="O77" s="795">
        <f t="shared" si="8"/>
        <v>9.6</v>
      </c>
      <c r="P77" t="str">
        <f t="shared" si="9"/>
        <v/>
      </c>
      <c r="Q77">
        <v>4</v>
      </c>
      <c r="R77">
        <v>18</v>
      </c>
    </row>
    <row r="78" spans="1:18" ht="15.75" thickBot="1">
      <c r="A78" s="792" t="s">
        <v>992</v>
      </c>
      <c r="B78" s="793" t="s">
        <v>1001</v>
      </c>
      <c r="C78" s="794">
        <v>167</v>
      </c>
      <c r="D78" s="794">
        <v>0.2</v>
      </c>
      <c r="E78" s="794">
        <v>0.2</v>
      </c>
      <c r="F78" s="794">
        <v>2.7</v>
      </c>
      <c r="G78" s="807">
        <v>0</v>
      </c>
      <c r="H78" s="794">
        <v>-0.63</v>
      </c>
      <c r="I78" s="795">
        <v>-0.65</v>
      </c>
      <c r="J78" s="795">
        <v>-40.24</v>
      </c>
      <c r="K78" s="796">
        <v>0.6</v>
      </c>
      <c r="L78" s="797" t="s">
        <v>994</v>
      </c>
      <c r="M78" s="796">
        <f t="shared" si="7"/>
        <v>10.199999999999999</v>
      </c>
      <c r="N78" s="795">
        <v>3.4</v>
      </c>
      <c r="O78" s="795">
        <f t="shared" si="8"/>
        <v>9.6</v>
      </c>
      <c r="P78" t="str">
        <f t="shared" si="9"/>
        <v/>
      </c>
      <c r="Q78">
        <v>4</v>
      </c>
      <c r="R78">
        <v>18</v>
      </c>
    </row>
    <row r="79" spans="1:18" ht="15.75" thickBot="1">
      <c r="A79" s="792" t="s">
        <v>992</v>
      </c>
      <c r="B79" s="793" t="s">
        <v>1001</v>
      </c>
      <c r="C79" s="794">
        <v>167</v>
      </c>
      <c r="D79" s="794">
        <v>0.2</v>
      </c>
      <c r="E79" s="794">
        <v>0.2</v>
      </c>
      <c r="F79" s="794">
        <v>2.7</v>
      </c>
      <c r="G79" s="807">
        <v>2.7</v>
      </c>
      <c r="H79" s="794">
        <v>-0.86</v>
      </c>
      <c r="I79" s="795">
        <v>-0.61</v>
      </c>
      <c r="J79" s="795">
        <v>-40.24</v>
      </c>
      <c r="K79" s="796">
        <v>2.9</v>
      </c>
      <c r="L79" s="797" t="s">
        <v>994</v>
      </c>
      <c r="M79" s="796">
        <f t="shared" si="7"/>
        <v>10.199999999999999</v>
      </c>
      <c r="N79" s="795">
        <v>3.4</v>
      </c>
      <c r="O79" s="795">
        <f t="shared" si="8"/>
        <v>7.2999999999999989</v>
      </c>
      <c r="P79" t="str">
        <f t="shared" si="9"/>
        <v/>
      </c>
      <c r="Q79">
        <v>4</v>
      </c>
      <c r="R79">
        <v>18</v>
      </c>
    </row>
    <row r="80" spans="1:18" ht="15.75" thickBot="1">
      <c r="A80" s="792" t="s">
        <v>995</v>
      </c>
      <c r="B80" s="793" t="s">
        <v>1001</v>
      </c>
      <c r="C80" s="794">
        <v>168</v>
      </c>
      <c r="D80" s="794">
        <v>0.2</v>
      </c>
      <c r="E80" s="794">
        <v>0.2</v>
      </c>
      <c r="F80" s="794">
        <v>3.6</v>
      </c>
      <c r="G80" s="807">
        <v>0</v>
      </c>
      <c r="H80" s="794">
        <v>0.32</v>
      </c>
      <c r="I80" s="795">
        <v>0.36</v>
      </c>
      <c r="J80" s="795">
        <v>1.04</v>
      </c>
      <c r="K80" s="796">
        <v>5.2</v>
      </c>
      <c r="L80" s="797" t="s">
        <v>994</v>
      </c>
      <c r="M80" s="796">
        <f t="shared" ref="M80" si="10">ROUND(Q80*(R80/2)^2*PI()/100,1)</f>
        <v>10.199999999999999</v>
      </c>
      <c r="N80" s="795">
        <v>3.4</v>
      </c>
      <c r="O80" s="795">
        <f t="shared" ref="O80" si="11">M80-K80</f>
        <v>4.9999999999999991</v>
      </c>
      <c r="P80" t="str">
        <f t="shared" si="9"/>
        <v/>
      </c>
      <c r="Q80">
        <v>4</v>
      </c>
      <c r="R80">
        <v>18</v>
      </c>
    </row>
    <row r="81" spans="1:18" ht="15.75" thickBot="1">
      <c r="A81" s="792" t="s">
        <v>995</v>
      </c>
      <c r="B81" s="793" t="s">
        <v>1001</v>
      </c>
      <c r="C81" s="794">
        <v>168</v>
      </c>
      <c r="D81" s="794">
        <v>0.2</v>
      </c>
      <c r="E81" s="794">
        <v>0.2</v>
      </c>
      <c r="F81" s="794">
        <v>3.6</v>
      </c>
      <c r="G81" s="807">
        <v>3.6</v>
      </c>
      <c r="H81" s="794">
        <v>0.89</v>
      </c>
      <c r="I81" s="795">
        <v>0.86</v>
      </c>
      <c r="J81" s="795">
        <v>-8.2799999999999994</v>
      </c>
      <c r="K81" s="796">
        <v>10.1</v>
      </c>
      <c r="L81" s="797" t="s">
        <v>994</v>
      </c>
      <c r="M81" s="796">
        <f t="shared" si="7"/>
        <v>10.199999999999999</v>
      </c>
      <c r="N81" s="795">
        <v>3.4</v>
      </c>
      <c r="O81" s="795">
        <f t="shared" si="8"/>
        <v>9.9999999999999645E-2</v>
      </c>
      <c r="P81" t="str">
        <f t="shared" si="9"/>
        <v/>
      </c>
      <c r="Q81">
        <v>4</v>
      </c>
      <c r="R81">
        <v>18</v>
      </c>
    </row>
    <row r="82" spans="1:18" ht="15.75" thickBot="1">
      <c r="A82" s="792" t="s">
        <v>995</v>
      </c>
      <c r="B82" s="793" t="s">
        <v>1001</v>
      </c>
      <c r="C82" s="794">
        <v>168</v>
      </c>
      <c r="D82" s="794">
        <v>0.2</v>
      </c>
      <c r="E82" s="794">
        <v>0.2</v>
      </c>
      <c r="F82" s="794">
        <v>3.6</v>
      </c>
      <c r="G82" s="807">
        <v>0</v>
      </c>
      <c r="H82" s="794">
        <v>-0.89</v>
      </c>
      <c r="I82" s="795">
        <v>-0.85</v>
      </c>
      <c r="J82" s="795">
        <v>-24.85</v>
      </c>
      <c r="K82" s="796">
        <v>5.5</v>
      </c>
      <c r="L82" s="797" t="s">
        <v>994</v>
      </c>
      <c r="M82" s="796">
        <f t="shared" si="7"/>
        <v>10.199999999999999</v>
      </c>
      <c r="N82" s="795">
        <v>3.4</v>
      </c>
      <c r="O82" s="795">
        <f t="shared" si="8"/>
        <v>4.6999999999999993</v>
      </c>
      <c r="P82" t="str">
        <f t="shared" si="9"/>
        <v/>
      </c>
      <c r="Q82">
        <v>4</v>
      </c>
      <c r="R82">
        <v>18</v>
      </c>
    </row>
    <row r="83" spans="1:18" ht="15.75" thickBot="1">
      <c r="A83" s="792" t="s">
        <v>995</v>
      </c>
      <c r="B83" s="793" t="s">
        <v>1001</v>
      </c>
      <c r="C83" s="794">
        <v>168</v>
      </c>
      <c r="D83" s="794">
        <v>0.2</v>
      </c>
      <c r="E83" s="794">
        <v>0.2</v>
      </c>
      <c r="F83" s="794">
        <v>3.6</v>
      </c>
      <c r="G83" s="807">
        <v>3.6</v>
      </c>
      <c r="H83" s="794">
        <v>-1.26</v>
      </c>
      <c r="I83" s="795">
        <v>-0.84</v>
      </c>
      <c r="J83" s="795">
        <v>-24.85</v>
      </c>
      <c r="K83" s="796">
        <v>10.199999999999999</v>
      </c>
      <c r="L83" s="797" t="s">
        <v>994</v>
      </c>
      <c r="M83" s="796">
        <f t="shared" si="7"/>
        <v>10.199999999999999</v>
      </c>
      <c r="N83" s="795">
        <v>3.4</v>
      </c>
      <c r="O83" s="795">
        <f t="shared" si="8"/>
        <v>0</v>
      </c>
      <c r="P83" t="str">
        <f t="shared" si="9"/>
        <v/>
      </c>
      <c r="Q83">
        <v>4</v>
      </c>
      <c r="R83">
        <v>18</v>
      </c>
    </row>
    <row r="84" spans="1:18" ht="15.75" thickBot="1">
      <c r="A84" s="792" t="s">
        <v>996</v>
      </c>
      <c r="B84" s="793" t="s">
        <v>1001</v>
      </c>
      <c r="C84" s="794">
        <v>169</v>
      </c>
      <c r="D84" s="794">
        <v>0.2</v>
      </c>
      <c r="E84" s="794">
        <v>0.2</v>
      </c>
      <c r="F84" s="794">
        <v>3.6</v>
      </c>
      <c r="G84" s="807">
        <v>0</v>
      </c>
      <c r="H84" s="794">
        <v>0.46</v>
      </c>
      <c r="I84" s="795">
        <v>0.28999999999999998</v>
      </c>
      <c r="J84" s="795">
        <v>1.04</v>
      </c>
      <c r="K84" s="796">
        <v>5.8</v>
      </c>
      <c r="L84" s="797" t="s">
        <v>994</v>
      </c>
      <c r="M84" s="796">
        <f t="shared" si="7"/>
        <v>10.199999999999999</v>
      </c>
      <c r="N84" s="795">
        <v>3.4</v>
      </c>
      <c r="O84" s="795">
        <f t="shared" si="8"/>
        <v>4.3999999999999995</v>
      </c>
      <c r="P84" t="str">
        <f t="shared" si="9"/>
        <v/>
      </c>
      <c r="Q84">
        <v>4</v>
      </c>
      <c r="R84">
        <v>18</v>
      </c>
    </row>
    <row r="85" spans="1:18" ht="15.75" thickBot="1">
      <c r="A85" s="792" t="s">
        <v>996</v>
      </c>
      <c r="B85" s="793" t="s">
        <v>1001</v>
      </c>
      <c r="C85" s="794">
        <v>169</v>
      </c>
      <c r="D85" s="794">
        <v>0.2</v>
      </c>
      <c r="E85" s="794">
        <v>0.2</v>
      </c>
      <c r="F85" s="794">
        <v>3.6</v>
      </c>
      <c r="G85" s="807">
        <v>3.6</v>
      </c>
      <c r="H85" s="794">
        <v>0.32</v>
      </c>
      <c r="I85" s="795">
        <v>0.36</v>
      </c>
      <c r="J85" s="795">
        <v>1.04</v>
      </c>
      <c r="K85" s="796">
        <v>5.2</v>
      </c>
      <c r="L85" s="797" t="s">
        <v>994</v>
      </c>
      <c r="M85" s="796">
        <f t="shared" si="7"/>
        <v>10.199999999999999</v>
      </c>
      <c r="N85" s="795">
        <v>3.4</v>
      </c>
      <c r="O85" s="795">
        <f t="shared" si="8"/>
        <v>4.9999999999999991</v>
      </c>
      <c r="P85" t="str">
        <f t="shared" si="9"/>
        <v/>
      </c>
      <c r="Q85">
        <v>4</v>
      </c>
      <c r="R85">
        <v>18</v>
      </c>
    </row>
    <row r="86" spans="1:18" ht="15.75" thickBot="1">
      <c r="A86" s="792" t="s">
        <v>996</v>
      </c>
      <c r="B86" s="793" t="s">
        <v>1001</v>
      </c>
      <c r="C86" s="794">
        <v>169</v>
      </c>
      <c r="D86" s="794">
        <v>0.2</v>
      </c>
      <c r="E86" s="794">
        <v>0.2</v>
      </c>
      <c r="F86" s="794">
        <v>3.6</v>
      </c>
      <c r="G86" s="807">
        <v>0</v>
      </c>
      <c r="H86" s="794">
        <v>-0.26</v>
      </c>
      <c r="I86" s="795">
        <v>-0.34</v>
      </c>
      <c r="J86" s="795">
        <v>-9.86</v>
      </c>
      <c r="K86" s="796">
        <v>0.6</v>
      </c>
      <c r="L86" s="797" t="s">
        <v>994</v>
      </c>
      <c r="M86" s="796">
        <f t="shared" si="7"/>
        <v>10.199999999999999</v>
      </c>
      <c r="N86" s="795">
        <v>3.4</v>
      </c>
      <c r="O86" s="795">
        <f t="shared" si="8"/>
        <v>9.6</v>
      </c>
      <c r="P86" t="str">
        <f t="shared" si="9"/>
        <v/>
      </c>
      <c r="Q86">
        <v>4</v>
      </c>
      <c r="R86">
        <v>18</v>
      </c>
    </row>
    <row r="87" spans="1:18" ht="15.75" thickBot="1">
      <c r="A87" s="792" t="s">
        <v>996</v>
      </c>
      <c r="B87" s="793" t="s">
        <v>1001</v>
      </c>
      <c r="C87" s="794">
        <v>169</v>
      </c>
      <c r="D87" s="794">
        <v>0.2</v>
      </c>
      <c r="E87" s="794">
        <v>0.2</v>
      </c>
      <c r="F87" s="794">
        <v>3.6</v>
      </c>
      <c r="G87" s="807">
        <v>3.6</v>
      </c>
      <c r="H87" s="794">
        <v>-0.44</v>
      </c>
      <c r="I87" s="795">
        <v>-0.31</v>
      </c>
      <c r="J87" s="795">
        <v>-9.86</v>
      </c>
      <c r="K87" s="796">
        <v>0.6</v>
      </c>
      <c r="L87" s="797" t="s">
        <v>994</v>
      </c>
      <c r="M87" s="796">
        <f t="shared" si="7"/>
        <v>10.199999999999999</v>
      </c>
      <c r="N87" s="795">
        <v>3.4</v>
      </c>
      <c r="O87" s="795">
        <f t="shared" si="8"/>
        <v>9.6</v>
      </c>
      <c r="P87" t="str">
        <f t="shared" si="9"/>
        <v/>
      </c>
      <c r="Q87">
        <v>4</v>
      </c>
      <c r="R87">
        <v>18</v>
      </c>
    </row>
    <row r="88" spans="1:18" ht="15.75" thickBot="1">
      <c r="A88" s="792" t="s">
        <v>992</v>
      </c>
      <c r="B88" s="793" t="s">
        <v>1002</v>
      </c>
      <c r="C88" s="794">
        <v>170</v>
      </c>
      <c r="D88" s="794">
        <v>0.2</v>
      </c>
      <c r="E88" s="794">
        <v>0.2</v>
      </c>
      <c r="F88" s="794">
        <v>2.7</v>
      </c>
      <c r="G88" s="807">
        <v>0</v>
      </c>
      <c r="H88" s="794">
        <v>0.84</v>
      </c>
      <c r="I88" s="795">
        <v>0.67</v>
      </c>
      <c r="J88" s="795">
        <v>-15.89</v>
      </c>
      <c r="K88" s="796">
        <v>3.3</v>
      </c>
      <c r="L88" s="797" t="s">
        <v>994</v>
      </c>
      <c r="M88" s="796">
        <f t="shared" si="7"/>
        <v>10.199999999999999</v>
      </c>
      <c r="N88" s="795">
        <v>3.4</v>
      </c>
      <c r="O88" s="795">
        <f t="shared" si="8"/>
        <v>6.8999999999999995</v>
      </c>
      <c r="P88" t="str">
        <f t="shared" si="9"/>
        <v/>
      </c>
      <c r="Q88">
        <v>4</v>
      </c>
      <c r="R88">
        <v>18</v>
      </c>
    </row>
    <row r="89" spans="1:18" ht="15.75" thickBot="1">
      <c r="A89" s="792" t="s">
        <v>992</v>
      </c>
      <c r="B89" s="793" t="s">
        <v>1002</v>
      </c>
      <c r="C89" s="794">
        <v>170</v>
      </c>
      <c r="D89" s="794">
        <v>0.2</v>
      </c>
      <c r="E89" s="794">
        <v>0.2</v>
      </c>
      <c r="F89" s="794">
        <v>2.7</v>
      </c>
      <c r="G89" s="807">
        <v>2.7</v>
      </c>
      <c r="H89" s="794">
        <v>0.63</v>
      </c>
      <c r="I89" s="795">
        <v>0.2</v>
      </c>
      <c r="J89" s="795">
        <v>-15.89</v>
      </c>
      <c r="K89" s="796">
        <v>0.6</v>
      </c>
      <c r="L89" s="797" t="s">
        <v>994</v>
      </c>
      <c r="M89" s="796">
        <f t="shared" si="7"/>
        <v>10.199999999999999</v>
      </c>
      <c r="N89" s="795">
        <v>3.4</v>
      </c>
      <c r="O89" s="795">
        <f t="shared" si="8"/>
        <v>9.6</v>
      </c>
      <c r="P89" t="str">
        <f t="shared" si="9"/>
        <v/>
      </c>
      <c r="Q89">
        <v>4</v>
      </c>
      <c r="R89">
        <v>18</v>
      </c>
    </row>
    <row r="90" spans="1:18" ht="15.75" thickBot="1">
      <c r="A90" s="792" t="s">
        <v>992</v>
      </c>
      <c r="B90" s="793" t="s">
        <v>1002</v>
      </c>
      <c r="C90" s="794">
        <v>170</v>
      </c>
      <c r="D90" s="794">
        <v>0.2</v>
      </c>
      <c r="E90" s="794">
        <v>0.2</v>
      </c>
      <c r="F90" s="794">
        <v>2.7</v>
      </c>
      <c r="G90" s="807">
        <v>0</v>
      </c>
      <c r="H90" s="794">
        <v>-0.69</v>
      </c>
      <c r="I90" s="795">
        <v>-0.64</v>
      </c>
      <c r="J90" s="795">
        <v>-32.35</v>
      </c>
      <c r="K90" s="796">
        <v>0.6</v>
      </c>
      <c r="L90" s="797" t="s">
        <v>994</v>
      </c>
      <c r="M90" s="796">
        <f t="shared" si="7"/>
        <v>10.199999999999999</v>
      </c>
      <c r="N90" s="795">
        <v>3.4</v>
      </c>
      <c r="O90" s="795">
        <f t="shared" si="8"/>
        <v>9.6</v>
      </c>
      <c r="P90" t="str">
        <f t="shared" si="9"/>
        <v/>
      </c>
      <c r="Q90">
        <v>4</v>
      </c>
      <c r="R90">
        <v>18</v>
      </c>
    </row>
    <row r="91" spans="1:18" ht="15.75" thickBot="1">
      <c r="A91" s="792" t="s">
        <v>992</v>
      </c>
      <c r="B91" s="793" t="s">
        <v>1002</v>
      </c>
      <c r="C91" s="794">
        <v>170</v>
      </c>
      <c r="D91" s="794">
        <v>0.2</v>
      </c>
      <c r="E91" s="794">
        <v>0.2</v>
      </c>
      <c r="F91" s="794">
        <v>2.7</v>
      </c>
      <c r="G91" s="807">
        <v>2.7</v>
      </c>
      <c r="H91" s="794">
        <v>-0.8</v>
      </c>
      <c r="I91" s="795">
        <v>-0.36</v>
      </c>
      <c r="J91" s="795">
        <v>-32.35</v>
      </c>
      <c r="K91" s="796">
        <v>0.6</v>
      </c>
      <c r="L91" s="797" t="s">
        <v>994</v>
      </c>
      <c r="M91" s="796">
        <f t="shared" si="7"/>
        <v>10.199999999999999</v>
      </c>
      <c r="N91" s="795">
        <v>3.4</v>
      </c>
      <c r="O91" s="795">
        <f t="shared" si="8"/>
        <v>9.6</v>
      </c>
      <c r="P91" t="str">
        <f t="shared" si="9"/>
        <v/>
      </c>
      <c r="Q91">
        <v>4</v>
      </c>
      <c r="R91">
        <v>18</v>
      </c>
    </row>
    <row r="92" spans="1:18" ht="15.75" thickBot="1">
      <c r="A92" s="792" t="s">
        <v>995</v>
      </c>
      <c r="B92" s="793" t="s">
        <v>1002</v>
      </c>
      <c r="C92" s="794">
        <v>171</v>
      </c>
      <c r="D92" s="794">
        <v>0.2</v>
      </c>
      <c r="E92" s="794">
        <v>0.2</v>
      </c>
      <c r="F92" s="794">
        <v>3.6</v>
      </c>
      <c r="G92" s="807">
        <v>0</v>
      </c>
      <c r="H92" s="794">
        <v>0.97</v>
      </c>
      <c r="I92" s="795">
        <v>0.77</v>
      </c>
      <c r="J92" s="795">
        <v>-18.05</v>
      </c>
      <c r="K92" s="796">
        <v>4.7</v>
      </c>
      <c r="L92" s="797" t="s">
        <v>994</v>
      </c>
      <c r="M92" s="796">
        <f t="shared" si="7"/>
        <v>10.199999999999999</v>
      </c>
      <c r="N92" s="795">
        <v>3.4</v>
      </c>
      <c r="O92" s="795">
        <f t="shared" si="8"/>
        <v>5.4999999999999991</v>
      </c>
      <c r="P92" t="str">
        <f t="shared" si="9"/>
        <v/>
      </c>
      <c r="Q92">
        <v>4</v>
      </c>
      <c r="R92">
        <v>18</v>
      </c>
    </row>
    <row r="93" spans="1:18" ht="15.75" thickBot="1">
      <c r="A93" s="792" t="s">
        <v>995</v>
      </c>
      <c r="B93" s="793" t="s">
        <v>1002</v>
      </c>
      <c r="C93" s="794">
        <v>171</v>
      </c>
      <c r="D93" s="794">
        <v>0.2</v>
      </c>
      <c r="E93" s="794">
        <v>0.2</v>
      </c>
      <c r="F93" s="794">
        <v>3.6</v>
      </c>
      <c r="G93" s="807">
        <v>3.6</v>
      </c>
      <c r="H93" s="794">
        <v>0.97</v>
      </c>
      <c r="I93" s="795">
        <v>0.24</v>
      </c>
      <c r="J93" s="795">
        <v>-7.98</v>
      </c>
      <c r="K93" s="796">
        <v>5.6</v>
      </c>
      <c r="L93" s="797" t="s">
        <v>994</v>
      </c>
      <c r="M93" s="796">
        <f t="shared" si="7"/>
        <v>10.199999999999999</v>
      </c>
      <c r="N93" s="795">
        <v>3.4</v>
      </c>
      <c r="O93" s="795">
        <f t="shared" si="8"/>
        <v>4.5999999999999996</v>
      </c>
      <c r="P93" t="str">
        <f t="shared" si="9"/>
        <v/>
      </c>
      <c r="Q93">
        <v>4</v>
      </c>
      <c r="R93">
        <v>18</v>
      </c>
    </row>
    <row r="94" spans="1:18" ht="15.75" thickBot="1">
      <c r="A94" s="792" t="s">
        <v>995</v>
      </c>
      <c r="B94" s="793" t="s">
        <v>1002</v>
      </c>
      <c r="C94" s="794">
        <v>171</v>
      </c>
      <c r="D94" s="794">
        <v>0.2</v>
      </c>
      <c r="E94" s="794">
        <v>0.2</v>
      </c>
      <c r="F94" s="794">
        <v>3.6</v>
      </c>
      <c r="G94" s="807">
        <v>0</v>
      </c>
      <c r="H94" s="794">
        <v>-0.97</v>
      </c>
      <c r="I94" s="795">
        <v>-0.88</v>
      </c>
      <c r="J94" s="795">
        <v>-18.36</v>
      </c>
      <c r="K94" s="796">
        <v>7.4</v>
      </c>
      <c r="L94" s="797" t="s">
        <v>994</v>
      </c>
      <c r="M94" s="796">
        <f t="shared" si="7"/>
        <v>10.199999999999999</v>
      </c>
      <c r="N94" s="795">
        <v>3.4</v>
      </c>
      <c r="O94" s="795">
        <f t="shared" si="8"/>
        <v>2.7999999999999989</v>
      </c>
      <c r="P94" t="str">
        <f t="shared" si="9"/>
        <v/>
      </c>
      <c r="Q94">
        <v>4</v>
      </c>
      <c r="R94">
        <v>18</v>
      </c>
    </row>
    <row r="95" spans="1:18" ht="15.75" thickBot="1">
      <c r="A95" s="792" t="s">
        <v>995</v>
      </c>
      <c r="B95" s="793" t="s">
        <v>1002</v>
      </c>
      <c r="C95" s="794">
        <v>171</v>
      </c>
      <c r="D95" s="794">
        <v>0.2</v>
      </c>
      <c r="E95" s="794">
        <v>0.2</v>
      </c>
      <c r="F95" s="794">
        <v>3.6</v>
      </c>
      <c r="G95" s="807">
        <v>3.6</v>
      </c>
      <c r="H95" s="794">
        <v>-1.17</v>
      </c>
      <c r="I95" s="795">
        <v>-0.49</v>
      </c>
      <c r="J95" s="795">
        <v>-18.36</v>
      </c>
      <c r="K95" s="796">
        <v>6.3</v>
      </c>
      <c r="L95" s="797" t="s">
        <v>994</v>
      </c>
      <c r="M95" s="796">
        <f t="shared" si="7"/>
        <v>10.199999999999999</v>
      </c>
      <c r="N95" s="795">
        <v>3.4</v>
      </c>
      <c r="O95" s="795">
        <f t="shared" si="8"/>
        <v>3.8999999999999995</v>
      </c>
      <c r="P95" t="str">
        <f t="shared" si="9"/>
        <v/>
      </c>
      <c r="Q95">
        <v>4</v>
      </c>
      <c r="R95">
        <v>18</v>
      </c>
    </row>
    <row r="96" spans="1:18" ht="15.75" thickBot="1">
      <c r="A96" s="792" t="s">
        <v>996</v>
      </c>
      <c r="B96" s="793" t="s">
        <v>1002</v>
      </c>
      <c r="C96" s="794">
        <v>172</v>
      </c>
      <c r="D96" s="794">
        <v>0.2</v>
      </c>
      <c r="E96" s="794">
        <v>0.2</v>
      </c>
      <c r="F96" s="794">
        <v>3.6</v>
      </c>
      <c r="G96" s="807">
        <v>0</v>
      </c>
      <c r="H96" s="794">
        <v>0.41</v>
      </c>
      <c r="I96" s="795">
        <v>0.57999999999999996</v>
      </c>
      <c r="J96" s="795">
        <v>0.12</v>
      </c>
      <c r="K96" s="796">
        <v>8.8000000000000007</v>
      </c>
      <c r="L96" s="797" t="s">
        <v>994</v>
      </c>
      <c r="M96" s="796">
        <f t="shared" si="7"/>
        <v>10.199999999999999</v>
      </c>
      <c r="N96" s="795">
        <v>3.4</v>
      </c>
      <c r="O96" s="795">
        <f t="shared" si="8"/>
        <v>1.3999999999999986</v>
      </c>
      <c r="P96" t="str">
        <f t="shared" si="9"/>
        <v/>
      </c>
      <c r="Q96">
        <v>4</v>
      </c>
      <c r="R96">
        <v>18</v>
      </c>
    </row>
    <row r="97" spans="1:18" ht="15.75" thickBot="1">
      <c r="A97" s="792" t="s">
        <v>996</v>
      </c>
      <c r="B97" s="793" t="s">
        <v>1002</v>
      </c>
      <c r="C97" s="794">
        <v>172</v>
      </c>
      <c r="D97" s="794">
        <v>0.2</v>
      </c>
      <c r="E97" s="794">
        <v>0.2</v>
      </c>
      <c r="F97" s="794">
        <v>3.6</v>
      </c>
      <c r="G97" s="807">
        <v>3.6</v>
      </c>
      <c r="H97" s="794">
        <v>0.33</v>
      </c>
      <c r="I97" s="795">
        <v>-0.02</v>
      </c>
      <c r="J97" s="795">
        <v>0.12</v>
      </c>
      <c r="K97" s="796">
        <v>3</v>
      </c>
      <c r="L97" s="797" t="s">
        <v>994</v>
      </c>
      <c r="M97" s="796">
        <f t="shared" si="7"/>
        <v>10.199999999999999</v>
      </c>
      <c r="N97" s="795">
        <v>3.4</v>
      </c>
      <c r="O97" s="795">
        <f t="shared" si="8"/>
        <v>7.1999999999999993</v>
      </c>
      <c r="P97" t="str">
        <f t="shared" si="9"/>
        <v/>
      </c>
      <c r="Q97">
        <v>4</v>
      </c>
      <c r="R97">
        <v>18</v>
      </c>
    </row>
    <row r="98" spans="1:18" ht="15.75" thickBot="1">
      <c r="A98" s="792" t="s">
        <v>996</v>
      </c>
      <c r="B98" s="793" t="s">
        <v>1002</v>
      </c>
      <c r="C98" s="794">
        <v>172</v>
      </c>
      <c r="D98" s="794">
        <v>0.2</v>
      </c>
      <c r="E98" s="794">
        <v>0.2</v>
      </c>
      <c r="F98" s="794">
        <v>3.6</v>
      </c>
      <c r="G98" s="807">
        <v>0</v>
      </c>
      <c r="H98" s="794">
        <v>-0.31</v>
      </c>
      <c r="I98" s="795">
        <v>-0.5</v>
      </c>
      <c r="J98" s="795">
        <v>-4.37</v>
      </c>
      <c r="K98" s="796">
        <v>3.8</v>
      </c>
      <c r="L98" s="797" t="s">
        <v>994</v>
      </c>
      <c r="M98" s="796">
        <f t="shared" si="7"/>
        <v>10.199999999999999</v>
      </c>
      <c r="N98" s="795">
        <v>3.4</v>
      </c>
      <c r="O98" s="795">
        <f t="shared" si="8"/>
        <v>6.3999999999999995</v>
      </c>
      <c r="P98" t="str">
        <f t="shared" si="9"/>
        <v/>
      </c>
      <c r="Q98">
        <v>4</v>
      </c>
      <c r="R98">
        <v>18</v>
      </c>
    </row>
    <row r="99" spans="1:18" ht="15.75" thickBot="1">
      <c r="A99" s="792" t="s">
        <v>996</v>
      </c>
      <c r="B99" s="793" t="s">
        <v>1002</v>
      </c>
      <c r="C99" s="794">
        <v>172</v>
      </c>
      <c r="D99" s="794">
        <v>0.2</v>
      </c>
      <c r="E99" s="794">
        <v>0.2</v>
      </c>
      <c r="F99" s="794">
        <v>3.6</v>
      </c>
      <c r="G99" s="807">
        <v>3.6</v>
      </c>
      <c r="H99" s="794">
        <v>-0.41</v>
      </c>
      <c r="I99" s="795">
        <v>-0.23</v>
      </c>
      <c r="J99" s="795">
        <v>-4.37</v>
      </c>
      <c r="K99" s="796">
        <v>2.2999999999999998</v>
      </c>
      <c r="L99" s="797" t="s">
        <v>994</v>
      </c>
      <c r="M99" s="796">
        <f t="shared" si="7"/>
        <v>10.199999999999999</v>
      </c>
      <c r="N99" s="795">
        <v>3.4</v>
      </c>
      <c r="O99" s="795">
        <f t="shared" si="8"/>
        <v>7.8999999999999995</v>
      </c>
      <c r="P99" t="str">
        <f t="shared" si="9"/>
        <v/>
      </c>
      <c r="Q99">
        <v>4</v>
      </c>
      <c r="R99">
        <v>18</v>
      </c>
    </row>
  </sheetData>
  <mergeCells count="4">
    <mergeCell ref="A1:A3"/>
    <mergeCell ref="B1:B3"/>
    <mergeCell ref="C1:C3"/>
    <mergeCell ref="L1:L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46D9-7EE9-470F-B8BA-62D20835CBDD}">
  <dimension ref="A1:T145"/>
  <sheetViews>
    <sheetView workbookViewId="0">
      <selection activeCell="C6" sqref="C6:L47"/>
    </sheetView>
  </sheetViews>
  <sheetFormatPr defaultRowHeight="15"/>
  <cols>
    <col min="4" max="4" width="0" hidden="1" customWidth="1"/>
  </cols>
  <sheetData>
    <row r="1" spans="1:20">
      <c r="A1" s="627" t="s">
        <v>438</v>
      </c>
      <c r="B1" s="627"/>
      <c r="C1" s="627"/>
      <c r="D1" s="210"/>
      <c r="E1" s="146"/>
      <c r="F1" s="146"/>
      <c r="G1" s="146"/>
      <c r="H1" s="136"/>
      <c r="I1" s="146"/>
      <c r="J1" s="137"/>
      <c r="K1" s="137"/>
      <c r="L1" s="137"/>
      <c r="M1" s="137"/>
      <c r="N1" s="137"/>
      <c r="O1" s="137"/>
      <c r="P1" s="137"/>
      <c r="Q1" s="137"/>
      <c r="R1" s="137"/>
      <c r="S1" s="137"/>
      <c r="T1" s="137"/>
    </row>
    <row r="2" spans="1:20" ht="15.75">
      <c r="A2" s="136"/>
      <c r="B2" s="153" t="s">
        <v>439</v>
      </c>
      <c r="C2" s="152">
        <v>9</v>
      </c>
      <c r="D2" s="183"/>
      <c r="E2" s="136"/>
      <c r="F2" s="136"/>
      <c r="G2" s="136"/>
      <c r="H2" s="136"/>
      <c r="I2" s="136"/>
      <c r="J2" s="136"/>
      <c r="K2" s="136"/>
      <c r="L2" s="136"/>
      <c r="M2" s="136"/>
      <c r="N2" s="137"/>
      <c r="O2" s="137"/>
      <c r="P2" s="137"/>
      <c r="Q2" s="137"/>
      <c r="R2" s="137"/>
      <c r="S2" s="137"/>
      <c r="T2" s="137"/>
    </row>
    <row r="3" spans="1:20">
      <c r="A3" s="148"/>
      <c r="B3" s="149"/>
      <c r="C3" s="148"/>
      <c r="D3" s="194"/>
      <c r="E3" s="148"/>
      <c r="F3" s="148"/>
      <c r="G3" s="148"/>
      <c r="H3" s="148"/>
      <c r="I3" s="148"/>
      <c r="J3" s="148"/>
      <c r="K3" s="148"/>
      <c r="L3" s="148"/>
      <c r="M3" s="148"/>
      <c r="N3" s="150"/>
      <c r="O3" s="150"/>
      <c r="P3" s="150"/>
      <c r="Q3" s="150"/>
      <c r="R3" s="150"/>
      <c r="S3" s="150"/>
      <c r="T3" s="150"/>
    </row>
    <row r="4" spans="1:20" ht="15.75">
      <c r="A4" s="137"/>
      <c r="B4" s="142"/>
      <c r="C4" s="136"/>
      <c r="D4" s="184"/>
      <c r="E4" s="139" t="s">
        <v>440</v>
      </c>
      <c r="F4" s="137"/>
      <c r="G4" s="137"/>
      <c r="H4" s="137"/>
      <c r="I4" s="137"/>
      <c r="J4" s="137"/>
      <c r="K4" s="137"/>
      <c r="L4" s="137"/>
      <c r="M4" s="137"/>
      <c r="N4" s="137"/>
      <c r="O4" s="137"/>
      <c r="P4" s="137"/>
      <c r="Q4" s="137"/>
      <c r="R4" s="137"/>
      <c r="S4" s="137"/>
      <c r="T4" s="137"/>
    </row>
    <row r="5" spans="1:20">
      <c r="A5" s="137"/>
      <c r="B5" s="142"/>
      <c r="C5" s="137"/>
      <c r="D5" s="186"/>
      <c r="E5" s="137"/>
      <c r="F5" s="137"/>
      <c r="G5" s="137"/>
      <c r="H5" s="137"/>
      <c r="I5" s="137"/>
      <c r="J5" s="137"/>
      <c r="K5" s="137"/>
      <c r="L5" s="137"/>
      <c r="M5" s="137"/>
      <c r="N5" s="137"/>
      <c r="O5" s="137"/>
      <c r="P5" s="137"/>
      <c r="Q5" s="137"/>
      <c r="R5" s="137"/>
      <c r="S5" s="137"/>
      <c r="T5" s="137"/>
    </row>
    <row r="6" spans="1:20" ht="17.25">
      <c r="A6" s="150"/>
      <c r="B6" s="140"/>
      <c r="C6" s="154" t="s">
        <v>441</v>
      </c>
      <c r="D6" s="206"/>
      <c r="E6" s="155" t="s">
        <v>206</v>
      </c>
      <c r="F6" s="156" t="s">
        <v>206</v>
      </c>
      <c r="G6" s="157"/>
      <c r="H6" s="155" t="s">
        <v>367</v>
      </c>
      <c r="I6" s="158" t="s">
        <v>208</v>
      </c>
      <c r="J6" s="158" t="s">
        <v>209</v>
      </c>
      <c r="K6" s="159"/>
      <c r="L6" s="160" t="s">
        <v>442</v>
      </c>
      <c r="M6" s="150"/>
      <c r="N6" s="137"/>
      <c r="O6" s="137"/>
      <c r="P6" s="137"/>
      <c r="Q6" s="137"/>
      <c r="R6" s="137"/>
      <c r="S6" s="137"/>
      <c r="T6" s="137"/>
    </row>
    <row r="7" spans="1:20" ht="17.25">
      <c r="A7" s="137"/>
      <c r="B7" s="141"/>
      <c r="C7" s="161" t="s">
        <v>212</v>
      </c>
      <c r="D7" s="207"/>
      <c r="E7" s="162" t="s">
        <v>213</v>
      </c>
      <c r="F7" s="162" t="s">
        <v>214</v>
      </c>
      <c r="G7" s="163"/>
      <c r="H7" s="164" t="s">
        <v>368</v>
      </c>
      <c r="I7" s="165" t="s">
        <v>215</v>
      </c>
      <c r="J7" s="165" t="s">
        <v>215</v>
      </c>
      <c r="K7" s="166"/>
      <c r="L7" s="167" t="s">
        <v>443</v>
      </c>
      <c r="M7" s="137"/>
      <c r="N7" s="137"/>
      <c r="O7" s="137"/>
      <c r="P7" s="137"/>
      <c r="Q7" s="137"/>
      <c r="R7" s="137"/>
      <c r="S7" s="137"/>
      <c r="T7" s="137"/>
    </row>
    <row r="8" spans="1:20" ht="18.75">
      <c r="A8" s="137"/>
      <c r="B8" s="141"/>
      <c r="C8" s="161" t="s">
        <v>218</v>
      </c>
      <c r="D8" s="207"/>
      <c r="E8" s="164" t="s">
        <v>444</v>
      </c>
      <c r="F8" s="162" t="s">
        <v>445</v>
      </c>
      <c r="G8" s="163"/>
      <c r="H8" s="164" t="s">
        <v>369</v>
      </c>
      <c r="I8" s="165" t="s">
        <v>446</v>
      </c>
      <c r="J8" s="165" t="s">
        <v>447</v>
      </c>
      <c r="K8" s="168"/>
      <c r="L8" s="167" t="s">
        <v>448</v>
      </c>
      <c r="M8" s="137"/>
      <c r="N8" s="137"/>
      <c r="O8" s="137"/>
      <c r="P8" s="137"/>
      <c r="Q8" s="137"/>
      <c r="R8" s="137"/>
      <c r="S8" s="137"/>
      <c r="T8" s="137"/>
    </row>
    <row r="9" spans="1:20" ht="17.25">
      <c r="A9" s="137"/>
      <c r="B9" s="141"/>
      <c r="C9" s="161" t="s">
        <v>225</v>
      </c>
      <c r="D9" s="207"/>
      <c r="E9" s="169"/>
      <c r="F9" s="170"/>
      <c r="G9" s="163"/>
      <c r="H9" s="164" t="s">
        <v>370</v>
      </c>
      <c r="I9" s="171"/>
      <c r="J9" s="171"/>
      <c r="K9" s="168"/>
      <c r="L9" s="167" t="s">
        <v>449</v>
      </c>
      <c r="M9" s="137"/>
      <c r="N9" s="143"/>
      <c r="O9" s="138"/>
      <c r="P9" s="138"/>
      <c r="Q9" s="137"/>
      <c r="R9" s="137"/>
      <c r="S9" s="137"/>
      <c r="T9" s="137"/>
    </row>
    <row r="10" spans="1:20" ht="18">
      <c r="A10" s="137"/>
      <c r="B10" s="141"/>
      <c r="C10" s="172"/>
      <c r="D10" s="208"/>
      <c r="E10" s="173" t="s">
        <v>58</v>
      </c>
      <c r="F10" s="174" t="s">
        <v>58</v>
      </c>
      <c r="G10" s="175"/>
      <c r="H10" s="176"/>
      <c r="I10" s="177" t="s">
        <v>450</v>
      </c>
      <c r="J10" s="177" t="s">
        <v>450</v>
      </c>
      <c r="K10" s="178"/>
      <c r="L10" s="179" t="s">
        <v>451</v>
      </c>
      <c r="M10" s="137"/>
      <c r="N10" s="143"/>
      <c r="O10" s="151"/>
      <c r="P10" s="138"/>
      <c r="Q10" s="137"/>
      <c r="R10" s="137"/>
      <c r="S10" s="137"/>
      <c r="T10" s="137"/>
    </row>
    <row r="11" spans="1:20">
      <c r="A11" s="137"/>
      <c r="B11" s="141"/>
      <c r="C11" s="180">
        <v>1</v>
      </c>
      <c r="D11" s="209"/>
      <c r="E11" s="181">
        <v>2</v>
      </c>
      <c r="F11" s="181">
        <v>3</v>
      </c>
      <c r="G11" s="181">
        <v>4</v>
      </c>
      <c r="H11" s="181">
        <v>5</v>
      </c>
      <c r="I11" s="181">
        <v>6</v>
      </c>
      <c r="J11" s="181">
        <v>7</v>
      </c>
      <c r="K11" s="181">
        <v>8</v>
      </c>
      <c r="L11" s="182">
        <v>9</v>
      </c>
      <c r="M11" s="137"/>
      <c r="N11" s="143"/>
      <c r="O11" s="145"/>
      <c r="P11" s="138"/>
      <c r="Q11" s="137"/>
      <c r="R11" s="137"/>
      <c r="S11" s="137"/>
      <c r="T11" s="137"/>
    </row>
    <row r="12" spans="1:20">
      <c r="A12" s="137"/>
      <c r="B12" s="142"/>
      <c r="C12" s="241" t="s">
        <v>201</v>
      </c>
      <c r="D12" s="242" t="s">
        <v>453</v>
      </c>
      <c r="E12" s="243">
        <f>VLOOKUP(C12,'tải sàn'!$B$5:$F$16,4,0)</f>
        <v>4</v>
      </c>
      <c r="F12" s="243">
        <f>VLOOKUP(C12,'tải sàn'!$B$5:$F$16,5,0)</f>
        <v>6</v>
      </c>
      <c r="G12" s="244">
        <f>IF(F12/E12&lt;=2,ROUND(F12/E12,2),"1P")</f>
        <v>1.5</v>
      </c>
      <c r="H12" s="245">
        <f>VLOOKUP(G12,'du lieu'!$D$18:$BF$118,HLOOKUP($C$2,'du lieu'!$D$130:$BF$131,2))</f>
        <v>2.0799999999999999E-2</v>
      </c>
      <c r="I12" s="242">
        <f>VLOOKUP(C12,'tải sàn'!$B$5:$F$16,2,0)</f>
        <v>0.19500000000000001</v>
      </c>
      <c r="J12" s="242">
        <f>VLOOKUP(C12,'tải sàn'!$B$5:$F$16,3,0)</f>
        <v>1.1350000000000002</v>
      </c>
      <c r="K12" s="246">
        <f>+(I12+J12)*E12*F12</f>
        <v>31.920000000000009</v>
      </c>
      <c r="L12" s="514">
        <f>H12*K12</f>
        <v>0.66393600000000019</v>
      </c>
      <c r="M12" s="137"/>
      <c r="N12" s="144"/>
      <c r="O12" s="151"/>
      <c r="P12" s="138"/>
      <c r="Q12" s="137"/>
      <c r="R12" s="137"/>
      <c r="S12" s="137"/>
      <c r="T12" s="137"/>
    </row>
    <row r="13" spans="1:20">
      <c r="A13" s="137"/>
      <c r="B13" s="142"/>
      <c r="C13" s="247" t="str">
        <f>C12</f>
        <v>S1A</v>
      </c>
      <c r="D13" s="248" t="s">
        <v>454</v>
      </c>
      <c r="E13" s="249"/>
      <c r="F13" s="243"/>
      <c r="G13" s="244"/>
      <c r="H13" s="245">
        <f>VLOOKUP(G12,'du lieu'!$D$18:$BF$118,HLOOKUP($C$2,'du lieu'!$D$133:$BF$134,2))</f>
        <v>9.2999999999999992E-3</v>
      </c>
      <c r="I13" s="242"/>
      <c r="J13" s="242"/>
      <c r="K13" s="246"/>
      <c r="L13" s="515">
        <f>H13*K12</f>
        <v>0.29685600000000006</v>
      </c>
      <c r="M13" s="137"/>
      <c r="N13" s="143"/>
      <c r="O13" s="145"/>
      <c r="P13" s="138"/>
      <c r="Q13" s="137"/>
      <c r="R13" s="137"/>
      <c r="S13" s="137"/>
      <c r="T13" s="137"/>
    </row>
    <row r="14" spans="1:20">
      <c r="A14" s="137"/>
      <c r="B14" s="142"/>
      <c r="C14" s="247" t="str">
        <f>C12</f>
        <v>S1A</v>
      </c>
      <c r="D14" s="248" t="s">
        <v>455</v>
      </c>
      <c r="E14" s="249"/>
      <c r="F14" s="243"/>
      <c r="G14" s="244"/>
      <c r="H14" s="245">
        <f>VLOOKUP(G12,'du lieu'!$D$18:$BF$118,HLOOKUP($C$2,'du lieu'!$D$136:$BF$137,2))</f>
        <v>4.6399999999999997E-2</v>
      </c>
      <c r="I14" s="250"/>
      <c r="J14" s="250"/>
      <c r="K14" s="246"/>
      <c r="L14" s="515">
        <f>H14*K12</f>
        <v>1.4810880000000004</v>
      </c>
      <c r="M14" s="137"/>
      <c r="N14" s="143"/>
      <c r="O14" s="151"/>
      <c r="P14" s="138"/>
      <c r="Q14" s="137"/>
      <c r="R14" s="137"/>
      <c r="S14" s="137"/>
      <c r="T14" s="137"/>
    </row>
    <row r="15" spans="1:20">
      <c r="A15" s="137"/>
      <c r="B15" s="142"/>
      <c r="C15" s="251" t="str">
        <f>C12</f>
        <v>S1A</v>
      </c>
      <c r="D15" s="252" t="s">
        <v>456</v>
      </c>
      <c r="E15" s="253"/>
      <c r="F15" s="254"/>
      <c r="G15" s="255"/>
      <c r="H15" s="256">
        <f>VLOOKUP(G12,'du lieu'!$D$18:$BF$118,HLOOKUP($C$2,'du lieu'!$D$139:$BF$140,2))</f>
        <v>2.06E-2</v>
      </c>
      <c r="I15" s="257"/>
      <c r="J15" s="257"/>
      <c r="K15" s="246"/>
      <c r="L15" s="515">
        <f>H15*K12</f>
        <v>0.65755200000000014</v>
      </c>
      <c r="M15" s="137"/>
      <c r="N15" s="136"/>
      <c r="O15" s="146"/>
      <c r="P15" s="137"/>
      <c r="Q15" s="137"/>
      <c r="R15" s="137"/>
      <c r="S15" s="137"/>
      <c r="T15" s="137"/>
    </row>
    <row r="16" spans="1:20">
      <c r="A16" s="137"/>
      <c r="B16" s="142"/>
      <c r="C16" s="241" t="s">
        <v>204</v>
      </c>
      <c r="D16" s="242" t="s">
        <v>453</v>
      </c>
      <c r="E16" s="243">
        <f>VLOOKUP(C16,'tải sàn'!$B$5:$F$16,4,0)</f>
        <v>4</v>
      </c>
      <c r="F16" s="243">
        <f>VLOOKUP(C16,'tải sàn'!$B$5:$F$16,5,0)</f>
        <v>6</v>
      </c>
      <c r="G16" s="244">
        <f>IF(F16/E16&lt;=2,ROUND(F16/E16,2),"1P")</f>
        <v>1.5</v>
      </c>
      <c r="H16" s="245">
        <f>VLOOKUP(G16,'du lieu'!$D$18:$BF$118,HLOOKUP($C$2,'du lieu'!$D$130:$BF$131,2))</f>
        <v>2.0799999999999999E-2</v>
      </c>
      <c r="I16" s="242">
        <f>VLOOKUP(C16,'tải sàn'!$B$5:$F$16,2,0)</f>
        <v>0.84</v>
      </c>
      <c r="J16" s="242">
        <f>VLOOKUP(C16,'tải sàn'!$B$5:$F$16,3,0)</f>
        <v>0.47600000000000003</v>
      </c>
      <c r="K16" s="258">
        <f>+(I16+J16)*E16*F16</f>
        <v>31.584000000000003</v>
      </c>
      <c r="L16" s="514">
        <f>H16*K16</f>
        <v>0.65694720000000006</v>
      </c>
      <c r="M16" s="137"/>
      <c r="N16" s="136"/>
      <c r="O16" s="137"/>
      <c r="P16" s="137"/>
      <c r="Q16" s="137"/>
      <c r="R16" s="137"/>
      <c r="S16" s="137"/>
      <c r="T16" s="137"/>
    </row>
    <row r="17" spans="1:20">
      <c r="A17" s="137"/>
      <c r="B17" s="142"/>
      <c r="C17" s="247" t="str">
        <f>C16</f>
        <v>S1B</v>
      </c>
      <c r="D17" s="248" t="s">
        <v>454</v>
      </c>
      <c r="E17" s="249"/>
      <c r="F17" s="243"/>
      <c r="G17" s="244"/>
      <c r="H17" s="245">
        <f>VLOOKUP(G16,'du lieu'!$D$18:$BF$118,HLOOKUP($C$2,'du lieu'!$D$133:$BF$134,2))</f>
        <v>9.2999999999999992E-3</v>
      </c>
      <c r="I17" s="242"/>
      <c r="J17" s="242"/>
      <c r="K17" s="259"/>
      <c r="L17" s="515">
        <f>H17*K16</f>
        <v>0.29373120000000003</v>
      </c>
      <c r="M17" s="137"/>
      <c r="N17" s="136"/>
      <c r="O17" s="137"/>
      <c r="P17" s="137"/>
      <c r="Q17" s="137"/>
      <c r="R17" s="137"/>
      <c r="S17" s="137"/>
      <c r="T17" s="137"/>
    </row>
    <row r="18" spans="1:20">
      <c r="A18" s="137"/>
      <c r="B18" s="142"/>
      <c r="C18" s="247" t="str">
        <f>C16</f>
        <v>S1B</v>
      </c>
      <c r="D18" s="248" t="s">
        <v>455</v>
      </c>
      <c r="E18" s="249"/>
      <c r="F18" s="243"/>
      <c r="G18" s="244"/>
      <c r="H18" s="245">
        <f>VLOOKUP(G16,'du lieu'!$D$18:$BF$118,HLOOKUP($C$2,'du lieu'!$D$136:$BF$137,2))</f>
        <v>4.6399999999999997E-2</v>
      </c>
      <c r="I18" s="250"/>
      <c r="J18" s="250"/>
      <c r="K18" s="259"/>
      <c r="L18" s="515">
        <f>H18*K16</f>
        <v>1.4654976</v>
      </c>
      <c r="M18" s="137"/>
      <c r="N18" s="136"/>
      <c r="O18" s="137"/>
      <c r="P18" s="137"/>
      <c r="Q18" s="137"/>
      <c r="R18" s="137"/>
      <c r="S18" s="137"/>
      <c r="T18" s="137"/>
    </row>
    <row r="19" spans="1:20">
      <c r="A19" s="137"/>
      <c r="B19" s="142"/>
      <c r="C19" s="251" t="str">
        <f>C16</f>
        <v>S1B</v>
      </c>
      <c r="D19" s="252" t="s">
        <v>456</v>
      </c>
      <c r="E19" s="253"/>
      <c r="F19" s="254"/>
      <c r="G19" s="255"/>
      <c r="H19" s="256">
        <f>VLOOKUP(G16,'du lieu'!$D$18:$BF$118,HLOOKUP($C$2,'du lieu'!$D$139:$BF$140,2))</f>
        <v>2.06E-2</v>
      </c>
      <c r="I19" s="257"/>
      <c r="J19" s="257"/>
      <c r="K19" s="260"/>
      <c r="L19" s="515">
        <f>H19*K16</f>
        <v>0.65063040000000005</v>
      </c>
      <c r="M19" s="137"/>
      <c r="N19" s="136"/>
      <c r="O19" s="137"/>
      <c r="P19" s="137"/>
      <c r="Q19" s="137"/>
      <c r="R19" s="137"/>
      <c r="S19" s="137"/>
      <c r="T19" s="137"/>
    </row>
    <row r="20" spans="1:20">
      <c r="A20" s="137"/>
      <c r="B20" s="142"/>
      <c r="C20" s="241" t="s">
        <v>105</v>
      </c>
      <c r="D20" s="242" t="s">
        <v>453</v>
      </c>
      <c r="E20" s="243">
        <f>VLOOKUP(C20,'tải sàn'!$B$5:$F$16,4,0)</f>
        <v>4</v>
      </c>
      <c r="F20" s="243">
        <f>VLOOKUP(C20,'tải sàn'!$B$5:$F$16,5,0)</f>
        <v>6</v>
      </c>
      <c r="G20" s="244">
        <f>IF(F20/E20&lt;=2,ROUND(F20/E20,2),"1P")</f>
        <v>1.5</v>
      </c>
      <c r="H20" s="245">
        <f>VLOOKUP(G20,'du lieu'!$D$18:$BF$118,HLOOKUP($C$2,'du lieu'!$D$130:$BF$131,2))</f>
        <v>2.0799999999999999E-2</v>
      </c>
      <c r="I20" s="242">
        <f>VLOOKUP(C20,'tải sàn'!$B$5:$F$16,2,0)</f>
        <v>0.48</v>
      </c>
      <c r="J20" s="242">
        <f>VLOOKUP(C20,'tải sàn'!$B$5:$F$16,3,0)</f>
        <v>0.47600000000000003</v>
      </c>
      <c r="K20" s="246">
        <f>+(I20+J20)*E20*F20</f>
        <v>22.943999999999999</v>
      </c>
      <c r="L20" s="514">
        <f>H20*K20</f>
        <v>0.47723519999999997</v>
      </c>
      <c r="M20" s="137"/>
      <c r="N20" s="136"/>
      <c r="O20" s="137"/>
      <c r="P20" s="137"/>
      <c r="Q20" s="137"/>
      <c r="R20" s="137"/>
      <c r="S20" s="137"/>
      <c r="T20" s="137"/>
    </row>
    <row r="21" spans="1:20">
      <c r="A21" s="137"/>
      <c r="B21" s="142"/>
      <c r="C21" s="247" t="str">
        <f>C20</f>
        <v>S1</v>
      </c>
      <c r="D21" s="248" t="s">
        <v>454</v>
      </c>
      <c r="E21" s="249"/>
      <c r="F21" s="243"/>
      <c r="G21" s="244"/>
      <c r="H21" s="245">
        <f>VLOOKUP(G20,'du lieu'!$D$18:$BF$118,HLOOKUP($C$2,'du lieu'!$D$133:$BF$134,2))</f>
        <v>9.2999999999999992E-3</v>
      </c>
      <c r="I21" s="242"/>
      <c r="J21" s="242"/>
      <c r="K21" s="246"/>
      <c r="L21" s="515">
        <f>H21*K20</f>
        <v>0.21337919999999996</v>
      </c>
      <c r="M21" s="137"/>
      <c r="N21" s="136"/>
      <c r="O21" s="137"/>
      <c r="P21" s="137"/>
      <c r="Q21" s="137"/>
      <c r="R21" s="137"/>
      <c r="S21" s="137"/>
      <c r="T21" s="137"/>
    </row>
    <row r="22" spans="1:20">
      <c r="A22" s="137"/>
      <c r="B22" s="142"/>
      <c r="C22" s="247" t="str">
        <f>C20</f>
        <v>S1</v>
      </c>
      <c r="D22" s="248" t="s">
        <v>455</v>
      </c>
      <c r="E22" s="249"/>
      <c r="F22" s="243"/>
      <c r="G22" s="244"/>
      <c r="H22" s="245">
        <f>VLOOKUP(G20,'du lieu'!$D$18:$BF$118,HLOOKUP($C$2,'du lieu'!$D$136:$BF$137,2))</f>
        <v>4.6399999999999997E-2</v>
      </c>
      <c r="I22" s="250"/>
      <c r="J22" s="250"/>
      <c r="K22" s="246"/>
      <c r="L22" s="515">
        <f>H22*K20</f>
        <v>1.0646015999999998</v>
      </c>
      <c r="M22" s="137"/>
      <c r="N22" s="136"/>
      <c r="O22" s="137"/>
      <c r="P22" s="137"/>
      <c r="Q22" s="137"/>
      <c r="R22" s="137"/>
      <c r="S22" s="137"/>
      <c r="T22" s="137"/>
    </row>
    <row r="23" spans="1:20">
      <c r="A23" s="137"/>
      <c r="B23" s="142"/>
      <c r="C23" s="251" t="str">
        <f>C20</f>
        <v>S1</v>
      </c>
      <c r="D23" s="252" t="s">
        <v>456</v>
      </c>
      <c r="E23" s="253"/>
      <c r="F23" s="254"/>
      <c r="G23" s="255"/>
      <c r="H23" s="256">
        <f>VLOOKUP(G20,'du lieu'!$D$18:$BF$118,HLOOKUP($C$2,'du lieu'!$D$139:$BF$140,2))</f>
        <v>2.06E-2</v>
      </c>
      <c r="I23" s="257"/>
      <c r="J23" s="257"/>
      <c r="K23" s="261"/>
      <c r="L23" s="515">
        <f>H23*K20</f>
        <v>0.47264639999999997</v>
      </c>
      <c r="M23" s="137"/>
      <c r="N23" s="136"/>
      <c r="O23" s="137"/>
      <c r="P23" s="137"/>
      <c r="Q23" s="137"/>
      <c r="R23" s="137"/>
      <c r="S23" s="137"/>
      <c r="T23" s="137"/>
    </row>
    <row r="24" spans="1:20">
      <c r="A24" s="137"/>
      <c r="B24" s="142"/>
      <c r="C24" s="262" t="s">
        <v>103</v>
      </c>
      <c r="D24" s="242" t="s">
        <v>453</v>
      </c>
      <c r="E24" s="243">
        <f>VLOOKUP(C24,'tải sàn'!$B$5:$F$16,4,0)</f>
        <v>3</v>
      </c>
      <c r="F24" s="243">
        <f>VLOOKUP(C24,'tải sàn'!$B$5:$F$16,5,0)</f>
        <v>4</v>
      </c>
      <c r="G24" s="244">
        <f>IF(F24/E24&lt;=2,ROUND(F24/E24,2),"1P")</f>
        <v>1.33</v>
      </c>
      <c r="H24" s="245">
        <f>VLOOKUP(G24,'du lieu'!$D$18:$BF$118,HLOOKUP($C$2,'du lieu'!$D$130:$BF$131,2))</f>
        <v>2.0920000000000001E-2</v>
      </c>
      <c r="I24" s="242">
        <f>VLOOKUP(C24,'tải sàn'!$B$5:$F$16,2,0)</f>
        <v>0.36</v>
      </c>
      <c r="J24" s="242">
        <f>VLOOKUP(C24,'tải sàn'!$B$5:$F$16,3,0)</f>
        <v>0.47600000000000003</v>
      </c>
      <c r="K24" s="246">
        <f>+(I24+J24)*E24*F24</f>
        <v>10.032</v>
      </c>
      <c r="L24" s="514">
        <f>H24*K24</f>
        <v>0.20986944000000002</v>
      </c>
      <c r="M24" s="137"/>
      <c r="N24" s="136"/>
      <c r="O24" s="137"/>
      <c r="P24" s="137"/>
      <c r="Q24" s="137"/>
      <c r="R24" s="137"/>
      <c r="S24" s="137"/>
      <c r="T24" s="137"/>
    </row>
    <row r="25" spans="1:20">
      <c r="A25" s="137"/>
      <c r="B25" s="142"/>
      <c r="C25" s="247" t="str">
        <f>C24</f>
        <v>S2</v>
      </c>
      <c r="D25" s="248" t="s">
        <v>454</v>
      </c>
      <c r="E25" s="249"/>
      <c r="F25" s="243"/>
      <c r="G25" s="244"/>
      <c r="H25" s="245">
        <f>VLOOKUP(G24,'du lieu'!$D$18:$BF$118,HLOOKUP($C$2,'du lieu'!$D$133:$BF$134,2))</f>
        <v>1.1820000000000001E-2</v>
      </c>
      <c r="I25" s="242"/>
      <c r="J25" s="242"/>
      <c r="K25" s="246"/>
      <c r="L25" s="515">
        <f>H25*K24</f>
        <v>0.11857824</v>
      </c>
      <c r="M25" s="137"/>
      <c r="N25" s="136"/>
      <c r="O25" s="137"/>
      <c r="P25" s="137"/>
      <c r="Q25" s="137"/>
      <c r="R25" s="137"/>
      <c r="S25" s="137"/>
      <c r="T25" s="137"/>
    </row>
    <row r="26" spans="1:20">
      <c r="A26" s="137"/>
      <c r="B26" s="142"/>
      <c r="C26" s="247" t="str">
        <f>C24</f>
        <v>S2</v>
      </c>
      <c r="D26" s="248" t="s">
        <v>455</v>
      </c>
      <c r="E26" s="249"/>
      <c r="F26" s="243"/>
      <c r="G26" s="244"/>
      <c r="H26" s="245">
        <f>VLOOKUP(G24,'du lieu'!$D$18:$BF$118,HLOOKUP($C$2,'du lieu'!$D$136:$BF$137,2))</f>
        <v>4.7439999999999996E-2</v>
      </c>
      <c r="I26" s="250"/>
      <c r="J26" s="250"/>
      <c r="K26" s="246"/>
      <c r="L26" s="515">
        <f>H26*K24</f>
        <v>0.47591807999999997</v>
      </c>
      <c r="M26" s="137"/>
      <c r="N26" s="136"/>
      <c r="O26" s="137"/>
      <c r="P26" s="137"/>
      <c r="Q26" s="137"/>
      <c r="R26" s="137"/>
      <c r="S26" s="137"/>
      <c r="T26" s="137"/>
    </row>
    <row r="27" spans="1:20">
      <c r="A27" s="137"/>
      <c r="B27" s="142"/>
      <c r="C27" s="251" t="str">
        <f>C24</f>
        <v>S2</v>
      </c>
      <c r="D27" s="252" t="s">
        <v>456</v>
      </c>
      <c r="E27" s="253"/>
      <c r="F27" s="254"/>
      <c r="G27" s="255"/>
      <c r="H27" s="256">
        <f>VLOOKUP(G24,'du lieu'!$D$18:$BF$118,HLOOKUP($C$2,'du lieu'!$D$139:$BF$140,2))</f>
        <v>2.6960000000000001E-2</v>
      </c>
      <c r="I27" s="257"/>
      <c r="J27" s="257"/>
      <c r="K27" s="261"/>
      <c r="L27" s="516">
        <f>H27*K24</f>
        <v>0.27046271999999999</v>
      </c>
      <c r="M27" s="137"/>
      <c r="N27" s="136"/>
      <c r="O27" s="137"/>
      <c r="P27" s="137"/>
      <c r="Q27" s="137"/>
      <c r="R27" s="137"/>
      <c r="S27" s="137"/>
      <c r="T27" s="137"/>
    </row>
    <row r="28" spans="1:20">
      <c r="A28" s="137"/>
      <c r="B28" s="142"/>
      <c r="C28" s="241" t="s">
        <v>104</v>
      </c>
      <c r="D28" s="242" t="s">
        <v>453</v>
      </c>
      <c r="E28" s="243">
        <f>VLOOKUP(C28,'tải sàn'!$B$5:$F$16,4,0)</f>
        <v>4</v>
      </c>
      <c r="F28" s="243">
        <f>VLOOKUP(C28,'tải sàn'!$B$5:$F$16,5,0)</f>
        <v>5.5</v>
      </c>
      <c r="G28" s="244">
        <f>IF(F28/E28&lt;=2,ROUND(F28/E28,2),"1P")</f>
        <v>1.38</v>
      </c>
      <c r="H28" s="245">
        <f>VLOOKUP(G28,'du lieu'!$D$18:$BF$118,HLOOKUP($C$2,'du lieu'!$D$130:$BF$131,2))</f>
        <v>2.1000000000000001E-2</v>
      </c>
      <c r="I28" s="242">
        <f>VLOOKUP(C28,'tải sàn'!$B$5:$F$16,2,0)</f>
        <v>0.36</v>
      </c>
      <c r="J28" s="242">
        <f>VLOOKUP(C28,'tải sàn'!$B$5:$F$16,3,0)</f>
        <v>0.60600000000000009</v>
      </c>
      <c r="K28" s="246">
        <f>+(I28+J28)*E28*F28</f>
        <v>21.252000000000002</v>
      </c>
      <c r="L28" s="515">
        <f>H28*K28</f>
        <v>0.44629200000000008</v>
      </c>
      <c r="M28" s="137"/>
      <c r="N28" s="136"/>
      <c r="O28" s="137"/>
      <c r="P28" s="137"/>
      <c r="Q28" s="137"/>
      <c r="R28" s="137"/>
      <c r="S28" s="137"/>
      <c r="T28" s="137"/>
    </row>
    <row r="29" spans="1:20">
      <c r="A29" s="137"/>
      <c r="B29" s="142"/>
      <c r="C29" s="247" t="str">
        <f>C28</f>
        <v>S3</v>
      </c>
      <c r="D29" s="248" t="s">
        <v>454</v>
      </c>
      <c r="E29" s="249"/>
      <c r="F29" s="243"/>
      <c r="G29" s="244"/>
      <c r="H29" s="245">
        <f>VLOOKUP(G28,'du lieu'!$D$18:$BF$118,HLOOKUP($C$2,'du lieu'!$D$133:$BF$134,2))</f>
        <v>1.102E-2</v>
      </c>
      <c r="I29" s="242"/>
      <c r="J29" s="242"/>
      <c r="K29" s="246"/>
      <c r="L29" s="515">
        <f>H29*K28</f>
        <v>0.23419704000000002</v>
      </c>
      <c r="M29" s="137"/>
      <c r="N29" s="136"/>
      <c r="O29" s="137"/>
      <c r="P29" s="137"/>
      <c r="Q29" s="137"/>
      <c r="R29" s="137"/>
      <c r="S29" s="137"/>
      <c r="T29" s="137"/>
    </row>
    <row r="30" spans="1:20">
      <c r="A30" s="137"/>
      <c r="B30" s="142"/>
      <c r="C30" s="247" t="str">
        <f>C28</f>
        <v>S3</v>
      </c>
      <c r="D30" s="248" t="s">
        <v>455</v>
      </c>
      <c r="E30" s="249"/>
      <c r="F30" s="243"/>
      <c r="G30" s="244"/>
      <c r="H30" s="245">
        <f>VLOOKUP(G28,'du lieu'!$D$18:$BF$118,HLOOKUP($C$2,'du lieu'!$D$136:$BF$137,2))</f>
        <v>4.1340000000000016E-2</v>
      </c>
      <c r="I30" s="250"/>
      <c r="J30" s="250"/>
      <c r="K30" s="246"/>
      <c r="L30" s="515">
        <f>H30*K28</f>
        <v>0.87855768000000045</v>
      </c>
      <c r="M30" s="137"/>
      <c r="N30" s="136"/>
      <c r="O30" s="137"/>
      <c r="P30" s="137"/>
      <c r="Q30" s="137"/>
      <c r="R30" s="137"/>
      <c r="S30" s="137"/>
      <c r="T30" s="137"/>
    </row>
    <row r="31" spans="1:20">
      <c r="A31" s="137"/>
      <c r="B31" s="142"/>
      <c r="C31" s="251" t="str">
        <f>C28</f>
        <v>S3</v>
      </c>
      <c r="D31" s="252" t="s">
        <v>456</v>
      </c>
      <c r="E31" s="253"/>
      <c r="F31" s="254"/>
      <c r="G31" s="255"/>
      <c r="H31" s="256">
        <f>VLOOKUP(G28,'du lieu'!$D$18:$BF$118,HLOOKUP($C$2,'du lieu'!$D$139:$BF$140,2))</f>
        <v>2.4880000000000006E-2</v>
      </c>
      <c r="I31" s="257"/>
      <c r="J31" s="257"/>
      <c r="K31" s="261"/>
      <c r="L31" s="516">
        <f>H31*K28</f>
        <v>0.52874976000000018</v>
      </c>
      <c r="M31" s="137"/>
      <c r="N31" s="136"/>
      <c r="O31" s="137"/>
      <c r="P31" s="137"/>
      <c r="Q31" s="137"/>
      <c r="R31" s="137"/>
      <c r="S31" s="137"/>
      <c r="T31" s="137"/>
    </row>
    <row r="32" spans="1:20">
      <c r="A32" s="137"/>
      <c r="B32" s="142"/>
      <c r="C32" s="262" t="s">
        <v>107</v>
      </c>
      <c r="D32" s="242" t="s">
        <v>453</v>
      </c>
      <c r="E32" s="243">
        <f>VLOOKUP(C32,'tải sàn'!$B$5:$F$16,4,0)</f>
        <v>2</v>
      </c>
      <c r="F32" s="243">
        <f>VLOOKUP(C32,'tải sàn'!$B$5:$F$16,5,0)</f>
        <v>3</v>
      </c>
      <c r="G32" s="244">
        <f>IF(F32/E32&lt;=2,ROUND(F32/E32,2),"1P")</f>
        <v>1.5</v>
      </c>
      <c r="H32" s="245">
        <f>VLOOKUP(G32,'du lieu'!$D$18:$BF$118,HLOOKUP($C$2,'du lieu'!$D$130:$BF$131,2))</f>
        <v>2.0799999999999999E-2</v>
      </c>
      <c r="I32" s="242">
        <f>VLOOKUP(C32,'tải sàn'!$B$5:$F$16,2,0)</f>
        <v>0.48</v>
      </c>
      <c r="J32" s="242">
        <f>VLOOKUP(C32,'tải sàn'!$B$5:$F$16,3,0)</f>
        <v>0.47600000000000003</v>
      </c>
      <c r="K32" s="246">
        <f>+(I32+J32)*E32*F32</f>
        <v>5.7359999999999998</v>
      </c>
      <c r="L32" s="514">
        <f>H32*K32</f>
        <v>0.11930879999999999</v>
      </c>
      <c r="M32" s="138"/>
      <c r="N32" s="136"/>
      <c r="O32" s="137"/>
      <c r="P32" s="137"/>
      <c r="Q32" s="137"/>
      <c r="R32" s="137"/>
      <c r="S32" s="137"/>
      <c r="T32" s="137"/>
    </row>
    <row r="33" spans="1:20">
      <c r="A33" s="137"/>
      <c r="B33" s="142"/>
      <c r="C33" s="247" t="str">
        <f>C32</f>
        <v>S5</v>
      </c>
      <c r="D33" s="248" t="s">
        <v>454</v>
      </c>
      <c r="E33" s="249"/>
      <c r="F33" s="243"/>
      <c r="G33" s="244"/>
      <c r="H33" s="245">
        <f>VLOOKUP(G32,'du lieu'!$D$18:$BF$118,HLOOKUP($C$2,'du lieu'!$D$133:$BF$134,2))</f>
        <v>9.2999999999999992E-3</v>
      </c>
      <c r="I33" s="242"/>
      <c r="J33" s="242"/>
      <c r="K33" s="246"/>
      <c r="L33" s="515">
        <f>H33*K32</f>
        <v>5.3344799999999991E-2</v>
      </c>
      <c r="M33" s="137"/>
      <c r="N33" s="136"/>
      <c r="O33" s="137"/>
      <c r="P33" s="137"/>
      <c r="Q33" s="137"/>
      <c r="R33" s="137"/>
      <c r="S33" s="137"/>
      <c r="T33" s="137"/>
    </row>
    <row r="34" spans="1:20">
      <c r="A34" s="137"/>
      <c r="B34" s="142"/>
      <c r="C34" s="247" t="str">
        <f>C32</f>
        <v>S5</v>
      </c>
      <c r="D34" s="248" t="s">
        <v>455</v>
      </c>
      <c r="E34" s="249"/>
      <c r="F34" s="243"/>
      <c r="G34" s="244"/>
      <c r="H34" s="245">
        <f>VLOOKUP(G32,'du lieu'!$D$18:$BF$118,HLOOKUP($C$2,'du lieu'!$D$136:$BF$137,2))</f>
        <v>4.6399999999999997E-2</v>
      </c>
      <c r="I34" s="250"/>
      <c r="J34" s="250"/>
      <c r="K34" s="246"/>
      <c r="L34" s="515">
        <f>H34*K32</f>
        <v>0.26615039999999995</v>
      </c>
      <c r="M34" s="137"/>
      <c r="N34" s="136"/>
      <c r="O34" s="137"/>
      <c r="P34" s="137"/>
      <c r="Q34" s="137"/>
      <c r="R34" s="137"/>
      <c r="S34" s="137"/>
      <c r="T34" s="137"/>
    </row>
    <row r="35" spans="1:20">
      <c r="A35" s="137"/>
      <c r="B35" s="142"/>
      <c r="C35" s="251" t="str">
        <f>C32</f>
        <v>S5</v>
      </c>
      <c r="D35" s="252" t="s">
        <v>456</v>
      </c>
      <c r="E35" s="253"/>
      <c r="F35" s="254"/>
      <c r="G35" s="255"/>
      <c r="H35" s="256">
        <f>VLOOKUP(G32,'du lieu'!$D$18:$BF$118,HLOOKUP($C$2,'du lieu'!$D$139:$BF$140,2))</f>
        <v>2.06E-2</v>
      </c>
      <c r="I35" s="257"/>
      <c r="J35" s="257"/>
      <c r="K35" s="261"/>
      <c r="L35" s="516">
        <f>H35*K32</f>
        <v>0.11816159999999999</v>
      </c>
      <c r="M35" s="137"/>
      <c r="N35" s="136"/>
      <c r="O35" s="137"/>
      <c r="P35" s="137"/>
      <c r="Q35" s="137"/>
      <c r="R35" s="137"/>
      <c r="S35" s="137"/>
      <c r="T35" s="137"/>
    </row>
    <row r="36" spans="1:20">
      <c r="A36" s="137"/>
      <c r="B36" s="142"/>
      <c r="C36" s="262" t="s">
        <v>110</v>
      </c>
      <c r="D36" s="242" t="s">
        <v>453</v>
      </c>
      <c r="E36" s="243">
        <f>VLOOKUP(C36,'tải sàn'!$B$5:$F$16,4,0)</f>
        <v>4</v>
      </c>
      <c r="F36" s="243">
        <f>VLOOKUP(C36,'tải sàn'!$B$5:$F$16,5,0)</f>
        <v>4</v>
      </c>
      <c r="G36" s="244">
        <f>IF(F36/E36&lt;=2,ROUND(F36/E36,2),"1P")</f>
        <v>1</v>
      </c>
      <c r="H36" s="245">
        <f>VLOOKUP(G36,'du lieu'!$D$18:$BF$118,HLOOKUP($C$2,'du lieu'!$D$130:$BF$131,2))</f>
        <v>1.7899999999999999E-2</v>
      </c>
      <c r="I36" s="242">
        <f>VLOOKUP(C36,'tải sàn'!$B$5:$F$16,2,0)</f>
        <v>0.48</v>
      </c>
      <c r="J36" s="242">
        <f>VLOOKUP(C36,'tải sàn'!$B$5:$F$16,3,0)</f>
        <v>0.47600000000000003</v>
      </c>
      <c r="K36" s="246">
        <f>+(I36+J36)*E36*F36</f>
        <v>15.295999999999999</v>
      </c>
      <c r="L36" s="514">
        <f>H36*K36</f>
        <v>0.2737984</v>
      </c>
      <c r="M36" s="137"/>
      <c r="N36" s="136"/>
      <c r="O36" s="137"/>
      <c r="P36" s="137"/>
      <c r="Q36" s="137"/>
      <c r="R36" s="137"/>
      <c r="S36" s="137"/>
      <c r="T36" s="137"/>
    </row>
    <row r="37" spans="1:20">
      <c r="A37" s="137"/>
      <c r="B37" s="142"/>
      <c r="C37" s="247" t="str">
        <f>C36</f>
        <v>S8</v>
      </c>
      <c r="D37" s="248" t="s">
        <v>454</v>
      </c>
      <c r="E37" s="249"/>
      <c r="F37" s="243"/>
      <c r="G37" s="244"/>
      <c r="H37" s="245">
        <f>VLOOKUP(G36,'du lieu'!$D$18:$BF$118,HLOOKUP($C$2,'du lieu'!$D$133:$BF$134,2))</f>
        <v>1.7899999999999999E-2</v>
      </c>
      <c r="I37" s="242"/>
      <c r="J37" s="242"/>
      <c r="K37" s="246"/>
      <c r="L37" s="515">
        <f>H37*K36</f>
        <v>0.2737984</v>
      </c>
      <c r="M37" s="137"/>
      <c r="N37" s="136"/>
      <c r="O37" s="137"/>
      <c r="P37" s="137"/>
      <c r="Q37" s="137"/>
      <c r="R37" s="137"/>
      <c r="S37" s="137"/>
      <c r="T37" s="137"/>
    </row>
    <row r="38" spans="1:20">
      <c r="A38" s="137"/>
      <c r="B38" s="142"/>
      <c r="C38" s="247" t="str">
        <f>C36</f>
        <v>S8</v>
      </c>
      <c r="D38" s="248" t="s">
        <v>455</v>
      </c>
      <c r="E38" s="249"/>
      <c r="F38" s="243"/>
      <c r="G38" s="244"/>
      <c r="H38" s="245">
        <f>VLOOKUP(G36,'du lieu'!$D$18:$BF$118,HLOOKUP($C$2,'du lieu'!$D$136:$BF$137,2))</f>
        <v>4.1700000000000001E-2</v>
      </c>
      <c r="I38" s="250"/>
      <c r="J38" s="250"/>
      <c r="K38" s="246"/>
      <c r="L38" s="515">
        <f>H38*K36</f>
        <v>0.63784319999999994</v>
      </c>
      <c r="M38" s="137"/>
      <c r="N38" s="136"/>
      <c r="O38" s="137"/>
      <c r="P38" s="137"/>
      <c r="Q38" s="137"/>
      <c r="R38" s="137"/>
      <c r="S38" s="137"/>
      <c r="T38" s="137"/>
    </row>
    <row r="39" spans="1:20">
      <c r="A39" s="137"/>
      <c r="B39" s="142"/>
      <c r="C39" s="251" t="str">
        <f>C36</f>
        <v>S8</v>
      </c>
      <c r="D39" s="252" t="s">
        <v>456</v>
      </c>
      <c r="E39" s="253"/>
      <c r="F39" s="254"/>
      <c r="G39" s="255"/>
      <c r="H39" s="256">
        <f>VLOOKUP(G36,'du lieu'!$D$18:$BF$118,HLOOKUP($C$2,'du lieu'!$D$139:$BF$140,2))</f>
        <v>4.1700000000000001E-2</v>
      </c>
      <c r="I39" s="257"/>
      <c r="J39" s="257"/>
      <c r="K39" s="261"/>
      <c r="L39" s="516">
        <f>H39*K36</f>
        <v>0.63784319999999994</v>
      </c>
      <c r="M39" s="137"/>
      <c r="N39" s="136"/>
      <c r="O39" s="137"/>
      <c r="P39" s="137"/>
      <c r="Q39" s="137"/>
      <c r="R39" s="137"/>
      <c r="S39" s="137"/>
      <c r="T39" s="137"/>
    </row>
    <row r="40" spans="1:20">
      <c r="A40" s="137"/>
      <c r="B40" s="142"/>
      <c r="C40" s="241" t="s">
        <v>112</v>
      </c>
      <c r="D40" s="242" t="s">
        <v>453</v>
      </c>
      <c r="E40" s="243">
        <f>VLOOKUP(C40,'tải sàn'!$B$5:$F$16,4,0)</f>
        <v>2</v>
      </c>
      <c r="F40" s="243">
        <f>VLOOKUP(C40,'tải sàn'!$B$5:$F$16,5,0)</f>
        <v>2.7</v>
      </c>
      <c r="G40" s="244">
        <f>IF(F40/E40&lt;=2,ROUND(F40/E40,2),"1P")</f>
        <v>1.35</v>
      </c>
      <c r="H40" s="245">
        <f>VLOOKUP(G40,'du lieu'!$D$18:$BF$118,HLOOKUP($C$2,'du lieu'!$D$130:$BF$131,2))</f>
        <v>2.1000000000000001E-2</v>
      </c>
      <c r="I40" s="242">
        <f>VLOOKUP(C40,'tải sàn'!$B$5:$F$16,2,0)</f>
        <v>0.48</v>
      </c>
      <c r="J40" s="242">
        <f>VLOOKUP(C40,'tải sàn'!$B$5:$F$16,3,0)</f>
        <v>0.47600000000000003</v>
      </c>
      <c r="K40" s="246">
        <f>+(I40+J40)*E40*F40</f>
        <v>5.1623999999999999</v>
      </c>
      <c r="L40" s="514">
        <f>H40*K40</f>
        <v>0.1084104</v>
      </c>
      <c r="M40" s="137"/>
      <c r="N40" s="136"/>
      <c r="O40" s="137"/>
      <c r="P40" s="137"/>
      <c r="Q40" s="137"/>
      <c r="R40" s="137"/>
      <c r="S40" s="137"/>
      <c r="T40" s="137"/>
    </row>
    <row r="41" spans="1:20">
      <c r="A41" s="137"/>
      <c r="B41" s="142"/>
      <c r="C41" s="247" t="str">
        <f>C40</f>
        <v>S9</v>
      </c>
      <c r="D41" s="248" t="s">
        <v>454</v>
      </c>
      <c r="E41" s="249"/>
      <c r="F41" s="243"/>
      <c r="G41" s="244"/>
      <c r="H41" s="245">
        <f>VLOOKUP(G40,'du lieu'!$D$18:$BF$118,HLOOKUP($C$2,'du lieu'!$D$133:$BF$134,2))</f>
        <v>1.15E-2</v>
      </c>
      <c r="I41" s="242"/>
      <c r="J41" s="242"/>
      <c r="K41" s="246"/>
      <c r="L41" s="515">
        <f>H41*K40</f>
        <v>5.93676E-2</v>
      </c>
      <c r="M41" s="137"/>
      <c r="N41" s="136"/>
      <c r="O41" s="137"/>
      <c r="P41" s="137"/>
      <c r="Q41" s="137"/>
      <c r="R41" s="137"/>
      <c r="S41" s="137"/>
      <c r="T41" s="137"/>
    </row>
    <row r="42" spans="1:20">
      <c r="A42" s="137"/>
      <c r="B42" s="142"/>
      <c r="C42" s="247" t="str">
        <f>C40</f>
        <v>S9</v>
      </c>
      <c r="D42" s="248" t="s">
        <v>455</v>
      </c>
      <c r="E42" s="249"/>
      <c r="F42" s="243"/>
      <c r="G42" s="244"/>
      <c r="H42" s="245">
        <f>VLOOKUP(G40,'du lieu'!$D$18:$BF$118,HLOOKUP($C$2,'du lieu'!$D$136:$BF$137,2))</f>
        <v>4.7399999999999998E-2</v>
      </c>
      <c r="I42" s="250"/>
      <c r="J42" s="250"/>
      <c r="K42" s="246"/>
      <c r="L42" s="515">
        <f>H42*K40</f>
        <v>0.24469775999999999</v>
      </c>
      <c r="M42" s="137"/>
      <c r="N42" s="136"/>
      <c r="O42" s="137"/>
      <c r="P42" s="137"/>
      <c r="Q42" s="137"/>
      <c r="R42" s="137"/>
      <c r="S42" s="137"/>
      <c r="T42" s="137"/>
    </row>
    <row r="43" spans="1:20">
      <c r="A43" s="137"/>
      <c r="B43" s="142"/>
      <c r="C43" s="251" t="str">
        <f>C40</f>
        <v>S9</v>
      </c>
      <c r="D43" s="252" t="s">
        <v>456</v>
      </c>
      <c r="E43" s="253"/>
      <c r="F43" s="254"/>
      <c r="G43" s="255"/>
      <c r="H43" s="256">
        <f>VLOOKUP(G40,'du lieu'!$D$18:$BF$118,HLOOKUP($C$2,'du lieu'!$D$139:$BF$140,2))</f>
        <v>2.6200000000000001E-2</v>
      </c>
      <c r="I43" s="257"/>
      <c r="J43" s="257"/>
      <c r="K43" s="261"/>
      <c r="L43" s="516">
        <f>H43*K40</f>
        <v>0.13525487999999999</v>
      </c>
      <c r="M43" s="137"/>
      <c r="N43" s="136"/>
      <c r="O43" s="137"/>
      <c r="P43" s="137"/>
      <c r="Q43" s="137"/>
      <c r="R43" s="137"/>
      <c r="S43" s="137"/>
      <c r="T43" s="137"/>
    </row>
    <row r="44" spans="1:20">
      <c r="A44" s="137"/>
      <c r="B44" s="142"/>
      <c r="C44" s="262" t="s">
        <v>111</v>
      </c>
      <c r="D44" s="242" t="s">
        <v>453</v>
      </c>
      <c r="E44" s="243">
        <f>VLOOKUP(C44,'tải sàn'!$B$5:$F$16,4,0)</f>
        <v>2.9000000000000004</v>
      </c>
      <c r="F44" s="243">
        <f>VLOOKUP(C44,'tải sàn'!$B$5:$F$16,5,0)</f>
        <v>4</v>
      </c>
      <c r="G44" s="244">
        <f>IF(F44/E44&lt;=2,ROUND(F44/E44,2),"1P")</f>
        <v>1.38</v>
      </c>
      <c r="H44" s="245">
        <f>VLOOKUP(G44,'du lieu'!$D$18:$BF$118,HLOOKUP($C$2,'du lieu'!$D$130:$BF$131,2))</f>
        <v>2.1000000000000001E-2</v>
      </c>
      <c r="I44" s="242">
        <f>VLOOKUP(C44,'tải sàn'!$B$5:$F$16,2,0)</f>
        <v>0.48</v>
      </c>
      <c r="J44" s="242">
        <f>VLOOKUP(C44,'tải sàn'!$B$5:$F$16,3,0)</f>
        <v>0.47600000000000003</v>
      </c>
      <c r="K44" s="246">
        <f>+(I44+J44)*E44*F44</f>
        <v>11.089600000000001</v>
      </c>
      <c r="L44" s="514">
        <f>H44*K44</f>
        <v>0.23288160000000002</v>
      </c>
      <c r="M44" s="137"/>
      <c r="N44" s="136"/>
      <c r="O44" s="137"/>
      <c r="P44" s="137"/>
      <c r="Q44" s="137"/>
      <c r="R44" s="137"/>
      <c r="S44" s="137"/>
      <c r="T44" s="137"/>
    </row>
    <row r="45" spans="1:20">
      <c r="A45" s="137"/>
      <c r="B45" s="142"/>
      <c r="C45" s="247" t="str">
        <f>C44</f>
        <v>S10</v>
      </c>
      <c r="D45" s="248" t="s">
        <v>454</v>
      </c>
      <c r="E45" s="249"/>
      <c r="F45" s="243"/>
      <c r="G45" s="244"/>
      <c r="H45" s="245">
        <f>VLOOKUP(G44,'du lieu'!$D$18:$BF$118,HLOOKUP($C$2,'du lieu'!$D$133:$BF$134,2))</f>
        <v>1.102E-2</v>
      </c>
      <c r="I45" s="242"/>
      <c r="J45" s="242"/>
      <c r="K45" s="246"/>
      <c r="L45" s="515">
        <f>H45*K44</f>
        <v>0.12220739200000001</v>
      </c>
      <c r="M45" s="137"/>
      <c r="N45" s="136"/>
      <c r="O45" s="137"/>
      <c r="P45" s="137"/>
      <c r="Q45" s="137"/>
      <c r="R45" s="137"/>
      <c r="S45" s="137"/>
      <c r="T45" s="137"/>
    </row>
    <row r="46" spans="1:20">
      <c r="A46" s="137"/>
      <c r="B46" s="142"/>
      <c r="C46" s="247" t="str">
        <f>C44</f>
        <v>S10</v>
      </c>
      <c r="D46" s="248" t="s">
        <v>455</v>
      </c>
      <c r="E46" s="249"/>
      <c r="F46" s="243"/>
      <c r="G46" s="244"/>
      <c r="H46" s="245">
        <f>VLOOKUP(G44,'du lieu'!$D$18:$BF$118,HLOOKUP($C$2,'du lieu'!$D$136:$BF$137,2))</f>
        <v>4.1340000000000016E-2</v>
      </c>
      <c r="I46" s="250"/>
      <c r="J46" s="250"/>
      <c r="K46" s="246"/>
      <c r="L46" s="515">
        <f>H46*K44</f>
        <v>0.45844406400000021</v>
      </c>
      <c r="M46" s="137"/>
      <c r="N46" s="136"/>
      <c r="O46" s="137"/>
      <c r="P46" s="137"/>
      <c r="Q46" s="137"/>
      <c r="R46" s="137"/>
      <c r="S46" s="137"/>
      <c r="T46" s="137"/>
    </row>
    <row r="47" spans="1:20">
      <c r="A47" s="137"/>
      <c r="B47" s="142"/>
      <c r="C47" s="251" t="str">
        <f>C44</f>
        <v>S10</v>
      </c>
      <c r="D47" s="252" t="s">
        <v>456</v>
      </c>
      <c r="E47" s="253"/>
      <c r="F47" s="254"/>
      <c r="G47" s="255"/>
      <c r="H47" s="256">
        <f>VLOOKUP(G44,'du lieu'!$D$18:$BF$118,HLOOKUP($C$2,'du lieu'!$D$139:$BF$140,2))</f>
        <v>2.4880000000000006E-2</v>
      </c>
      <c r="I47" s="257"/>
      <c r="J47" s="257"/>
      <c r="K47" s="261"/>
      <c r="L47" s="516">
        <f>H47*K44</f>
        <v>0.27590924800000011</v>
      </c>
      <c r="M47" s="137"/>
      <c r="N47" s="136"/>
      <c r="O47" s="137"/>
      <c r="P47" s="137"/>
      <c r="Q47" s="137"/>
      <c r="R47" s="137"/>
      <c r="S47" s="137"/>
      <c r="T47" s="137"/>
    </row>
    <row r="48" spans="1:20">
      <c r="A48" s="137"/>
      <c r="B48" s="142"/>
      <c r="C48" s="137"/>
      <c r="D48" s="186"/>
      <c r="E48" s="137"/>
      <c r="F48" s="137"/>
      <c r="G48" s="137"/>
      <c r="H48" s="137"/>
      <c r="I48" s="146"/>
      <c r="J48" s="147"/>
      <c r="K48" s="138"/>
      <c r="L48" s="137"/>
      <c r="M48" s="137"/>
      <c r="N48" s="137"/>
      <c r="O48" s="137"/>
      <c r="P48" s="137"/>
      <c r="Q48" s="137"/>
      <c r="R48" s="137"/>
      <c r="S48" s="137"/>
      <c r="T48" s="137"/>
    </row>
    <row r="49" spans="1:20">
      <c r="A49" s="137"/>
      <c r="B49" s="142"/>
      <c r="C49" s="137"/>
      <c r="D49" s="186"/>
      <c r="E49" s="137"/>
      <c r="F49" s="137"/>
      <c r="G49" s="137"/>
      <c r="H49" s="137"/>
      <c r="I49" s="137"/>
      <c r="J49" s="137"/>
      <c r="K49" s="137"/>
      <c r="L49" s="137"/>
      <c r="M49" s="137"/>
      <c r="N49" s="137"/>
      <c r="O49" s="137"/>
      <c r="P49" s="137"/>
      <c r="Q49" s="137"/>
      <c r="R49" s="137"/>
      <c r="S49" s="137"/>
      <c r="T49" s="137"/>
    </row>
    <row r="50" spans="1:20">
      <c r="A50" s="137"/>
      <c r="B50" s="142"/>
      <c r="C50" s="137"/>
      <c r="D50" s="186"/>
      <c r="E50" s="137"/>
      <c r="F50" s="137"/>
      <c r="G50" s="137"/>
      <c r="H50" s="137"/>
      <c r="I50" s="137"/>
      <c r="J50" s="137"/>
      <c r="K50" s="137"/>
      <c r="L50" s="137"/>
      <c r="M50" s="137"/>
      <c r="N50" s="137"/>
      <c r="O50" s="137"/>
      <c r="P50" s="137"/>
      <c r="Q50" s="137"/>
      <c r="R50" s="137"/>
      <c r="S50" s="137"/>
      <c r="T50" s="137"/>
    </row>
    <row r="51" spans="1:20">
      <c r="A51" s="137"/>
      <c r="B51" s="142"/>
      <c r="C51" s="137"/>
      <c r="D51" s="186"/>
      <c r="E51" s="137"/>
      <c r="F51" s="137"/>
      <c r="G51" s="137"/>
      <c r="H51" s="137"/>
      <c r="I51" s="137"/>
      <c r="J51" s="137"/>
      <c r="K51" s="137"/>
      <c r="L51" s="137"/>
      <c r="M51" s="137"/>
      <c r="N51" s="137"/>
      <c r="O51" s="137"/>
      <c r="P51" s="137"/>
      <c r="Q51" s="137"/>
      <c r="R51" s="137"/>
      <c r="S51" s="137"/>
      <c r="T51" s="137"/>
    </row>
    <row r="52" spans="1:20">
      <c r="A52" s="137"/>
      <c r="B52" s="142"/>
      <c r="C52" s="137"/>
      <c r="D52" s="186"/>
      <c r="E52" s="137"/>
      <c r="F52" s="137"/>
      <c r="G52" s="137"/>
      <c r="H52" s="137"/>
      <c r="I52" s="137"/>
      <c r="J52" s="137"/>
      <c r="K52" s="137"/>
      <c r="L52" s="137"/>
      <c r="M52" s="137"/>
      <c r="N52" s="137"/>
      <c r="O52" s="137"/>
      <c r="P52" s="137"/>
      <c r="Q52" s="137"/>
      <c r="R52" s="137"/>
      <c r="S52" s="137"/>
      <c r="T52" s="137"/>
    </row>
    <row r="53" spans="1:20">
      <c r="A53" s="137"/>
      <c r="B53" s="142"/>
      <c r="C53" s="137"/>
      <c r="D53" s="186"/>
      <c r="E53" s="137"/>
      <c r="F53" s="137"/>
      <c r="G53" s="137"/>
      <c r="H53" s="137"/>
      <c r="I53" s="137"/>
      <c r="J53" s="137"/>
      <c r="K53" s="137"/>
      <c r="L53" s="137"/>
      <c r="M53" s="137"/>
      <c r="N53" s="137"/>
      <c r="O53" s="137"/>
      <c r="P53" s="137"/>
      <c r="Q53" s="137"/>
      <c r="R53" s="137"/>
      <c r="S53" s="137"/>
      <c r="T53" s="137"/>
    </row>
    <row r="54" spans="1:20">
      <c r="A54" s="137"/>
      <c r="B54" s="142"/>
      <c r="C54" s="137"/>
      <c r="D54" s="186"/>
      <c r="E54" s="137"/>
      <c r="F54" s="137"/>
      <c r="G54" s="137"/>
      <c r="H54" s="137"/>
      <c r="I54" s="137"/>
      <c r="J54" s="137"/>
      <c r="K54" s="137"/>
      <c r="L54" s="137"/>
      <c r="M54" s="137"/>
      <c r="N54" s="137"/>
      <c r="O54" s="137"/>
      <c r="P54" s="137"/>
      <c r="Q54" s="137"/>
      <c r="R54" s="137"/>
      <c r="S54" s="137"/>
      <c r="T54" s="137"/>
    </row>
    <row r="55" spans="1:20">
      <c r="A55" s="137"/>
      <c r="B55" s="142"/>
      <c r="C55" s="137"/>
      <c r="D55" s="186"/>
      <c r="E55" s="137"/>
      <c r="F55" s="137"/>
      <c r="G55" s="137"/>
      <c r="H55" s="137"/>
      <c r="I55" s="137"/>
      <c r="J55" s="137"/>
      <c r="K55" s="137"/>
      <c r="L55" s="137"/>
      <c r="M55" s="137"/>
      <c r="N55" s="137"/>
      <c r="O55" s="137"/>
      <c r="P55" s="137"/>
      <c r="Q55" s="137"/>
      <c r="R55" s="137"/>
      <c r="S55" s="137"/>
      <c r="T55" s="137"/>
    </row>
    <row r="56" spans="1:20">
      <c r="A56" s="137"/>
      <c r="B56" s="142"/>
      <c r="C56" s="137"/>
      <c r="D56" s="186"/>
      <c r="E56" s="137"/>
      <c r="F56" s="137"/>
      <c r="G56" s="137"/>
      <c r="H56" s="137"/>
      <c r="I56" s="137"/>
      <c r="J56" s="137"/>
      <c r="K56" s="137"/>
      <c r="L56" s="137"/>
      <c r="M56" s="137"/>
      <c r="N56" s="137"/>
      <c r="O56" s="137"/>
      <c r="P56" s="137"/>
      <c r="Q56" s="137"/>
      <c r="R56" s="137"/>
      <c r="S56" s="137"/>
      <c r="T56" s="137"/>
    </row>
    <row r="57" spans="1:20">
      <c r="A57" s="137"/>
      <c r="B57" s="142"/>
      <c r="C57" s="137"/>
      <c r="D57" s="186"/>
      <c r="E57" s="137"/>
      <c r="F57" s="137"/>
      <c r="G57" s="137"/>
      <c r="H57" s="137"/>
      <c r="I57" s="137"/>
      <c r="J57" s="137"/>
      <c r="K57" s="137"/>
      <c r="L57" s="137"/>
      <c r="M57" s="137"/>
      <c r="N57" s="137"/>
      <c r="O57" s="137"/>
      <c r="P57" s="137"/>
      <c r="Q57" s="137"/>
      <c r="R57" s="137"/>
      <c r="S57" s="137"/>
      <c r="T57" s="137"/>
    </row>
    <row r="58" spans="1:20">
      <c r="A58" s="137"/>
      <c r="B58" s="142"/>
      <c r="C58" s="137"/>
      <c r="D58" s="186"/>
      <c r="E58" s="137"/>
      <c r="F58" s="137"/>
      <c r="G58" s="137"/>
      <c r="H58" s="137"/>
      <c r="I58" s="137"/>
      <c r="J58" s="137"/>
      <c r="K58" s="137"/>
      <c r="L58" s="137"/>
      <c r="M58" s="137"/>
      <c r="N58" s="137"/>
      <c r="O58" s="137"/>
      <c r="P58" s="137"/>
      <c r="Q58" s="137"/>
      <c r="R58" s="137"/>
      <c r="S58" s="137"/>
      <c r="T58" s="137"/>
    </row>
    <row r="59" spans="1:20">
      <c r="A59" s="137"/>
      <c r="B59" s="142"/>
      <c r="C59" s="137"/>
      <c r="D59" s="186"/>
      <c r="E59" s="137"/>
      <c r="F59" s="137"/>
      <c r="G59" s="137"/>
      <c r="H59" s="137"/>
      <c r="I59" s="137"/>
      <c r="J59" s="137"/>
      <c r="K59" s="137"/>
      <c r="L59" s="137"/>
      <c r="M59" s="137"/>
      <c r="N59" s="137"/>
      <c r="O59" s="137"/>
      <c r="P59" s="137"/>
      <c r="Q59" s="137"/>
      <c r="R59" s="137"/>
      <c r="S59" s="137"/>
      <c r="T59" s="137"/>
    </row>
    <row r="60" spans="1:20">
      <c r="A60" s="137"/>
      <c r="B60" s="142"/>
      <c r="C60" s="137"/>
      <c r="D60" s="186"/>
      <c r="E60" s="137"/>
      <c r="F60" s="137"/>
      <c r="G60" s="137"/>
      <c r="H60" s="137"/>
      <c r="I60" s="137"/>
      <c r="J60" s="137"/>
      <c r="K60" s="137"/>
      <c r="L60" s="137"/>
      <c r="M60" s="137"/>
      <c r="N60" s="137"/>
      <c r="O60" s="137"/>
      <c r="P60" s="137"/>
      <c r="Q60" s="137"/>
      <c r="R60" s="137"/>
      <c r="S60" s="137"/>
      <c r="T60" s="137"/>
    </row>
    <row r="61" spans="1:20">
      <c r="A61" s="137"/>
      <c r="B61" s="142"/>
      <c r="C61" s="137"/>
      <c r="D61" s="186"/>
      <c r="E61" s="137"/>
      <c r="F61" s="137"/>
      <c r="G61" s="137"/>
      <c r="H61" s="137"/>
      <c r="I61" s="137"/>
      <c r="J61" s="137"/>
      <c r="K61" s="137"/>
      <c r="L61" s="137"/>
      <c r="M61" s="137"/>
      <c r="N61" s="137"/>
      <c r="O61" s="137"/>
      <c r="P61" s="137"/>
      <c r="Q61" s="137"/>
      <c r="R61" s="137"/>
      <c r="S61" s="137"/>
      <c r="T61" s="137"/>
    </row>
    <row r="62" spans="1:20">
      <c r="A62" s="137"/>
      <c r="B62" s="142"/>
      <c r="C62" s="137"/>
      <c r="D62" s="186"/>
      <c r="E62" s="137"/>
      <c r="F62" s="137"/>
      <c r="G62" s="137"/>
      <c r="H62" s="137"/>
      <c r="I62" s="137"/>
      <c r="J62" s="137"/>
      <c r="K62" s="137"/>
      <c r="L62" s="137"/>
      <c r="M62" s="137"/>
      <c r="N62" s="137"/>
      <c r="O62" s="137"/>
      <c r="P62" s="137"/>
      <c r="Q62" s="137"/>
      <c r="R62" s="137"/>
      <c r="S62" s="137"/>
      <c r="T62" s="137"/>
    </row>
    <row r="63" spans="1:20">
      <c r="A63" s="137"/>
      <c r="B63" s="142"/>
      <c r="C63" s="137"/>
      <c r="D63" s="186"/>
      <c r="E63" s="137"/>
      <c r="F63" s="137"/>
      <c r="G63" s="137"/>
      <c r="H63" s="137"/>
      <c r="I63" s="137"/>
      <c r="J63" s="137"/>
      <c r="K63" s="137"/>
      <c r="L63" s="137"/>
      <c r="M63" s="137"/>
      <c r="N63" s="137"/>
      <c r="O63" s="137"/>
      <c r="P63" s="137"/>
      <c r="Q63" s="137"/>
      <c r="R63" s="137"/>
      <c r="S63" s="137"/>
      <c r="T63" s="137"/>
    </row>
    <row r="64" spans="1:20">
      <c r="A64" s="137"/>
      <c r="B64" s="142"/>
      <c r="C64" s="137"/>
      <c r="D64" s="186"/>
      <c r="E64" s="137"/>
      <c r="F64" s="137"/>
      <c r="G64" s="137"/>
      <c r="H64" s="137"/>
      <c r="I64" s="137"/>
      <c r="J64" s="137"/>
      <c r="K64" s="137"/>
      <c r="L64" s="137"/>
      <c r="M64" s="137"/>
      <c r="N64" s="137"/>
      <c r="O64" s="137"/>
      <c r="P64" s="137"/>
      <c r="Q64" s="137"/>
      <c r="R64" s="137"/>
      <c r="S64" s="137"/>
      <c r="T64" s="137"/>
    </row>
    <row r="65" spans="1:20">
      <c r="A65" s="137"/>
      <c r="B65" s="142"/>
      <c r="C65" s="137"/>
      <c r="D65" s="186"/>
      <c r="E65" s="137"/>
      <c r="F65" s="137"/>
      <c r="G65" s="137"/>
      <c r="H65" s="137"/>
      <c r="I65" s="137"/>
      <c r="J65" s="137"/>
      <c r="K65" s="137"/>
      <c r="L65" s="137"/>
      <c r="M65" s="137"/>
      <c r="N65" s="137"/>
      <c r="O65" s="137"/>
      <c r="P65" s="137"/>
      <c r="Q65" s="137"/>
      <c r="R65" s="137"/>
      <c r="S65" s="137"/>
      <c r="T65" s="137"/>
    </row>
    <row r="66" spans="1:20">
      <c r="A66" s="137"/>
      <c r="B66" s="142"/>
      <c r="C66" s="137"/>
      <c r="D66" s="186"/>
      <c r="E66" s="137"/>
      <c r="F66" s="137"/>
      <c r="G66" s="137"/>
      <c r="H66" s="137"/>
      <c r="I66" s="137"/>
      <c r="J66" s="137"/>
      <c r="K66" s="137"/>
      <c r="L66" s="137"/>
      <c r="M66" s="137"/>
      <c r="N66" s="137"/>
      <c r="O66" s="137"/>
      <c r="P66" s="137"/>
      <c r="Q66" s="137"/>
      <c r="R66" s="137"/>
      <c r="S66" s="137"/>
      <c r="T66" s="137"/>
    </row>
    <row r="67" spans="1:20">
      <c r="A67" s="137"/>
      <c r="B67" s="142"/>
      <c r="C67" s="137"/>
      <c r="D67" s="186"/>
      <c r="E67" s="137"/>
      <c r="F67" s="137"/>
      <c r="G67" s="137"/>
      <c r="H67" s="137"/>
      <c r="I67" s="137"/>
      <c r="J67" s="137"/>
      <c r="K67" s="137"/>
      <c r="L67" s="137"/>
      <c r="M67" s="137"/>
      <c r="N67" s="137"/>
      <c r="O67" s="137"/>
      <c r="P67" s="137"/>
      <c r="Q67" s="137"/>
      <c r="R67" s="137"/>
      <c r="S67" s="137"/>
      <c r="T67" s="137"/>
    </row>
    <row r="68" spans="1:20">
      <c r="A68" s="137"/>
      <c r="B68" s="142"/>
      <c r="C68" s="137"/>
      <c r="D68" s="186"/>
      <c r="E68" s="137"/>
      <c r="F68" s="137"/>
      <c r="G68" s="137"/>
      <c r="H68" s="137"/>
      <c r="I68" s="137"/>
      <c r="J68" s="137"/>
      <c r="K68" s="137"/>
      <c r="L68" s="137"/>
      <c r="M68" s="137"/>
      <c r="N68" s="137"/>
      <c r="O68" s="137"/>
      <c r="P68" s="137"/>
      <c r="Q68" s="137"/>
      <c r="R68" s="137"/>
      <c r="S68" s="137"/>
      <c r="T68" s="137"/>
    </row>
    <row r="69" spans="1:20">
      <c r="A69" s="137"/>
      <c r="B69" s="142"/>
      <c r="C69" s="137"/>
      <c r="D69" s="186"/>
      <c r="E69" s="137"/>
      <c r="F69" s="137"/>
      <c r="G69" s="137"/>
      <c r="H69" s="137"/>
      <c r="I69" s="137"/>
      <c r="J69" s="137"/>
      <c r="K69" s="137"/>
      <c r="L69" s="137"/>
      <c r="M69" s="137"/>
      <c r="N69" s="137"/>
      <c r="O69" s="137"/>
      <c r="P69" s="137"/>
      <c r="Q69" s="137"/>
      <c r="R69" s="137"/>
      <c r="S69" s="137"/>
      <c r="T69" s="137"/>
    </row>
    <row r="70" spans="1:20">
      <c r="A70" s="137"/>
      <c r="B70" s="142"/>
      <c r="C70" s="137"/>
      <c r="D70" s="186"/>
      <c r="E70" s="137"/>
      <c r="F70" s="137"/>
      <c r="G70" s="137"/>
      <c r="H70" s="137"/>
      <c r="I70" s="137"/>
      <c r="J70" s="137"/>
      <c r="K70" s="137"/>
      <c r="L70" s="137"/>
      <c r="M70" s="137"/>
      <c r="N70" s="137"/>
      <c r="O70" s="137"/>
      <c r="P70" s="137"/>
      <c r="Q70" s="137"/>
      <c r="R70" s="137"/>
      <c r="S70" s="137"/>
      <c r="T70" s="137"/>
    </row>
    <row r="71" spans="1:20">
      <c r="A71" s="137"/>
      <c r="B71" s="142"/>
      <c r="C71" s="137"/>
      <c r="D71" s="186"/>
      <c r="E71" s="137"/>
      <c r="F71" s="137"/>
      <c r="G71" s="137"/>
      <c r="H71" s="137"/>
      <c r="I71" s="137"/>
      <c r="J71" s="137"/>
      <c r="K71" s="137"/>
      <c r="L71" s="137"/>
      <c r="M71" s="137"/>
      <c r="N71" s="137"/>
      <c r="O71" s="137"/>
      <c r="P71" s="137"/>
      <c r="Q71" s="137"/>
      <c r="R71" s="137"/>
      <c r="S71" s="137"/>
      <c r="T71" s="137"/>
    </row>
    <row r="72" spans="1:20">
      <c r="A72" s="137"/>
      <c r="B72" s="142"/>
      <c r="C72" s="137"/>
      <c r="D72" s="186"/>
      <c r="E72" s="137"/>
      <c r="F72" s="137"/>
      <c r="G72" s="137"/>
      <c r="H72" s="137"/>
      <c r="I72" s="137"/>
      <c r="J72" s="137"/>
      <c r="K72" s="137"/>
      <c r="L72" s="137"/>
      <c r="M72" s="137"/>
      <c r="N72" s="137"/>
      <c r="O72" s="137"/>
      <c r="P72" s="137"/>
      <c r="Q72" s="137"/>
      <c r="R72" s="137"/>
      <c r="S72" s="137"/>
      <c r="T72" s="137"/>
    </row>
    <row r="73" spans="1:20">
      <c r="A73" s="137"/>
      <c r="B73" s="142"/>
      <c r="C73" s="137"/>
      <c r="D73" s="186"/>
      <c r="E73" s="137"/>
      <c r="F73" s="137"/>
      <c r="G73" s="137"/>
      <c r="H73" s="137"/>
      <c r="I73" s="137"/>
      <c r="J73" s="137"/>
      <c r="K73" s="137"/>
      <c r="L73" s="137"/>
      <c r="M73" s="137"/>
      <c r="N73" s="137"/>
      <c r="O73" s="137"/>
      <c r="P73" s="137"/>
      <c r="Q73" s="137"/>
      <c r="R73" s="137"/>
      <c r="S73" s="137"/>
      <c r="T73" s="137"/>
    </row>
    <row r="74" spans="1:20">
      <c r="A74" s="137"/>
      <c r="B74" s="142"/>
      <c r="C74" s="137"/>
      <c r="D74" s="186"/>
      <c r="E74" s="137"/>
      <c r="F74" s="137"/>
      <c r="G74" s="137"/>
      <c r="H74" s="137"/>
      <c r="I74" s="137"/>
      <c r="J74" s="137"/>
      <c r="K74" s="137"/>
      <c r="L74" s="137"/>
      <c r="M74" s="137"/>
      <c r="N74" s="137"/>
      <c r="O74" s="137"/>
      <c r="P74" s="137"/>
      <c r="Q74" s="137"/>
      <c r="R74" s="137"/>
      <c r="S74" s="137"/>
      <c r="T74" s="137"/>
    </row>
    <row r="75" spans="1:20">
      <c r="A75" s="137"/>
      <c r="B75" s="142"/>
      <c r="C75" s="137"/>
      <c r="D75" s="186"/>
      <c r="E75" s="137"/>
      <c r="F75" s="137"/>
      <c r="G75" s="137"/>
      <c r="H75" s="137"/>
      <c r="I75" s="137"/>
      <c r="J75" s="137"/>
      <c r="K75" s="137"/>
      <c r="L75" s="137"/>
      <c r="M75" s="137"/>
      <c r="N75" s="137"/>
      <c r="O75" s="137"/>
      <c r="P75" s="137"/>
      <c r="Q75" s="137"/>
      <c r="R75" s="137"/>
      <c r="S75" s="137"/>
      <c r="T75" s="137"/>
    </row>
    <row r="76" spans="1:20">
      <c r="A76" s="137"/>
      <c r="B76" s="142"/>
      <c r="C76" s="137"/>
      <c r="D76" s="186"/>
      <c r="E76" s="137"/>
      <c r="F76" s="137"/>
      <c r="G76" s="137"/>
      <c r="H76" s="137"/>
      <c r="I76" s="137"/>
      <c r="J76" s="137"/>
      <c r="K76" s="137"/>
      <c r="L76" s="137"/>
      <c r="M76" s="137"/>
      <c r="N76" s="137"/>
      <c r="O76" s="137"/>
      <c r="P76" s="137"/>
      <c r="Q76" s="137"/>
      <c r="R76" s="137"/>
      <c r="S76" s="137"/>
      <c r="T76" s="137"/>
    </row>
    <row r="77" spans="1:20">
      <c r="A77" s="137"/>
      <c r="B77" s="142"/>
      <c r="C77" s="137"/>
      <c r="D77" s="186"/>
      <c r="E77" s="137"/>
      <c r="F77" s="137"/>
      <c r="G77" s="137"/>
      <c r="H77" s="137"/>
      <c r="I77" s="137"/>
      <c r="J77" s="137"/>
      <c r="K77" s="137"/>
      <c r="L77" s="137"/>
      <c r="M77" s="137"/>
      <c r="N77" s="137"/>
      <c r="O77" s="137"/>
      <c r="P77" s="137"/>
      <c r="Q77" s="137"/>
      <c r="R77" s="137"/>
      <c r="S77" s="137"/>
      <c r="T77" s="137"/>
    </row>
    <row r="78" spans="1:20">
      <c r="A78" s="137"/>
      <c r="B78" s="142"/>
      <c r="C78" s="137"/>
      <c r="D78" s="186"/>
      <c r="E78" s="137"/>
      <c r="F78" s="137"/>
      <c r="G78" s="137"/>
      <c r="H78" s="137"/>
      <c r="I78" s="137"/>
      <c r="J78" s="137"/>
      <c r="K78" s="137"/>
      <c r="L78" s="137"/>
      <c r="M78" s="137"/>
      <c r="N78" s="137"/>
      <c r="O78" s="137"/>
      <c r="P78" s="137"/>
      <c r="Q78" s="137"/>
      <c r="R78" s="137"/>
      <c r="S78" s="137"/>
      <c r="T78" s="137"/>
    </row>
    <row r="79" spans="1:20">
      <c r="A79" s="137"/>
      <c r="B79" s="142"/>
      <c r="C79" s="137"/>
      <c r="D79" s="186"/>
      <c r="E79" s="137"/>
      <c r="F79" s="137"/>
      <c r="G79" s="137"/>
      <c r="H79" s="137"/>
      <c r="I79" s="137"/>
      <c r="J79" s="137"/>
      <c r="K79" s="137"/>
      <c r="L79" s="137"/>
      <c r="M79" s="137"/>
      <c r="N79" s="137"/>
      <c r="O79" s="137"/>
      <c r="P79" s="137"/>
      <c r="Q79" s="137"/>
      <c r="R79" s="137"/>
      <c r="S79" s="137"/>
      <c r="T79" s="137"/>
    </row>
    <row r="80" spans="1:20">
      <c r="A80" s="137"/>
      <c r="B80" s="142"/>
      <c r="C80" s="137"/>
      <c r="D80" s="186"/>
      <c r="E80" s="137"/>
      <c r="F80" s="137"/>
      <c r="G80" s="137"/>
      <c r="H80" s="137"/>
      <c r="I80" s="137"/>
      <c r="J80" s="137"/>
      <c r="K80" s="137"/>
      <c r="L80" s="137"/>
      <c r="M80" s="137"/>
      <c r="N80" s="137"/>
      <c r="O80" s="137"/>
      <c r="P80" s="137"/>
      <c r="Q80" s="137"/>
      <c r="R80" s="137"/>
      <c r="S80" s="137"/>
      <c r="T80" s="137"/>
    </row>
    <row r="81" spans="1:20">
      <c r="A81" s="137"/>
      <c r="B81" s="142"/>
      <c r="C81" s="137"/>
      <c r="D81" s="186"/>
      <c r="E81" s="137"/>
      <c r="F81" s="137"/>
      <c r="G81" s="137"/>
      <c r="H81" s="137"/>
      <c r="I81" s="137"/>
      <c r="J81" s="137"/>
      <c r="K81" s="137"/>
      <c r="L81" s="137"/>
      <c r="M81" s="137"/>
      <c r="N81" s="137"/>
      <c r="O81" s="137"/>
      <c r="P81" s="137"/>
      <c r="Q81" s="137"/>
      <c r="R81" s="137"/>
      <c r="S81" s="137"/>
      <c r="T81" s="137"/>
    </row>
    <row r="82" spans="1:20">
      <c r="A82" s="137"/>
      <c r="B82" s="142"/>
      <c r="C82" s="137"/>
      <c r="D82" s="186"/>
      <c r="E82" s="137"/>
      <c r="F82" s="137"/>
      <c r="G82" s="137"/>
      <c r="H82" s="137"/>
      <c r="I82" s="137"/>
      <c r="J82" s="137"/>
      <c r="K82" s="137"/>
      <c r="L82" s="137"/>
      <c r="M82" s="137"/>
      <c r="N82" s="137"/>
      <c r="O82" s="137"/>
      <c r="P82" s="137"/>
      <c r="Q82" s="137"/>
      <c r="R82" s="137"/>
      <c r="S82" s="137"/>
      <c r="T82" s="137"/>
    </row>
    <row r="83" spans="1:20">
      <c r="A83" s="137"/>
      <c r="B83" s="142"/>
      <c r="C83" s="137"/>
      <c r="D83" s="186"/>
      <c r="E83" s="137"/>
      <c r="F83" s="137"/>
      <c r="G83" s="137"/>
      <c r="H83" s="137"/>
      <c r="I83" s="137"/>
      <c r="J83" s="137"/>
      <c r="K83" s="137"/>
      <c r="L83" s="137"/>
      <c r="M83" s="137"/>
      <c r="N83" s="137"/>
      <c r="O83" s="137"/>
      <c r="P83" s="137"/>
      <c r="Q83" s="137"/>
      <c r="R83" s="137"/>
      <c r="S83" s="137"/>
      <c r="T83" s="137"/>
    </row>
    <row r="84" spans="1:20">
      <c r="A84" s="137"/>
      <c r="B84" s="142"/>
      <c r="C84" s="137"/>
      <c r="D84" s="186"/>
      <c r="E84" s="137"/>
      <c r="F84" s="137"/>
      <c r="G84" s="137"/>
      <c r="H84" s="137"/>
      <c r="I84" s="137"/>
      <c r="J84" s="137"/>
      <c r="K84" s="137"/>
      <c r="L84" s="137"/>
      <c r="M84" s="137"/>
      <c r="N84" s="137"/>
      <c r="O84" s="137"/>
      <c r="P84" s="137"/>
      <c r="Q84" s="137"/>
      <c r="R84" s="137"/>
      <c r="S84" s="137"/>
      <c r="T84" s="137"/>
    </row>
    <row r="85" spans="1:20">
      <c r="A85" s="137"/>
      <c r="B85" s="142"/>
      <c r="C85" s="137"/>
      <c r="D85" s="186"/>
      <c r="E85" s="137"/>
      <c r="F85" s="137"/>
      <c r="G85" s="137"/>
      <c r="H85" s="137"/>
      <c r="I85" s="137"/>
      <c r="J85" s="137"/>
      <c r="K85" s="137"/>
      <c r="L85" s="137"/>
      <c r="M85" s="137"/>
      <c r="N85" s="137"/>
      <c r="O85" s="137"/>
      <c r="P85" s="137"/>
      <c r="Q85" s="137"/>
      <c r="R85" s="137"/>
      <c r="S85" s="137"/>
      <c r="T85" s="137"/>
    </row>
    <row r="86" spans="1:20">
      <c r="A86" s="137"/>
      <c r="B86" s="142"/>
      <c r="C86" s="137"/>
      <c r="D86" s="186"/>
      <c r="E86" s="137"/>
      <c r="F86" s="137"/>
      <c r="G86" s="137"/>
      <c r="H86" s="137"/>
      <c r="I86" s="137"/>
      <c r="J86" s="137"/>
      <c r="K86" s="137"/>
      <c r="L86" s="137"/>
      <c r="M86" s="137"/>
      <c r="N86" s="137"/>
      <c r="O86" s="137"/>
      <c r="P86" s="137"/>
      <c r="Q86" s="137"/>
      <c r="R86" s="137"/>
      <c r="S86" s="137"/>
      <c r="T86" s="137"/>
    </row>
    <row r="87" spans="1:20">
      <c r="A87" s="137"/>
      <c r="B87" s="142"/>
      <c r="C87" s="137"/>
      <c r="D87" s="186"/>
      <c r="E87" s="137"/>
      <c r="F87" s="137"/>
      <c r="G87" s="137"/>
      <c r="H87" s="137"/>
      <c r="I87" s="137"/>
      <c r="J87" s="137"/>
      <c r="K87" s="137"/>
      <c r="L87" s="137"/>
      <c r="M87" s="137"/>
      <c r="N87" s="137"/>
      <c r="O87" s="137"/>
      <c r="P87" s="137"/>
      <c r="Q87" s="137"/>
      <c r="R87" s="137"/>
      <c r="S87" s="137"/>
      <c r="T87" s="137"/>
    </row>
    <row r="88" spans="1:20">
      <c r="A88" s="137"/>
      <c r="B88" s="142"/>
      <c r="C88" s="137"/>
      <c r="D88" s="186"/>
      <c r="E88" s="137"/>
      <c r="F88" s="137"/>
      <c r="G88" s="137"/>
      <c r="H88" s="137"/>
      <c r="I88" s="137"/>
      <c r="J88" s="137"/>
      <c r="K88" s="137"/>
      <c r="L88" s="137"/>
      <c r="M88" s="137"/>
      <c r="N88" s="137"/>
      <c r="O88" s="137"/>
      <c r="P88" s="137"/>
      <c r="Q88" s="137"/>
      <c r="R88" s="137"/>
      <c r="S88" s="137"/>
      <c r="T88" s="137"/>
    </row>
    <row r="89" spans="1:20">
      <c r="A89" s="137"/>
      <c r="B89" s="142"/>
      <c r="C89" s="137"/>
      <c r="D89" s="186"/>
      <c r="E89" s="137"/>
      <c r="F89" s="137"/>
      <c r="G89" s="137"/>
      <c r="H89" s="137"/>
      <c r="I89" s="137"/>
      <c r="J89" s="137"/>
      <c r="K89" s="137"/>
      <c r="L89" s="137"/>
      <c r="M89" s="137"/>
      <c r="N89" s="137"/>
      <c r="O89" s="137"/>
      <c r="P89" s="137"/>
      <c r="Q89" s="137"/>
      <c r="R89" s="137"/>
      <c r="S89" s="137"/>
      <c r="T89" s="137"/>
    </row>
    <row r="90" spans="1:20">
      <c r="A90" s="137"/>
      <c r="B90" s="142"/>
      <c r="C90" s="137"/>
      <c r="D90" s="186"/>
      <c r="E90" s="137"/>
      <c r="F90" s="137"/>
      <c r="G90" s="137"/>
      <c r="H90" s="137"/>
      <c r="I90" s="137"/>
      <c r="J90" s="137"/>
      <c r="K90" s="137"/>
      <c r="L90" s="137"/>
      <c r="M90" s="137"/>
      <c r="N90" s="137"/>
      <c r="O90" s="137"/>
      <c r="P90" s="137"/>
      <c r="Q90" s="137"/>
      <c r="R90" s="137"/>
      <c r="S90" s="137"/>
      <c r="T90" s="137"/>
    </row>
    <row r="91" spans="1:20">
      <c r="A91" s="137"/>
      <c r="B91" s="142"/>
      <c r="C91" s="137"/>
      <c r="D91" s="186"/>
      <c r="E91" s="137"/>
      <c r="F91" s="137"/>
      <c r="G91" s="137"/>
      <c r="H91" s="137"/>
      <c r="I91" s="137"/>
      <c r="J91" s="137"/>
      <c r="K91" s="137"/>
      <c r="L91" s="137"/>
      <c r="M91" s="137"/>
      <c r="N91" s="137"/>
      <c r="O91" s="137"/>
      <c r="P91" s="137"/>
      <c r="Q91" s="137"/>
      <c r="R91" s="137"/>
      <c r="S91" s="137"/>
      <c r="T91" s="137"/>
    </row>
    <row r="92" spans="1:20">
      <c r="A92" s="137"/>
      <c r="B92" s="142"/>
      <c r="C92" s="137"/>
      <c r="D92" s="186"/>
      <c r="E92" s="137"/>
      <c r="F92" s="137"/>
      <c r="G92" s="137"/>
      <c r="H92" s="137"/>
      <c r="I92" s="137"/>
      <c r="J92" s="137"/>
      <c r="K92" s="137"/>
      <c r="L92" s="137"/>
      <c r="M92" s="137"/>
      <c r="N92" s="137"/>
      <c r="O92" s="137"/>
      <c r="P92" s="137"/>
      <c r="Q92" s="137"/>
      <c r="R92" s="137"/>
      <c r="S92" s="137"/>
      <c r="T92" s="137"/>
    </row>
    <row r="93" spans="1:20">
      <c r="A93" s="137"/>
      <c r="B93" s="142"/>
      <c r="C93" s="137"/>
      <c r="D93" s="186"/>
      <c r="E93" s="137"/>
      <c r="F93" s="137"/>
      <c r="G93" s="137"/>
      <c r="H93" s="137"/>
      <c r="I93" s="137"/>
      <c r="J93" s="137"/>
      <c r="K93" s="137"/>
      <c r="L93" s="137"/>
      <c r="M93" s="137"/>
      <c r="N93" s="137"/>
      <c r="O93" s="137"/>
      <c r="P93" s="137"/>
      <c r="Q93" s="137"/>
      <c r="R93" s="137"/>
      <c r="S93" s="137"/>
      <c r="T93" s="137"/>
    </row>
    <row r="94" spans="1:20">
      <c r="A94" s="137"/>
      <c r="B94" s="142"/>
      <c r="C94" s="137"/>
      <c r="D94" s="186"/>
      <c r="E94" s="137"/>
      <c r="F94" s="137"/>
      <c r="G94" s="137"/>
      <c r="H94" s="137"/>
      <c r="I94" s="137"/>
      <c r="J94" s="137"/>
      <c r="K94" s="137"/>
      <c r="L94" s="137"/>
      <c r="M94" s="137"/>
      <c r="N94" s="137"/>
      <c r="O94" s="137"/>
      <c r="P94" s="137"/>
      <c r="Q94" s="137"/>
      <c r="R94" s="137"/>
      <c r="S94" s="137"/>
      <c r="T94" s="137"/>
    </row>
    <row r="95" spans="1:20">
      <c r="A95" s="137"/>
      <c r="B95" s="142"/>
      <c r="C95" s="137"/>
      <c r="D95" s="186"/>
      <c r="E95" s="137"/>
      <c r="F95" s="137"/>
      <c r="G95" s="137"/>
      <c r="H95" s="137"/>
      <c r="I95" s="137"/>
      <c r="J95" s="137"/>
      <c r="K95" s="137"/>
      <c r="L95" s="137"/>
      <c r="M95" s="137"/>
      <c r="N95" s="137"/>
      <c r="O95" s="137"/>
      <c r="P95" s="137"/>
      <c r="Q95" s="137"/>
      <c r="R95" s="137"/>
      <c r="S95" s="137"/>
      <c r="T95" s="137"/>
    </row>
    <row r="96" spans="1:20">
      <c r="A96" s="137"/>
      <c r="B96" s="142"/>
      <c r="C96" s="137"/>
      <c r="D96" s="186"/>
      <c r="E96" s="137"/>
      <c r="F96" s="137"/>
      <c r="G96" s="137"/>
      <c r="H96" s="137"/>
      <c r="I96" s="137"/>
      <c r="J96" s="137"/>
      <c r="K96" s="137"/>
      <c r="L96" s="137"/>
      <c r="M96" s="137"/>
      <c r="N96" s="137"/>
      <c r="O96" s="137"/>
      <c r="P96" s="137"/>
      <c r="Q96" s="137"/>
      <c r="R96" s="137"/>
      <c r="S96" s="137"/>
      <c r="T96" s="137"/>
    </row>
    <row r="97" spans="1:20">
      <c r="A97" s="137"/>
      <c r="B97" s="142"/>
      <c r="C97" s="137"/>
      <c r="D97" s="186"/>
      <c r="E97" s="137"/>
      <c r="F97" s="137"/>
      <c r="G97" s="137"/>
      <c r="H97" s="137"/>
      <c r="I97" s="137"/>
      <c r="J97" s="137"/>
      <c r="K97" s="137"/>
      <c r="L97" s="137"/>
      <c r="M97" s="137"/>
      <c r="N97" s="137"/>
      <c r="O97" s="137"/>
      <c r="P97" s="137"/>
      <c r="Q97" s="137"/>
      <c r="R97" s="137"/>
      <c r="S97" s="137"/>
      <c r="T97" s="137"/>
    </row>
    <row r="98" spans="1:20">
      <c r="A98" s="137"/>
      <c r="B98" s="142"/>
      <c r="C98" s="137"/>
      <c r="D98" s="186"/>
      <c r="E98" s="137"/>
      <c r="F98" s="137"/>
      <c r="G98" s="137"/>
      <c r="H98" s="137"/>
      <c r="I98" s="137"/>
      <c r="J98" s="137"/>
      <c r="K98" s="137"/>
      <c r="L98" s="137"/>
      <c r="M98" s="137"/>
      <c r="N98" s="137"/>
      <c r="O98" s="137"/>
      <c r="P98" s="137"/>
      <c r="Q98" s="137"/>
      <c r="R98" s="137"/>
      <c r="S98" s="137"/>
      <c r="T98" s="137"/>
    </row>
    <row r="99" spans="1:20">
      <c r="A99" s="137"/>
      <c r="B99" s="142"/>
      <c r="C99" s="137"/>
      <c r="D99" s="186"/>
      <c r="E99" s="137"/>
      <c r="F99" s="137"/>
      <c r="G99" s="137"/>
      <c r="H99" s="137"/>
      <c r="I99" s="137"/>
      <c r="J99" s="137"/>
      <c r="K99" s="137"/>
      <c r="L99" s="137"/>
      <c r="M99" s="137"/>
      <c r="N99" s="137"/>
      <c r="O99" s="137"/>
      <c r="P99" s="137"/>
      <c r="Q99" s="137"/>
      <c r="R99" s="137"/>
      <c r="S99" s="137"/>
      <c r="T99" s="137"/>
    </row>
    <row r="100" spans="1:20">
      <c r="A100" s="137"/>
      <c r="B100" s="142"/>
      <c r="C100" s="137"/>
      <c r="D100" s="186"/>
      <c r="E100" s="137"/>
      <c r="F100" s="137"/>
      <c r="G100" s="137"/>
      <c r="H100" s="137"/>
      <c r="I100" s="137"/>
      <c r="J100" s="137"/>
      <c r="K100" s="137"/>
      <c r="L100" s="137"/>
      <c r="M100" s="137"/>
      <c r="N100" s="137"/>
      <c r="O100" s="137"/>
      <c r="P100" s="137"/>
      <c r="Q100" s="137"/>
      <c r="R100" s="137"/>
      <c r="S100" s="137"/>
      <c r="T100" s="137"/>
    </row>
    <row r="101" spans="1:20">
      <c r="A101" s="137"/>
      <c r="B101" s="142"/>
      <c r="C101" s="137"/>
      <c r="D101" s="186"/>
      <c r="E101" s="137"/>
      <c r="F101" s="137"/>
      <c r="G101" s="137"/>
      <c r="H101" s="137"/>
      <c r="I101" s="137"/>
      <c r="J101" s="137"/>
      <c r="K101" s="137"/>
      <c r="L101" s="137"/>
      <c r="M101" s="137"/>
      <c r="N101" s="137"/>
      <c r="O101" s="137"/>
      <c r="P101" s="137"/>
      <c r="Q101" s="137"/>
      <c r="R101" s="137"/>
      <c r="S101" s="137"/>
      <c r="T101" s="137"/>
    </row>
    <row r="102" spans="1:20">
      <c r="A102" s="137"/>
      <c r="B102" s="142"/>
      <c r="C102" s="137"/>
      <c r="D102" s="186"/>
      <c r="E102" s="137"/>
      <c r="F102" s="137"/>
      <c r="G102" s="137"/>
      <c r="H102" s="137"/>
      <c r="I102" s="137"/>
      <c r="J102" s="137"/>
      <c r="K102" s="137"/>
      <c r="L102" s="137"/>
      <c r="M102" s="137"/>
      <c r="N102" s="137"/>
      <c r="O102" s="137"/>
      <c r="P102" s="137"/>
      <c r="Q102" s="137"/>
      <c r="R102" s="137"/>
      <c r="S102" s="137"/>
      <c r="T102" s="137"/>
    </row>
    <row r="103" spans="1:20">
      <c r="A103" s="137"/>
      <c r="B103" s="142"/>
      <c r="C103" s="137"/>
      <c r="D103" s="186"/>
      <c r="E103" s="137"/>
      <c r="F103" s="137"/>
      <c r="G103" s="137"/>
      <c r="H103" s="137"/>
      <c r="I103" s="137"/>
      <c r="J103" s="137"/>
      <c r="K103" s="137"/>
      <c r="L103" s="137"/>
      <c r="M103" s="137"/>
      <c r="N103" s="137"/>
      <c r="O103" s="137"/>
      <c r="P103" s="137"/>
      <c r="Q103" s="137"/>
      <c r="R103" s="137"/>
      <c r="S103" s="137"/>
      <c r="T103" s="137"/>
    </row>
    <row r="104" spans="1:20">
      <c r="A104" s="137"/>
      <c r="B104" s="142"/>
      <c r="C104" s="137"/>
      <c r="D104" s="186"/>
      <c r="E104" s="137"/>
      <c r="F104" s="137"/>
      <c r="G104" s="137"/>
      <c r="H104" s="137"/>
      <c r="I104" s="137"/>
      <c r="J104" s="137"/>
      <c r="K104" s="137"/>
      <c r="L104" s="137"/>
      <c r="M104" s="137"/>
      <c r="N104" s="137"/>
      <c r="O104" s="137"/>
      <c r="P104" s="137"/>
      <c r="Q104" s="137"/>
      <c r="R104" s="137"/>
      <c r="S104" s="137"/>
      <c r="T104" s="137"/>
    </row>
    <row r="105" spans="1:20">
      <c r="A105" s="137"/>
      <c r="B105" s="142"/>
      <c r="C105" s="137"/>
      <c r="D105" s="186"/>
      <c r="E105" s="137"/>
      <c r="F105" s="137"/>
      <c r="G105" s="137"/>
      <c r="H105" s="137"/>
      <c r="I105" s="137"/>
      <c r="J105" s="137"/>
      <c r="K105" s="137"/>
      <c r="L105" s="137"/>
      <c r="M105" s="137"/>
      <c r="N105" s="137"/>
      <c r="O105" s="137"/>
      <c r="P105" s="137"/>
      <c r="Q105" s="137"/>
      <c r="R105" s="137"/>
      <c r="S105" s="137"/>
      <c r="T105" s="137"/>
    </row>
    <row r="106" spans="1:20">
      <c r="A106" s="137"/>
      <c r="B106" s="142"/>
      <c r="C106" s="137"/>
      <c r="D106" s="186"/>
      <c r="E106" s="137"/>
      <c r="F106" s="137"/>
      <c r="G106" s="137"/>
      <c r="H106" s="137"/>
      <c r="I106" s="137"/>
      <c r="J106" s="137"/>
      <c r="K106" s="137"/>
      <c r="L106" s="137"/>
      <c r="M106" s="137"/>
      <c r="N106" s="137"/>
      <c r="O106" s="137"/>
      <c r="P106" s="137"/>
      <c r="Q106" s="137"/>
      <c r="R106" s="137"/>
      <c r="S106" s="137"/>
      <c r="T106" s="137"/>
    </row>
    <row r="107" spans="1:20">
      <c r="A107" s="137"/>
      <c r="B107" s="142"/>
      <c r="C107" s="137"/>
      <c r="D107" s="186"/>
      <c r="E107" s="137"/>
      <c r="F107" s="137"/>
      <c r="G107" s="137"/>
      <c r="H107" s="137"/>
      <c r="I107" s="137"/>
      <c r="J107" s="137"/>
      <c r="K107" s="137"/>
      <c r="L107" s="137"/>
      <c r="M107" s="137"/>
      <c r="N107" s="137"/>
      <c r="O107" s="137"/>
      <c r="P107" s="137"/>
      <c r="Q107" s="137"/>
      <c r="R107" s="137"/>
      <c r="S107" s="137"/>
      <c r="T107" s="137"/>
    </row>
    <row r="108" spans="1:20">
      <c r="A108" s="137"/>
      <c r="B108" s="142"/>
      <c r="C108" s="137"/>
      <c r="D108" s="186"/>
      <c r="E108" s="137"/>
      <c r="F108" s="137"/>
      <c r="G108" s="137"/>
      <c r="H108" s="137"/>
      <c r="I108" s="137"/>
      <c r="J108" s="137"/>
      <c r="K108" s="137"/>
      <c r="L108" s="137"/>
      <c r="M108" s="137"/>
      <c r="N108" s="137"/>
      <c r="O108" s="137"/>
      <c r="P108" s="137"/>
      <c r="Q108" s="137"/>
      <c r="R108" s="137"/>
      <c r="S108" s="137"/>
      <c r="T108" s="137"/>
    </row>
    <row r="109" spans="1:20">
      <c r="A109" s="137"/>
      <c r="B109" s="142"/>
      <c r="C109" s="137"/>
      <c r="D109" s="186"/>
      <c r="E109" s="137"/>
      <c r="F109" s="137"/>
      <c r="G109" s="137"/>
      <c r="H109" s="137"/>
      <c r="I109" s="137"/>
      <c r="J109" s="137"/>
      <c r="K109" s="137"/>
      <c r="L109" s="137"/>
      <c r="M109" s="137"/>
      <c r="N109" s="137"/>
      <c r="O109" s="137"/>
      <c r="P109" s="137"/>
      <c r="Q109" s="137"/>
      <c r="R109" s="137"/>
      <c r="S109" s="137"/>
      <c r="T109" s="137"/>
    </row>
    <row r="110" spans="1:20">
      <c r="A110" s="137"/>
      <c r="B110" s="142"/>
      <c r="C110" s="137"/>
      <c r="D110" s="186"/>
      <c r="E110" s="137"/>
      <c r="F110" s="137"/>
      <c r="G110" s="137"/>
      <c r="H110" s="137"/>
      <c r="I110" s="137"/>
      <c r="J110" s="137"/>
      <c r="K110" s="137"/>
      <c r="L110" s="137"/>
      <c r="M110" s="137"/>
      <c r="N110" s="137"/>
      <c r="O110" s="137"/>
      <c r="P110" s="137"/>
      <c r="Q110" s="137"/>
      <c r="R110" s="137"/>
      <c r="S110" s="137"/>
      <c r="T110" s="137"/>
    </row>
    <row r="111" spans="1:20">
      <c r="A111" s="137"/>
      <c r="B111" s="142"/>
      <c r="C111" s="137"/>
      <c r="D111" s="186"/>
      <c r="E111" s="137"/>
      <c r="F111" s="137"/>
      <c r="G111" s="137"/>
      <c r="H111" s="137"/>
      <c r="I111" s="137"/>
      <c r="J111" s="137"/>
      <c r="K111" s="137"/>
      <c r="L111" s="137"/>
      <c r="M111" s="137"/>
      <c r="N111" s="137"/>
      <c r="O111" s="137"/>
      <c r="P111" s="137"/>
      <c r="Q111" s="137"/>
      <c r="R111" s="137"/>
      <c r="S111" s="137"/>
      <c r="T111" s="137"/>
    </row>
    <row r="112" spans="1:20">
      <c r="A112" s="137"/>
      <c r="B112" s="142"/>
      <c r="C112" s="137"/>
      <c r="D112" s="186"/>
      <c r="E112" s="137"/>
      <c r="F112" s="137"/>
      <c r="G112" s="137"/>
      <c r="H112" s="137"/>
      <c r="I112" s="137"/>
      <c r="J112" s="137"/>
      <c r="K112" s="137"/>
      <c r="L112" s="137"/>
      <c r="M112" s="137"/>
      <c r="N112" s="137"/>
      <c r="O112" s="137"/>
      <c r="P112" s="137"/>
      <c r="Q112" s="137"/>
      <c r="R112" s="137"/>
      <c r="S112" s="137"/>
      <c r="T112" s="137"/>
    </row>
    <row r="113" spans="1:20">
      <c r="A113" s="137"/>
      <c r="B113" s="142"/>
      <c r="C113" s="137"/>
      <c r="D113" s="186"/>
      <c r="E113" s="137"/>
      <c r="F113" s="137"/>
      <c r="G113" s="137"/>
      <c r="H113" s="137"/>
      <c r="I113" s="137"/>
      <c r="J113" s="137"/>
      <c r="K113" s="137"/>
      <c r="L113" s="137"/>
      <c r="M113" s="137"/>
      <c r="N113" s="137"/>
      <c r="O113" s="137"/>
      <c r="P113" s="137"/>
      <c r="Q113" s="137"/>
      <c r="R113" s="137"/>
      <c r="S113" s="137"/>
      <c r="T113" s="137"/>
    </row>
    <row r="114" spans="1:20">
      <c r="A114" s="137"/>
      <c r="B114" s="142"/>
      <c r="C114" s="137"/>
      <c r="D114" s="186"/>
      <c r="E114" s="137"/>
      <c r="F114" s="137"/>
      <c r="G114" s="137"/>
      <c r="H114" s="137"/>
      <c r="I114" s="137"/>
      <c r="J114" s="137"/>
      <c r="K114" s="137"/>
      <c r="L114" s="137"/>
      <c r="M114" s="137"/>
      <c r="N114" s="137"/>
      <c r="O114" s="137"/>
      <c r="P114" s="137"/>
      <c r="Q114" s="137"/>
      <c r="R114" s="137"/>
      <c r="S114" s="137"/>
      <c r="T114" s="137"/>
    </row>
    <row r="115" spans="1:20">
      <c r="A115" s="137"/>
      <c r="B115" s="142"/>
      <c r="C115" s="137"/>
      <c r="D115" s="186"/>
      <c r="E115" s="137"/>
      <c r="F115" s="137"/>
      <c r="G115" s="137"/>
      <c r="H115" s="137"/>
      <c r="I115" s="137"/>
      <c r="J115" s="137"/>
      <c r="K115" s="137"/>
      <c r="L115" s="137"/>
      <c r="M115" s="137"/>
      <c r="N115" s="137"/>
      <c r="O115" s="137"/>
      <c r="P115" s="137"/>
      <c r="Q115" s="137"/>
      <c r="R115" s="137"/>
      <c r="S115" s="137"/>
      <c r="T115" s="137"/>
    </row>
    <row r="116" spans="1:20">
      <c r="A116" s="137"/>
      <c r="B116" s="142"/>
      <c r="C116" s="137"/>
      <c r="D116" s="186"/>
      <c r="E116" s="137"/>
      <c r="F116" s="137"/>
      <c r="G116" s="137"/>
      <c r="H116" s="137"/>
      <c r="I116" s="137"/>
      <c r="J116" s="137"/>
      <c r="K116" s="137"/>
      <c r="L116" s="137"/>
      <c r="M116" s="137"/>
      <c r="N116" s="137"/>
      <c r="O116" s="137"/>
      <c r="P116" s="137"/>
      <c r="Q116" s="137"/>
      <c r="R116" s="137"/>
      <c r="S116" s="137"/>
      <c r="T116" s="137"/>
    </row>
    <row r="117" spans="1:20">
      <c r="A117" s="137"/>
      <c r="B117" s="142"/>
      <c r="C117" s="137"/>
      <c r="D117" s="186"/>
      <c r="E117" s="137"/>
      <c r="F117" s="137"/>
      <c r="G117" s="137"/>
      <c r="H117" s="137"/>
      <c r="I117" s="137"/>
      <c r="J117" s="137"/>
      <c r="K117" s="137"/>
      <c r="L117" s="137"/>
      <c r="M117" s="137"/>
      <c r="N117" s="137"/>
      <c r="O117" s="137"/>
      <c r="P117" s="137"/>
      <c r="Q117" s="137"/>
      <c r="R117" s="137"/>
      <c r="S117" s="137"/>
      <c r="T117" s="137"/>
    </row>
    <row r="118" spans="1:20">
      <c r="A118" s="137"/>
      <c r="B118" s="142"/>
      <c r="C118" s="137"/>
      <c r="D118" s="186"/>
      <c r="E118" s="137"/>
      <c r="F118" s="137"/>
      <c r="G118" s="137"/>
      <c r="H118" s="137"/>
      <c r="I118" s="137"/>
      <c r="J118" s="137"/>
      <c r="K118" s="137"/>
      <c r="L118" s="137"/>
      <c r="M118" s="137"/>
      <c r="N118" s="137"/>
      <c r="O118" s="137"/>
      <c r="P118" s="137"/>
      <c r="Q118" s="137"/>
      <c r="R118" s="137"/>
      <c r="S118" s="137"/>
      <c r="T118" s="137"/>
    </row>
    <row r="119" spans="1:20">
      <c r="A119" s="137"/>
      <c r="B119" s="142"/>
      <c r="C119" s="137"/>
      <c r="D119" s="186"/>
      <c r="E119" s="137"/>
      <c r="F119" s="137"/>
      <c r="G119" s="137"/>
      <c r="H119" s="137"/>
      <c r="I119" s="137"/>
      <c r="J119" s="137"/>
      <c r="K119" s="137"/>
      <c r="L119" s="137"/>
      <c r="M119" s="137"/>
      <c r="N119" s="137"/>
      <c r="O119" s="137"/>
      <c r="P119" s="137"/>
      <c r="Q119" s="137"/>
      <c r="R119" s="137"/>
      <c r="S119" s="137"/>
      <c r="T119" s="137"/>
    </row>
    <row r="120" spans="1:20">
      <c r="A120" s="137"/>
      <c r="B120" s="142"/>
      <c r="C120" s="137"/>
      <c r="D120" s="186"/>
      <c r="E120" s="137"/>
      <c r="F120" s="137"/>
      <c r="G120" s="137"/>
      <c r="H120" s="137"/>
      <c r="I120" s="137"/>
      <c r="J120" s="137"/>
      <c r="K120" s="137"/>
      <c r="L120" s="137"/>
      <c r="M120" s="137"/>
      <c r="N120" s="137"/>
      <c r="O120" s="137"/>
      <c r="P120" s="137"/>
      <c r="Q120" s="137"/>
      <c r="R120" s="137"/>
      <c r="S120" s="137"/>
      <c r="T120" s="137"/>
    </row>
    <row r="121" spans="1:20">
      <c r="A121" s="137"/>
      <c r="B121" s="142"/>
      <c r="C121" s="137"/>
      <c r="D121" s="186"/>
      <c r="E121" s="137"/>
      <c r="F121" s="137"/>
      <c r="G121" s="137"/>
      <c r="H121" s="137"/>
      <c r="I121" s="137"/>
      <c r="J121" s="137"/>
      <c r="K121" s="137"/>
      <c r="L121" s="137"/>
      <c r="M121" s="137"/>
      <c r="N121" s="137"/>
      <c r="O121" s="137"/>
      <c r="P121" s="137"/>
      <c r="Q121" s="137"/>
      <c r="R121" s="137"/>
      <c r="S121" s="137"/>
      <c r="T121" s="137"/>
    </row>
    <row r="122" spans="1:20">
      <c r="A122" s="137"/>
      <c r="B122" s="142"/>
      <c r="C122" s="137"/>
      <c r="D122" s="186"/>
      <c r="E122" s="137"/>
      <c r="F122" s="137"/>
      <c r="G122" s="137"/>
      <c r="H122" s="137"/>
      <c r="I122" s="137"/>
      <c r="J122" s="137"/>
      <c r="K122" s="137"/>
      <c r="L122" s="137"/>
      <c r="M122" s="137"/>
      <c r="N122" s="137"/>
      <c r="O122" s="137"/>
      <c r="P122" s="137"/>
      <c r="Q122" s="137"/>
      <c r="R122" s="137"/>
      <c r="S122" s="137"/>
      <c r="T122" s="137"/>
    </row>
    <row r="123" spans="1:20">
      <c r="A123" s="137"/>
      <c r="B123" s="142"/>
      <c r="C123" s="137"/>
      <c r="D123" s="186"/>
      <c r="E123" s="137"/>
      <c r="F123" s="137"/>
      <c r="G123" s="137"/>
      <c r="H123" s="137"/>
      <c r="I123" s="137"/>
      <c r="J123" s="137"/>
      <c r="K123" s="137"/>
      <c r="L123" s="137"/>
      <c r="M123" s="137"/>
      <c r="N123" s="137"/>
      <c r="O123" s="137"/>
      <c r="P123" s="137"/>
      <c r="Q123" s="137"/>
      <c r="R123" s="137"/>
      <c r="S123" s="137"/>
      <c r="T123" s="137"/>
    </row>
    <row r="124" spans="1:20">
      <c r="A124" s="137"/>
      <c r="B124" s="142"/>
      <c r="C124" s="137"/>
      <c r="D124" s="186"/>
      <c r="E124" s="137"/>
      <c r="F124" s="137"/>
      <c r="G124" s="137"/>
      <c r="H124" s="137"/>
      <c r="I124" s="137"/>
      <c r="J124" s="137"/>
      <c r="K124" s="137"/>
      <c r="L124" s="137"/>
      <c r="M124" s="137"/>
      <c r="N124" s="137"/>
      <c r="O124" s="137"/>
      <c r="P124" s="137"/>
      <c r="Q124" s="137"/>
      <c r="R124" s="137"/>
      <c r="S124" s="137"/>
      <c r="T124" s="137"/>
    </row>
    <row r="125" spans="1:20">
      <c r="A125" s="137"/>
      <c r="B125" s="142"/>
      <c r="C125" s="137"/>
      <c r="D125" s="186"/>
      <c r="E125" s="137"/>
      <c r="F125" s="137"/>
      <c r="G125" s="137"/>
      <c r="H125" s="137"/>
      <c r="I125" s="137"/>
      <c r="J125" s="137"/>
      <c r="K125" s="137"/>
      <c r="L125" s="137"/>
      <c r="M125" s="137"/>
      <c r="N125" s="137"/>
      <c r="O125" s="137"/>
      <c r="P125" s="137"/>
      <c r="Q125" s="137"/>
      <c r="R125" s="137"/>
      <c r="S125" s="137"/>
      <c r="T125" s="137"/>
    </row>
    <row r="126" spans="1:20">
      <c r="A126" s="137"/>
      <c r="B126" s="142"/>
      <c r="C126" s="137"/>
      <c r="D126" s="186"/>
      <c r="E126" s="137"/>
      <c r="F126" s="137"/>
      <c r="G126" s="137"/>
      <c r="H126" s="137"/>
      <c r="I126" s="137"/>
      <c r="J126" s="137"/>
      <c r="K126" s="137"/>
      <c r="L126" s="137"/>
      <c r="M126" s="137"/>
      <c r="N126" s="137"/>
      <c r="O126" s="137"/>
      <c r="P126" s="137"/>
      <c r="Q126" s="137"/>
      <c r="R126" s="137"/>
      <c r="S126" s="137"/>
      <c r="T126" s="137"/>
    </row>
    <row r="127" spans="1:20">
      <c r="A127" s="137"/>
      <c r="B127" s="142"/>
      <c r="C127" s="137"/>
      <c r="D127" s="186"/>
      <c r="E127" s="137"/>
      <c r="F127" s="137"/>
      <c r="G127" s="137"/>
      <c r="H127" s="137"/>
      <c r="I127" s="137"/>
      <c r="J127" s="137"/>
      <c r="K127" s="137"/>
      <c r="L127" s="137"/>
      <c r="M127" s="137"/>
      <c r="N127" s="137"/>
      <c r="O127" s="137"/>
      <c r="P127" s="137"/>
      <c r="Q127" s="137"/>
      <c r="R127" s="137"/>
      <c r="S127" s="137"/>
      <c r="T127" s="137"/>
    </row>
    <row r="128" spans="1:20">
      <c r="A128" s="137"/>
      <c r="B128" s="142"/>
      <c r="C128" s="137"/>
      <c r="D128" s="186"/>
      <c r="E128" s="137"/>
      <c r="F128" s="137"/>
      <c r="G128" s="137"/>
      <c r="H128" s="137"/>
      <c r="I128" s="137"/>
      <c r="J128" s="137"/>
      <c r="K128" s="137"/>
      <c r="L128" s="137"/>
      <c r="M128" s="137"/>
      <c r="N128" s="137"/>
      <c r="O128" s="137"/>
      <c r="P128" s="137"/>
      <c r="Q128" s="137"/>
      <c r="R128" s="137"/>
      <c r="S128" s="137"/>
      <c r="T128" s="137"/>
    </row>
    <row r="129" spans="1:20">
      <c r="A129" s="137"/>
      <c r="B129" s="142"/>
      <c r="C129" s="137"/>
      <c r="D129" s="186"/>
      <c r="E129" s="137"/>
      <c r="F129" s="137"/>
      <c r="G129" s="137"/>
      <c r="H129" s="137"/>
      <c r="I129" s="137"/>
      <c r="J129" s="137"/>
      <c r="K129" s="137"/>
      <c r="L129" s="137"/>
      <c r="M129" s="137"/>
      <c r="N129" s="137"/>
      <c r="O129" s="137"/>
      <c r="P129" s="137"/>
      <c r="Q129" s="137"/>
      <c r="R129" s="137"/>
      <c r="S129" s="137"/>
      <c r="T129" s="137"/>
    </row>
    <row r="130" spans="1:20">
      <c r="A130" s="137"/>
      <c r="B130" s="142"/>
      <c r="C130" s="137"/>
      <c r="D130" s="186"/>
      <c r="E130" s="137"/>
      <c r="F130" s="137"/>
      <c r="G130" s="137"/>
      <c r="H130" s="137"/>
      <c r="I130" s="137"/>
      <c r="J130" s="137"/>
      <c r="K130" s="137"/>
      <c r="L130" s="137"/>
      <c r="M130" s="137"/>
      <c r="N130" s="137"/>
      <c r="O130" s="137"/>
      <c r="P130" s="137"/>
      <c r="Q130" s="137"/>
      <c r="R130" s="137"/>
      <c r="S130" s="137"/>
      <c r="T130" s="137"/>
    </row>
    <row r="131" spans="1:20">
      <c r="A131" s="137"/>
      <c r="B131" s="142"/>
      <c r="C131" s="137"/>
      <c r="D131" s="186"/>
      <c r="E131" s="137"/>
      <c r="F131" s="137"/>
      <c r="G131" s="137"/>
      <c r="H131" s="137"/>
      <c r="I131" s="137"/>
      <c r="J131" s="137"/>
      <c r="K131" s="137"/>
      <c r="L131" s="137"/>
      <c r="M131" s="137"/>
      <c r="N131" s="137"/>
      <c r="O131" s="137"/>
      <c r="P131" s="137"/>
      <c r="Q131" s="137"/>
      <c r="R131" s="137"/>
      <c r="S131" s="137"/>
      <c r="T131" s="137"/>
    </row>
    <row r="132" spans="1:20">
      <c r="A132" s="137"/>
      <c r="B132" s="142"/>
      <c r="C132" s="137"/>
      <c r="D132" s="186"/>
      <c r="E132" s="137"/>
      <c r="F132" s="137"/>
      <c r="G132" s="137"/>
      <c r="H132" s="137"/>
      <c r="I132" s="137"/>
      <c r="J132" s="137"/>
      <c r="K132" s="137"/>
      <c r="L132" s="137"/>
      <c r="M132" s="137"/>
      <c r="N132" s="137"/>
      <c r="O132" s="137"/>
      <c r="P132" s="137"/>
      <c r="Q132" s="137"/>
      <c r="R132" s="137"/>
      <c r="S132" s="137"/>
      <c r="T132" s="137"/>
    </row>
    <row r="133" spans="1:20">
      <c r="A133" s="137"/>
      <c r="B133" s="142"/>
      <c r="C133" s="137"/>
      <c r="D133" s="186"/>
      <c r="E133" s="137"/>
      <c r="F133" s="137"/>
      <c r="G133" s="137"/>
      <c r="H133" s="137"/>
      <c r="I133" s="137"/>
      <c r="J133" s="137"/>
      <c r="K133" s="137"/>
      <c r="L133" s="137"/>
      <c r="M133" s="137"/>
      <c r="N133" s="137"/>
      <c r="O133" s="137"/>
      <c r="P133" s="137"/>
      <c r="Q133" s="137"/>
      <c r="R133" s="137"/>
      <c r="S133" s="137"/>
      <c r="T133" s="137"/>
    </row>
    <row r="134" spans="1:20">
      <c r="A134" s="137"/>
      <c r="B134" s="142"/>
      <c r="C134" s="137"/>
      <c r="D134" s="186"/>
      <c r="E134" s="137"/>
      <c r="F134" s="137"/>
      <c r="G134" s="137"/>
      <c r="H134" s="137"/>
      <c r="I134" s="137"/>
      <c r="J134" s="137"/>
      <c r="K134" s="137"/>
      <c r="L134" s="137"/>
      <c r="M134" s="137"/>
      <c r="N134" s="137"/>
      <c r="O134" s="137"/>
      <c r="P134" s="137"/>
      <c r="Q134" s="137"/>
      <c r="R134" s="137"/>
      <c r="S134" s="137"/>
      <c r="T134" s="137"/>
    </row>
    <row r="135" spans="1:20">
      <c r="A135" s="137"/>
      <c r="B135" s="142"/>
      <c r="C135" s="137"/>
      <c r="D135" s="186"/>
      <c r="E135" s="137"/>
      <c r="F135" s="137"/>
      <c r="G135" s="137"/>
      <c r="H135" s="137"/>
      <c r="I135" s="137"/>
      <c r="J135" s="137"/>
      <c r="K135" s="137"/>
      <c r="L135" s="137"/>
      <c r="M135" s="137"/>
      <c r="N135" s="137"/>
      <c r="O135" s="137"/>
      <c r="P135" s="137"/>
      <c r="Q135" s="137"/>
      <c r="R135" s="137"/>
      <c r="S135" s="137"/>
      <c r="T135" s="137"/>
    </row>
    <row r="136" spans="1:20">
      <c r="A136" s="137"/>
      <c r="B136" s="142"/>
      <c r="C136" s="137"/>
      <c r="D136" s="186"/>
      <c r="E136" s="137"/>
      <c r="F136" s="137"/>
      <c r="G136" s="137"/>
      <c r="H136" s="137"/>
      <c r="I136" s="137"/>
      <c r="J136" s="137"/>
      <c r="K136" s="137"/>
      <c r="L136" s="137"/>
      <c r="M136" s="137"/>
      <c r="N136" s="137"/>
      <c r="O136" s="137"/>
      <c r="P136" s="137"/>
      <c r="Q136" s="137"/>
      <c r="R136" s="137"/>
      <c r="S136" s="137"/>
      <c r="T136" s="137"/>
    </row>
    <row r="137" spans="1:20">
      <c r="A137" s="137"/>
      <c r="B137" s="142"/>
      <c r="C137" s="137"/>
      <c r="D137" s="186"/>
      <c r="E137" s="137"/>
      <c r="F137" s="137"/>
      <c r="G137" s="137"/>
      <c r="H137" s="137"/>
      <c r="I137" s="137"/>
      <c r="J137" s="137"/>
      <c r="K137" s="137"/>
      <c r="L137" s="137"/>
      <c r="M137" s="137"/>
      <c r="N137" s="137"/>
      <c r="O137" s="137"/>
      <c r="P137" s="137"/>
      <c r="Q137" s="137"/>
      <c r="R137" s="137"/>
      <c r="S137" s="137"/>
      <c r="T137" s="137"/>
    </row>
    <row r="138" spans="1:20">
      <c r="A138" s="137"/>
      <c r="B138" s="142"/>
      <c r="C138" s="137"/>
      <c r="D138" s="186"/>
      <c r="E138" s="137"/>
      <c r="F138" s="137"/>
      <c r="G138" s="137"/>
      <c r="H138" s="137"/>
      <c r="I138" s="137"/>
      <c r="J138" s="137"/>
      <c r="K138" s="137"/>
      <c r="L138" s="137"/>
      <c r="M138" s="137"/>
      <c r="N138" s="137"/>
      <c r="O138" s="137"/>
      <c r="P138" s="137"/>
      <c r="Q138" s="137"/>
      <c r="R138" s="137"/>
      <c r="S138" s="137"/>
      <c r="T138" s="137"/>
    </row>
    <row r="139" spans="1:20">
      <c r="A139" s="137"/>
      <c r="B139" s="142"/>
      <c r="C139" s="137"/>
      <c r="D139" s="186"/>
      <c r="E139" s="137"/>
      <c r="F139" s="137"/>
      <c r="G139" s="137"/>
      <c r="H139" s="137"/>
      <c r="I139" s="137"/>
      <c r="J139" s="137"/>
      <c r="K139" s="137"/>
      <c r="L139" s="137"/>
      <c r="M139" s="137"/>
      <c r="N139" s="137"/>
      <c r="O139" s="137"/>
      <c r="P139" s="137"/>
      <c r="Q139" s="137"/>
      <c r="R139" s="137"/>
      <c r="S139" s="137"/>
      <c r="T139" s="137"/>
    </row>
    <row r="140" spans="1:20">
      <c r="A140" s="137"/>
      <c r="B140" s="142"/>
      <c r="C140" s="137"/>
      <c r="D140" s="186"/>
      <c r="E140" s="137"/>
      <c r="F140" s="137"/>
      <c r="G140" s="137"/>
      <c r="H140" s="137"/>
      <c r="I140" s="137"/>
      <c r="J140" s="137"/>
      <c r="K140" s="137"/>
      <c r="L140" s="137"/>
      <c r="M140" s="137"/>
      <c r="N140" s="137"/>
      <c r="O140" s="137"/>
      <c r="P140" s="137"/>
      <c r="Q140" s="137"/>
      <c r="R140" s="137"/>
      <c r="S140" s="137"/>
      <c r="T140" s="137"/>
    </row>
    <row r="141" spans="1:20">
      <c r="A141" s="137"/>
      <c r="B141" s="142"/>
      <c r="C141" s="137"/>
      <c r="D141" s="186"/>
      <c r="E141" s="137"/>
      <c r="F141" s="137"/>
      <c r="G141" s="137"/>
      <c r="H141" s="137"/>
      <c r="I141" s="137"/>
      <c r="J141" s="137"/>
      <c r="K141" s="137"/>
      <c r="L141" s="137"/>
      <c r="M141" s="137"/>
      <c r="N141" s="137"/>
      <c r="O141" s="137"/>
      <c r="P141" s="137"/>
      <c r="Q141" s="137"/>
      <c r="R141" s="137"/>
      <c r="S141" s="137"/>
      <c r="T141" s="137"/>
    </row>
    <row r="142" spans="1:20">
      <c r="A142" s="137"/>
      <c r="B142" s="142"/>
      <c r="C142" s="137"/>
      <c r="D142" s="186"/>
      <c r="E142" s="137"/>
      <c r="F142" s="137"/>
      <c r="G142" s="137"/>
      <c r="H142" s="137"/>
      <c r="I142" s="137"/>
      <c r="J142" s="137"/>
      <c r="K142" s="137"/>
      <c r="L142" s="137"/>
      <c r="M142" s="137"/>
      <c r="N142" s="137"/>
      <c r="O142" s="137"/>
      <c r="P142" s="137"/>
      <c r="Q142" s="137"/>
      <c r="R142" s="137"/>
      <c r="S142" s="137"/>
      <c r="T142" s="137"/>
    </row>
    <row r="143" spans="1:20">
      <c r="A143" s="137"/>
      <c r="B143" s="142"/>
      <c r="C143" s="137"/>
      <c r="D143" s="186"/>
      <c r="E143" s="137"/>
      <c r="F143" s="137"/>
      <c r="G143" s="137"/>
      <c r="H143" s="137"/>
      <c r="I143" s="137"/>
      <c r="J143" s="137"/>
      <c r="K143" s="137"/>
      <c r="L143" s="137"/>
      <c r="M143" s="137"/>
      <c r="N143" s="137"/>
      <c r="O143" s="137"/>
      <c r="P143" s="137"/>
      <c r="Q143" s="137"/>
      <c r="R143" s="137"/>
      <c r="S143" s="137"/>
      <c r="T143" s="137"/>
    </row>
    <row r="144" spans="1:20">
      <c r="A144" s="137"/>
      <c r="B144" s="142"/>
      <c r="C144" s="137"/>
      <c r="D144" s="186"/>
      <c r="E144" s="137"/>
      <c r="F144" s="137"/>
      <c r="G144" s="137"/>
      <c r="H144" s="137"/>
      <c r="I144" s="137"/>
      <c r="J144" s="137"/>
      <c r="K144" s="137"/>
      <c r="L144" s="137"/>
      <c r="M144" s="137"/>
      <c r="N144" s="137"/>
      <c r="O144" s="137"/>
      <c r="P144" s="137"/>
      <c r="Q144" s="137"/>
      <c r="R144" s="137"/>
      <c r="S144" s="137"/>
      <c r="T144" s="137"/>
    </row>
    <row r="145" spans="1:20">
      <c r="A145" s="137"/>
      <c r="B145" s="142"/>
      <c r="C145" s="137"/>
      <c r="D145" s="186"/>
      <c r="E145" s="137"/>
      <c r="F145" s="137"/>
      <c r="G145" s="137"/>
      <c r="H145" s="137"/>
      <c r="I145" s="137"/>
      <c r="J145" s="137"/>
      <c r="K145" s="137"/>
      <c r="L145" s="137"/>
      <c r="M145" s="137"/>
      <c r="N145" s="137"/>
      <c r="O145" s="137"/>
      <c r="P145" s="137"/>
      <c r="Q145" s="137"/>
      <c r="R145" s="137"/>
      <c r="S145" s="137"/>
      <c r="T145" s="137"/>
    </row>
  </sheetData>
  <mergeCells count="1">
    <mergeCell ref="A1:C1"/>
  </mergeCells>
  <phoneticPr fontId="45"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07A7-3B47-428B-A2CB-7A1420FB5B69}">
  <dimension ref="A1:O49"/>
  <sheetViews>
    <sheetView topLeftCell="A16" zoomScaleNormal="100" workbookViewId="0">
      <selection activeCell="G15" sqref="G15"/>
    </sheetView>
  </sheetViews>
  <sheetFormatPr defaultRowHeight="16.5"/>
  <cols>
    <col min="1" max="2" width="9.140625" style="7"/>
    <col min="3" max="3" width="13" style="7" customWidth="1"/>
    <col min="4" max="4" width="11.28515625" style="7" customWidth="1"/>
    <col min="5" max="5" width="11.140625" style="7" bestFit="1" customWidth="1"/>
    <col min="6" max="6" width="9.140625" style="7"/>
    <col min="7" max="7" width="11.140625" style="7" bestFit="1" customWidth="1"/>
    <col min="8" max="8" width="9" style="7" bestFit="1" customWidth="1"/>
    <col min="9" max="16384" width="9.140625" style="7"/>
  </cols>
  <sheetData>
    <row r="1" spans="1:8">
      <c r="A1" s="361" t="s">
        <v>702</v>
      </c>
      <c r="B1" s="362"/>
      <c r="C1" s="362"/>
      <c r="D1" s="362"/>
      <c r="E1" s="362"/>
      <c r="F1" s="380"/>
      <c r="G1" s="369"/>
      <c r="H1" s="369"/>
    </row>
    <row r="2" spans="1:8">
      <c r="A2" s="363" t="s">
        <v>703</v>
      </c>
      <c r="B2" s="364"/>
      <c r="C2" s="364"/>
      <c r="D2" s="364"/>
      <c r="E2" s="364"/>
      <c r="F2" s="362"/>
      <c r="G2" s="369"/>
      <c r="H2" s="369"/>
    </row>
    <row r="3" spans="1:8">
      <c r="A3" s="365" t="s">
        <v>704</v>
      </c>
      <c r="B3" s="364"/>
      <c r="C3" s="362"/>
      <c r="D3" s="366" t="s">
        <v>85</v>
      </c>
      <c r="E3" s="367"/>
      <c r="F3" s="362"/>
      <c r="G3" s="369"/>
      <c r="H3" s="369"/>
    </row>
    <row r="4" spans="1:8">
      <c r="A4" s="365"/>
      <c r="B4" s="362" t="s">
        <v>705</v>
      </c>
      <c r="C4" s="362"/>
      <c r="D4" s="368" t="s">
        <v>706</v>
      </c>
      <c r="E4" s="369">
        <f>+HLOOKUP($D$3,B_BT,3,0)*$E$24</f>
        <v>14.5</v>
      </c>
      <c r="F4" s="370" t="s">
        <v>752</v>
      </c>
      <c r="G4" s="372">
        <f>E4*100</f>
        <v>1450</v>
      </c>
      <c r="H4" s="369" t="s">
        <v>750</v>
      </c>
    </row>
    <row r="5" spans="1:8">
      <c r="A5" s="365"/>
      <c r="B5" s="362" t="s">
        <v>707</v>
      </c>
      <c r="C5" s="362"/>
      <c r="D5" s="368" t="s">
        <v>708</v>
      </c>
      <c r="E5" s="369">
        <f>+HLOOKUP($D$3,B_BT,4,0)*$E$24</f>
        <v>1.05</v>
      </c>
      <c r="F5" s="370" t="s">
        <v>752</v>
      </c>
      <c r="G5" s="372">
        <f>E5*100</f>
        <v>105</v>
      </c>
      <c r="H5" s="369" t="s">
        <v>750</v>
      </c>
    </row>
    <row r="6" spans="1:8">
      <c r="A6" s="365"/>
      <c r="B6" s="362" t="s">
        <v>709</v>
      </c>
      <c r="C6" s="362"/>
      <c r="D6" s="368" t="s">
        <v>710</v>
      </c>
      <c r="E6" s="371">
        <f>+HLOOKUP($D$3,B_BT,5,0)</f>
        <v>30000</v>
      </c>
      <c r="F6" s="370" t="s">
        <v>752</v>
      </c>
      <c r="G6" s="371">
        <f>E6*100</f>
        <v>3000000</v>
      </c>
      <c r="H6" s="369" t="s">
        <v>750</v>
      </c>
    </row>
    <row r="7" spans="1:8">
      <c r="A7" s="365" t="s">
        <v>753</v>
      </c>
      <c r="B7" s="364"/>
      <c r="C7" s="362"/>
      <c r="D7" s="366" t="s">
        <v>386</v>
      </c>
      <c r="E7" s="367"/>
      <c r="F7" s="362"/>
      <c r="G7" s="369"/>
      <c r="H7" s="369"/>
    </row>
    <row r="8" spans="1:8">
      <c r="A8" s="365"/>
      <c r="B8" s="362" t="s">
        <v>707</v>
      </c>
      <c r="C8" s="362"/>
      <c r="D8" s="368" t="s">
        <v>711</v>
      </c>
      <c r="E8" s="372">
        <f>+HLOOKUP(D7,B_CT,3,0)</f>
        <v>225</v>
      </c>
      <c r="F8" s="370" t="s">
        <v>752</v>
      </c>
      <c r="G8" s="372">
        <f>E8*100</f>
        <v>22500</v>
      </c>
      <c r="H8" s="369" t="s">
        <v>750</v>
      </c>
    </row>
    <row r="9" spans="1:8">
      <c r="A9" s="365"/>
      <c r="B9" s="362" t="s">
        <v>705</v>
      </c>
      <c r="C9" s="362"/>
      <c r="D9" s="368" t="s">
        <v>712</v>
      </c>
      <c r="E9" s="372">
        <f>+HLOOKUP(D7,B_CT,4,0)</f>
        <v>175</v>
      </c>
      <c r="F9" s="370" t="s">
        <v>752</v>
      </c>
      <c r="G9" s="372">
        <f>E9*100</f>
        <v>17500</v>
      </c>
      <c r="H9" s="369" t="s">
        <v>750</v>
      </c>
    </row>
    <row r="10" spans="1:8" ht="19.5">
      <c r="A10" s="365" t="s">
        <v>713</v>
      </c>
      <c r="B10" s="362" t="s">
        <v>714</v>
      </c>
      <c r="C10" s="373"/>
      <c r="D10" s="374" t="s">
        <v>747</v>
      </c>
      <c r="E10" s="375">
        <v>1</v>
      </c>
      <c r="F10" s="362"/>
      <c r="G10" s="369"/>
      <c r="H10" s="369"/>
    </row>
    <row r="11" spans="1:8">
      <c r="A11" s="365"/>
      <c r="B11" s="362" t="s">
        <v>715</v>
      </c>
      <c r="C11" s="376"/>
      <c r="D11" s="377"/>
      <c r="E11" s="377"/>
      <c r="F11" s="370"/>
      <c r="G11" s="369"/>
      <c r="H11" s="369"/>
    </row>
    <row r="12" spans="1:8" ht="19.5">
      <c r="A12" s="365" t="s">
        <v>713</v>
      </c>
      <c r="B12" s="362" t="s">
        <v>716</v>
      </c>
      <c r="C12" s="362"/>
      <c r="D12" s="374" t="s">
        <v>748</v>
      </c>
      <c r="E12" s="375">
        <v>0.2</v>
      </c>
      <c r="F12" s="370" t="s">
        <v>717</v>
      </c>
      <c r="G12" s="369"/>
      <c r="H12" s="369"/>
    </row>
    <row r="13" spans="1:8" ht="19.5">
      <c r="A13" s="365"/>
      <c r="B13" s="362"/>
      <c r="C13" s="362"/>
      <c r="D13" s="378" t="s">
        <v>749</v>
      </c>
      <c r="E13" s="379">
        <f>(0.85-0.008*$E$4)/(1+E8*(1-(0.85-0.008*$E$4)/1.1)/400)</f>
        <v>0.61828276060112941</v>
      </c>
      <c r="F13" s="370"/>
      <c r="G13" s="369"/>
      <c r="H13" s="369"/>
    </row>
    <row r="14" spans="1:8">
      <c r="A14" s="365" t="s">
        <v>754</v>
      </c>
      <c r="B14" s="364"/>
      <c r="C14" s="362"/>
      <c r="D14" s="366" t="s">
        <v>387</v>
      </c>
      <c r="E14" s="367"/>
      <c r="F14" s="362"/>
      <c r="G14" s="369"/>
      <c r="H14" s="369"/>
    </row>
    <row r="15" spans="1:8">
      <c r="A15" s="365"/>
      <c r="B15" s="362" t="s">
        <v>707</v>
      </c>
      <c r="C15" s="362"/>
      <c r="D15" s="368" t="s">
        <v>711</v>
      </c>
      <c r="E15" s="372">
        <f>+HLOOKUP(D14,B_CT,3,0)</f>
        <v>280</v>
      </c>
      <c r="F15" s="370" t="s">
        <v>752</v>
      </c>
      <c r="G15" s="372">
        <f>E15*100</f>
        <v>28000</v>
      </c>
      <c r="H15" s="369" t="s">
        <v>750</v>
      </c>
    </row>
    <row r="16" spans="1:8">
      <c r="A16" s="365"/>
      <c r="B16" s="362" t="s">
        <v>705</v>
      </c>
      <c r="C16" s="362"/>
      <c r="D16" s="368" t="s">
        <v>712</v>
      </c>
      <c r="E16" s="372">
        <f>+HLOOKUP(D14,B_CT,4,0)</f>
        <v>225</v>
      </c>
      <c r="F16" s="370" t="s">
        <v>752</v>
      </c>
      <c r="G16" s="372">
        <f>E16*100</f>
        <v>22500</v>
      </c>
      <c r="H16" s="369" t="s">
        <v>750</v>
      </c>
    </row>
    <row r="17" spans="1:8" ht="19.5">
      <c r="A17" s="365" t="s">
        <v>713</v>
      </c>
      <c r="B17" s="362" t="s">
        <v>714</v>
      </c>
      <c r="C17" s="373"/>
      <c r="D17" s="374" t="s">
        <v>747</v>
      </c>
      <c r="E17" s="375">
        <v>1</v>
      </c>
      <c r="F17" s="362"/>
      <c r="G17" s="369"/>
      <c r="H17" s="369"/>
    </row>
    <row r="18" spans="1:8">
      <c r="A18" s="365"/>
      <c r="B18" s="362" t="s">
        <v>715</v>
      </c>
      <c r="C18" s="376"/>
      <c r="D18" s="377"/>
      <c r="E18" s="377"/>
      <c r="F18" s="370"/>
      <c r="G18" s="369"/>
      <c r="H18" s="369"/>
    </row>
    <row r="19" spans="1:8" ht="19.5">
      <c r="A19" s="365" t="s">
        <v>713</v>
      </c>
      <c r="B19" s="362" t="s">
        <v>716</v>
      </c>
      <c r="C19" s="362"/>
      <c r="D19" s="374" t="s">
        <v>748</v>
      </c>
      <c r="E19" s="375">
        <v>0.2</v>
      </c>
      <c r="F19" s="370" t="s">
        <v>717</v>
      </c>
      <c r="G19" s="369"/>
      <c r="H19" s="369"/>
    </row>
    <row r="20" spans="1:8" ht="19.5">
      <c r="A20" s="365"/>
      <c r="B20" s="362"/>
      <c r="C20" s="362"/>
      <c r="D20" s="378" t="s">
        <v>749</v>
      </c>
      <c r="E20" s="379">
        <f>(0.85-0.008*$E$4)/(1+E15*(1-(0.85-0.008*$E$4)/1.1)/400)</f>
        <v>0.59533992036572769</v>
      </c>
      <c r="F20" s="370"/>
      <c r="G20" s="369"/>
      <c r="H20" s="369"/>
    </row>
    <row r="21" spans="1:8">
      <c r="A21" s="365" t="s">
        <v>754</v>
      </c>
      <c r="B21" s="364"/>
      <c r="C21" s="362"/>
      <c r="D21" s="366" t="s">
        <v>388</v>
      </c>
      <c r="E21" s="367"/>
      <c r="F21" s="362"/>
      <c r="G21" s="369"/>
      <c r="H21" s="369"/>
    </row>
    <row r="22" spans="1:8">
      <c r="A22" s="365"/>
      <c r="B22" s="362" t="s">
        <v>707</v>
      </c>
      <c r="C22" s="362"/>
      <c r="D22" s="368" t="s">
        <v>711</v>
      </c>
      <c r="E22" s="372">
        <f>+HLOOKUP(D21,B_CT,3,0)</f>
        <v>365</v>
      </c>
      <c r="F22" s="370" t="s">
        <v>752</v>
      </c>
      <c r="G22" s="372">
        <f>E22*100</f>
        <v>36500</v>
      </c>
      <c r="H22" s="369" t="s">
        <v>750</v>
      </c>
    </row>
    <row r="23" spans="1:8">
      <c r="A23" s="365"/>
      <c r="B23" s="362" t="s">
        <v>705</v>
      </c>
      <c r="C23" s="362"/>
      <c r="D23" s="368" t="s">
        <v>712</v>
      </c>
      <c r="E23" s="372">
        <f>+HLOOKUP(D21,B_CT,4,0)</f>
        <v>290</v>
      </c>
      <c r="F23" s="370" t="s">
        <v>752</v>
      </c>
      <c r="G23" s="372">
        <f>E23*100</f>
        <v>29000</v>
      </c>
      <c r="H23" s="369" t="s">
        <v>750</v>
      </c>
    </row>
    <row r="24" spans="1:8" ht="19.5">
      <c r="A24" s="365" t="s">
        <v>713</v>
      </c>
      <c r="B24" s="362" t="s">
        <v>714</v>
      </c>
      <c r="C24" s="373"/>
      <c r="D24" s="374" t="s">
        <v>747</v>
      </c>
      <c r="E24" s="375">
        <v>1</v>
      </c>
      <c r="F24" s="362"/>
      <c r="G24" s="369"/>
      <c r="H24" s="369"/>
    </row>
    <row r="25" spans="1:8">
      <c r="A25" s="365"/>
      <c r="B25" s="362" t="s">
        <v>715</v>
      </c>
      <c r="C25" s="376"/>
      <c r="D25" s="377"/>
      <c r="E25" s="377"/>
      <c r="F25" s="370"/>
      <c r="G25" s="369"/>
      <c r="H25" s="369"/>
    </row>
    <row r="26" spans="1:8" ht="19.5">
      <c r="A26" s="365" t="s">
        <v>713</v>
      </c>
      <c r="B26" s="362" t="s">
        <v>716</v>
      </c>
      <c r="C26" s="362"/>
      <c r="D26" s="374" t="s">
        <v>748</v>
      </c>
      <c r="E26" s="375">
        <v>0.2</v>
      </c>
      <c r="F26" s="370" t="s">
        <v>717</v>
      </c>
      <c r="G26" s="369"/>
      <c r="H26" s="369"/>
    </row>
    <row r="27" spans="1:8" ht="19.5">
      <c r="A27" s="365"/>
      <c r="B27" s="362"/>
      <c r="C27" s="362"/>
      <c r="D27" s="378" t="s">
        <v>749</v>
      </c>
      <c r="E27" s="379">
        <f>(0.85-0.008*$E$4)/(1+E22*(1-(0.85-0.008*$E$4)/1.1)/400)</f>
        <v>0.56305026238253808</v>
      </c>
      <c r="F27" s="370"/>
      <c r="G27" s="369"/>
      <c r="H27" s="369"/>
    </row>
    <row r="28" spans="1:8">
      <c r="A28" s="365" t="s">
        <v>755</v>
      </c>
      <c r="B28" s="365"/>
      <c r="C28" s="365"/>
      <c r="D28" s="365"/>
      <c r="E28" s="365"/>
      <c r="F28" s="365"/>
      <c r="G28" s="365"/>
      <c r="H28" s="365"/>
    </row>
    <row r="29" spans="1:8">
      <c r="A29" s="365"/>
      <c r="B29" s="365" t="s">
        <v>756</v>
      </c>
      <c r="C29" s="365"/>
      <c r="D29" s="381" t="s">
        <v>757</v>
      </c>
      <c r="E29" s="382">
        <v>20</v>
      </c>
      <c r="F29" s="365" t="s">
        <v>760</v>
      </c>
      <c r="G29" s="382">
        <f>E29*0.1</f>
        <v>2</v>
      </c>
      <c r="H29" s="369" t="s">
        <v>751</v>
      </c>
    </row>
    <row r="30" spans="1:8">
      <c r="A30" s="365"/>
      <c r="B30" s="365" t="s">
        <v>758</v>
      </c>
      <c r="C30" s="365"/>
      <c r="D30" s="381" t="s">
        <v>757</v>
      </c>
      <c r="E30" s="382">
        <v>20</v>
      </c>
      <c r="F30" s="365" t="s">
        <v>760</v>
      </c>
      <c r="G30" s="382">
        <f t="shared" ref="G30:G31" si="0">E30*0.1</f>
        <v>2</v>
      </c>
      <c r="H30" s="369" t="s">
        <v>751</v>
      </c>
    </row>
    <row r="31" spans="1:8">
      <c r="A31" s="365"/>
      <c r="B31" s="365" t="s">
        <v>759</v>
      </c>
      <c r="C31" s="365"/>
      <c r="D31" s="381" t="s">
        <v>757</v>
      </c>
      <c r="E31" s="382">
        <v>18</v>
      </c>
      <c r="F31" s="365" t="s">
        <v>760</v>
      </c>
      <c r="G31" s="382">
        <f t="shared" si="0"/>
        <v>1.8</v>
      </c>
      <c r="H31" s="369" t="s">
        <v>751</v>
      </c>
    </row>
    <row r="33" spans="1:15">
      <c r="A33" s="637" t="s">
        <v>718</v>
      </c>
      <c r="B33" s="637"/>
      <c r="C33" s="637"/>
      <c r="D33" s="637"/>
      <c r="E33" s="637"/>
      <c r="F33" s="637"/>
      <c r="G33" s="637"/>
      <c r="H33" s="637"/>
      <c r="I33" s="637"/>
      <c r="J33" s="637"/>
      <c r="K33" s="637"/>
      <c r="L33" s="637"/>
      <c r="M33" s="637"/>
      <c r="N33" s="637"/>
      <c r="O33" s="637"/>
    </row>
    <row r="34" spans="1:15" ht="17.25" thickBot="1">
      <c r="A34" s="347" t="s">
        <v>719</v>
      </c>
      <c r="B34" s="347"/>
      <c r="C34" s="347"/>
      <c r="D34" s="347"/>
      <c r="E34" s="347"/>
      <c r="F34" s="347"/>
      <c r="G34" s="347"/>
      <c r="H34" s="347"/>
      <c r="I34" s="347"/>
      <c r="J34" s="347"/>
      <c r="K34" s="347"/>
      <c r="L34" s="347"/>
      <c r="M34" s="347"/>
      <c r="N34" s="347"/>
      <c r="O34" s="347"/>
    </row>
    <row r="35" spans="1:15">
      <c r="A35" s="348"/>
      <c r="B35" s="634" t="s">
        <v>720</v>
      </c>
      <c r="C35" s="635"/>
      <c r="D35" s="635"/>
      <c r="E35" s="635"/>
      <c r="F35" s="635"/>
      <c r="G35" s="635"/>
      <c r="H35" s="635"/>
      <c r="I35" s="635"/>
      <c r="J35" s="635"/>
      <c r="K35" s="635"/>
      <c r="L35" s="635"/>
      <c r="M35" s="635"/>
      <c r="N35" s="635"/>
      <c r="O35" s="636"/>
    </row>
    <row r="36" spans="1:15">
      <c r="A36" s="349"/>
      <c r="B36" s="628" t="s">
        <v>721</v>
      </c>
      <c r="C36" s="629"/>
      <c r="D36" s="630"/>
      <c r="E36" s="350" t="s">
        <v>722</v>
      </c>
      <c r="F36" s="350" t="s">
        <v>723</v>
      </c>
      <c r="G36" s="350" t="s">
        <v>724</v>
      </c>
      <c r="H36" s="350" t="s">
        <v>725</v>
      </c>
      <c r="I36" s="350" t="s">
        <v>726</v>
      </c>
      <c r="J36" s="350" t="s">
        <v>727</v>
      </c>
      <c r="K36" s="350" t="s">
        <v>85</v>
      </c>
      <c r="L36" s="350" t="s">
        <v>728</v>
      </c>
      <c r="M36" s="350" t="s">
        <v>729</v>
      </c>
      <c r="N36" s="350" t="s">
        <v>730</v>
      </c>
      <c r="O36" s="351" t="s">
        <v>731</v>
      </c>
    </row>
    <row r="37" spans="1:15">
      <c r="A37" s="352"/>
      <c r="B37" s="628" t="s">
        <v>732</v>
      </c>
      <c r="C37" s="629"/>
      <c r="D37" s="630"/>
      <c r="E37" s="350">
        <v>100</v>
      </c>
      <c r="F37" s="350">
        <v>150</v>
      </c>
      <c r="G37" s="350">
        <v>150</v>
      </c>
      <c r="H37" s="350">
        <v>200</v>
      </c>
      <c r="I37" s="350">
        <v>250</v>
      </c>
      <c r="J37" s="350">
        <v>300</v>
      </c>
      <c r="K37" s="350">
        <v>350</v>
      </c>
      <c r="L37" s="350">
        <v>400</v>
      </c>
      <c r="M37" s="350">
        <v>450</v>
      </c>
      <c r="N37" s="350">
        <v>500</v>
      </c>
      <c r="O37" s="351">
        <v>600</v>
      </c>
    </row>
    <row r="38" spans="1:15">
      <c r="A38" s="352"/>
      <c r="B38" s="628" t="s">
        <v>733</v>
      </c>
      <c r="C38" s="629"/>
      <c r="D38" s="630"/>
      <c r="E38" s="350">
        <v>4.5</v>
      </c>
      <c r="F38" s="350">
        <v>6</v>
      </c>
      <c r="G38" s="350">
        <v>7.5</v>
      </c>
      <c r="H38" s="350">
        <v>8.5</v>
      </c>
      <c r="I38" s="350">
        <v>11.5</v>
      </c>
      <c r="J38" s="350">
        <v>13</v>
      </c>
      <c r="K38" s="350">
        <v>14.5</v>
      </c>
      <c r="L38" s="350">
        <v>17</v>
      </c>
      <c r="M38" s="350">
        <v>19.5</v>
      </c>
      <c r="N38" s="350">
        <v>22</v>
      </c>
      <c r="O38" s="351">
        <v>25</v>
      </c>
    </row>
    <row r="39" spans="1:15">
      <c r="A39" s="352"/>
      <c r="B39" s="628" t="s">
        <v>734</v>
      </c>
      <c r="C39" s="629"/>
      <c r="D39" s="630"/>
      <c r="E39" s="350">
        <v>0.48</v>
      </c>
      <c r="F39" s="350">
        <v>0.56999999999999995</v>
      </c>
      <c r="G39" s="350">
        <v>0.66</v>
      </c>
      <c r="H39" s="350">
        <v>0.75</v>
      </c>
      <c r="I39" s="350">
        <v>0.9</v>
      </c>
      <c r="J39" s="350">
        <v>1</v>
      </c>
      <c r="K39" s="350">
        <v>1.05</v>
      </c>
      <c r="L39" s="350">
        <v>1.2</v>
      </c>
      <c r="M39" s="350">
        <v>1.3</v>
      </c>
      <c r="N39" s="350">
        <v>1.4</v>
      </c>
      <c r="O39" s="351">
        <v>1.5</v>
      </c>
    </row>
    <row r="40" spans="1:15" ht="17.25" thickBot="1">
      <c r="A40" s="352"/>
      <c r="B40" s="631" t="s">
        <v>745</v>
      </c>
      <c r="C40" s="632"/>
      <c r="D40" s="633"/>
      <c r="E40" s="353">
        <v>16000</v>
      </c>
      <c r="F40" s="353">
        <v>18000</v>
      </c>
      <c r="G40" s="353">
        <v>21000</v>
      </c>
      <c r="H40" s="353">
        <v>23000</v>
      </c>
      <c r="I40" s="353">
        <v>27000</v>
      </c>
      <c r="J40" s="353">
        <v>29000</v>
      </c>
      <c r="K40" s="353">
        <v>30000</v>
      </c>
      <c r="L40" s="353">
        <v>32500</v>
      </c>
      <c r="M40" s="353">
        <v>34500</v>
      </c>
      <c r="N40" s="353">
        <v>36000</v>
      </c>
      <c r="O40" s="354">
        <v>375000</v>
      </c>
    </row>
    <row r="41" spans="1:15">
      <c r="A41" s="352"/>
      <c r="B41" s="355"/>
      <c r="C41" s="347"/>
      <c r="D41" s="356"/>
      <c r="E41" s="357"/>
      <c r="F41" s="347"/>
      <c r="G41" s="347"/>
      <c r="H41" s="347"/>
      <c r="I41" s="347"/>
      <c r="J41" s="347"/>
      <c r="K41" s="347"/>
      <c r="L41" s="347"/>
      <c r="M41" s="347"/>
      <c r="N41" s="347"/>
      <c r="O41" s="347"/>
    </row>
    <row r="42" spans="1:15" ht="17.25" thickBot="1">
      <c r="A42" s="352" t="s">
        <v>735</v>
      </c>
      <c r="B42" s="347"/>
      <c r="C42" s="347"/>
      <c r="D42" s="358"/>
      <c r="E42" s="359"/>
      <c r="F42" s="360"/>
      <c r="G42" s="347"/>
      <c r="H42" s="347"/>
      <c r="I42" s="347"/>
      <c r="J42" s="347"/>
      <c r="K42" s="347"/>
      <c r="L42" s="347"/>
      <c r="M42" s="347"/>
      <c r="N42" s="347"/>
      <c r="O42" s="347"/>
    </row>
    <row r="43" spans="1:15">
      <c r="A43" s="352"/>
      <c r="B43" s="634" t="s">
        <v>736</v>
      </c>
      <c r="C43" s="635"/>
      <c r="D43" s="635"/>
      <c r="E43" s="635"/>
      <c r="F43" s="635"/>
      <c r="G43" s="635"/>
      <c r="H43" s="635"/>
      <c r="I43" s="635"/>
      <c r="J43" s="635"/>
      <c r="K43" s="636"/>
      <c r="L43" s="347"/>
      <c r="M43" s="347"/>
      <c r="N43" s="347"/>
      <c r="O43" s="347"/>
    </row>
    <row r="44" spans="1:15">
      <c r="A44" s="352"/>
      <c r="B44" s="628" t="s">
        <v>737</v>
      </c>
      <c r="C44" s="629"/>
      <c r="D44" s="630"/>
      <c r="E44" s="350" t="s">
        <v>386</v>
      </c>
      <c r="F44" s="350" t="s">
        <v>387</v>
      </c>
      <c r="G44" s="350" t="s">
        <v>388</v>
      </c>
      <c r="H44" s="350" t="s">
        <v>389</v>
      </c>
      <c r="I44" s="350" t="s">
        <v>738</v>
      </c>
      <c r="J44" s="350" t="s">
        <v>739</v>
      </c>
      <c r="K44" s="351" t="s">
        <v>740</v>
      </c>
      <c r="L44" s="347"/>
      <c r="M44" s="347"/>
      <c r="N44" s="347"/>
      <c r="O44" s="347"/>
    </row>
    <row r="45" spans="1:15">
      <c r="A45" s="352"/>
      <c r="B45" s="628" t="s">
        <v>741</v>
      </c>
      <c r="C45" s="629"/>
      <c r="D45" s="630"/>
      <c r="E45" s="350" t="s">
        <v>381</v>
      </c>
      <c r="F45" s="350" t="s">
        <v>382</v>
      </c>
      <c r="G45" s="350" t="s">
        <v>383</v>
      </c>
      <c r="H45" s="350" t="s">
        <v>384</v>
      </c>
      <c r="I45" s="350"/>
      <c r="J45" s="350"/>
      <c r="K45" s="351"/>
      <c r="L45" s="347"/>
      <c r="M45" s="347"/>
      <c r="N45" s="347"/>
      <c r="O45" s="347"/>
    </row>
    <row r="46" spans="1:15">
      <c r="A46" s="352"/>
      <c r="B46" s="628" t="s">
        <v>742</v>
      </c>
      <c r="C46" s="629"/>
      <c r="D46" s="630"/>
      <c r="E46" s="350">
        <v>225</v>
      </c>
      <c r="F46" s="350">
        <v>280</v>
      </c>
      <c r="G46" s="350">
        <v>365</v>
      </c>
      <c r="H46" s="350">
        <v>510</v>
      </c>
      <c r="I46" s="350">
        <v>680</v>
      </c>
      <c r="J46" s="350">
        <v>815</v>
      </c>
      <c r="K46" s="351">
        <v>980</v>
      </c>
      <c r="L46" s="347"/>
      <c r="M46" s="347"/>
      <c r="N46" s="347"/>
      <c r="O46" s="347"/>
    </row>
    <row r="47" spans="1:15">
      <c r="A47" s="352"/>
      <c r="B47" s="628" t="s">
        <v>743</v>
      </c>
      <c r="C47" s="629"/>
      <c r="D47" s="630"/>
      <c r="E47" s="350">
        <v>175</v>
      </c>
      <c r="F47" s="350">
        <v>225</v>
      </c>
      <c r="G47" s="350">
        <v>290</v>
      </c>
      <c r="H47" s="350">
        <v>405</v>
      </c>
      <c r="I47" s="350">
        <v>545</v>
      </c>
      <c r="J47" s="350">
        <v>650</v>
      </c>
      <c r="K47" s="351">
        <v>785</v>
      </c>
      <c r="L47" s="347"/>
      <c r="M47" s="347"/>
      <c r="N47" s="347"/>
      <c r="O47" s="347"/>
    </row>
    <row r="48" spans="1:15">
      <c r="A48" s="352"/>
      <c r="B48" s="628" t="s">
        <v>744</v>
      </c>
      <c r="C48" s="629"/>
      <c r="D48" s="630"/>
      <c r="E48" s="350">
        <v>225</v>
      </c>
      <c r="F48" s="350">
        <v>280</v>
      </c>
      <c r="G48" s="350">
        <v>365</v>
      </c>
      <c r="H48" s="350">
        <v>450</v>
      </c>
      <c r="I48" s="350">
        <v>500</v>
      </c>
      <c r="J48" s="350">
        <v>500</v>
      </c>
      <c r="K48" s="351">
        <v>500</v>
      </c>
      <c r="L48" s="347"/>
      <c r="M48" s="347"/>
      <c r="N48" s="347"/>
      <c r="O48" s="347"/>
    </row>
    <row r="49" spans="1:15" ht="17.25" thickBot="1">
      <c r="A49" s="349"/>
      <c r="B49" s="631" t="s">
        <v>746</v>
      </c>
      <c r="C49" s="632"/>
      <c r="D49" s="633"/>
      <c r="E49" s="353">
        <v>210000</v>
      </c>
      <c r="F49" s="353">
        <v>210000</v>
      </c>
      <c r="G49" s="353">
        <v>200000</v>
      </c>
      <c r="H49" s="353">
        <v>190000</v>
      </c>
      <c r="I49" s="353">
        <v>190000</v>
      </c>
      <c r="J49" s="353">
        <v>190000</v>
      </c>
      <c r="K49" s="354">
        <v>190000</v>
      </c>
      <c r="L49" s="347"/>
      <c r="M49" s="347"/>
      <c r="N49" s="347"/>
      <c r="O49" s="347"/>
    </row>
  </sheetData>
  <mergeCells count="14">
    <mergeCell ref="B39:D39"/>
    <mergeCell ref="A33:O33"/>
    <mergeCell ref="B35:O35"/>
    <mergeCell ref="B36:D36"/>
    <mergeCell ref="B37:D37"/>
    <mergeCell ref="B38:D38"/>
    <mergeCell ref="B48:D48"/>
    <mergeCell ref="B49:D49"/>
    <mergeCell ref="B40:D40"/>
    <mergeCell ref="B43:K43"/>
    <mergeCell ref="B44:D44"/>
    <mergeCell ref="B45:D45"/>
    <mergeCell ref="B46:D46"/>
    <mergeCell ref="B47:D47"/>
  </mergeCells>
  <phoneticPr fontId="45" type="noConversion"/>
  <dataValidations count="2">
    <dataValidation type="list" allowBlank="1" showInputMessage="1" showErrorMessage="1" sqref="D21 D14 D7 D28" xr:uid="{7D58640B-45A0-42D4-9FF9-D16068DC7951}">
      <formula1>MT</formula1>
    </dataValidation>
    <dataValidation type="list" showInputMessage="1" showErrorMessage="1" sqref="D3" xr:uid="{467BB584-A599-4B53-8F64-CD3FCDEE4821}">
      <formula1>MBT</formula1>
    </dataValidation>
  </dataValidation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C23C-C58A-42AC-A277-14C5101DC0C1}">
  <dimension ref="A1:O100"/>
  <sheetViews>
    <sheetView topLeftCell="B28" zoomScale="85" zoomScaleNormal="85" workbookViewId="0">
      <selection activeCell="F36" sqref="F36:G36"/>
    </sheetView>
  </sheetViews>
  <sheetFormatPr defaultRowHeight="16.5"/>
  <cols>
    <col min="1" max="1" width="25.7109375" style="419" customWidth="1"/>
    <col min="2" max="2" width="22.85546875" style="419" customWidth="1"/>
    <col min="3" max="3" width="9.140625" style="419"/>
    <col min="4" max="4" width="16" style="419" customWidth="1"/>
    <col min="5" max="5" width="14.5703125" style="419" customWidth="1"/>
    <col min="6" max="6" width="14.85546875" style="419" customWidth="1"/>
    <col min="7" max="7" width="15" style="419" customWidth="1"/>
    <col min="8" max="8" width="14.42578125" style="500" customWidth="1"/>
    <col min="9" max="9" width="13.7109375" style="419" customWidth="1"/>
    <col min="10" max="10" width="14.7109375" style="419" customWidth="1"/>
    <col min="11" max="11" width="14.5703125" style="419" customWidth="1"/>
    <col min="12" max="13" width="14.140625" style="419" customWidth="1"/>
    <col min="14" max="14" width="15.28515625" style="419" customWidth="1"/>
    <col min="15" max="15" width="15.85546875" style="419" customWidth="1"/>
    <col min="16" max="256" width="9.140625" style="419"/>
    <col min="257" max="257" width="25.7109375" style="419" customWidth="1"/>
    <col min="258" max="258" width="22.85546875" style="419" customWidth="1"/>
    <col min="259" max="259" width="9.140625" style="419"/>
    <col min="260" max="260" width="16" style="419" customWidth="1"/>
    <col min="261" max="261" width="14.5703125" style="419" customWidth="1"/>
    <col min="262" max="262" width="14.85546875" style="419" customWidth="1"/>
    <col min="263" max="263" width="15" style="419" customWidth="1"/>
    <col min="264" max="264" width="14.42578125" style="419" customWidth="1"/>
    <col min="265" max="265" width="13.7109375" style="419" customWidth="1"/>
    <col min="266" max="266" width="14.7109375" style="419" customWidth="1"/>
    <col min="267" max="267" width="14.5703125" style="419" customWidth="1"/>
    <col min="268" max="269" width="14.140625" style="419" customWidth="1"/>
    <col min="270" max="270" width="15.28515625" style="419" customWidth="1"/>
    <col min="271" max="271" width="15.85546875" style="419" customWidth="1"/>
    <col min="272" max="512" width="9.140625" style="419"/>
    <col min="513" max="513" width="25.7109375" style="419" customWidth="1"/>
    <col min="514" max="514" width="22.85546875" style="419" customWidth="1"/>
    <col min="515" max="515" width="9.140625" style="419"/>
    <col min="516" max="516" width="16" style="419" customWidth="1"/>
    <col min="517" max="517" width="14.5703125" style="419" customWidth="1"/>
    <col min="518" max="518" width="14.85546875" style="419" customWidth="1"/>
    <col min="519" max="519" width="15" style="419" customWidth="1"/>
    <col min="520" max="520" width="14.42578125" style="419" customWidth="1"/>
    <col min="521" max="521" width="13.7109375" style="419" customWidth="1"/>
    <col min="522" max="522" width="14.7109375" style="419" customWidth="1"/>
    <col min="523" max="523" width="14.5703125" style="419" customWidth="1"/>
    <col min="524" max="525" width="14.140625" style="419" customWidth="1"/>
    <col min="526" max="526" width="15.28515625" style="419" customWidth="1"/>
    <col min="527" max="527" width="15.85546875" style="419" customWidth="1"/>
    <col min="528" max="768" width="9.140625" style="419"/>
    <col min="769" max="769" width="25.7109375" style="419" customWidth="1"/>
    <col min="770" max="770" width="22.85546875" style="419" customWidth="1"/>
    <col min="771" max="771" width="9.140625" style="419"/>
    <col min="772" max="772" width="16" style="419" customWidth="1"/>
    <col min="773" max="773" width="14.5703125" style="419" customWidth="1"/>
    <col min="774" max="774" width="14.85546875" style="419" customWidth="1"/>
    <col min="775" max="775" width="15" style="419" customWidth="1"/>
    <col min="776" max="776" width="14.42578125" style="419" customWidth="1"/>
    <col min="777" max="777" width="13.7109375" style="419" customWidth="1"/>
    <col min="778" max="778" width="14.7109375" style="419" customWidth="1"/>
    <col min="779" max="779" width="14.5703125" style="419" customWidth="1"/>
    <col min="780" max="781" width="14.140625" style="419" customWidth="1"/>
    <col min="782" max="782" width="15.28515625" style="419" customWidth="1"/>
    <col min="783" max="783" width="15.85546875" style="419" customWidth="1"/>
    <col min="784" max="1024" width="9.140625" style="419"/>
    <col min="1025" max="1025" width="25.7109375" style="419" customWidth="1"/>
    <col min="1026" max="1026" width="22.85546875" style="419" customWidth="1"/>
    <col min="1027" max="1027" width="9.140625" style="419"/>
    <col min="1028" max="1028" width="16" style="419" customWidth="1"/>
    <col min="1029" max="1029" width="14.5703125" style="419" customWidth="1"/>
    <col min="1030" max="1030" width="14.85546875" style="419" customWidth="1"/>
    <col min="1031" max="1031" width="15" style="419" customWidth="1"/>
    <col min="1032" max="1032" width="14.42578125" style="419" customWidth="1"/>
    <col min="1033" max="1033" width="13.7109375" style="419" customWidth="1"/>
    <col min="1034" max="1034" width="14.7109375" style="419" customWidth="1"/>
    <col min="1035" max="1035" width="14.5703125" style="419" customWidth="1"/>
    <col min="1036" max="1037" width="14.140625" style="419" customWidth="1"/>
    <col min="1038" max="1038" width="15.28515625" style="419" customWidth="1"/>
    <col min="1039" max="1039" width="15.85546875" style="419" customWidth="1"/>
    <col min="1040" max="1280" width="9.140625" style="419"/>
    <col min="1281" max="1281" width="25.7109375" style="419" customWidth="1"/>
    <col min="1282" max="1282" width="22.85546875" style="419" customWidth="1"/>
    <col min="1283" max="1283" width="9.140625" style="419"/>
    <col min="1284" max="1284" width="16" style="419" customWidth="1"/>
    <col min="1285" max="1285" width="14.5703125" style="419" customWidth="1"/>
    <col min="1286" max="1286" width="14.85546875" style="419" customWidth="1"/>
    <col min="1287" max="1287" width="15" style="419" customWidth="1"/>
    <col min="1288" max="1288" width="14.42578125" style="419" customWidth="1"/>
    <col min="1289" max="1289" width="13.7109375" style="419" customWidth="1"/>
    <col min="1290" max="1290" width="14.7109375" style="419" customWidth="1"/>
    <col min="1291" max="1291" width="14.5703125" style="419" customWidth="1"/>
    <col min="1292" max="1293" width="14.140625" style="419" customWidth="1"/>
    <col min="1294" max="1294" width="15.28515625" style="419" customWidth="1"/>
    <col min="1295" max="1295" width="15.85546875" style="419" customWidth="1"/>
    <col min="1296" max="1536" width="9.140625" style="419"/>
    <col min="1537" max="1537" width="25.7109375" style="419" customWidth="1"/>
    <col min="1538" max="1538" width="22.85546875" style="419" customWidth="1"/>
    <col min="1539" max="1539" width="9.140625" style="419"/>
    <col min="1540" max="1540" width="16" style="419" customWidth="1"/>
    <col min="1541" max="1541" width="14.5703125" style="419" customWidth="1"/>
    <col min="1542" max="1542" width="14.85546875" style="419" customWidth="1"/>
    <col min="1543" max="1543" width="15" style="419" customWidth="1"/>
    <col min="1544" max="1544" width="14.42578125" style="419" customWidth="1"/>
    <col min="1545" max="1545" width="13.7109375" style="419" customWidth="1"/>
    <col min="1546" max="1546" width="14.7109375" style="419" customWidth="1"/>
    <col min="1547" max="1547" width="14.5703125" style="419" customWidth="1"/>
    <col min="1548" max="1549" width="14.140625" style="419" customWidth="1"/>
    <col min="1550" max="1550" width="15.28515625" style="419" customWidth="1"/>
    <col min="1551" max="1551" width="15.85546875" style="419" customWidth="1"/>
    <col min="1552" max="1792" width="9.140625" style="419"/>
    <col min="1793" max="1793" width="25.7109375" style="419" customWidth="1"/>
    <col min="1794" max="1794" width="22.85546875" style="419" customWidth="1"/>
    <col min="1795" max="1795" width="9.140625" style="419"/>
    <col min="1796" max="1796" width="16" style="419" customWidth="1"/>
    <col min="1797" max="1797" width="14.5703125" style="419" customWidth="1"/>
    <col min="1798" max="1798" width="14.85546875" style="419" customWidth="1"/>
    <col min="1799" max="1799" width="15" style="419" customWidth="1"/>
    <col min="1800" max="1800" width="14.42578125" style="419" customWidth="1"/>
    <col min="1801" max="1801" width="13.7109375" style="419" customWidth="1"/>
    <col min="1802" max="1802" width="14.7109375" style="419" customWidth="1"/>
    <col min="1803" max="1803" width="14.5703125" style="419" customWidth="1"/>
    <col min="1804" max="1805" width="14.140625" style="419" customWidth="1"/>
    <col min="1806" max="1806" width="15.28515625" style="419" customWidth="1"/>
    <col min="1807" max="1807" width="15.85546875" style="419" customWidth="1"/>
    <col min="1808" max="2048" width="9.140625" style="419"/>
    <col min="2049" max="2049" width="25.7109375" style="419" customWidth="1"/>
    <col min="2050" max="2050" width="22.85546875" style="419" customWidth="1"/>
    <col min="2051" max="2051" width="9.140625" style="419"/>
    <col min="2052" max="2052" width="16" style="419" customWidth="1"/>
    <col min="2053" max="2053" width="14.5703125" style="419" customWidth="1"/>
    <col min="2054" max="2054" width="14.85546875" style="419" customWidth="1"/>
    <col min="2055" max="2055" width="15" style="419" customWidth="1"/>
    <col min="2056" max="2056" width="14.42578125" style="419" customWidth="1"/>
    <col min="2057" max="2057" width="13.7109375" style="419" customWidth="1"/>
    <col min="2058" max="2058" width="14.7109375" style="419" customWidth="1"/>
    <col min="2059" max="2059" width="14.5703125" style="419" customWidth="1"/>
    <col min="2060" max="2061" width="14.140625" style="419" customWidth="1"/>
    <col min="2062" max="2062" width="15.28515625" style="419" customWidth="1"/>
    <col min="2063" max="2063" width="15.85546875" style="419" customWidth="1"/>
    <col min="2064" max="2304" width="9.140625" style="419"/>
    <col min="2305" max="2305" width="25.7109375" style="419" customWidth="1"/>
    <col min="2306" max="2306" width="22.85546875" style="419" customWidth="1"/>
    <col min="2307" max="2307" width="9.140625" style="419"/>
    <col min="2308" max="2308" width="16" style="419" customWidth="1"/>
    <col min="2309" max="2309" width="14.5703125" style="419" customWidth="1"/>
    <col min="2310" max="2310" width="14.85546875" style="419" customWidth="1"/>
    <col min="2311" max="2311" width="15" style="419" customWidth="1"/>
    <col min="2312" max="2312" width="14.42578125" style="419" customWidth="1"/>
    <col min="2313" max="2313" width="13.7109375" style="419" customWidth="1"/>
    <col min="2314" max="2314" width="14.7109375" style="419" customWidth="1"/>
    <col min="2315" max="2315" width="14.5703125" style="419" customWidth="1"/>
    <col min="2316" max="2317" width="14.140625" style="419" customWidth="1"/>
    <col min="2318" max="2318" width="15.28515625" style="419" customWidth="1"/>
    <col min="2319" max="2319" width="15.85546875" style="419" customWidth="1"/>
    <col min="2320" max="2560" width="9.140625" style="419"/>
    <col min="2561" max="2561" width="25.7109375" style="419" customWidth="1"/>
    <col min="2562" max="2562" width="22.85546875" style="419" customWidth="1"/>
    <col min="2563" max="2563" width="9.140625" style="419"/>
    <col min="2564" max="2564" width="16" style="419" customWidth="1"/>
    <col min="2565" max="2565" width="14.5703125" style="419" customWidth="1"/>
    <col min="2566" max="2566" width="14.85546875" style="419" customWidth="1"/>
    <col min="2567" max="2567" width="15" style="419" customWidth="1"/>
    <col min="2568" max="2568" width="14.42578125" style="419" customWidth="1"/>
    <col min="2569" max="2569" width="13.7109375" style="419" customWidth="1"/>
    <col min="2570" max="2570" width="14.7109375" style="419" customWidth="1"/>
    <col min="2571" max="2571" width="14.5703125" style="419" customWidth="1"/>
    <col min="2572" max="2573" width="14.140625" style="419" customWidth="1"/>
    <col min="2574" max="2574" width="15.28515625" style="419" customWidth="1"/>
    <col min="2575" max="2575" width="15.85546875" style="419" customWidth="1"/>
    <col min="2576" max="2816" width="9.140625" style="419"/>
    <col min="2817" max="2817" width="25.7109375" style="419" customWidth="1"/>
    <col min="2818" max="2818" width="22.85546875" style="419" customWidth="1"/>
    <col min="2819" max="2819" width="9.140625" style="419"/>
    <col min="2820" max="2820" width="16" style="419" customWidth="1"/>
    <col min="2821" max="2821" width="14.5703125" style="419" customWidth="1"/>
    <col min="2822" max="2822" width="14.85546875" style="419" customWidth="1"/>
    <col min="2823" max="2823" width="15" style="419" customWidth="1"/>
    <col min="2824" max="2824" width="14.42578125" style="419" customWidth="1"/>
    <col min="2825" max="2825" width="13.7109375" style="419" customWidth="1"/>
    <col min="2826" max="2826" width="14.7109375" style="419" customWidth="1"/>
    <col min="2827" max="2827" width="14.5703125" style="419" customWidth="1"/>
    <col min="2828" max="2829" width="14.140625" style="419" customWidth="1"/>
    <col min="2830" max="2830" width="15.28515625" style="419" customWidth="1"/>
    <col min="2831" max="2831" width="15.85546875" style="419" customWidth="1"/>
    <col min="2832" max="3072" width="9.140625" style="419"/>
    <col min="3073" max="3073" width="25.7109375" style="419" customWidth="1"/>
    <col min="3074" max="3074" width="22.85546875" style="419" customWidth="1"/>
    <col min="3075" max="3075" width="9.140625" style="419"/>
    <col min="3076" max="3076" width="16" style="419" customWidth="1"/>
    <col min="3077" max="3077" width="14.5703125" style="419" customWidth="1"/>
    <col min="3078" max="3078" width="14.85546875" style="419" customWidth="1"/>
    <col min="3079" max="3079" width="15" style="419" customWidth="1"/>
    <col min="3080" max="3080" width="14.42578125" style="419" customWidth="1"/>
    <col min="3081" max="3081" width="13.7109375" style="419" customWidth="1"/>
    <col min="3082" max="3082" width="14.7109375" style="419" customWidth="1"/>
    <col min="3083" max="3083" width="14.5703125" style="419" customWidth="1"/>
    <col min="3084" max="3085" width="14.140625" style="419" customWidth="1"/>
    <col min="3086" max="3086" width="15.28515625" style="419" customWidth="1"/>
    <col min="3087" max="3087" width="15.85546875" style="419" customWidth="1"/>
    <col min="3088" max="3328" width="9.140625" style="419"/>
    <col min="3329" max="3329" width="25.7109375" style="419" customWidth="1"/>
    <col min="3330" max="3330" width="22.85546875" style="419" customWidth="1"/>
    <col min="3331" max="3331" width="9.140625" style="419"/>
    <col min="3332" max="3332" width="16" style="419" customWidth="1"/>
    <col min="3333" max="3333" width="14.5703125" style="419" customWidth="1"/>
    <col min="3334" max="3334" width="14.85546875" style="419" customWidth="1"/>
    <col min="3335" max="3335" width="15" style="419" customWidth="1"/>
    <col min="3336" max="3336" width="14.42578125" style="419" customWidth="1"/>
    <col min="3337" max="3337" width="13.7109375" style="419" customWidth="1"/>
    <col min="3338" max="3338" width="14.7109375" style="419" customWidth="1"/>
    <col min="3339" max="3339" width="14.5703125" style="419" customWidth="1"/>
    <col min="3340" max="3341" width="14.140625" style="419" customWidth="1"/>
    <col min="3342" max="3342" width="15.28515625" style="419" customWidth="1"/>
    <col min="3343" max="3343" width="15.85546875" style="419" customWidth="1"/>
    <col min="3344" max="3584" width="9.140625" style="419"/>
    <col min="3585" max="3585" width="25.7109375" style="419" customWidth="1"/>
    <col min="3586" max="3586" width="22.85546875" style="419" customWidth="1"/>
    <col min="3587" max="3587" width="9.140625" style="419"/>
    <col min="3588" max="3588" width="16" style="419" customWidth="1"/>
    <col min="3589" max="3589" width="14.5703125" style="419" customWidth="1"/>
    <col min="3590" max="3590" width="14.85546875" style="419" customWidth="1"/>
    <col min="3591" max="3591" width="15" style="419" customWidth="1"/>
    <col min="3592" max="3592" width="14.42578125" style="419" customWidth="1"/>
    <col min="3593" max="3593" width="13.7109375" style="419" customWidth="1"/>
    <col min="3594" max="3594" width="14.7109375" style="419" customWidth="1"/>
    <col min="3595" max="3595" width="14.5703125" style="419" customWidth="1"/>
    <col min="3596" max="3597" width="14.140625" style="419" customWidth="1"/>
    <col min="3598" max="3598" width="15.28515625" style="419" customWidth="1"/>
    <col min="3599" max="3599" width="15.85546875" style="419" customWidth="1"/>
    <col min="3600" max="3840" width="9.140625" style="419"/>
    <col min="3841" max="3841" width="25.7109375" style="419" customWidth="1"/>
    <col min="3842" max="3842" width="22.85546875" style="419" customWidth="1"/>
    <col min="3843" max="3843" width="9.140625" style="419"/>
    <col min="3844" max="3844" width="16" style="419" customWidth="1"/>
    <col min="3845" max="3845" width="14.5703125" style="419" customWidth="1"/>
    <col min="3846" max="3846" width="14.85546875" style="419" customWidth="1"/>
    <col min="3847" max="3847" width="15" style="419" customWidth="1"/>
    <col min="3848" max="3848" width="14.42578125" style="419" customWidth="1"/>
    <col min="3849" max="3849" width="13.7109375" style="419" customWidth="1"/>
    <col min="3850" max="3850" width="14.7109375" style="419" customWidth="1"/>
    <col min="3851" max="3851" width="14.5703125" style="419" customWidth="1"/>
    <col min="3852" max="3853" width="14.140625" style="419" customWidth="1"/>
    <col min="3854" max="3854" width="15.28515625" style="419" customWidth="1"/>
    <col min="3855" max="3855" width="15.85546875" style="419" customWidth="1"/>
    <col min="3856" max="4096" width="9.140625" style="419"/>
    <col min="4097" max="4097" width="25.7109375" style="419" customWidth="1"/>
    <col min="4098" max="4098" width="22.85546875" style="419" customWidth="1"/>
    <col min="4099" max="4099" width="9.140625" style="419"/>
    <col min="4100" max="4100" width="16" style="419" customWidth="1"/>
    <col min="4101" max="4101" width="14.5703125" style="419" customWidth="1"/>
    <col min="4102" max="4102" width="14.85546875" style="419" customWidth="1"/>
    <col min="4103" max="4103" width="15" style="419" customWidth="1"/>
    <col min="4104" max="4104" width="14.42578125" style="419" customWidth="1"/>
    <col min="4105" max="4105" width="13.7109375" style="419" customWidth="1"/>
    <col min="4106" max="4106" width="14.7109375" style="419" customWidth="1"/>
    <col min="4107" max="4107" width="14.5703125" style="419" customWidth="1"/>
    <col min="4108" max="4109" width="14.140625" style="419" customWidth="1"/>
    <col min="4110" max="4110" width="15.28515625" style="419" customWidth="1"/>
    <col min="4111" max="4111" width="15.85546875" style="419" customWidth="1"/>
    <col min="4112" max="4352" width="9.140625" style="419"/>
    <col min="4353" max="4353" width="25.7109375" style="419" customWidth="1"/>
    <col min="4354" max="4354" width="22.85546875" style="419" customWidth="1"/>
    <col min="4355" max="4355" width="9.140625" style="419"/>
    <col min="4356" max="4356" width="16" style="419" customWidth="1"/>
    <col min="4357" max="4357" width="14.5703125" style="419" customWidth="1"/>
    <col min="4358" max="4358" width="14.85546875" style="419" customWidth="1"/>
    <col min="4359" max="4359" width="15" style="419" customWidth="1"/>
    <col min="4360" max="4360" width="14.42578125" style="419" customWidth="1"/>
    <col min="4361" max="4361" width="13.7109375" style="419" customWidth="1"/>
    <col min="4362" max="4362" width="14.7109375" style="419" customWidth="1"/>
    <col min="4363" max="4363" width="14.5703125" style="419" customWidth="1"/>
    <col min="4364" max="4365" width="14.140625" style="419" customWidth="1"/>
    <col min="4366" max="4366" width="15.28515625" style="419" customWidth="1"/>
    <col min="4367" max="4367" width="15.85546875" style="419" customWidth="1"/>
    <col min="4368" max="4608" width="9.140625" style="419"/>
    <col min="4609" max="4609" width="25.7109375" style="419" customWidth="1"/>
    <col min="4610" max="4610" width="22.85546875" style="419" customWidth="1"/>
    <col min="4611" max="4611" width="9.140625" style="419"/>
    <col min="4612" max="4612" width="16" style="419" customWidth="1"/>
    <col min="4613" max="4613" width="14.5703125" style="419" customWidth="1"/>
    <col min="4614" max="4614" width="14.85546875" style="419" customWidth="1"/>
    <col min="4615" max="4615" width="15" style="419" customWidth="1"/>
    <col min="4616" max="4616" width="14.42578125" style="419" customWidth="1"/>
    <col min="4617" max="4617" width="13.7109375" style="419" customWidth="1"/>
    <col min="4618" max="4618" width="14.7109375" style="419" customWidth="1"/>
    <col min="4619" max="4619" width="14.5703125" style="419" customWidth="1"/>
    <col min="4620" max="4621" width="14.140625" style="419" customWidth="1"/>
    <col min="4622" max="4622" width="15.28515625" style="419" customWidth="1"/>
    <col min="4623" max="4623" width="15.85546875" style="419" customWidth="1"/>
    <col min="4624" max="4864" width="9.140625" style="419"/>
    <col min="4865" max="4865" width="25.7109375" style="419" customWidth="1"/>
    <col min="4866" max="4866" width="22.85546875" style="419" customWidth="1"/>
    <col min="4867" max="4867" width="9.140625" style="419"/>
    <col min="4868" max="4868" width="16" style="419" customWidth="1"/>
    <col min="4869" max="4869" width="14.5703125" style="419" customWidth="1"/>
    <col min="4870" max="4870" width="14.85546875" style="419" customWidth="1"/>
    <col min="4871" max="4871" width="15" style="419" customWidth="1"/>
    <col min="4872" max="4872" width="14.42578125" style="419" customWidth="1"/>
    <col min="4873" max="4873" width="13.7109375" style="419" customWidth="1"/>
    <col min="4874" max="4874" width="14.7109375" style="419" customWidth="1"/>
    <col min="4875" max="4875" width="14.5703125" style="419" customWidth="1"/>
    <col min="4876" max="4877" width="14.140625" style="419" customWidth="1"/>
    <col min="4878" max="4878" width="15.28515625" style="419" customWidth="1"/>
    <col min="4879" max="4879" width="15.85546875" style="419" customWidth="1"/>
    <col min="4880" max="5120" width="9.140625" style="419"/>
    <col min="5121" max="5121" width="25.7109375" style="419" customWidth="1"/>
    <col min="5122" max="5122" width="22.85546875" style="419" customWidth="1"/>
    <col min="5123" max="5123" width="9.140625" style="419"/>
    <col min="5124" max="5124" width="16" style="419" customWidth="1"/>
    <col min="5125" max="5125" width="14.5703125" style="419" customWidth="1"/>
    <col min="5126" max="5126" width="14.85546875" style="419" customWidth="1"/>
    <col min="5127" max="5127" width="15" style="419" customWidth="1"/>
    <col min="5128" max="5128" width="14.42578125" style="419" customWidth="1"/>
    <col min="5129" max="5129" width="13.7109375" style="419" customWidth="1"/>
    <col min="5130" max="5130" width="14.7109375" style="419" customWidth="1"/>
    <col min="5131" max="5131" width="14.5703125" style="419" customWidth="1"/>
    <col min="5132" max="5133" width="14.140625" style="419" customWidth="1"/>
    <col min="5134" max="5134" width="15.28515625" style="419" customWidth="1"/>
    <col min="5135" max="5135" width="15.85546875" style="419" customWidth="1"/>
    <col min="5136" max="5376" width="9.140625" style="419"/>
    <col min="5377" max="5377" width="25.7109375" style="419" customWidth="1"/>
    <col min="5378" max="5378" width="22.85546875" style="419" customWidth="1"/>
    <col min="5379" max="5379" width="9.140625" style="419"/>
    <col min="5380" max="5380" width="16" style="419" customWidth="1"/>
    <col min="5381" max="5381" width="14.5703125" style="419" customWidth="1"/>
    <col min="5382" max="5382" width="14.85546875" style="419" customWidth="1"/>
    <col min="5383" max="5383" width="15" style="419" customWidth="1"/>
    <col min="5384" max="5384" width="14.42578125" style="419" customWidth="1"/>
    <col min="5385" max="5385" width="13.7109375" style="419" customWidth="1"/>
    <col min="5386" max="5386" width="14.7109375" style="419" customWidth="1"/>
    <col min="5387" max="5387" width="14.5703125" style="419" customWidth="1"/>
    <col min="5388" max="5389" width="14.140625" style="419" customWidth="1"/>
    <col min="5390" max="5390" width="15.28515625" style="419" customWidth="1"/>
    <col min="5391" max="5391" width="15.85546875" style="419" customWidth="1"/>
    <col min="5392" max="5632" width="9.140625" style="419"/>
    <col min="5633" max="5633" width="25.7109375" style="419" customWidth="1"/>
    <col min="5634" max="5634" width="22.85546875" style="419" customWidth="1"/>
    <col min="5635" max="5635" width="9.140625" style="419"/>
    <col min="5636" max="5636" width="16" style="419" customWidth="1"/>
    <col min="5637" max="5637" width="14.5703125" style="419" customWidth="1"/>
    <col min="5638" max="5638" width="14.85546875" style="419" customWidth="1"/>
    <col min="5639" max="5639" width="15" style="419" customWidth="1"/>
    <col min="5640" max="5640" width="14.42578125" style="419" customWidth="1"/>
    <col min="5641" max="5641" width="13.7109375" style="419" customWidth="1"/>
    <col min="5642" max="5642" width="14.7109375" style="419" customWidth="1"/>
    <col min="5643" max="5643" width="14.5703125" style="419" customWidth="1"/>
    <col min="5644" max="5645" width="14.140625" style="419" customWidth="1"/>
    <col min="5646" max="5646" width="15.28515625" style="419" customWidth="1"/>
    <col min="5647" max="5647" width="15.85546875" style="419" customWidth="1"/>
    <col min="5648" max="5888" width="9.140625" style="419"/>
    <col min="5889" max="5889" width="25.7109375" style="419" customWidth="1"/>
    <col min="5890" max="5890" width="22.85546875" style="419" customWidth="1"/>
    <col min="5891" max="5891" width="9.140625" style="419"/>
    <col min="5892" max="5892" width="16" style="419" customWidth="1"/>
    <col min="5893" max="5893" width="14.5703125" style="419" customWidth="1"/>
    <col min="5894" max="5894" width="14.85546875" style="419" customWidth="1"/>
    <col min="5895" max="5895" width="15" style="419" customWidth="1"/>
    <col min="5896" max="5896" width="14.42578125" style="419" customWidth="1"/>
    <col min="5897" max="5897" width="13.7109375" style="419" customWidth="1"/>
    <col min="5898" max="5898" width="14.7109375" style="419" customWidth="1"/>
    <col min="5899" max="5899" width="14.5703125" style="419" customWidth="1"/>
    <col min="5900" max="5901" width="14.140625" style="419" customWidth="1"/>
    <col min="5902" max="5902" width="15.28515625" style="419" customWidth="1"/>
    <col min="5903" max="5903" width="15.85546875" style="419" customWidth="1"/>
    <col min="5904" max="6144" width="9.140625" style="419"/>
    <col min="6145" max="6145" width="25.7109375" style="419" customWidth="1"/>
    <col min="6146" max="6146" width="22.85546875" style="419" customWidth="1"/>
    <col min="6147" max="6147" width="9.140625" style="419"/>
    <col min="6148" max="6148" width="16" style="419" customWidth="1"/>
    <col min="6149" max="6149" width="14.5703125" style="419" customWidth="1"/>
    <col min="6150" max="6150" width="14.85546875" style="419" customWidth="1"/>
    <col min="6151" max="6151" width="15" style="419" customWidth="1"/>
    <col min="6152" max="6152" width="14.42578125" style="419" customWidth="1"/>
    <col min="6153" max="6153" width="13.7109375" style="419" customWidth="1"/>
    <col min="6154" max="6154" width="14.7109375" style="419" customWidth="1"/>
    <col min="6155" max="6155" width="14.5703125" style="419" customWidth="1"/>
    <col min="6156" max="6157" width="14.140625" style="419" customWidth="1"/>
    <col min="6158" max="6158" width="15.28515625" style="419" customWidth="1"/>
    <col min="6159" max="6159" width="15.85546875" style="419" customWidth="1"/>
    <col min="6160" max="6400" width="9.140625" style="419"/>
    <col min="6401" max="6401" width="25.7109375" style="419" customWidth="1"/>
    <col min="6402" max="6402" width="22.85546875" style="419" customWidth="1"/>
    <col min="6403" max="6403" width="9.140625" style="419"/>
    <col min="6404" max="6404" width="16" style="419" customWidth="1"/>
    <col min="6405" max="6405" width="14.5703125" style="419" customWidth="1"/>
    <col min="6406" max="6406" width="14.85546875" style="419" customWidth="1"/>
    <col min="6407" max="6407" width="15" style="419" customWidth="1"/>
    <col min="6408" max="6408" width="14.42578125" style="419" customWidth="1"/>
    <col min="6409" max="6409" width="13.7109375" style="419" customWidth="1"/>
    <col min="6410" max="6410" width="14.7109375" style="419" customWidth="1"/>
    <col min="6411" max="6411" width="14.5703125" style="419" customWidth="1"/>
    <col min="6412" max="6413" width="14.140625" style="419" customWidth="1"/>
    <col min="6414" max="6414" width="15.28515625" style="419" customWidth="1"/>
    <col min="6415" max="6415" width="15.85546875" style="419" customWidth="1"/>
    <col min="6416" max="6656" width="9.140625" style="419"/>
    <col min="6657" max="6657" width="25.7109375" style="419" customWidth="1"/>
    <col min="6658" max="6658" width="22.85546875" style="419" customWidth="1"/>
    <col min="6659" max="6659" width="9.140625" style="419"/>
    <col min="6660" max="6660" width="16" style="419" customWidth="1"/>
    <col min="6661" max="6661" width="14.5703125" style="419" customWidth="1"/>
    <col min="6662" max="6662" width="14.85546875" style="419" customWidth="1"/>
    <col min="6663" max="6663" width="15" style="419" customWidth="1"/>
    <col min="6664" max="6664" width="14.42578125" style="419" customWidth="1"/>
    <col min="6665" max="6665" width="13.7109375" style="419" customWidth="1"/>
    <col min="6666" max="6666" width="14.7109375" style="419" customWidth="1"/>
    <col min="6667" max="6667" width="14.5703125" style="419" customWidth="1"/>
    <col min="6668" max="6669" width="14.140625" style="419" customWidth="1"/>
    <col min="6670" max="6670" width="15.28515625" style="419" customWidth="1"/>
    <col min="6671" max="6671" width="15.85546875" style="419" customWidth="1"/>
    <col min="6672" max="6912" width="9.140625" style="419"/>
    <col min="6913" max="6913" width="25.7109375" style="419" customWidth="1"/>
    <col min="6914" max="6914" width="22.85546875" style="419" customWidth="1"/>
    <col min="6915" max="6915" width="9.140625" style="419"/>
    <col min="6916" max="6916" width="16" style="419" customWidth="1"/>
    <col min="6917" max="6917" width="14.5703125" style="419" customWidth="1"/>
    <col min="6918" max="6918" width="14.85546875" style="419" customWidth="1"/>
    <col min="6919" max="6919" width="15" style="419" customWidth="1"/>
    <col min="6920" max="6920" width="14.42578125" style="419" customWidth="1"/>
    <col min="6921" max="6921" width="13.7109375" style="419" customWidth="1"/>
    <col min="6922" max="6922" width="14.7109375" style="419" customWidth="1"/>
    <col min="6923" max="6923" width="14.5703125" style="419" customWidth="1"/>
    <col min="6924" max="6925" width="14.140625" style="419" customWidth="1"/>
    <col min="6926" max="6926" width="15.28515625" style="419" customWidth="1"/>
    <col min="6927" max="6927" width="15.85546875" style="419" customWidth="1"/>
    <col min="6928" max="7168" width="9.140625" style="419"/>
    <col min="7169" max="7169" width="25.7109375" style="419" customWidth="1"/>
    <col min="7170" max="7170" width="22.85546875" style="419" customWidth="1"/>
    <col min="7171" max="7171" width="9.140625" style="419"/>
    <col min="7172" max="7172" width="16" style="419" customWidth="1"/>
    <col min="7173" max="7173" width="14.5703125" style="419" customWidth="1"/>
    <col min="7174" max="7174" width="14.85546875" style="419" customWidth="1"/>
    <col min="7175" max="7175" width="15" style="419" customWidth="1"/>
    <col min="7176" max="7176" width="14.42578125" style="419" customWidth="1"/>
    <col min="7177" max="7177" width="13.7109375" style="419" customWidth="1"/>
    <col min="7178" max="7178" width="14.7109375" style="419" customWidth="1"/>
    <col min="7179" max="7179" width="14.5703125" style="419" customWidth="1"/>
    <col min="7180" max="7181" width="14.140625" style="419" customWidth="1"/>
    <col min="7182" max="7182" width="15.28515625" style="419" customWidth="1"/>
    <col min="7183" max="7183" width="15.85546875" style="419" customWidth="1"/>
    <col min="7184" max="7424" width="9.140625" style="419"/>
    <col min="7425" max="7425" width="25.7109375" style="419" customWidth="1"/>
    <col min="7426" max="7426" width="22.85546875" style="419" customWidth="1"/>
    <col min="7427" max="7427" width="9.140625" style="419"/>
    <col min="7428" max="7428" width="16" style="419" customWidth="1"/>
    <col min="7429" max="7429" width="14.5703125" style="419" customWidth="1"/>
    <col min="7430" max="7430" width="14.85546875" style="419" customWidth="1"/>
    <col min="7431" max="7431" width="15" style="419" customWidth="1"/>
    <col min="7432" max="7432" width="14.42578125" style="419" customWidth="1"/>
    <col min="7433" max="7433" width="13.7109375" style="419" customWidth="1"/>
    <col min="7434" max="7434" width="14.7109375" style="419" customWidth="1"/>
    <col min="7435" max="7435" width="14.5703125" style="419" customWidth="1"/>
    <col min="7436" max="7437" width="14.140625" style="419" customWidth="1"/>
    <col min="7438" max="7438" width="15.28515625" style="419" customWidth="1"/>
    <col min="7439" max="7439" width="15.85546875" style="419" customWidth="1"/>
    <col min="7440" max="7680" width="9.140625" style="419"/>
    <col min="7681" max="7681" width="25.7109375" style="419" customWidth="1"/>
    <col min="7682" max="7682" width="22.85546875" style="419" customWidth="1"/>
    <col min="7683" max="7683" width="9.140625" style="419"/>
    <col min="7684" max="7684" width="16" style="419" customWidth="1"/>
    <col min="7685" max="7685" width="14.5703125" style="419" customWidth="1"/>
    <col min="7686" max="7686" width="14.85546875" style="419" customWidth="1"/>
    <col min="7687" max="7687" width="15" style="419" customWidth="1"/>
    <col min="7688" max="7688" width="14.42578125" style="419" customWidth="1"/>
    <col min="7689" max="7689" width="13.7109375" style="419" customWidth="1"/>
    <col min="7690" max="7690" width="14.7109375" style="419" customWidth="1"/>
    <col min="7691" max="7691" width="14.5703125" style="419" customWidth="1"/>
    <col min="7692" max="7693" width="14.140625" style="419" customWidth="1"/>
    <col min="7694" max="7694" width="15.28515625" style="419" customWidth="1"/>
    <col min="7695" max="7695" width="15.85546875" style="419" customWidth="1"/>
    <col min="7696" max="7936" width="9.140625" style="419"/>
    <col min="7937" max="7937" width="25.7109375" style="419" customWidth="1"/>
    <col min="7938" max="7938" width="22.85546875" style="419" customWidth="1"/>
    <col min="7939" max="7939" width="9.140625" style="419"/>
    <col min="7940" max="7940" width="16" style="419" customWidth="1"/>
    <col min="7941" max="7941" width="14.5703125" style="419" customWidth="1"/>
    <col min="7942" max="7942" width="14.85546875" style="419" customWidth="1"/>
    <col min="7943" max="7943" width="15" style="419" customWidth="1"/>
    <col min="7944" max="7944" width="14.42578125" style="419" customWidth="1"/>
    <col min="7945" max="7945" width="13.7109375" style="419" customWidth="1"/>
    <col min="7946" max="7946" width="14.7109375" style="419" customWidth="1"/>
    <col min="7947" max="7947" width="14.5703125" style="419" customWidth="1"/>
    <col min="7948" max="7949" width="14.140625" style="419" customWidth="1"/>
    <col min="7950" max="7950" width="15.28515625" style="419" customWidth="1"/>
    <col min="7951" max="7951" width="15.85546875" style="419" customWidth="1"/>
    <col min="7952" max="8192" width="9.140625" style="419"/>
    <col min="8193" max="8193" width="25.7109375" style="419" customWidth="1"/>
    <col min="8194" max="8194" width="22.85546875" style="419" customWidth="1"/>
    <col min="8195" max="8195" width="9.140625" style="419"/>
    <col min="8196" max="8196" width="16" style="419" customWidth="1"/>
    <col min="8197" max="8197" width="14.5703125" style="419" customWidth="1"/>
    <col min="8198" max="8198" width="14.85546875" style="419" customWidth="1"/>
    <col min="8199" max="8199" width="15" style="419" customWidth="1"/>
    <col min="8200" max="8200" width="14.42578125" style="419" customWidth="1"/>
    <col min="8201" max="8201" width="13.7109375" style="419" customWidth="1"/>
    <col min="8202" max="8202" width="14.7109375" style="419" customWidth="1"/>
    <col min="8203" max="8203" width="14.5703125" style="419" customWidth="1"/>
    <col min="8204" max="8205" width="14.140625" style="419" customWidth="1"/>
    <col min="8206" max="8206" width="15.28515625" style="419" customWidth="1"/>
    <col min="8207" max="8207" width="15.85546875" style="419" customWidth="1"/>
    <col min="8208" max="8448" width="9.140625" style="419"/>
    <col min="8449" max="8449" width="25.7109375" style="419" customWidth="1"/>
    <col min="8450" max="8450" width="22.85546875" style="419" customWidth="1"/>
    <col min="8451" max="8451" width="9.140625" style="419"/>
    <col min="8452" max="8452" width="16" style="419" customWidth="1"/>
    <col min="8453" max="8453" width="14.5703125" style="419" customWidth="1"/>
    <col min="8454" max="8454" width="14.85546875" style="419" customWidth="1"/>
    <col min="8455" max="8455" width="15" style="419" customWidth="1"/>
    <col min="8456" max="8456" width="14.42578125" style="419" customWidth="1"/>
    <col min="8457" max="8457" width="13.7109375" style="419" customWidth="1"/>
    <col min="8458" max="8458" width="14.7109375" style="419" customWidth="1"/>
    <col min="8459" max="8459" width="14.5703125" style="419" customWidth="1"/>
    <col min="8460" max="8461" width="14.140625" style="419" customWidth="1"/>
    <col min="8462" max="8462" width="15.28515625" style="419" customWidth="1"/>
    <col min="8463" max="8463" width="15.85546875" style="419" customWidth="1"/>
    <col min="8464" max="8704" width="9.140625" style="419"/>
    <col min="8705" max="8705" width="25.7109375" style="419" customWidth="1"/>
    <col min="8706" max="8706" width="22.85546875" style="419" customWidth="1"/>
    <col min="8707" max="8707" width="9.140625" style="419"/>
    <col min="8708" max="8708" width="16" style="419" customWidth="1"/>
    <col min="8709" max="8709" width="14.5703125" style="419" customWidth="1"/>
    <col min="8710" max="8710" width="14.85546875" style="419" customWidth="1"/>
    <col min="8711" max="8711" width="15" style="419" customWidth="1"/>
    <col min="8712" max="8712" width="14.42578125" style="419" customWidth="1"/>
    <col min="8713" max="8713" width="13.7109375" style="419" customWidth="1"/>
    <col min="8714" max="8714" width="14.7109375" style="419" customWidth="1"/>
    <col min="8715" max="8715" width="14.5703125" style="419" customWidth="1"/>
    <col min="8716" max="8717" width="14.140625" style="419" customWidth="1"/>
    <col min="8718" max="8718" width="15.28515625" style="419" customWidth="1"/>
    <col min="8719" max="8719" width="15.85546875" style="419" customWidth="1"/>
    <col min="8720" max="8960" width="9.140625" style="419"/>
    <col min="8961" max="8961" width="25.7109375" style="419" customWidth="1"/>
    <col min="8962" max="8962" width="22.85546875" style="419" customWidth="1"/>
    <col min="8963" max="8963" width="9.140625" style="419"/>
    <col min="8964" max="8964" width="16" style="419" customWidth="1"/>
    <col min="8965" max="8965" width="14.5703125" style="419" customWidth="1"/>
    <col min="8966" max="8966" width="14.85546875" style="419" customWidth="1"/>
    <col min="8967" max="8967" width="15" style="419" customWidth="1"/>
    <col min="8968" max="8968" width="14.42578125" style="419" customWidth="1"/>
    <col min="8969" max="8969" width="13.7109375" style="419" customWidth="1"/>
    <col min="8970" max="8970" width="14.7109375" style="419" customWidth="1"/>
    <col min="8971" max="8971" width="14.5703125" style="419" customWidth="1"/>
    <col min="8972" max="8973" width="14.140625" style="419" customWidth="1"/>
    <col min="8974" max="8974" width="15.28515625" style="419" customWidth="1"/>
    <col min="8975" max="8975" width="15.85546875" style="419" customWidth="1"/>
    <col min="8976" max="9216" width="9.140625" style="419"/>
    <col min="9217" max="9217" width="25.7109375" style="419" customWidth="1"/>
    <col min="9218" max="9218" width="22.85546875" style="419" customWidth="1"/>
    <col min="9219" max="9219" width="9.140625" style="419"/>
    <col min="9220" max="9220" width="16" style="419" customWidth="1"/>
    <col min="9221" max="9221" width="14.5703125" style="419" customWidth="1"/>
    <col min="9222" max="9222" width="14.85546875" style="419" customWidth="1"/>
    <col min="9223" max="9223" width="15" style="419" customWidth="1"/>
    <col min="9224" max="9224" width="14.42578125" style="419" customWidth="1"/>
    <col min="9225" max="9225" width="13.7109375" style="419" customWidth="1"/>
    <col min="9226" max="9226" width="14.7109375" style="419" customWidth="1"/>
    <col min="9227" max="9227" width="14.5703125" style="419" customWidth="1"/>
    <col min="9228" max="9229" width="14.140625" style="419" customWidth="1"/>
    <col min="9230" max="9230" width="15.28515625" style="419" customWidth="1"/>
    <col min="9231" max="9231" width="15.85546875" style="419" customWidth="1"/>
    <col min="9232" max="9472" width="9.140625" style="419"/>
    <col min="9473" max="9473" width="25.7109375" style="419" customWidth="1"/>
    <col min="9474" max="9474" width="22.85546875" style="419" customWidth="1"/>
    <col min="9475" max="9475" width="9.140625" style="419"/>
    <col min="9476" max="9476" width="16" style="419" customWidth="1"/>
    <col min="9477" max="9477" width="14.5703125" style="419" customWidth="1"/>
    <col min="9478" max="9478" width="14.85546875" style="419" customWidth="1"/>
    <col min="9479" max="9479" width="15" style="419" customWidth="1"/>
    <col min="9480" max="9480" width="14.42578125" style="419" customWidth="1"/>
    <col min="9481" max="9481" width="13.7109375" style="419" customWidth="1"/>
    <col min="9482" max="9482" width="14.7109375" style="419" customWidth="1"/>
    <col min="9483" max="9483" width="14.5703125" style="419" customWidth="1"/>
    <col min="9484" max="9485" width="14.140625" style="419" customWidth="1"/>
    <col min="9486" max="9486" width="15.28515625" style="419" customWidth="1"/>
    <col min="9487" max="9487" width="15.85546875" style="419" customWidth="1"/>
    <col min="9488" max="9728" width="9.140625" style="419"/>
    <col min="9729" max="9729" width="25.7109375" style="419" customWidth="1"/>
    <col min="9730" max="9730" width="22.85546875" style="419" customWidth="1"/>
    <col min="9731" max="9731" width="9.140625" style="419"/>
    <col min="9732" max="9732" width="16" style="419" customWidth="1"/>
    <col min="9733" max="9733" width="14.5703125" style="419" customWidth="1"/>
    <col min="9734" max="9734" width="14.85546875" style="419" customWidth="1"/>
    <col min="9735" max="9735" width="15" style="419" customWidth="1"/>
    <col min="9736" max="9736" width="14.42578125" style="419" customWidth="1"/>
    <col min="9737" max="9737" width="13.7109375" style="419" customWidth="1"/>
    <col min="9738" max="9738" width="14.7109375" style="419" customWidth="1"/>
    <col min="9739" max="9739" width="14.5703125" style="419" customWidth="1"/>
    <col min="9740" max="9741" width="14.140625" style="419" customWidth="1"/>
    <col min="9742" max="9742" width="15.28515625" style="419" customWidth="1"/>
    <col min="9743" max="9743" width="15.85546875" style="419" customWidth="1"/>
    <col min="9744" max="9984" width="9.140625" style="419"/>
    <col min="9985" max="9985" width="25.7109375" style="419" customWidth="1"/>
    <col min="9986" max="9986" width="22.85546875" style="419" customWidth="1"/>
    <col min="9987" max="9987" width="9.140625" style="419"/>
    <col min="9988" max="9988" width="16" style="419" customWidth="1"/>
    <col min="9989" max="9989" width="14.5703125" style="419" customWidth="1"/>
    <col min="9990" max="9990" width="14.85546875" style="419" customWidth="1"/>
    <col min="9991" max="9991" width="15" style="419" customWidth="1"/>
    <col min="9992" max="9992" width="14.42578125" style="419" customWidth="1"/>
    <col min="9993" max="9993" width="13.7109375" style="419" customWidth="1"/>
    <col min="9994" max="9994" width="14.7109375" style="419" customWidth="1"/>
    <col min="9995" max="9995" width="14.5703125" style="419" customWidth="1"/>
    <col min="9996" max="9997" width="14.140625" style="419" customWidth="1"/>
    <col min="9998" max="9998" width="15.28515625" style="419" customWidth="1"/>
    <col min="9999" max="9999" width="15.85546875" style="419" customWidth="1"/>
    <col min="10000" max="10240" width="9.140625" style="419"/>
    <col min="10241" max="10241" width="25.7109375" style="419" customWidth="1"/>
    <col min="10242" max="10242" width="22.85546875" style="419" customWidth="1"/>
    <col min="10243" max="10243" width="9.140625" style="419"/>
    <col min="10244" max="10244" width="16" style="419" customWidth="1"/>
    <col min="10245" max="10245" width="14.5703125" style="419" customWidth="1"/>
    <col min="10246" max="10246" width="14.85546875" style="419" customWidth="1"/>
    <col min="10247" max="10247" width="15" style="419" customWidth="1"/>
    <col min="10248" max="10248" width="14.42578125" style="419" customWidth="1"/>
    <col min="10249" max="10249" width="13.7109375" style="419" customWidth="1"/>
    <col min="10250" max="10250" width="14.7109375" style="419" customWidth="1"/>
    <col min="10251" max="10251" width="14.5703125" style="419" customWidth="1"/>
    <col min="10252" max="10253" width="14.140625" style="419" customWidth="1"/>
    <col min="10254" max="10254" width="15.28515625" style="419" customWidth="1"/>
    <col min="10255" max="10255" width="15.85546875" style="419" customWidth="1"/>
    <col min="10256" max="10496" width="9.140625" style="419"/>
    <col min="10497" max="10497" width="25.7109375" style="419" customWidth="1"/>
    <col min="10498" max="10498" width="22.85546875" style="419" customWidth="1"/>
    <col min="10499" max="10499" width="9.140625" style="419"/>
    <col min="10500" max="10500" width="16" style="419" customWidth="1"/>
    <col min="10501" max="10501" width="14.5703125" style="419" customWidth="1"/>
    <col min="10502" max="10502" width="14.85546875" style="419" customWidth="1"/>
    <col min="10503" max="10503" width="15" style="419" customWidth="1"/>
    <col min="10504" max="10504" width="14.42578125" style="419" customWidth="1"/>
    <col min="10505" max="10505" width="13.7109375" style="419" customWidth="1"/>
    <col min="10506" max="10506" width="14.7109375" style="419" customWidth="1"/>
    <col min="10507" max="10507" width="14.5703125" style="419" customWidth="1"/>
    <col min="10508" max="10509" width="14.140625" style="419" customWidth="1"/>
    <col min="10510" max="10510" width="15.28515625" style="419" customWidth="1"/>
    <col min="10511" max="10511" width="15.85546875" style="419" customWidth="1"/>
    <col min="10512" max="10752" width="9.140625" style="419"/>
    <col min="10753" max="10753" width="25.7109375" style="419" customWidth="1"/>
    <col min="10754" max="10754" width="22.85546875" style="419" customWidth="1"/>
    <col min="10755" max="10755" width="9.140625" style="419"/>
    <col min="10756" max="10756" width="16" style="419" customWidth="1"/>
    <col min="10757" max="10757" width="14.5703125" style="419" customWidth="1"/>
    <col min="10758" max="10758" width="14.85546875" style="419" customWidth="1"/>
    <col min="10759" max="10759" width="15" style="419" customWidth="1"/>
    <col min="10760" max="10760" width="14.42578125" style="419" customWidth="1"/>
    <col min="10761" max="10761" width="13.7109375" style="419" customWidth="1"/>
    <col min="10762" max="10762" width="14.7109375" style="419" customWidth="1"/>
    <col min="10763" max="10763" width="14.5703125" style="419" customWidth="1"/>
    <col min="10764" max="10765" width="14.140625" style="419" customWidth="1"/>
    <col min="10766" max="10766" width="15.28515625" style="419" customWidth="1"/>
    <col min="10767" max="10767" width="15.85546875" style="419" customWidth="1"/>
    <col min="10768" max="11008" width="9.140625" style="419"/>
    <col min="11009" max="11009" width="25.7109375" style="419" customWidth="1"/>
    <col min="11010" max="11010" width="22.85546875" style="419" customWidth="1"/>
    <col min="11011" max="11011" width="9.140625" style="419"/>
    <col min="11012" max="11012" width="16" style="419" customWidth="1"/>
    <col min="11013" max="11013" width="14.5703125" style="419" customWidth="1"/>
    <col min="11014" max="11014" width="14.85546875" style="419" customWidth="1"/>
    <col min="11015" max="11015" width="15" style="419" customWidth="1"/>
    <col min="11016" max="11016" width="14.42578125" style="419" customWidth="1"/>
    <col min="11017" max="11017" width="13.7109375" style="419" customWidth="1"/>
    <col min="11018" max="11018" width="14.7109375" style="419" customWidth="1"/>
    <col min="11019" max="11019" width="14.5703125" style="419" customWidth="1"/>
    <col min="11020" max="11021" width="14.140625" style="419" customWidth="1"/>
    <col min="11022" max="11022" width="15.28515625" style="419" customWidth="1"/>
    <col min="11023" max="11023" width="15.85546875" style="419" customWidth="1"/>
    <col min="11024" max="11264" width="9.140625" style="419"/>
    <col min="11265" max="11265" width="25.7109375" style="419" customWidth="1"/>
    <col min="11266" max="11266" width="22.85546875" style="419" customWidth="1"/>
    <col min="11267" max="11267" width="9.140625" style="419"/>
    <col min="11268" max="11268" width="16" style="419" customWidth="1"/>
    <col min="11269" max="11269" width="14.5703125" style="419" customWidth="1"/>
    <col min="11270" max="11270" width="14.85546875" style="419" customWidth="1"/>
    <col min="11271" max="11271" width="15" style="419" customWidth="1"/>
    <col min="11272" max="11272" width="14.42578125" style="419" customWidth="1"/>
    <col min="11273" max="11273" width="13.7109375" style="419" customWidth="1"/>
    <col min="11274" max="11274" width="14.7109375" style="419" customWidth="1"/>
    <col min="11275" max="11275" width="14.5703125" style="419" customWidth="1"/>
    <col min="11276" max="11277" width="14.140625" style="419" customWidth="1"/>
    <col min="11278" max="11278" width="15.28515625" style="419" customWidth="1"/>
    <col min="11279" max="11279" width="15.85546875" style="419" customWidth="1"/>
    <col min="11280" max="11520" width="9.140625" style="419"/>
    <col min="11521" max="11521" width="25.7109375" style="419" customWidth="1"/>
    <col min="11522" max="11522" width="22.85546875" style="419" customWidth="1"/>
    <col min="11523" max="11523" width="9.140625" style="419"/>
    <col min="11524" max="11524" width="16" style="419" customWidth="1"/>
    <col min="11525" max="11525" width="14.5703125" style="419" customWidth="1"/>
    <col min="11526" max="11526" width="14.85546875" style="419" customWidth="1"/>
    <col min="11527" max="11527" width="15" style="419" customWidth="1"/>
    <col min="11528" max="11528" width="14.42578125" style="419" customWidth="1"/>
    <col min="11529" max="11529" width="13.7109375" style="419" customWidth="1"/>
    <col min="11530" max="11530" width="14.7109375" style="419" customWidth="1"/>
    <col min="11531" max="11531" width="14.5703125" style="419" customWidth="1"/>
    <col min="11532" max="11533" width="14.140625" style="419" customWidth="1"/>
    <col min="11534" max="11534" width="15.28515625" style="419" customWidth="1"/>
    <col min="11535" max="11535" width="15.85546875" style="419" customWidth="1"/>
    <col min="11536" max="11776" width="9.140625" style="419"/>
    <col min="11777" max="11777" width="25.7109375" style="419" customWidth="1"/>
    <col min="11778" max="11778" width="22.85546875" style="419" customWidth="1"/>
    <col min="11779" max="11779" width="9.140625" style="419"/>
    <col min="11780" max="11780" width="16" style="419" customWidth="1"/>
    <col min="11781" max="11781" width="14.5703125" style="419" customWidth="1"/>
    <col min="11782" max="11782" width="14.85546875" style="419" customWidth="1"/>
    <col min="11783" max="11783" width="15" style="419" customWidth="1"/>
    <col min="11784" max="11784" width="14.42578125" style="419" customWidth="1"/>
    <col min="11785" max="11785" width="13.7109375" style="419" customWidth="1"/>
    <col min="11786" max="11786" width="14.7109375" style="419" customWidth="1"/>
    <col min="11787" max="11787" width="14.5703125" style="419" customWidth="1"/>
    <col min="11788" max="11789" width="14.140625" style="419" customWidth="1"/>
    <col min="11790" max="11790" width="15.28515625" style="419" customWidth="1"/>
    <col min="11791" max="11791" width="15.85546875" style="419" customWidth="1"/>
    <col min="11792" max="12032" width="9.140625" style="419"/>
    <col min="12033" max="12033" width="25.7109375" style="419" customWidth="1"/>
    <col min="12034" max="12034" width="22.85546875" style="419" customWidth="1"/>
    <col min="12035" max="12035" width="9.140625" style="419"/>
    <col min="12036" max="12036" width="16" style="419" customWidth="1"/>
    <col min="12037" max="12037" width="14.5703125" style="419" customWidth="1"/>
    <col min="12038" max="12038" width="14.85546875" style="419" customWidth="1"/>
    <col min="12039" max="12039" width="15" style="419" customWidth="1"/>
    <col min="12040" max="12040" width="14.42578125" style="419" customWidth="1"/>
    <col min="12041" max="12041" width="13.7109375" style="419" customWidth="1"/>
    <col min="12042" max="12042" width="14.7109375" style="419" customWidth="1"/>
    <col min="12043" max="12043" width="14.5703125" style="419" customWidth="1"/>
    <col min="12044" max="12045" width="14.140625" style="419" customWidth="1"/>
    <col min="12046" max="12046" width="15.28515625" style="419" customWidth="1"/>
    <col min="12047" max="12047" width="15.85546875" style="419" customWidth="1"/>
    <col min="12048" max="12288" width="9.140625" style="419"/>
    <col min="12289" max="12289" width="25.7109375" style="419" customWidth="1"/>
    <col min="12290" max="12290" width="22.85546875" style="419" customWidth="1"/>
    <col min="12291" max="12291" width="9.140625" style="419"/>
    <col min="12292" max="12292" width="16" style="419" customWidth="1"/>
    <col min="12293" max="12293" width="14.5703125" style="419" customWidth="1"/>
    <col min="12294" max="12294" width="14.85546875" style="419" customWidth="1"/>
    <col min="12295" max="12295" width="15" style="419" customWidth="1"/>
    <col min="12296" max="12296" width="14.42578125" style="419" customWidth="1"/>
    <col min="12297" max="12297" width="13.7109375" style="419" customWidth="1"/>
    <col min="12298" max="12298" width="14.7109375" style="419" customWidth="1"/>
    <col min="12299" max="12299" width="14.5703125" style="419" customWidth="1"/>
    <col min="12300" max="12301" width="14.140625" style="419" customWidth="1"/>
    <col min="12302" max="12302" width="15.28515625" style="419" customWidth="1"/>
    <col min="12303" max="12303" width="15.85546875" style="419" customWidth="1"/>
    <col min="12304" max="12544" width="9.140625" style="419"/>
    <col min="12545" max="12545" width="25.7109375" style="419" customWidth="1"/>
    <col min="12546" max="12546" width="22.85546875" style="419" customWidth="1"/>
    <col min="12547" max="12547" width="9.140625" style="419"/>
    <col min="12548" max="12548" width="16" style="419" customWidth="1"/>
    <col min="12549" max="12549" width="14.5703125" style="419" customWidth="1"/>
    <col min="12550" max="12550" width="14.85546875" style="419" customWidth="1"/>
    <col min="12551" max="12551" width="15" style="419" customWidth="1"/>
    <col min="12552" max="12552" width="14.42578125" style="419" customWidth="1"/>
    <col min="12553" max="12553" width="13.7109375" style="419" customWidth="1"/>
    <col min="12554" max="12554" width="14.7109375" style="419" customWidth="1"/>
    <col min="12555" max="12555" width="14.5703125" style="419" customWidth="1"/>
    <col min="12556" max="12557" width="14.140625" style="419" customWidth="1"/>
    <col min="12558" max="12558" width="15.28515625" style="419" customWidth="1"/>
    <col min="12559" max="12559" width="15.85546875" style="419" customWidth="1"/>
    <col min="12560" max="12800" width="9.140625" style="419"/>
    <col min="12801" max="12801" width="25.7109375" style="419" customWidth="1"/>
    <col min="12802" max="12802" width="22.85546875" style="419" customWidth="1"/>
    <col min="12803" max="12803" width="9.140625" style="419"/>
    <col min="12804" max="12804" width="16" style="419" customWidth="1"/>
    <col min="12805" max="12805" width="14.5703125" style="419" customWidth="1"/>
    <col min="12806" max="12806" width="14.85546875" style="419" customWidth="1"/>
    <col min="12807" max="12807" width="15" style="419" customWidth="1"/>
    <col min="12808" max="12808" width="14.42578125" style="419" customWidth="1"/>
    <col min="12809" max="12809" width="13.7109375" style="419" customWidth="1"/>
    <col min="12810" max="12810" width="14.7109375" style="419" customWidth="1"/>
    <col min="12811" max="12811" width="14.5703125" style="419" customWidth="1"/>
    <col min="12812" max="12813" width="14.140625" style="419" customWidth="1"/>
    <col min="12814" max="12814" width="15.28515625" style="419" customWidth="1"/>
    <col min="12815" max="12815" width="15.85546875" style="419" customWidth="1"/>
    <col min="12816" max="13056" width="9.140625" style="419"/>
    <col min="13057" max="13057" width="25.7109375" style="419" customWidth="1"/>
    <col min="13058" max="13058" width="22.85546875" style="419" customWidth="1"/>
    <col min="13059" max="13059" width="9.140625" style="419"/>
    <col min="13060" max="13060" width="16" style="419" customWidth="1"/>
    <col min="13061" max="13061" width="14.5703125" style="419" customWidth="1"/>
    <col min="13062" max="13062" width="14.85546875" style="419" customWidth="1"/>
    <col min="13063" max="13063" width="15" style="419" customWidth="1"/>
    <col min="13064" max="13064" width="14.42578125" style="419" customWidth="1"/>
    <col min="13065" max="13065" width="13.7109375" style="419" customWidth="1"/>
    <col min="13066" max="13066" width="14.7109375" style="419" customWidth="1"/>
    <col min="13067" max="13067" width="14.5703125" style="419" customWidth="1"/>
    <col min="13068" max="13069" width="14.140625" style="419" customWidth="1"/>
    <col min="13070" max="13070" width="15.28515625" style="419" customWidth="1"/>
    <col min="13071" max="13071" width="15.85546875" style="419" customWidth="1"/>
    <col min="13072" max="13312" width="9.140625" style="419"/>
    <col min="13313" max="13313" width="25.7109375" style="419" customWidth="1"/>
    <col min="13314" max="13314" width="22.85546875" style="419" customWidth="1"/>
    <col min="13315" max="13315" width="9.140625" style="419"/>
    <col min="13316" max="13316" width="16" style="419" customWidth="1"/>
    <col min="13317" max="13317" width="14.5703125" style="419" customWidth="1"/>
    <col min="13318" max="13318" width="14.85546875" style="419" customWidth="1"/>
    <col min="13319" max="13319" width="15" style="419" customWidth="1"/>
    <col min="13320" max="13320" width="14.42578125" style="419" customWidth="1"/>
    <col min="13321" max="13321" width="13.7109375" style="419" customWidth="1"/>
    <col min="13322" max="13322" width="14.7109375" style="419" customWidth="1"/>
    <col min="13323" max="13323" width="14.5703125" style="419" customWidth="1"/>
    <col min="13324" max="13325" width="14.140625" style="419" customWidth="1"/>
    <col min="13326" max="13326" width="15.28515625" style="419" customWidth="1"/>
    <col min="13327" max="13327" width="15.85546875" style="419" customWidth="1"/>
    <col min="13328" max="13568" width="9.140625" style="419"/>
    <col min="13569" max="13569" width="25.7109375" style="419" customWidth="1"/>
    <col min="13570" max="13570" width="22.85546875" style="419" customWidth="1"/>
    <col min="13571" max="13571" width="9.140625" style="419"/>
    <col min="13572" max="13572" width="16" style="419" customWidth="1"/>
    <col min="13573" max="13573" width="14.5703125" style="419" customWidth="1"/>
    <col min="13574" max="13574" width="14.85546875" style="419" customWidth="1"/>
    <col min="13575" max="13575" width="15" style="419" customWidth="1"/>
    <col min="13576" max="13576" width="14.42578125" style="419" customWidth="1"/>
    <col min="13577" max="13577" width="13.7109375" style="419" customWidth="1"/>
    <col min="13578" max="13578" width="14.7109375" style="419" customWidth="1"/>
    <col min="13579" max="13579" width="14.5703125" style="419" customWidth="1"/>
    <col min="13580" max="13581" width="14.140625" style="419" customWidth="1"/>
    <col min="13582" max="13582" width="15.28515625" style="419" customWidth="1"/>
    <col min="13583" max="13583" width="15.85546875" style="419" customWidth="1"/>
    <col min="13584" max="13824" width="9.140625" style="419"/>
    <col min="13825" max="13825" width="25.7109375" style="419" customWidth="1"/>
    <col min="13826" max="13826" width="22.85546875" style="419" customWidth="1"/>
    <col min="13827" max="13827" width="9.140625" style="419"/>
    <col min="13828" max="13828" width="16" style="419" customWidth="1"/>
    <col min="13829" max="13829" width="14.5703125" style="419" customWidth="1"/>
    <col min="13830" max="13830" width="14.85546875" style="419" customWidth="1"/>
    <col min="13831" max="13831" width="15" style="419" customWidth="1"/>
    <col min="13832" max="13832" width="14.42578125" style="419" customWidth="1"/>
    <col min="13833" max="13833" width="13.7109375" style="419" customWidth="1"/>
    <col min="13834" max="13834" width="14.7109375" style="419" customWidth="1"/>
    <col min="13835" max="13835" width="14.5703125" style="419" customWidth="1"/>
    <col min="13836" max="13837" width="14.140625" style="419" customWidth="1"/>
    <col min="13838" max="13838" width="15.28515625" style="419" customWidth="1"/>
    <col min="13839" max="13839" width="15.85546875" style="419" customWidth="1"/>
    <col min="13840" max="14080" width="9.140625" style="419"/>
    <col min="14081" max="14081" width="25.7109375" style="419" customWidth="1"/>
    <col min="14082" max="14082" width="22.85546875" style="419" customWidth="1"/>
    <col min="14083" max="14083" width="9.140625" style="419"/>
    <col min="14084" max="14084" width="16" style="419" customWidth="1"/>
    <col min="14085" max="14085" width="14.5703125" style="419" customWidth="1"/>
    <col min="14086" max="14086" width="14.85546875" style="419" customWidth="1"/>
    <col min="14087" max="14087" width="15" style="419" customWidth="1"/>
    <col min="14088" max="14088" width="14.42578125" style="419" customWidth="1"/>
    <col min="14089" max="14089" width="13.7109375" style="419" customWidth="1"/>
    <col min="14090" max="14090" width="14.7109375" style="419" customWidth="1"/>
    <col min="14091" max="14091" width="14.5703125" style="419" customWidth="1"/>
    <col min="14092" max="14093" width="14.140625" style="419" customWidth="1"/>
    <col min="14094" max="14094" width="15.28515625" style="419" customWidth="1"/>
    <col min="14095" max="14095" width="15.85546875" style="419" customWidth="1"/>
    <col min="14096" max="14336" width="9.140625" style="419"/>
    <col min="14337" max="14337" width="25.7109375" style="419" customWidth="1"/>
    <col min="14338" max="14338" width="22.85546875" style="419" customWidth="1"/>
    <col min="14339" max="14339" width="9.140625" style="419"/>
    <col min="14340" max="14340" width="16" style="419" customWidth="1"/>
    <col min="14341" max="14341" width="14.5703125" style="419" customWidth="1"/>
    <col min="14342" max="14342" width="14.85546875" style="419" customWidth="1"/>
    <col min="14343" max="14343" width="15" style="419" customWidth="1"/>
    <col min="14344" max="14344" width="14.42578125" style="419" customWidth="1"/>
    <col min="14345" max="14345" width="13.7109375" style="419" customWidth="1"/>
    <col min="14346" max="14346" width="14.7109375" style="419" customWidth="1"/>
    <col min="14347" max="14347" width="14.5703125" style="419" customWidth="1"/>
    <col min="14348" max="14349" width="14.140625" style="419" customWidth="1"/>
    <col min="14350" max="14350" width="15.28515625" style="419" customWidth="1"/>
    <col min="14351" max="14351" width="15.85546875" style="419" customWidth="1"/>
    <col min="14352" max="14592" width="9.140625" style="419"/>
    <col min="14593" max="14593" width="25.7109375" style="419" customWidth="1"/>
    <col min="14594" max="14594" width="22.85546875" style="419" customWidth="1"/>
    <col min="14595" max="14595" width="9.140625" style="419"/>
    <col min="14596" max="14596" width="16" style="419" customWidth="1"/>
    <col min="14597" max="14597" width="14.5703125" style="419" customWidth="1"/>
    <col min="14598" max="14598" width="14.85546875" style="419" customWidth="1"/>
    <col min="14599" max="14599" width="15" style="419" customWidth="1"/>
    <col min="14600" max="14600" width="14.42578125" style="419" customWidth="1"/>
    <col min="14601" max="14601" width="13.7109375" style="419" customWidth="1"/>
    <col min="14602" max="14602" width="14.7109375" style="419" customWidth="1"/>
    <col min="14603" max="14603" width="14.5703125" style="419" customWidth="1"/>
    <col min="14604" max="14605" width="14.140625" style="419" customWidth="1"/>
    <col min="14606" max="14606" width="15.28515625" style="419" customWidth="1"/>
    <col min="14607" max="14607" width="15.85546875" style="419" customWidth="1"/>
    <col min="14608" max="14848" width="9.140625" style="419"/>
    <col min="14849" max="14849" width="25.7109375" style="419" customWidth="1"/>
    <col min="14850" max="14850" width="22.85546875" style="419" customWidth="1"/>
    <col min="14851" max="14851" width="9.140625" style="419"/>
    <col min="14852" max="14852" width="16" style="419" customWidth="1"/>
    <col min="14853" max="14853" width="14.5703125" style="419" customWidth="1"/>
    <col min="14854" max="14854" width="14.85546875" style="419" customWidth="1"/>
    <col min="14855" max="14855" width="15" style="419" customWidth="1"/>
    <col min="14856" max="14856" width="14.42578125" style="419" customWidth="1"/>
    <col min="14857" max="14857" width="13.7109375" style="419" customWidth="1"/>
    <col min="14858" max="14858" width="14.7109375" style="419" customWidth="1"/>
    <col min="14859" max="14859" width="14.5703125" style="419" customWidth="1"/>
    <col min="14860" max="14861" width="14.140625" style="419" customWidth="1"/>
    <col min="14862" max="14862" width="15.28515625" style="419" customWidth="1"/>
    <col min="14863" max="14863" width="15.85546875" style="419" customWidth="1"/>
    <col min="14864" max="15104" width="9.140625" style="419"/>
    <col min="15105" max="15105" width="25.7109375" style="419" customWidth="1"/>
    <col min="15106" max="15106" width="22.85546875" style="419" customWidth="1"/>
    <col min="15107" max="15107" width="9.140625" style="419"/>
    <col min="15108" max="15108" width="16" style="419" customWidth="1"/>
    <col min="15109" max="15109" width="14.5703125" style="419" customWidth="1"/>
    <col min="15110" max="15110" width="14.85546875" style="419" customWidth="1"/>
    <col min="15111" max="15111" width="15" style="419" customWidth="1"/>
    <col min="15112" max="15112" width="14.42578125" style="419" customWidth="1"/>
    <col min="15113" max="15113" width="13.7109375" style="419" customWidth="1"/>
    <col min="15114" max="15114" width="14.7109375" style="419" customWidth="1"/>
    <col min="15115" max="15115" width="14.5703125" style="419" customWidth="1"/>
    <col min="15116" max="15117" width="14.140625" style="419" customWidth="1"/>
    <col min="15118" max="15118" width="15.28515625" style="419" customWidth="1"/>
    <col min="15119" max="15119" width="15.85546875" style="419" customWidth="1"/>
    <col min="15120" max="15360" width="9.140625" style="419"/>
    <col min="15361" max="15361" width="25.7109375" style="419" customWidth="1"/>
    <col min="15362" max="15362" width="22.85546875" style="419" customWidth="1"/>
    <col min="15363" max="15363" width="9.140625" style="419"/>
    <col min="15364" max="15364" width="16" style="419" customWidth="1"/>
    <col min="15365" max="15365" width="14.5703125" style="419" customWidth="1"/>
    <col min="15366" max="15366" width="14.85546875" style="419" customWidth="1"/>
    <col min="15367" max="15367" width="15" style="419" customWidth="1"/>
    <col min="15368" max="15368" width="14.42578125" style="419" customWidth="1"/>
    <col min="15369" max="15369" width="13.7109375" style="419" customWidth="1"/>
    <col min="15370" max="15370" width="14.7109375" style="419" customWidth="1"/>
    <col min="15371" max="15371" width="14.5703125" style="419" customWidth="1"/>
    <col min="15372" max="15373" width="14.140625" style="419" customWidth="1"/>
    <col min="15374" max="15374" width="15.28515625" style="419" customWidth="1"/>
    <col min="15375" max="15375" width="15.85546875" style="419" customWidth="1"/>
    <col min="15376" max="15616" width="9.140625" style="419"/>
    <col min="15617" max="15617" width="25.7109375" style="419" customWidth="1"/>
    <col min="15618" max="15618" width="22.85546875" style="419" customWidth="1"/>
    <col min="15619" max="15619" width="9.140625" style="419"/>
    <col min="15620" max="15620" width="16" style="419" customWidth="1"/>
    <col min="15621" max="15621" width="14.5703125" style="419" customWidth="1"/>
    <col min="15622" max="15622" width="14.85546875" style="419" customWidth="1"/>
    <col min="15623" max="15623" width="15" style="419" customWidth="1"/>
    <col min="15624" max="15624" width="14.42578125" style="419" customWidth="1"/>
    <col min="15625" max="15625" width="13.7109375" style="419" customWidth="1"/>
    <col min="15626" max="15626" width="14.7109375" style="419" customWidth="1"/>
    <col min="15627" max="15627" width="14.5703125" style="419" customWidth="1"/>
    <col min="15628" max="15629" width="14.140625" style="419" customWidth="1"/>
    <col min="15630" max="15630" width="15.28515625" style="419" customWidth="1"/>
    <col min="15631" max="15631" width="15.85546875" style="419" customWidth="1"/>
    <col min="15632" max="15872" width="9.140625" style="419"/>
    <col min="15873" max="15873" width="25.7109375" style="419" customWidth="1"/>
    <col min="15874" max="15874" width="22.85546875" style="419" customWidth="1"/>
    <col min="15875" max="15875" width="9.140625" style="419"/>
    <col min="15876" max="15876" width="16" style="419" customWidth="1"/>
    <col min="15877" max="15877" width="14.5703125" style="419" customWidth="1"/>
    <col min="15878" max="15878" width="14.85546875" style="419" customWidth="1"/>
    <col min="15879" max="15879" width="15" style="419" customWidth="1"/>
    <col min="15880" max="15880" width="14.42578125" style="419" customWidth="1"/>
    <col min="15881" max="15881" width="13.7109375" style="419" customWidth="1"/>
    <col min="15882" max="15882" width="14.7109375" style="419" customWidth="1"/>
    <col min="15883" max="15883" width="14.5703125" style="419" customWidth="1"/>
    <col min="15884" max="15885" width="14.140625" style="419" customWidth="1"/>
    <col min="15886" max="15886" width="15.28515625" style="419" customWidth="1"/>
    <col min="15887" max="15887" width="15.85546875" style="419" customWidth="1"/>
    <col min="15888" max="16128" width="9.140625" style="419"/>
    <col min="16129" max="16129" width="25.7109375" style="419" customWidth="1"/>
    <col min="16130" max="16130" width="22.85546875" style="419" customWidth="1"/>
    <col min="16131" max="16131" width="9.140625" style="419"/>
    <col min="16132" max="16132" width="16" style="419" customWidth="1"/>
    <col min="16133" max="16133" width="14.5703125" style="419" customWidth="1"/>
    <col min="16134" max="16134" width="14.85546875" style="419" customWidth="1"/>
    <col min="16135" max="16135" width="15" style="419" customWidth="1"/>
    <col min="16136" max="16136" width="14.42578125" style="419" customWidth="1"/>
    <col min="16137" max="16137" width="13.7109375" style="419" customWidth="1"/>
    <col min="16138" max="16138" width="14.7109375" style="419" customWidth="1"/>
    <col min="16139" max="16139" width="14.5703125" style="419" customWidth="1"/>
    <col min="16140" max="16141" width="14.140625" style="419" customWidth="1"/>
    <col min="16142" max="16142" width="15.28515625" style="419" customWidth="1"/>
    <col min="16143" max="16143" width="15.85546875" style="419" customWidth="1"/>
    <col min="16144" max="16384" width="9.140625" style="419"/>
  </cols>
  <sheetData>
    <row r="1" spans="1:15" ht="18" customHeight="1">
      <c r="A1" s="638" t="s">
        <v>770</v>
      </c>
      <c r="B1" s="638"/>
      <c r="C1" s="638"/>
      <c r="D1" s="638"/>
      <c r="E1" s="638"/>
      <c r="F1" s="638"/>
      <c r="G1" s="638"/>
      <c r="H1" s="638"/>
      <c r="I1" s="638"/>
      <c r="J1" s="638"/>
      <c r="K1" s="638"/>
      <c r="L1" s="638"/>
    </row>
    <row r="2" spans="1:15" ht="18" customHeight="1">
      <c r="A2" s="638"/>
      <c r="B2" s="638"/>
      <c r="C2" s="638"/>
      <c r="D2" s="638"/>
      <c r="E2" s="638"/>
      <c r="F2" s="638"/>
      <c r="G2" s="638"/>
      <c r="H2" s="638"/>
      <c r="I2" s="638"/>
      <c r="J2" s="638"/>
      <c r="K2" s="638"/>
      <c r="L2" s="638"/>
    </row>
    <row r="3" spans="1:15" ht="17.25" thickBot="1">
      <c r="H3" s="419"/>
    </row>
    <row r="4" spans="1:15">
      <c r="A4" s="639" t="s">
        <v>771</v>
      </c>
      <c r="B4" s="641" t="s">
        <v>772</v>
      </c>
      <c r="C4" s="642"/>
      <c r="D4" s="645" t="s">
        <v>773</v>
      </c>
      <c r="E4" s="646"/>
      <c r="F4" s="646"/>
      <c r="G4" s="646"/>
      <c r="H4" s="646"/>
      <c r="I4" s="646"/>
      <c r="J4" s="646"/>
      <c r="K4" s="646"/>
      <c r="L4" s="646"/>
      <c r="M4" s="646"/>
      <c r="N4" s="646"/>
      <c r="O4" s="647"/>
    </row>
    <row r="5" spans="1:15">
      <c r="A5" s="640"/>
      <c r="B5" s="643"/>
      <c r="C5" s="644"/>
      <c r="D5" s="420" t="s">
        <v>925</v>
      </c>
      <c r="E5" s="420" t="s">
        <v>926</v>
      </c>
      <c r="F5" s="420" t="s">
        <v>927</v>
      </c>
      <c r="G5" s="465" t="s">
        <v>928</v>
      </c>
      <c r="H5" s="420" t="s">
        <v>929</v>
      </c>
      <c r="I5" s="420" t="s">
        <v>930</v>
      </c>
      <c r="J5" s="420" t="s">
        <v>931</v>
      </c>
      <c r="K5" s="420" t="s">
        <v>932</v>
      </c>
      <c r="L5" s="420" t="s">
        <v>933</v>
      </c>
      <c r="M5" s="466" t="s">
        <v>934</v>
      </c>
      <c r="N5" s="420" t="s">
        <v>935</v>
      </c>
      <c r="O5" s="420" t="s">
        <v>936</v>
      </c>
    </row>
    <row r="6" spans="1:15" ht="18" customHeight="1">
      <c r="A6" s="648" t="s">
        <v>774</v>
      </c>
      <c r="B6" s="651" t="s">
        <v>775</v>
      </c>
      <c r="C6" s="652"/>
      <c r="D6" s="655">
        <v>7.5</v>
      </c>
      <c r="E6" s="655">
        <v>8.5</v>
      </c>
      <c r="F6" s="655">
        <v>11.5</v>
      </c>
      <c r="G6" s="657">
        <v>13</v>
      </c>
      <c r="H6" s="655">
        <v>14.5</v>
      </c>
      <c r="I6" s="659">
        <v>17</v>
      </c>
      <c r="J6" s="659">
        <v>19.5</v>
      </c>
      <c r="K6" s="659">
        <v>22</v>
      </c>
      <c r="L6" s="659">
        <v>25</v>
      </c>
      <c r="M6" s="659">
        <v>27.5</v>
      </c>
      <c r="N6" s="659">
        <v>30</v>
      </c>
      <c r="O6" s="659">
        <v>33</v>
      </c>
    </row>
    <row r="7" spans="1:15">
      <c r="A7" s="649"/>
      <c r="B7" s="653"/>
      <c r="C7" s="654"/>
      <c r="D7" s="656"/>
      <c r="E7" s="656"/>
      <c r="F7" s="656"/>
      <c r="G7" s="658"/>
      <c r="H7" s="656"/>
      <c r="I7" s="655"/>
      <c r="J7" s="655"/>
      <c r="K7" s="655"/>
      <c r="L7" s="655"/>
      <c r="M7" s="655"/>
      <c r="N7" s="655"/>
      <c r="O7" s="655"/>
    </row>
    <row r="8" spans="1:15">
      <c r="A8" s="649"/>
      <c r="B8" s="660" t="s">
        <v>776</v>
      </c>
      <c r="C8" s="661"/>
      <c r="D8" s="420">
        <v>7.5</v>
      </c>
      <c r="E8" s="420">
        <v>8.5</v>
      </c>
      <c r="F8" s="420">
        <v>11.5</v>
      </c>
      <c r="G8" s="467"/>
      <c r="H8" s="420">
        <v>14.5</v>
      </c>
      <c r="I8" s="420">
        <v>17</v>
      </c>
      <c r="J8" s="420">
        <v>19.5</v>
      </c>
      <c r="K8" s="420">
        <v>22</v>
      </c>
      <c r="L8" s="421" t="s">
        <v>713</v>
      </c>
      <c r="M8" s="468" t="s">
        <v>713</v>
      </c>
      <c r="N8" s="469" t="s">
        <v>713</v>
      </c>
      <c r="O8" s="469" t="s">
        <v>713</v>
      </c>
    </row>
    <row r="9" spans="1:15" ht="17.25" thickBot="1">
      <c r="A9" s="650"/>
      <c r="B9" s="662" t="s">
        <v>777</v>
      </c>
      <c r="C9" s="663"/>
      <c r="D9" s="470">
        <v>7</v>
      </c>
      <c r="E9" s="470">
        <v>7.7</v>
      </c>
      <c r="F9" s="471" t="s">
        <v>713</v>
      </c>
      <c r="G9" s="467"/>
      <c r="H9" s="471" t="s">
        <v>713</v>
      </c>
      <c r="I9" s="471" t="s">
        <v>713</v>
      </c>
      <c r="J9" s="471" t="s">
        <v>713</v>
      </c>
      <c r="K9" s="472" t="s">
        <v>713</v>
      </c>
      <c r="L9" s="471" t="s">
        <v>713</v>
      </c>
      <c r="M9" s="473" t="s">
        <v>713</v>
      </c>
      <c r="N9" s="421" t="s">
        <v>713</v>
      </c>
      <c r="O9" s="421" t="s">
        <v>713</v>
      </c>
    </row>
    <row r="10" spans="1:15">
      <c r="A10" s="668" t="s">
        <v>778</v>
      </c>
      <c r="B10" s="670" t="s">
        <v>779</v>
      </c>
      <c r="C10" s="671"/>
      <c r="D10" s="474">
        <v>0.66</v>
      </c>
      <c r="E10" s="474">
        <v>0.75</v>
      </c>
      <c r="F10" s="474">
        <v>0.9</v>
      </c>
      <c r="G10" s="475">
        <v>0.98</v>
      </c>
      <c r="H10" s="474">
        <v>1.05</v>
      </c>
      <c r="I10" s="474">
        <v>1.2</v>
      </c>
      <c r="J10" s="474">
        <v>1.3</v>
      </c>
      <c r="K10" s="420">
        <v>1.4</v>
      </c>
      <c r="L10" s="474">
        <v>1.45</v>
      </c>
      <c r="M10" s="476">
        <v>1.55</v>
      </c>
      <c r="N10" s="420">
        <v>1.6</v>
      </c>
      <c r="O10" s="420">
        <v>1.65</v>
      </c>
    </row>
    <row r="11" spans="1:15" ht="18" customHeight="1">
      <c r="A11" s="669"/>
      <c r="B11" s="672" t="s">
        <v>780</v>
      </c>
      <c r="C11" s="420" t="s">
        <v>528</v>
      </c>
      <c r="D11" s="420">
        <v>0.66</v>
      </c>
      <c r="E11" s="420">
        <v>0.75</v>
      </c>
      <c r="F11" s="420">
        <v>0.9</v>
      </c>
      <c r="G11" s="467"/>
      <c r="H11" s="420">
        <v>1.05</v>
      </c>
      <c r="I11" s="420">
        <v>1.2</v>
      </c>
      <c r="J11" s="420">
        <v>1.3</v>
      </c>
      <c r="K11" s="420">
        <v>1.4</v>
      </c>
      <c r="L11" s="421" t="s">
        <v>713</v>
      </c>
      <c r="M11" s="468" t="s">
        <v>713</v>
      </c>
      <c r="N11" s="469" t="s">
        <v>713</v>
      </c>
      <c r="O11" s="469" t="s">
        <v>713</v>
      </c>
    </row>
    <row r="12" spans="1:15">
      <c r="A12" s="669"/>
      <c r="B12" s="672"/>
      <c r="C12" s="420" t="s">
        <v>640</v>
      </c>
      <c r="D12" s="420">
        <v>0.51</v>
      </c>
      <c r="E12" s="420">
        <v>0.64</v>
      </c>
      <c r="F12" s="420">
        <v>0.77</v>
      </c>
      <c r="G12" s="467"/>
      <c r="H12" s="420">
        <v>0.9</v>
      </c>
      <c r="I12" s="420">
        <v>1</v>
      </c>
      <c r="J12" s="421" t="s">
        <v>713</v>
      </c>
      <c r="K12" s="421" t="s">
        <v>713</v>
      </c>
      <c r="L12" s="421" t="s">
        <v>713</v>
      </c>
      <c r="M12" s="468" t="s">
        <v>713</v>
      </c>
      <c r="N12" s="421" t="s">
        <v>713</v>
      </c>
      <c r="O12" s="421" t="s">
        <v>713</v>
      </c>
    </row>
    <row r="13" spans="1:15">
      <c r="A13" s="669"/>
      <c r="B13" s="672"/>
      <c r="C13" s="420" t="s">
        <v>616</v>
      </c>
      <c r="D13" s="421" t="s">
        <v>713</v>
      </c>
      <c r="E13" s="420">
        <v>0.75</v>
      </c>
      <c r="F13" s="420">
        <v>0.9</v>
      </c>
      <c r="G13" s="467"/>
      <c r="H13" s="420">
        <v>1.05</v>
      </c>
      <c r="I13" s="420">
        <v>1.2</v>
      </c>
      <c r="J13" s="420">
        <v>1.3</v>
      </c>
      <c r="K13" s="420">
        <v>1.4</v>
      </c>
      <c r="L13" s="420">
        <v>1.45</v>
      </c>
      <c r="M13" s="466">
        <v>1.55</v>
      </c>
      <c r="N13" s="420">
        <v>1.6</v>
      </c>
      <c r="O13" s="420">
        <v>1.65</v>
      </c>
    </row>
    <row r="14" spans="1:15">
      <c r="A14" s="669"/>
      <c r="B14" s="672" t="s">
        <v>781</v>
      </c>
      <c r="C14" s="420" t="s">
        <v>782</v>
      </c>
      <c r="D14" s="420">
        <v>0.66</v>
      </c>
      <c r="E14" s="420">
        <v>0.75</v>
      </c>
      <c r="F14" s="420">
        <v>0.9</v>
      </c>
      <c r="G14" s="467"/>
      <c r="H14" s="420">
        <v>1.05</v>
      </c>
      <c r="I14" s="420">
        <v>1.2</v>
      </c>
      <c r="J14" s="420">
        <v>1.3</v>
      </c>
      <c r="K14" s="420">
        <v>1.4</v>
      </c>
      <c r="L14" s="421" t="s">
        <v>713</v>
      </c>
      <c r="M14" s="468" t="s">
        <v>713</v>
      </c>
      <c r="N14" s="469" t="s">
        <v>713</v>
      </c>
      <c r="O14" s="469" t="s">
        <v>713</v>
      </c>
    </row>
    <row r="15" spans="1:15">
      <c r="A15" s="669"/>
      <c r="B15" s="672"/>
      <c r="C15" s="420" t="s">
        <v>783</v>
      </c>
      <c r="D15" s="420">
        <v>0.66</v>
      </c>
      <c r="E15" s="420">
        <v>0.74</v>
      </c>
      <c r="F15" s="420">
        <v>0.8</v>
      </c>
      <c r="G15" s="467"/>
      <c r="H15" s="420">
        <v>0.9</v>
      </c>
      <c r="I15" s="420">
        <v>1</v>
      </c>
      <c r="J15" s="420">
        <v>1.1000000000000001</v>
      </c>
      <c r="K15" s="421">
        <v>1.2</v>
      </c>
      <c r="L15" s="421" t="s">
        <v>713</v>
      </c>
      <c r="M15" s="468" t="s">
        <v>713</v>
      </c>
      <c r="N15" s="469" t="s">
        <v>713</v>
      </c>
      <c r="O15" s="421" t="s">
        <v>713</v>
      </c>
    </row>
    <row r="16" spans="1:15">
      <c r="A16" s="669"/>
      <c r="B16" s="679" t="s">
        <v>777</v>
      </c>
      <c r="C16" s="659"/>
      <c r="D16" s="477">
        <v>0.44</v>
      </c>
      <c r="E16" s="477">
        <v>0.46</v>
      </c>
      <c r="F16" s="472" t="s">
        <v>713</v>
      </c>
      <c r="G16" s="478"/>
      <c r="H16" s="472" t="s">
        <v>713</v>
      </c>
      <c r="I16" s="472" t="s">
        <v>713</v>
      </c>
      <c r="J16" s="472" t="s">
        <v>713</v>
      </c>
      <c r="K16" s="421" t="s">
        <v>713</v>
      </c>
      <c r="L16" s="421" t="s">
        <v>713</v>
      </c>
      <c r="M16" s="421" t="s">
        <v>713</v>
      </c>
      <c r="N16" s="421" t="s">
        <v>713</v>
      </c>
      <c r="O16" s="421" t="s">
        <v>713</v>
      </c>
    </row>
    <row r="17" spans="1:15">
      <c r="A17" s="673" t="s">
        <v>784</v>
      </c>
      <c r="B17" s="675" t="s">
        <v>937</v>
      </c>
      <c r="C17" s="675"/>
      <c r="D17" s="675"/>
      <c r="E17" s="675"/>
      <c r="F17" s="675"/>
      <c r="G17" s="675"/>
      <c r="H17" s="675"/>
      <c r="I17" s="479"/>
      <c r="J17" s="479"/>
      <c r="O17" s="480"/>
    </row>
    <row r="18" spans="1:15" ht="18" customHeight="1">
      <c r="A18" s="674"/>
      <c r="B18" s="676" t="s">
        <v>938</v>
      </c>
      <c r="C18" s="676"/>
      <c r="D18" s="676"/>
      <c r="E18" s="676"/>
      <c r="F18" s="676"/>
      <c r="G18" s="676"/>
      <c r="H18" s="676"/>
      <c r="I18" s="676"/>
      <c r="J18" s="676"/>
      <c r="O18" s="480"/>
    </row>
    <row r="19" spans="1:15">
      <c r="A19" s="674"/>
      <c r="B19" s="676"/>
      <c r="C19" s="676"/>
      <c r="D19" s="676"/>
      <c r="E19" s="676"/>
      <c r="F19" s="676"/>
      <c r="G19" s="676"/>
      <c r="H19" s="676"/>
      <c r="I19" s="676"/>
      <c r="J19" s="676"/>
      <c r="O19" s="480"/>
    </row>
    <row r="20" spans="1:15">
      <c r="A20" s="674"/>
      <c r="B20" s="481" t="s">
        <v>939</v>
      </c>
      <c r="H20" s="419"/>
      <c r="O20" s="480"/>
    </row>
    <row r="21" spans="1:15">
      <c r="A21" s="674"/>
      <c r="B21" s="677" t="s">
        <v>940</v>
      </c>
      <c r="C21" s="677"/>
      <c r="D21" s="677"/>
      <c r="E21" s="677"/>
      <c r="F21" s="677"/>
      <c r="G21" s="677"/>
      <c r="H21" s="677"/>
      <c r="I21" s="677"/>
      <c r="J21" s="677"/>
      <c r="O21" s="480"/>
    </row>
    <row r="22" spans="1:15">
      <c r="A22" s="674"/>
      <c r="B22" s="677"/>
      <c r="C22" s="677"/>
      <c r="D22" s="677"/>
      <c r="E22" s="677"/>
      <c r="F22" s="677"/>
      <c r="G22" s="677"/>
      <c r="H22" s="677"/>
      <c r="I22" s="677"/>
      <c r="J22" s="677"/>
      <c r="O22" s="480"/>
    </row>
    <row r="23" spans="1:15">
      <c r="A23" s="674"/>
      <c r="B23" s="678" t="s">
        <v>941</v>
      </c>
      <c r="C23" s="678"/>
      <c r="D23" s="678"/>
      <c r="E23" s="678"/>
      <c r="F23" s="678"/>
      <c r="G23" s="678"/>
      <c r="H23" s="678"/>
      <c r="I23" s="678"/>
      <c r="J23" s="678"/>
      <c r="O23" s="480"/>
    </row>
    <row r="24" spans="1:15" ht="18" customHeight="1">
      <c r="A24" s="674"/>
      <c r="B24" s="419" t="s">
        <v>942</v>
      </c>
      <c r="H24" s="419"/>
      <c r="O24" s="480"/>
    </row>
    <row r="25" spans="1:15">
      <c r="A25" s="482"/>
      <c r="B25" s="483"/>
      <c r="C25" s="484"/>
      <c r="D25" s="485"/>
      <c r="E25" s="485" t="s">
        <v>785</v>
      </c>
      <c r="F25" s="484"/>
      <c r="G25" s="484"/>
      <c r="H25" s="479"/>
      <c r="I25" s="479"/>
      <c r="J25" s="479"/>
      <c r="K25" s="479"/>
      <c r="L25" s="479"/>
      <c r="M25" s="479"/>
      <c r="N25" s="479"/>
      <c r="O25" s="486"/>
    </row>
    <row r="26" spans="1:15" ht="18" customHeight="1">
      <c r="A26" s="487"/>
      <c r="B26" s="422"/>
      <c r="C26" s="488" t="s">
        <v>943</v>
      </c>
      <c r="D26" s="488"/>
      <c r="E26" s="489"/>
      <c r="F26" s="488"/>
      <c r="G26" s="488"/>
      <c r="H26" s="419"/>
      <c r="O26" s="480"/>
    </row>
    <row r="27" spans="1:15">
      <c r="A27" s="487"/>
      <c r="C27" s="490" t="s">
        <v>786</v>
      </c>
      <c r="D27" s="422"/>
      <c r="E27" s="422"/>
      <c r="H27" s="419"/>
      <c r="O27" s="480"/>
    </row>
    <row r="28" spans="1:15" ht="17.25" thickBot="1">
      <c r="A28" s="491"/>
      <c r="B28" s="492"/>
      <c r="C28" s="492"/>
      <c r="D28" s="492"/>
      <c r="E28" s="493"/>
      <c r="F28" s="493"/>
      <c r="G28" s="493"/>
      <c r="H28" s="493"/>
      <c r="I28" s="494"/>
      <c r="J28" s="494"/>
      <c r="K28" s="494"/>
      <c r="L28" s="494"/>
      <c r="M28" s="494"/>
      <c r="N28" s="494"/>
      <c r="O28" s="495"/>
    </row>
    <row r="29" spans="1:15">
      <c r="A29" s="638" t="s">
        <v>787</v>
      </c>
      <c r="B29" s="638"/>
      <c r="C29" s="638"/>
      <c r="D29" s="638"/>
      <c r="E29" s="638"/>
      <c r="F29" s="638"/>
      <c r="G29" s="638"/>
      <c r="H29" s="419"/>
    </row>
    <row r="30" spans="1:15">
      <c r="A30" s="638"/>
      <c r="B30" s="638"/>
      <c r="C30" s="638"/>
      <c r="D30" s="638"/>
      <c r="E30" s="638"/>
      <c r="F30" s="638"/>
      <c r="G30" s="638"/>
      <c r="H30" s="496"/>
      <c r="I30" s="496"/>
      <c r="J30" s="496"/>
    </row>
    <row r="31" spans="1:15">
      <c r="A31" s="496"/>
      <c r="B31" s="496"/>
      <c r="C31" s="496"/>
      <c r="D31" s="496"/>
      <c r="E31" s="496"/>
      <c r="F31" s="496"/>
      <c r="G31" s="496"/>
      <c r="H31" s="496"/>
      <c r="I31" s="496"/>
      <c r="J31" s="496"/>
    </row>
    <row r="32" spans="1:15">
      <c r="A32" s="656" t="s">
        <v>788</v>
      </c>
      <c r="B32" s="656"/>
      <c r="C32" s="656" t="s">
        <v>789</v>
      </c>
      <c r="D32" s="656"/>
      <c r="E32" s="656"/>
      <c r="F32" s="666" t="s">
        <v>790</v>
      </c>
      <c r="G32" s="667"/>
      <c r="H32" s="497"/>
    </row>
    <row r="33" spans="1:8">
      <c r="A33" s="656"/>
      <c r="B33" s="656"/>
      <c r="C33" s="666" t="s">
        <v>791</v>
      </c>
      <c r="D33" s="666" t="s">
        <v>792</v>
      </c>
      <c r="E33" s="666"/>
      <c r="F33" s="666"/>
      <c r="G33" s="667"/>
      <c r="H33" s="498"/>
    </row>
    <row r="34" spans="1:8">
      <c r="A34" s="656"/>
      <c r="B34" s="656"/>
      <c r="C34" s="666"/>
      <c r="D34" s="666"/>
      <c r="E34" s="666"/>
      <c r="F34" s="666"/>
      <c r="G34" s="667"/>
      <c r="H34" s="498"/>
    </row>
    <row r="35" spans="1:8">
      <c r="A35" s="499" t="s">
        <v>381</v>
      </c>
      <c r="B35" s="499" t="s">
        <v>386</v>
      </c>
      <c r="C35" s="500">
        <v>225</v>
      </c>
      <c r="D35" s="664">
        <v>175</v>
      </c>
      <c r="E35" s="664"/>
      <c r="F35" s="664">
        <v>225</v>
      </c>
      <c r="G35" s="665"/>
      <c r="H35" s="498"/>
    </row>
    <row r="36" spans="1:8">
      <c r="A36" s="499" t="s">
        <v>793</v>
      </c>
      <c r="B36" s="499" t="s">
        <v>387</v>
      </c>
      <c r="C36" s="500">
        <v>280</v>
      </c>
      <c r="D36" s="664">
        <v>225</v>
      </c>
      <c r="E36" s="664"/>
      <c r="F36" s="664">
        <v>280</v>
      </c>
      <c r="G36" s="665"/>
      <c r="H36" s="498"/>
    </row>
    <row r="37" spans="1:8">
      <c r="A37" s="499" t="s">
        <v>794</v>
      </c>
      <c r="B37" s="499" t="s">
        <v>795</v>
      </c>
      <c r="C37" s="500">
        <v>355</v>
      </c>
      <c r="D37" s="664" t="s">
        <v>796</v>
      </c>
      <c r="E37" s="664"/>
      <c r="F37" s="664">
        <v>355</v>
      </c>
      <c r="G37" s="665"/>
      <c r="H37" s="498"/>
    </row>
    <row r="38" spans="1:8" ht="36" customHeight="1">
      <c r="A38" s="501" t="s">
        <v>797</v>
      </c>
      <c r="B38" s="501" t="s">
        <v>798</v>
      </c>
      <c r="C38" s="477">
        <v>365</v>
      </c>
      <c r="D38" s="680" t="s">
        <v>799</v>
      </c>
      <c r="E38" s="681"/>
      <c r="F38" s="680">
        <v>365</v>
      </c>
      <c r="G38" s="681"/>
      <c r="H38" s="498"/>
    </row>
    <row r="39" spans="1:8">
      <c r="A39" s="502" t="s">
        <v>800</v>
      </c>
      <c r="B39" s="420"/>
      <c r="C39" s="500">
        <v>400</v>
      </c>
      <c r="D39" s="664">
        <v>320</v>
      </c>
      <c r="E39" s="664"/>
      <c r="F39" s="664">
        <v>400</v>
      </c>
      <c r="G39" s="665"/>
      <c r="H39" s="498"/>
    </row>
    <row r="40" spans="1:8">
      <c r="A40" s="499" t="s">
        <v>384</v>
      </c>
      <c r="B40" s="499" t="s">
        <v>389</v>
      </c>
      <c r="C40" s="500">
        <v>510</v>
      </c>
      <c r="D40" s="664">
        <v>405</v>
      </c>
      <c r="E40" s="664"/>
      <c r="F40" s="664" t="s">
        <v>801</v>
      </c>
      <c r="G40" s="665"/>
      <c r="H40" s="498"/>
    </row>
    <row r="41" spans="1:8">
      <c r="A41" s="499"/>
      <c r="B41" s="499" t="s">
        <v>738</v>
      </c>
      <c r="C41" s="500">
        <v>680</v>
      </c>
      <c r="D41" s="664">
        <v>545</v>
      </c>
      <c r="E41" s="664"/>
      <c r="F41" s="664" t="s">
        <v>802</v>
      </c>
      <c r="G41" s="665"/>
      <c r="H41" s="498"/>
    </row>
    <row r="42" spans="1:8">
      <c r="A42" s="499"/>
      <c r="B42" s="499" t="s">
        <v>739</v>
      </c>
      <c r="C42" s="500">
        <v>815</v>
      </c>
      <c r="D42" s="664">
        <v>650</v>
      </c>
      <c r="E42" s="664"/>
      <c r="F42" s="664" t="s">
        <v>802</v>
      </c>
      <c r="G42" s="665"/>
      <c r="H42" s="498"/>
    </row>
    <row r="43" spans="1:8">
      <c r="A43" s="656" t="s">
        <v>944</v>
      </c>
      <c r="B43" s="666" t="s">
        <v>803</v>
      </c>
      <c r="C43" s="656">
        <v>490</v>
      </c>
      <c r="D43" s="656">
        <v>390</v>
      </c>
      <c r="E43" s="656"/>
      <c r="F43" s="656">
        <v>200</v>
      </c>
      <c r="G43" s="682"/>
      <c r="H43" s="498"/>
    </row>
    <row r="44" spans="1:8" ht="18" customHeight="1">
      <c r="A44" s="656"/>
      <c r="B44" s="666"/>
      <c r="C44" s="656"/>
      <c r="D44" s="656"/>
      <c r="E44" s="656"/>
      <c r="F44" s="656"/>
      <c r="G44" s="682"/>
      <c r="H44" s="498"/>
    </row>
    <row r="45" spans="1:8" ht="18" customHeight="1">
      <c r="A45" s="656"/>
      <c r="B45" s="666" t="s">
        <v>804</v>
      </c>
      <c r="C45" s="656">
        <v>450</v>
      </c>
      <c r="D45" s="656">
        <v>360</v>
      </c>
      <c r="E45" s="656"/>
      <c r="F45" s="656">
        <v>200</v>
      </c>
      <c r="G45" s="682"/>
      <c r="H45" s="498"/>
    </row>
    <row r="46" spans="1:8">
      <c r="A46" s="656"/>
      <c r="B46" s="666"/>
      <c r="C46" s="656"/>
      <c r="D46" s="656"/>
      <c r="E46" s="656"/>
      <c r="F46" s="656"/>
      <c r="G46" s="682"/>
      <c r="H46" s="498"/>
    </row>
    <row r="47" spans="1:8">
      <c r="A47" s="503" t="s">
        <v>805</v>
      </c>
      <c r="B47" s="479"/>
      <c r="C47" s="479"/>
      <c r="D47" s="479"/>
      <c r="E47" s="479"/>
      <c r="F47" s="479"/>
      <c r="G47" s="504"/>
      <c r="H47" s="464"/>
    </row>
    <row r="48" spans="1:8">
      <c r="A48" s="497" t="s">
        <v>806</v>
      </c>
      <c r="G48" s="505"/>
      <c r="H48" s="419"/>
    </row>
    <row r="49" spans="1:9">
      <c r="A49" s="497" t="s">
        <v>807</v>
      </c>
      <c r="G49" s="505"/>
      <c r="H49" s="419"/>
    </row>
    <row r="50" spans="1:9">
      <c r="A50" s="497" t="s">
        <v>808</v>
      </c>
      <c r="G50" s="505"/>
      <c r="H50" s="419"/>
    </row>
    <row r="51" spans="1:9">
      <c r="A51" s="497" t="s">
        <v>809</v>
      </c>
      <c r="G51" s="505"/>
      <c r="H51" s="419"/>
    </row>
    <row r="52" spans="1:9">
      <c r="A52" s="497" t="s">
        <v>810</v>
      </c>
      <c r="G52" s="505"/>
      <c r="H52" s="419"/>
    </row>
    <row r="53" spans="1:9">
      <c r="A53" s="497" t="s">
        <v>811</v>
      </c>
      <c r="G53" s="505"/>
      <c r="H53" s="419"/>
    </row>
    <row r="54" spans="1:9">
      <c r="A54" s="497" t="s">
        <v>812</v>
      </c>
      <c r="G54" s="505"/>
      <c r="H54" s="419"/>
    </row>
    <row r="55" spans="1:9">
      <c r="A55" s="506"/>
      <c r="B55" s="507"/>
      <c r="C55" s="507"/>
      <c r="D55" s="507"/>
      <c r="E55" s="507"/>
      <c r="F55" s="507"/>
      <c r="G55" s="508"/>
      <c r="H55" s="464"/>
    </row>
    <row r="56" spans="1:9">
      <c r="A56" s="638" t="s">
        <v>813</v>
      </c>
      <c r="B56" s="638"/>
      <c r="C56" s="638"/>
      <c r="D56" s="638"/>
      <c r="E56" s="638"/>
      <c r="F56" s="638"/>
      <c r="G56" s="638"/>
      <c r="H56" s="638"/>
      <c r="I56" s="638"/>
    </row>
    <row r="57" spans="1:9">
      <c r="A57" s="684"/>
      <c r="B57" s="684"/>
      <c r="C57" s="684"/>
      <c r="D57" s="684"/>
      <c r="E57" s="684"/>
      <c r="F57" s="684"/>
      <c r="G57" s="684"/>
      <c r="H57" s="684"/>
      <c r="I57" s="684"/>
    </row>
    <row r="58" spans="1:9">
      <c r="A58" s="659" t="s">
        <v>814</v>
      </c>
      <c r="B58" s="682" t="s">
        <v>815</v>
      </c>
      <c r="C58" s="685"/>
      <c r="D58" s="685"/>
      <c r="E58" s="685"/>
      <c r="F58" s="685"/>
      <c r="G58" s="685"/>
      <c r="H58" s="685"/>
      <c r="I58" s="686"/>
    </row>
    <row r="59" spans="1:9">
      <c r="A59" s="655"/>
      <c r="B59" s="509">
        <v>5</v>
      </c>
      <c r="C59" s="509">
        <v>6</v>
      </c>
      <c r="D59" s="510" t="s">
        <v>816</v>
      </c>
      <c r="E59" s="509">
        <v>8</v>
      </c>
      <c r="F59" s="509" t="s">
        <v>817</v>
      </c>
      <c r="G59" s="509">
        <v>10</v>
      </c>
      <c r="H59" s="509" t="s">
        <v>818</v>
      </c>
      <c r="I59" s="509">
        <v>12</v>
      </c>
    </row>
    <row r="60" spans="1:9">
      <c r="A60" s="509">
        <v>70</v>
      </c>
      <c r="B60" s="420">
        <v>281</v>
      </c>
      <c r="C60" s="420">
        <v>404</v>
      </c>
      <c r="D60" s="420">
        <v>561</v>
      </c>
      <c r="E60" s="420">
        <v>719</v>
      </c>
      <c r="F60" s="420">
        <v>920</v>
      </c>
      <c r="G60" s="420">
        <v>1121</v>
      </c>
      <c r="H60" s="420">
        <v>1368</v>
      </c>
      <c r="I60" s="420">
        <v>1615</v>
      </c>
    </row>
    <row r="61" spans="1:9">
      <c r="A61" s="509">
        <f>A60+10</f>
        <v>80</v>
      </c>
      <c r="B61" s="420">
        <v>245</v>
      </c>
      <c r="C61" s="420">
        <v>354</v>
      </c>
      <c r="D61" s="420">
        <v>491</v>
      </c>
      <c r="E61" s="420">
        <v>629</v>
      </c>
      <c r="F61" s="420">
        <v>805</v>
      </c>
      <c r="G61" s="420">
        <v>981</v>
      </c>
      <c r="H61" s="420">
        <v>1197</v>
      </c>
      <c r="I61" s="420">
        <v>1413</v>
      </c>
    </row>
    <row r="62" spans="1:9">
      <c r="A62" s="509">
        <f t="shared" ref="A62:A73" si="0">A61+10</f>
        <v>90</v>
      </c>
      <c r="B62" s="420">
        <v>218</v>
      </c>
      <c r="C62" s="420">
        <v>314</v>
      </c>
      <c r="D62" s="420">
        <v>437</v>
      </c>
      <c r="E62" s="420">
        <v>559</v>
      </c>
      <c r="F62" s="420">
        <v>716</v>
      </c>
      <c r="G62" s="420">
        <v>872</v>
      </c>
      <c r="H62" s="420">
        <v>1064</v>
      </c>
      <c r="I62" s="420">
        <v>1256</v>
      </c>
    </row>
    <row r="63" spans="1:9">
      <c r="A63" s="509">
        <f t="shared" si="0"/>
        <v>100</v>
      </c>
      <c r="B63" s="420">
        <v>196</v>
      </c>
      <c r="C63" s="420">
        <v>283</v>
      </c>
      <c r="D63" s="420">
        <v>393</v>
      </c>
      <c r="E63" s="420">
        <v>503</v>
      </c>
      <c r="F63" s="420">
        <v>644</v>
      </c>
      <c r="G63" s="420">
        <v>785</v>
      </c>
      <c r="H63" s="420">
        <v>958</v>
      </c>
      <c r="I63" s="420">
        <v>1131</v>
      </c>
    </row>
    <row r="64" spans="1:9">
      <c r="A64" s="509">
        <f t="shared" si="0"/>
        <v>110</v>
      </c>
      <c r="B64" s="420">
        <v>178</v>
      </c>
      <c r="C64" s="420">
        <v>257</v>
      </c>
      <c r="D64" s="420">
        <v>357</v>
      </c>
      <c r="E64" s="420">
        <v>457</v>
      </c>
      <c r="F64" s="420">
        <v>585</v>
      </c>
      <c r="G64" s="420">
        <v>714</v>
      </c>
      <c r="H64" s="420">
        <v>871</v>
      </c>
      <c r="I64" s="420">
        <v>1028</v>
      </c>
    </row>
    <row r="65" spans="1:9">
      <c r="A65" s="509">
        <f t="shared" si="0"/>
        <v>120</v>
      </c>
      <c r="B65" s="420">
        <v>163</v>
      </c>
      <c r="C65" s="420">
        <v>236</v>
      </c>
      <c r="D65" s="420">
        <v>327</v>
      </c>
      <c r="E65" s="420">
        <v>419</v>
      </c>
      <c r="F65" s="420">
        <v>537</v>
      </c>
      <c r="G65" s="420">
        <v>654</v>
      </c>
      <c r="H65" s="420">
        <v>798</v>
      </c>
      <c r="I65" s="420">
        <v>942</v>
      </c>
    </row>
    <row r="66" spans="1:9">
      <c r="A66" s="509">
        <f t="shared" si="0"/>
        <v>130</v>
      </c>
      <c r="B66" s="420">
        <v>151</v>
      </c>
      <c r="C66" s="420">
        <v>218</v>
      </c>
      <c r="D66" s="420">
        <v>302</v>
      </c>
      <c r="E66" s="420">
        <v>387</v>
      </c>
      <c r="F66" s="420">
        <v>495</v>
      </c>
      <c r="G66" s="420">
        <v>604</v>
      </c>
      <c r="H66" s="420">
        <v>737</v>
      </c>
      <c r="I66" s="420">
        <v>870</v>
      </c>
    </row>
    <row r="67" spans="1:9">
      <c r="A67" s="509">
        <f t="shared" si="0"/>
        <v>140</v>
      </c>
      <c r="B67" s="420">
        <v>140</v>
      </c>
      <c r="C67" s="420">
        <v>202</v>
      </c>
      <c r="D67" s="420">
        <v>281</v>
      </c>
      <c r="E67" s="420">
        <v>359</v>
      </c>
      <c r="F67" s="420">
        <v>460</v>
      </c>
      <c r="G67" s="420">
        <v>561</v>
      </c>
      <c r="H67" s="420">
        <v>684</v>
      </c>
      <c r="I67" s="420">
        <v>807</v>
      </c>
    </row>
    <row r="68" spans="1:9">
      <c r="A68" s="509">
        <f t="shared" si="0"/>
        <v>150</v>
      </c>
      <c r="B68" s="420">
        <v>131</v>
      </c>
      <c r="C68" s="420">
        <v>189</v>
      </c>
      <c r="D68" s="420">
        <v>262</v>
      </c>
      <c r="E68" s="420">
        <v>335</v>
      </c>
      <c r="F68" s="420">
        <v>429</v>
      </c>
      <c r="G68" s="420">
        <v>523</v>
      </c>
      <c r="H68" s="420">
        <v>638</v>
      </c>
      <c r="I68" s="420">
        <v>754</v>
      </c>
    </row>
    <row r="69" spans="1:9">
      <c r="A69" s="509">
        <f t="shared" si="0"/>
        <v>160</v>
      </c>
      <c r="B69" s="420">
        <v>123</v>
      </c>
      <c r="C69" s="420">
        <v>177</v>
      </c>
      <c r="D69" s="420">
        <v>246</v>
      </c>
      <c r="E69" s="420">
        <v>314</v>
      </c>
      <c r="F69" s="420">
        <v>403</v>
      </c>
      <c r="G69" s="420">
        <v>491</v>
      </c>
      <c r="H69" s="420">
        <v>598</v>
      </c>
      <c r="I69" s="420">
        <v>706</v>
      </c>
    </row>
    <row r="70" spans="1:9">
      <c r="A70" s="509">
        <f>A69+10</f>
        <v>170</v>
      </c>
      <c r="B70" s="420">
        <v>115</v>
      </c>
      <c r="C70" s="420">
        <v>166</v>
      </c>
      <c r="D70" s="420">
        <v>231</v>
      </c>
      <c r="E70" s="420">
        <v>296</v>
      </c>
      <c r="F70" s="420">
        <v>379</v>
      </c>
      <c r="G70" s="420">
        <v>462</v>
      </c>
      <c r="H70" s="420">
        <v>563</v>
      </c>
      <c r="I70" s="420">
        <v>665</v>
      </c>
    </row>
    <row r="71" spans="1:9">
      <c r="A71" s="509">
        <f t="shared" si="0"/>
        <v>180</v>
      </c>
      <c r="B71" s="420">
        <v>109</v>
      </c>
      <c r="C71" s="420">
        <v>157</v>
      </c>
      <c r="D71" s="420">
        <v>218</v>
      </c>
      <c r="E71" s="420">
        <v>279</v>
      </c>
      <c r="F71" s="420">
        <v>358</v>
      </c>
      <c r="G71" s="420">
        <v>436</v>
      </c>
      <c r="H71" s="420">
        <v>532</v>
      </c>
      <c r="I71" s="420">
        <v>628</v>
      </c>
    </row>
    <row r="72" spans="1:9">
      <c r="A72" s="509">
        <f>A71+10</f>
        <v>190</v>
      </c>
      <c r="B72" s="420">
        <v>103</v>
      </c>
      <c r="C72" s="420">
        <v>149</v>
      </c>
      <c r="D72" s="420">
        <v>207</v>
      </c>
      <c r="E72" s="420">
        <v>265</v>
      </c>
      <c r="F72" s="420">
        <v>339</v>
      </c>
      <c r="G72" s="420">
        <v>413</v>
      </c>
      <c r="H72" s="420">
        <v>504</v>
      </c>
      <c r="I72" s="420">
        <v>595</v>
      </c>
    </row>
    <row r="73" spans="1:9">
      <c r="A73" s="509">
        <f t="shared" si="0"/>
        <v>200</v>
      </c>
      <c r="B73" s="420">
        <v>98</v>
      </c>
      <c r="C73" s="420">
        <v>141</v>
      </c>
      <c r="D73" s="420">
        <v>196</v>
      </c>
      <c r="E73" s="420">
        <v>250</v>
      </c>
      <c r="F73" s="420">
        <v>322</v>
      </c>
      <c r="G73" s="420">
        <v>392</v>
      </c>
      <c r="H73" s="420">
        <v>478</v>
      </c>
      <c r="I73" s="420">
        <v>565</v>
      </c>
    </row>
    <row r="74" spans="1:9">
      <c r="A74" s="687" t="s">
        <v>819</v>
      </c>
      <c r="B74" s="688"/>
      <c r="C74" s="688"/>
      <c r="D74" s="688"/>
      <c r="E74" s="688"/>
      <c r="F74" s="688"/>
      <c r="G74" s="688"/>
      <c r="H74" s="688"/>
      <c r="I74" s="689"/>
    </row>
    <row r="76" spans="1:9">
      <c r="A76" s="638" t="s">
        <v>820</v>
      </c>
      <c r="B76" s="638"/>
      <c r="C76" s="638"/>
      <c r="D76" s="638"/>
      <c r="E76" s="638"/>
      <c r="F76" s="638"/>
      <c r="G76" s="638"/>
      <c r="H76" s="638"/>
      <c r="I76" s="638"/>
    </row>
    <row r="77" spans="1:9">
      <c r="A77" s="638"/>
      <c r="B77" s="638"/>
      <c r="C77" s="638"/>
      <c r="D77" s="638"/>
      <c r="E77" s="638"/>
      <c r="F77" s="638"/>
      <c r="G77" s="638"/>
      <c r="H77" s="638"/>
      <c r="I77" s="638"/>
    </row>
    <row r="78" spans="1:9">
      <c r="H78" s="511"/>
    </row>
    <row r="79" spans="1:9">
      <c r="H79" s="512"/>
    </row>
    <row r="80" spans="1:9">
      <c r="H80" s="659" t="s">
        <v>727</v>
      </c>
    </row>
    <row r="81" spans="8:8">
      <c r="H81" s="655"/>
    </row>
    <row r="82" spans="8:8">
      <c r="H82" s="500" t="s">
        <v>821</v>
      </c>
    </row>
    <row r="83" spans="8:8">
      <c r="H83" s="659">
        <v>29</v>
      </c>
    </row>
    <row r="84" spans="8:8">
      <c r="H84" s="683"/>
    </row>
    <row r="85" spans="8:8">
      <c r="H85" s="655"/>
    </row>
    <row r="86" spans="8:8">
      <c r="H86" s="478"/>
    </row>
    <row r="87" spans="8:8">
      <c r="H87" s="478"/>
    </row>
    <row r="88" spans="8:8">
      <c r="H88" s="478"/>
    </row>
    <row r="89" spans="8:8">
      <c r="H89" s="478"/>
    </row>
    <row r="90" spans="8:8">
      <c r="H90" s="478"/>
    </row>
    <row r="91" spans="8:8">
      <c r="H91" s="478"/>
    </row>
    <row r="92" spans="8:8">
      <c r="H92" s="478"/>
    </row>
    <row r="93" spans="8:8">
      <c r="H93" s="478"/>
    </row>
    <row r="94" spans="8:8">
      <c r="H94" s="478"/>
    </row>
    <row r="95" spans="8:8">
      <c r="H95" s="478"/>
    </row>
    <row r="96" spans="8:8">
      <c r="H96" s="478"/>
    </row>
    <row r="97" spans="8:8">
      <c r="H97" s="478"/>
    </row>
    <row r="98" spans="8:8">
      <c r="H98" s="478"/>
    </row>
    <row r="99" spans="8:8">
      <c r="H99" s="478"/>
    </row>
    <row r="100" spans="8:8">
      <c r="H100" s="478"/>
    </row>
  </sheetData>
  <mergeCells count="68">
    <mergeCell ref="H80:H81"/>
    <mergeCell ref="H83:H85"/>
    <mergeCell ref="F45:G46"/>
    <mergeCell ref="A56:I57"/>
    <mergeCell ref="A58:A59"/>
    <mergeCell ref="B58:I58"/>
    <mergeCell ref="A74:I74"/>
    <mergeCell ref="A76:I77"/>
    <mergeCell ref="D41:E41"/>
    <mergeCell ref="F41:G41"/>
    <mergeCell ref="D42:E42"/>
    <mergeCell ref="F42:G42"/>
    <mergeCell ref="A43:A46"/>
    <mergeCell ref="B43:B44"/>
    <mergeCell ref="C43:C44"/>
    <mergeCell ref="D43:E44"/>
    <mergeCell ref="F43:G44"/>
    <mergeCell ref="B45:B46"/>
    <mergeCell ref="C45:C46"/>
    <mergeCell ref="D45:E46"/>
    <mergeCell ref="D38:E38"/>
    <mergeCell ref="F38:G38"/>
    <mergeCell ref="D39:E39"/>
    <mergeCell ref="F39:G39"/>
    <mergeCell ref="D40:E40"/>
    <mergeCell ref="F40:G40"/>
    <mergeCell ref="B16:C16"/>
    <mergeCell ref="D36:E36"/>
    <mergeCell ref="F36:G36"/>
    <mergeCell ref="D37:E37"/>
    <mergeCell ref="F37:G37"/>
    <mergeCell ref="A17:A24"/>
    <mergeCell ref="B17:H17"/>
    <mergeCell ref="B18:J19"/>
    <mergeCell ref="B21:J22"/>
    <mergeCell ref="B23:J23"/>
    <mergeCell ref="K6:K7"/>
    <mergeCell ref="L6:L7"/>
    <mergeCell ref="M6:M7"/>
    <mergeCell ref="I6:I7"/>
    <mergeCell ref="D35:E35"/>
    <mergeCell ref="F35:G35"/>
    <mergeCell ref="A29:G30"/>
    <mergeCell ref="A32:B34"/>
    <mergeCell ref="C32:E32"/>
    <mergeCell ref="F32:G34"/>
    <mergeCell ref="C33:C34"/>
    <mergeCell ref="D33:E34"/>
    <mergeCell ref="A10:A16"/>
    <mergeCell ref="B10:C10"/>
    <mergeCell ref="B11:B13"/>
    <mergeCell ref="B14:B15"/>
    <mergeCell ref="A1:L2"/>
    <mergeCell ref="A4:A5"/>
    <mergeCell ref="B4:C5"/>
    <mergeCell ref="D4:O4"/>
    <mergeCell ref="A6:A9"/>
    <mergeCell ref="B6:C7"/>
    <mergeCell ref="D6:D7"/>
    <mergeCell ref="E6:E7"/>
    <mergeCell ref="F6:F7"/>
    <mergeCell ref="G6:G7"/>
    <mergeCell ref="N6:N7"/>
    <mergeCell ref="O6:O7"/>
    <mergeCell ref="B8:C8"/>
    <mergeCell ref="B9:C9"/>
    <mergeCell ref="H6:H7"/>
    <mergeCell ref="J6:J7"/>
  </mergeCells>
  <pageMargins left="0.7" right="0.7" top="0.75" bottom="0.75" header="0.3" footer="0.3"/>
  <pageSetup paperSize="9" orientation="portrait" verticalDpi="0"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092A-24E0-41DF-9A7B-04343804415A}">
  <dimension ref="A2:T111"/>
  <sheetViews>
    <sheetView workbookViewId="0">
      <selection sqref="A1:XFD1048576"/>
    </sheetView>
  </sheetViews>
  <sheetFormatPr defaultRowHeight="15"/>
  <sheetData>
    <row r="2" spans="2:20" ht="21">
      <c r="B2" s="400"/>
      <c r="C2" s="400"/>
      <c r="D2" s="400"/>
      <c r="E2" s="400"/>
      <c r="F2" s="400"/>
      <c r="G2" s="400"/>
      <c r="H2" s="400"/>
      <c r="I2" s="400"/>
      <c r="J2" s="400"/>
      <c r="K2" s="400"/>
      <c r="L2" s="400"/>
      <c r="M2" s="690" t="s">
        <v>822</v>
      </c>
      <c r="N2" s="690"/>
      <c r="O2" s="690"/>
    </row>
    <row r="3" spans="2:20">
      <c r="B3" s="401"/>
      <c r="C3" s="401"/>
      <c r="D3" s="401"/>
      <c r="E3" s="401"/>
      <c r="F3" s="401"/>
      <c r="G3" s="401"/>
      <c r="H3" s="401"/>
      <c r="I3" s="401"/>
      <c r="J3" s="401"/>
      <c r="K3" s="401"/>
      <c r="L3" s="402" t="s">
        <v>823</v>
      </c>
      <c r="M3" s="401"/>
      <c r="N3" s="401"/>
    </row>
    <row r="4" spans="2:20">
      <c r="B4" s="403"/>
      <c r="C4" s="401"/>
      <c r="D4" s="401"/>
      <c r="E4" s="401"/>
      <c r="F4" s="401"/>
      <c r="G4" s="401"/>
      <c r="H4" s="401"/>
      <c r="I4" s="401"/>
      <c r="J4" s="401"/>
      <c r="K4" s="401"/>
      <c r="L4" s="401"/>
      <c r="M4" s="691" t="s">
        <v>824</v>
      </c>
      <c r="N4" s="691"/>
      <c r="O4" s="691"/>
    </row>
    <row r="5" spans="2:20">
      <c r="B5" s="401"/>
      <c r="C5" s="401"/>
      <c r="D5" s="401"/>
      <c r="E5" s="401"/>
      <c r="F5" s="401"/>
      <c r="G5" s="401"/>
      <c r="H5" s="401"/>
      <c r="I5" s="401"/>
      <c r="J5" s="401"/>
      <c r="K5" s="401"/>
      <c r="L5" s="401"/>
      <c r="M5" s="401"/>
      <c r="N5" s="401"/>
    </row>
    <row r="6" spans="2:20">
      <c r="B6" s="401"/>
      <c r="C6" s="401"/>
      <c r="D6" s="401"/>
      <c r="E6" s="401"/>
      <c r="F6" s="401"/>
      <c r="G6" s="401"/>
      <c r="H6" s="401"/>
      <c r="I6" s="401"/>
      <c r="J6" s="401"/>
      <c r="K6" s="401"/>
      <c r="L6" s="401"/>
      <c r="M6" s="401"/>
      <c r="N6" s="401"/>
    </row>
    <row r="7" spans="2:20">
      <c r="B7" s="401"/>
      <c r="C7" s="401"/>
      <c r="D7" s="401"/>
      <c r="E7" s="401"/>
      <c r="F7" s="401"/>
      <c r="G7" s="401"/>
      <c r="H7" s="401"/>
      <c r="I7" s="401"/>
      <c r="J7" s="401"/>
      <c r="K7" s="401"/>
      <c r="L7" s="401"/>
      <c r="M7" s="401"/>
      <c r="N7" s="401"/>
    </row>
    <row r="8" spans="2:20">
      <c r="B8" s="401"/>
      <c r="C8" s="401"/>
      <c r="D8" s="401"/>
      <c r="E8" s="401"/>
      <c r="F8" s="401"/>
      <c r="G8" s="401"/>
      <c r="H8" s="401"/>
      <c r="I8" s="401"/>
      <c r="J8" s="401"/>
      <c r="K8" s="401"/>
      <c r="L8" s="401"/>
      <c r="M8" s="401"/>
      <c r="N8" s="401"/>
    </row>
    <row r="9" spans="2:20">
      <c r="B9" s="401"/>
      <c r="C9" s="401"/>
      <c r="D9" s="401"/>
      <c r="E9" s="401"/>
      <c r="F9" s="401"/>
      <c r="G9" s="401"/>
      <c r="H9" s="401"/>
      <c r="I9" s="401"/>
      <c r="J9" s="401"/>
      <c r="K9" s="401"/>
      <c r="L9" s="401"/>
      <c r="M9" s="401"/>
      <c r="N9" s="401"/>
    </row>
    <row r="10" spans="2:20">
      <c r="B10" s="401"/>
      <c r="C10" s="401"/>
      <c r="D10" s="401"/>
      <c r="E10" s="401"/>
      <c r="F10" s="401"/>
      <c r="G10" s="401"/>
      <c r="H10" s="401"/>
      <c r="I10" s="401"/>
      <c r="J10" s="401"/>
      <c r="K10" s="401"/>
      <c r="L10" s="401"/>
      <c r="M10" s="401"/>
      <c r="N10" s="401"/>
    </row>
    <row r="11" spans="2:20">
      <c r="B11" s="401"/>
      <c r="C11" s="401"/>
      <c r="D11" s="401"/>
      <c r="E11" s="401"/>
      <c r="F11" s="401"/>
      <c r="G11" s="401"/>
      <c r="H11" s="401"/>
      <c r="I11" s="401"/>
      <c r="J11" s="401"/>
      <c r="K11" s="401"/>
      <c r="L11" s="401"/>
      <c r="M11" s="401"/>
      <c r="N11" s="401"/>
    </row>
    <row r="12" spans="2:20">
      <c r="B12" s="401"/>
      <c r="C12" s="401"/>
      <c r="D12" s="401"/>
      <c r="E12" s="401"/>
      <c r="F12" s="401"/>
      <c r="G12" s="401"/>
      <c r="H12" s="401"/>
      <c r="I12" s="401"/>
      <c r="J12" s="401"/>
      <c r="K12" s="401"/>
      <c r="L12" s="401"/>
      <c r="M12" s="401"/>
      <c r="N12" s="401"/>
    </row>
    <row r="13" spans="2:20">
      <c r="B13" s="401"/>
      <c r="C13" s="401"/>
      <c r="D13" s="401"/>
      <c r="E13" s="401"/>
      <c r="F13" s="401"/>
      <c r="G13" s="401"/>
      <c r="H13" s="401"/>
      <c r="I13" s="401"/>
      <c r="J13" s="401"/>
      <c r="K13" s="401"/>
      <c r="L13" s="401"/>
      <c r="M13" s="401"/>
      <c r="N13" s="401"/>
    </row>
    <row r="14" spans="2:20">
      <c r="B14" s="401"/>
      <c r="C14" s="401"/>
      <c r="D14" s="401"/>
      <c r="E14" s="401"/>
      <c r="F14" s="401"/>
      <c r="G14" s="401"/>
      <c r="H14" s="401"/>
      <c r="I14" s="401"/>
      <c r="J14" s="401"/>
      <c r="K14" s="401"/>
      <c r="L14" s="401"/>
      <c r="M14" s="401"/>
      <c r="N14" s="401"/>
    </row>
    <row r="15" spans="2:20">
      <c r="B15" s="401"/>
      <c r="C15" s="401"/>
      <c r="D15" s="401"/>
      <c r="E15" s="401"/>
      <c r="F15" s="401"/>
      <c r="G15" s="401"/>
      <c r="H15" s="401"/>
      <c r="I15" s="401"/>
      <c r="J15" s="401"/>
      <c r="K15" s="401"/>
      <c r="L15" s="401"/>
      <c r="M15" s="401"/>
      <c r="N15" s="401"/>
    </row>
    <row r="16" spans="2:20">
      <c r="B16" s="401"/>
      <c r="C16" s="401"/>
      <c r="D16" s="401"/>
      <c r="E16" s="401"/>
      <c r="F16" s="401"/>
      <c r="G16" s="401"/>
      <c r="H16" s="401"/>
      <c r="I16" s="401"/>
      <c r="J16" s="401"/>
      <c r="K16" s="401"/>
      <c r="L16" s="692" t="s">
        <v>825</v>
      </c>
      <c r="M16" s="694" t="s">
        <v>826</v>
      </c>
      <c r="N16" s="694"/>
      <c r="O16" s="694" t="s">
        <v>827</v>
      </c>
      <c r="P16" s="694"/>
      <c r="Q16" s="694" t="s">
        <v>828</v>
      </c>
      <c r="R16" s="694"/>
      <c r="S16" s="694" t="s">
        <v>829</v>
      </c>
      <c r="T16" s="694"/>
    </row>
    <row r="17" spans="1:20" ht="18.75" customHeight="1">
      <c r="B17" s="401"/>
      <c r="C17" s="401"/>
      <c r="D17" s="401"/>
      <c r="E17" s="401"/>
      <c r="F17" s="401"/>
      <c r="G17" s="401"/>
      <c r="H17" s="401"/>
      <c r="I17" s="401"/>
      <c r="J17" s="401"/>
      <c r="K17" s="401"/>
      <c r="L17" s="693"/>
      <c r="M17" s="399"/>
      <c r="N17" s="404"/>
      <c r="O17" s="399"/>
      <c r="P17" s="399"/>
      <c r="Q17" s="399"/>
      <c r="R17" s="399"/>
      <c r="S17" s="399"/>
      <c r="T17" s="399"/>
    </row>
    <row r="18" spans="1:20">
      <c r="B18" s="401"/>
      <c r="C18" s="401"/>
      <c r="D18" s="401"/>
      <c r="E18" s="401"/>
      <c r="F18" s="401"/>
      <c r="G18" s="401"/>
      <c r="H18" s="401"/>
      <c r="I18" s="401"/>
      <c r="J18" s="401"/>
      <c r="K18" s="401"/>
      <c r="L18" s="405" t="s">
        <v>453</v>
      </c>
      <c r="M18" s="406">
        <v>7.8E-2</v>
      </c>
      <c r="N18" s="406">
        <v>9.8900000000000002E-2</v>
      </c>
      <c r="O18" s="407">
        <v>7.7100000000000002E-2</v>
      </c>
      <c r="P18" s="407">
        <v>0.98599999999999999</v>
      </c>
      <c r="Q18" s="407">
        <v>0.08</v>
      </c>
      <c r="R18" s="407">
        <v>0.1</v>
      </c>
      <c r="S18" s="407">
        <v>7.0000000000000007E-2</v>
      </c>
      <c r="T18" s="407">
        <v>9.5000000000000001E-2</v>
      </c>
    </row>
    <row r="19" spans="1:20">
      <c r="B19" s="401"/>
      <c r="C19" s="401"/>
      <c r="D19" s="401"/>
      <c r="E19" s="401"/>
      <c r="F19" s="401"/>
      <c r="G19" s="401"/>
      <c r="H19" s="401"/>
      <c r="I19" s="401"/>
      <c r="J19" s="401"/>
      <c r="K19" s="401"/>
      <c r="L19" s="405" t="s">
        <v>830</v>
      </c>
      <c r="M19" s="406">
        <v>-0.1053</v>
      </c>
      <c r="N19" s="406">
        <v>-0.1196</v>
      </c>
      <c r="O19" s="407">
        <v>-0.1071</v>
      </c>
      <c r="P19" s="407">
        <v>-0.1205</v>
      </c>
      <c r="Q19" s="407">
        <v>-0.1</v>
      </c>
      <c r="R19" s="407">
        <v>-0.1167</v>
      </c>
      <c r="S19" s="407">
        <v>-0.125</v>
      </c>
      <c r="T19" s="407">
        <v>-0.125</v>
      </c>
    </row>
    <row r="20" spans="1:20">
      <c r="B20" s="401"/>
      <c r="C20" s="401"/>
      <c r="D20" s="401"/>
      <c r="E20" s="401"/>
      <c r="F20" s="401"/>
      <c r="G20" s="401"/>
      <c r="H20" s="401"/>
      <c r="I20" s="401"/>
      <c r="J20" s="401"/>
      <c r="K20" s="401"/>
      <c r="L20" s="405" t="s">
        <v>454</v>
      </c>
      <c r="M20" s="406">
        <v>3.3000000000000002E-2</v>
      </c>
      <c r="N20" s="406">
        <v>7.9000000000000001E-2</v>
      </c>
      <c r="O20" s="407">
        <v>3.5700000000000003E-2</v>
      </c>
      <c r="P20" s="407">
        <v>8.0399999999999999E-2</v>
      </c>
      <c r="Q20" s="407">
        <v>2.5000000000000001E-2</v>
      </c>
      <c r="R20" s="407">
        <v>7.4999999999999997E-2</v>
      </c>
      <c r="S20" s="408"/>
      <c r="T20" s="408"/>
    </row>
    <row r="21" spans="1:20">
      <c r="B21" s="401"/>
      <c r="C21" s="401"/>
      <c r="D21" s="401"/>
      <c r="E21" s="401"/>
      <c r="F21" s="401"/>
      <c r="G21" s="401"/>
      <c r="H21" s="401"/>
      <c r="I21" s="401"/>
      <c r="J21" s="401"/>
      <c r="K21" s="401"/>
      <c r="L21" s="405" t="s">
        <v>831</v>
      </c>
      <c r="M21" s="406">
        <v>-7.9899999999999999E-2</v>
      </c>
      <c r="N21" s="406">
        <v>-0.11119999999999999</v>
      </c>
      <c r="O21" s="407">
        <v>-7.4099999999999999E-2</v>
      </c>
      <c r="P21" s="407">
        <v>-0.1071</v>
      </c>
      <c r="Q21" s="408"/>
      <c r="R21" s="408"/>
      <c r="S21" s="408"/>
      <c r="T21" s="408"/>
    </row>
    <row r="22" spans="1:20">
      <c r="B22" s="401"/>
      <c r="C22" s="401"/>
      <c r="D22" s="401"/>
      <c r="E22" s="401"/>
      <c r="F22" s="401"/>
      <c r="G22" s="401"/>
      <c r="H22" s="401"/>
      <c r="I22" s="401"/>
      <c r="J22" s="401"/>
      <c r="K22" s="401"/>
      <c r="L22" s="405" t="s">
        <v>832</v>
      </c>
      <c r="M22" s="406">
        <v>4.6100000000000002E-2</v>
      </c>
      <c r="N22" s="406">
        <v>8.5500000000000007E-2</v>
      </c>
      <c r="O22" s="409"/>
      <c r="P22" s="409"/>
      <c r="Q22" s="409"/>
      <c r="R22" s="409"/>
      <c r="S22" s="409"/>
      <c r="T22" s="409"/>
    </row>
    <row r="23" spans="1:20">
      <c r="B23" s="401"/>
      <c r="C23" s="401"/>
      <c r="D23" s="401"/>
      <c r="E23" s="401"/>
      <c r="F23" s="401"/>
      <c r="G23" s="401"/>
      <c r="H23" s="401"/>
      <c r="I23" s="401"/>
      <c r="J23" s="401"/>
      <c r="K23" s="401"/>
      <c r="L23" s="401"/>
      <c r="M23" s="401"/>
      <c r="N23" s="401"/>
    </row>
    <row r="24" spans="1:20">
      <c r="B24" s="401"/>
      <c r="C24" s="401"/>
      <c r="D24" s="401"/>
      <c r="E24" s="401"/>
      <c r="F24" s="401"/>
      <c r="G24" s="401"/>
      <c r="H24" s="401"/>
      <c r="I24" s="401"/>
      <c r="J24" s="401"/>
      <c r="K24" s="401"/>
      <c r="L24" s="401"/>
      <c r="M24" s="401"/>
      <c r="N24" s="401"/>
    </row>
    <row r="25" spans="1:20">
      <c r="B25" s="401"/>
      <c r="C25" s="401"/>
      <c r="D25" s="401"/>
      <c r="E25" s="401"/>
      <c r="F25" s="401"/>
      <c r="G25" s="401"/>
      <c r="H25" s="401"/>
      <c r="I25" s="401"/>
      <c r="J25" s="401"/>
      <c r="K25" s="401"/>
      <c r="L25" s="401"/>
      <c r="M25" s="401"/>
      <c r="N25" s="401"/>
    </row>
    <row r="26" spans="1:20">
      <c r="B26" s="401"/>
      <c r="C26" s="401"/>
      <c r="D26" s="401"/>
      <c r="E26" s="401"/>
      <c r="F26" s="401"/>
      <c r="G26" s="401"/>
      <c r="H26" s="401"/>
      <c r="I26" s="401"/>
      <c r="J26" s="401"/>
      <c r="K26" s="401"/>
      <c r="L26" s="401"/>
      <c r="M26" s="401"/>
      <c r="N26" s="401"/>
    </row>
    <row r="27" spans="1:20">
      <c r="B27" s="401"/>
      <c r="C27" s="401"/>
      <c r="D27" s="401"/>
      <c r="E27" s="401"/>
      <c r="F27" s="401"/>
      <c r="G27" s="401"/>
      <c r="H27" s="401"/>
      <c r="I27" s="401"/>
      <c r="J27" s="401"/>
      <c r="K27" s="401"/>
      <c r="L27" s="401"/>
      <c r="M27" s="401"/>
      <c r="N27" s="401"/>
    </row>
    <row r="28" spans="1:20">
      <c r="B28" s="401"/>
      <c r="C28" s="401"/>
      <c r="D28" s="401"/>
      <c r="E28" s="401"/>
      <c r="F28" s="401"/>
      <c r="G28" s="401"/>
      <c r="H28" s="401"/>
      <c r="I28" s="401"/>
      <c r="J28" s="401"/>
      <c r="K28" s="401"/>
      <c r="L28" s="401"/>
      <c r="M28" s="401"/>
      <c r="N28" s="401"/>
    </row>
    <row r="32" spans="1:20" ht="18">
      <c r="A32" s="695" t="s">
        <v>833</v>
      </c>
      <c r="B32" s="695"/>
      <c r="C32" s="695"/>
      <c r="D32" s="695"/>
      <c r="E32" s="695"/>
      <c r="F32" s="401"/>
      <c r="G32" s="695" t="s">
        <v>834</v>
      </c>
      <c r="H32" s="695"/>
      <c r="I32" s="695"/>
      <c r="J32" s="695"/>
      <c r="K32" s="695"/>
      <c r="L32" s="401"/>
      <c r="M32" s="695" t="s">
        <v>835</v>
      </c>
      <c r="N32" s="695"/>
      <c r="O32" s="695"/>
      <c r="P32" s="695"/>
      <c r="Q32" s="695"/>
      <c r="R32" s="401"/>
    </row>
    <row r="33" spans="1:18">
      <c r="A33" s="410" t="s">
        <v>334</v>
      </c>
      <c r="B33" s="411" t="s">
        <v>435</v>
      </c>
      <c r="C33" s="411" t="s">
        <v>3</v>
      </c>
      <c r="D33" s="411" t="s">
        <v>436</v>
      </c>
      <c r="E33" s="411" t="s">
        <v>437</v>
      </c>
      <c r="F33" s="412"/>
      <c r="G33" s="410" t="s">
        <v>334</v>
      </c>
      <c r="H33" s="411" t="s">
        <v>435</v>
      </c>
      <c r="I33" s="411" t="s">
        <v>3</v>
      </c>
      <c r="J33" s="411" t="s">
        <v>436</v>
      </c>
      <c r="K33" s="411" t="s">
        <v>437</v>
      </c>
      <c r="L33" s="412"/>
      <c r="M33" s="410" t="s">
        <v>334</v>
      </c>
      <c r="N33" s="411" t="s">
        <v>435</v>
      </c>
      <c r="O33" s="411" t="s">
        <v>3</v>
      </c>
      <c r="P33" s="411" t="s">
        <v>436</v>
      </c>
      <c r="Q33" s="411" t="s">
        <v>437</v>
      </c>
      <c r="R33" s="412"/>
    </row>
    <row r="34" spans="1:18">
      <c r="A34" s="413">
        <v>1</v>
      </c>
      <c r="B34" s="414">
        <v>3.6499999999999998E-2</v>
      </c>
      <c r="C34" s="414">
        <v>3.6499999999999998E-2</v>
      </c>
      <c r="D34" s="414">
        <v>0</v>
      </c>
      <c r="E34" s="414">
        <v>0</v>
      </c>
      <c r="F34" s="415"/>
      <c r="G34" s="413">
        <v>1</v>
      </c>
      <c r="H34" s="414">
        <v>3.3399999999999999E-2</v>
      </c>
      <c r="I34" s="414">
        <v>2.7300000000000001E-2</v>
      </c>
      <c r="J34" s="414">
        <v>8.9200000000000002E-2</v>
      </c>
      <c r="K34" s="414">
        <v>0</v>
      </c>
      <c r="L34" s="401"/>
      <c r="M34" s="413">
        <v>1</v>
      </c>
      <c r="N34" s="414">
        <v>2.7300000000000001E-2</v>
      </c>
      <c r="O34" s="414">
        <v>3.3399999999999999E-2</v>
      </c>
      <c r="P34" s="414">
        <v>0</v>
      </c>
      <c r="Q34" s="414">
        <v>8.9300000000000004E-2</v>
      </c>
      <c r="R34" s="401"/>
    </row>
    <row r="35" spans="1:18">
      <c r="A35" s="413">
        <v>1.05</v>
      </c>
      <c r="B35" s="414">
        <v>3.8399999999999997E-2</v>
      </c>
      <c r="C35" s="414">
        <v>3.4099999999999998E-2</v>
      </c>
      <c r="D35" s="414">
        <v>0</v>
      </c>
      <c r="E35" s="414">
        <v>0</v>
      </c>
      <c r="F35" s="401"/>
      <c r="G35" s="413">
        <v>1.05</v>
      </c>
      <c r="H35" s="414">
        <v>3.4299999999999997E-2</v>
      </c>
      <c r="I35" s="414">
        <v>2.52E-2</v>
      </c>
      <c r="J35" s="414">
        <v>8.9499999999999996E-2</v>
      </c>
      <c r="K35" s="414">
        <v>0</v>
      </c>
      <c r="L35" s="401"/>
      <c r="M35" s="413">
        <v>1.05</v>
      </c>
      <c r="N35" s="414">
        <v>2.93E-2</v>
      </c>
      <c r="O35" s="414">
        <v>3.2500000000000001E-2</v>
      </c>
      <c r="P35" s="414">
        <v>0</v>
      </c>
      <c r="Q35" s="414">
        <v>8.8300000000000003E-2</v>
      </c>
      <c r="R35" s="401"/>
    </row>
    <row r="36" spans="1:18">
      <c r="A36" s="413">
        <v>1.1000000000000001</v>
      </c>
      <c r="B36" s="414">
        <v>3.9899999999999998E-2</v>
      </c>
      <c r="C36" s="414">
        <v>3.3000000000000002E-2</v>
      </c>
      <c r="D36" s="414">
        <v>0</v>
      </c>
      <c r="E36" s="414">
        <v>0</v>
      </c>
      <c r="F36" s="401"/>
      <c r="G36" s="413">
        <v>1.1000000000000001</v>
      </c>
      <c r="H36" s="414">
        <v>3.49E-2</v>
      </c>
      <c r="I36" s="414">
        <v>2.3099999999999999E-2</v>
      </c>
      <c r="J36" s="414">
        <v>8.9200000000000002E-2</v>
      </c>
      <c r="K36" s="414">
        <v>0</v>
      </c>
      <c r="L36" s="401"/>
      <c r="M36" s="413">
        <v>1.1000000000000001</v>
      </c>
      <c r="N36" s="414">
        <v>3.1300000000000001E-2</v>
      </c>
      <c r="O36" s="414">
        <v>3.1300000000000001E-2</v>
      </c>
      <c r="P36" s="414">
        <v>0</v>
      </c>
      <c r="Q36" s="414">
        <v>8.6699999999999999E-2</v>
      </c>
      <c r="R36" s="401"/>
    </row>
    <row r="37" spans="1:18">
      <c r="A37" s="413">
        <v>1.1499999999999999</v>
      </c>
      <c r="B37" s="414">
        <v>4.1399999999999999E-2</v>
      </c>
      <c r="C37" s="414">
        <v>3.1399999999999997E-2</v>
      </c>
      <c r="D37" s="414">
        <v>0</v>
      </c>
      <c r="E37" s="414">
        <v>0</v>
      </c>
      <c r="F37" s="401"/>
      <c r="G37" s="413">
        <v>1.1499999999999999</v>
      </c>
      <c r="H37" s="414">
        <v>3.5299999999999998E-2</v>
      </c>
      <c r="I37" s="414">
        <v>2.1299999999999999E-2</v>
      </c>
      <c r="J37" s="414">
        <v>8.8499999999999995E-2</v>
      </c>
      <c r="K37" s="414">
        <v>0</v>
      </c>
      <c r="L37" s="401"/>
      <c r="M37" s="413">
        <v>1.1499999999999999</v>
      </c>
      <c r="N37" s="414">
        <v>3.32E-2</v>
      </c>
      <c r="O37" s="414">
        <v>3.0200000000000001E-2</v>
      </c>
      <c r="P37" s="414">
        <v>0</v>
      </c>
      <c r="Q37" s="414">
        <v>8.4400000000000003E-2</v>
      </c>
      <c r="R37" s="401"/>
    </row>
    <row r="38" spans="1:18">
      <c r="A38" s="413">
        <v>1.2</v>
      </c>
      <c r="B38" s="414">
        <v>4.2799999999999998E-2</v>
      </c>
      <c r="C38" s="414">
        <v>2.98E-2</v>
      </c>
      <c r="D38" s="414">
        <v>0</v>
      </c>
      <c r="E38" s="414">
        <v>0</v>
      </c>
      <c r="F38" s="401"/>
      <c r="G38" s="413">
        <v>1.2</v>
      </c>
      <c r="H38" s="414">
        <v>3.5700000000000003E-2</v>
      </c>
      <c r="I38" s="414">
        <v>1.9599999999999999E-2</v>
      </c>
      <c r="J38" s="414">
        <v>8.72E-2</v>
      </c>
      <c r="K38" s="414">
        <v>0</v>
      </c>
      <c r="L38" s="401"/>
      <c r="M38" s="413">
        <v>1.2</v>
      </c>
      <c r="N38" s="414">
        <v>3.4799999999999998E-2</v>
      </c>
      <c r="O38" s="414">
        <v>2.92E-2</v>
      </c>
      <c r="P38" s="414">
        <v>0</v>
      </c>
      <c r="Q38" s="414">
        <v>8.2000000000000003E-2</v>
      </c>
      <c r="R38" s="401"/>
    </row>
    <row r="39" spans="1:18">
      <c r="A39" s="413">
        <v>1.25</v>
      </c>
      <c r="B39" s="414">
        <v>4.3999999999999997E-2</v>
      </c>
      <c r="C39" s="414">
        <v>2.8199999999999999E-2</v>
      </c>
      <c r="D39" s="414">
        <v>0</v>
      </c>
      <c r="E39" s="414">
        <v>0</v>
      </c>
      <c r="F39" s="401"/>
      <c r="G39" s="413">
        <v>1.25</v>
      </c>
      <c r="H39" s="414">
        <v>3.5900000000000001E-2</v>
      </c>
      <c r="I39" s="414">
        <v>1.7899999999999999E-2</v>
      </c>
      <c r="J39" s="414">
        <v>8.5900000000000004E-2</v>
      </c>
      <c r="K39" s="414">
        <v>0</v>
      </c>
      <c r="L39" s="401"/>
      <c r="M39" s="413">
        <v>1.25</v>
      </c>
      <c r="N39" s="414">
        <v>3.6299999999999999E-2</v>
      </c>
      <c r="O39" s="414">
        <v>2.8000000000000001E-2</v>
      </c>
      <c r="P39" s="414">
        <v>0</v>
      </c>
      <c r="Q39" s="414">
        <v>7.9100000000000004E-2</v>
      </c>
      <c r="R39" s="401"/>
    </row>
    <row r="40" spans="1:18">
      <c r="A40" s="413">
        <v>1.3</v>
      </c>
      <c r="B40" s="414">
        <v>4.5199999999999997E-2</v>
      </c>
      <c r="C40" s="414">
        <v>2.6800000000000001E-2</v>
      </c>
      <c r="D40" s="414">
        <v>0</v>
      </c>
      <c r="E40" s="414">
        <v>0</v>
      </c>
      <c r="F40" s="401"/>
      <c r="G40" s="413">
        <v>1.3</v>
      </c>
      <c r="H40" s="414">
        <v>3.5900000000000001E-2</v>
      </c>
      <c r="I40" s="414">
        <v>1.6500000000000001E-2</v>
      </c>
      <c r="J40" s="414">
        <v>8.43E-2</v>
      </c>
      <c r="K40" s="414">
        <v>0</v>
      </c>
      <c r="L40" s="401"/>
      <c r="M40" s="413">
        <v>1.3</v>
      </c>
      <c r="N40" s="414">
        <v>3.78E-2</v>
      </c>
      <c r="O40" s="414">
        <v>2.69E-2</v>
      </c>
      <c r="P40" s="414">
        <v>0</v>
      </c>
      <c r="Q40" s="414">
        <v>7.5999999999999998E-2</v>
      </c>
      <c r="R40" s="401"/>
    </row>
    <row r="41" spans="1:18">
      <c r="A41" s="413">
        <v>1.35</v>
      </c>
      <c r="B41" s="414">
        <v>4.6100000000000002E-2</v>
      </c>
      <c r="C41" s="414">
        <v>2.53E-2</v>
      </c>
      <c r="D41" s="414">
        <v>0</v>
      </c>
      <c r="E41" s="414">
        <v>0</v>
      </c>
      <c r="F41" s="401"/>
      <c r="G41" s="413">
        <v>1.35</v>
      </c>
      <c r="H41" s="414">
        <v>3.5799999999999998E-2</v>
      </c>
      <c r="I41" s="414">
        <v>1.52E-2</v>
      </c>
      <c r="J41" s="414">
        <v>8.2699999999999996E-2</v>
      </c>
      <c r="K41" s="414">
        <v>0</v>
      </c>
      <c r="L41" s="401"/>
      <c r="M41" s="413">
        <v>1.35</v>
      </c>
      <c r="N41" s="414">
        <v>3.9100000000000003E-2</v>
      </c>
      <c r="O41" s="414">
        <v>2.58E-2</v>
      </c>
      <c r="P41" s="414">
        <v>0</v>
      </c>
      <c r="Q41" s="414">
        <v>7.2599999999999998E-2</v>
      </c>
      <c r="R41" s="401"/>
    </row>
    <row r="42" spans="1:18">
      <c r="A42" s="413">
        <v>1.4</v>
      </c>
      <c r="B42" s="414">
        <v>4.6899999999999997E-2</v>
      </c>
      <c r="C42" s="414">
        <v>2.4E-2</v>
      </c>
      <c r="D42" s="414">
        <v>0</v>
      </c>
      <c r="E42" s="414">
        <v>0</v>
      </c>
      <c r="F42" s="401"/>
      <c r="G42" s="413">
        <v>1.4</v>
      </c>
      <c r="H42" s="414">
        <v>3.5700000000000003E-2</v>
      </c>
      <c r="I42" s="414">
        <v>1.4E-2</v>
      </c>
      <c r="J42" s="414">
        <v>8.0799999999999997E-2</v>
      </c>
      <c r="K42" s="414">
        <v>0</v>
      </c>
      <c r="L42" s="401"/>
      <c r="M42" s="413">
        <v>1.4</v>
      </c>
      <c r="N42" s="414">
        <v>4.0099999999999997E-2</v>
      </c>
      <c r="O42" s="414">
        <v>2.4799999999999999E-2</v>
      </c>
      <c r="P42" s="414">
        <v>0</v>
      </c>
      <c r="Q42" s="414">
        <v>6.88E-2</v>
      </c>
      <c r="R42" s="401"/>
    </row>
    <row r="43" spans="1:18">
      <c r="A43" s="413">
        <v>1.45</v>
      </c>
      <c r="B43" s="414">
        <v>4.7500000000000001E-2</v>
      </c>
      <c r="C43" s="414">
        <v>2.2499999999999999E-2</v>
      </c>
      <c r="D43" s="414">
        <v>0</v>
      </c>
      <c r="E43" s="414">
        <v>0</v>
      </c>
      <c r="F43" s="401"/>
      <c r="G43" s="413">
        <v>1.45</v>
      </c>
      <c r="H43" s="414">
        <v>3.5299999999999998E-2</v>
      </c>
      <c r="I43" s="414">
        <v>1.2800000000000001E-2</v>
      </c>
      <c r="J43" s="414">
        <v>7.9000000000000001E-2</v>
      </c>
      <c r="K43" s="414">
        <v>0</v>
      </c>
      <c r="L43" s="401"/>
      <c r="M43" s="413">
        <v>1.45</v>
      </c>
      <c r="N43" s="414">
        <v>4.1099999999999998E-2</v>
      </c>
      <c r="O43" s="414">
        <v>2.3699999999999999E-2</v>
      </c>
      <c r="P43" s="414">
        <v>0</v>
      </c>
      <c r="Q43" s="414">
        <v>6.54E-2</v>
      </c>
      <c r="R43" s="401"/>
    </row>
    <row r="44" spans="1:18">
      <c r="A44" s="413">
        <v>1.5</v>
      </c>
      <c r="B44" s="414">
        <v>4.8000000000000001E-2</v>
      </c>
      <c r="C44" s="414">
        <v>2.1399999999999999E-2</v>
      </c>
      <c r="D44" s="414">
        <v>0</v>
      </c>
      <c r="E44" s="414">
        <v>0</v>
      </c>
      <c r="F44" s="401"/>
      <c r="G44" s="413">
        <v>1.5</v>
      </c>
      <c r="H44" s="414">
        <v>3.5000000000000003E-2</v>
      </c>
      <c r="I44" s="414">
        <v>1.1900000000000001E-2</v>
      </c>
      <c r="J44" s="414">
        <v>7.7200000000000005E-2</v>
      </c>
      <c r="K44" s="414">
        <v>0</v>
      </c>
      <c r="L44" s="401"/>
      <c r="M44" s="413">
        <v>1.5</v>
      </c>
      <c r="N44" s="414">
        <v>4.2000000000000003E-2</v>
      </c>
      <c r="O44" s="414">
        <v>2.2800000000000001E-2</v>
      </c>
      <c r="P44" s="414">
        <v>0</v>
      </c>
      <c r="Q44" s="414">
        <v>6.2E-2</v>
      </c>
      <c r="R44" s="401"/>
    </row>
    <row r="45" spans="1:18">
      <c r="A45" s="413">
        <v>1.55</v>
      </c>
      <c r="B45" s="414">
        <v>4.8399999999999999E-2</v>
      </c>
      <c r="C45" s="414">
        <v>2.01E-2</v>
      </c>
      <c r="D45" s="414">
        <v>0</v>
      </c>
      <c r="E45" s="414">
        <v>0</v>
      </c>
      <c r="F45" s="401"/>
      <c r="G45" s="413">
        <v>1.55</v>
      </c>
      <c r="H45" s="414">
        <v>3.4599999999999999E-2</v>
      </c>
      <c r="I45" s="414">
        <v>1.09E-2</v>
      </c>
      <c r="J45" s="414">
        <v>7.5399999999999995E-2</v>
      </c>
      <c r="K45" s="414">
        <v>0</v>
      </c>
      <c r="L45" s="401"/>
      <c r="M45" s="413">
        <v>1.55</v>
      </c>
      <c r="N45" s="414">
        <v>4.2700000000000002E-2</v>
      </c>
      <c r="O45" s="414">
        <v>2.1899999999999999E-2</v>
      </c>
      <c r="P45" s="414">
        <v>0</v>
      </c>
      <c r="Q45" s="414">
        <v>5.8500000000000003E-2</v>
      </c>
      <c r="R45" s="401"/>
    </row>
    <row r="46" spans="1:18">
      <c r="A46" s="413">
        <v>1.6</v>
      </c>
      <c r="B46" s="414">
        <v>4.8500000000000001E-2</v>
      </c>
      <c r="C46" s="414">
        <v>1.89E-2</v>
      </c>
      <c r="D46" s="414">
        <v>0</v>
      </c>
      <c r="E46" s="414">
        <v>0</v>
      </c>
      <c r="F46" s="401"/>
      <c r="G46" s="413">
        <v>1.6</v>
      </c>
      <c r="H46" s="414">
        <v>3.4099999999999998E-2</v>
      </c>
      <c r="I46" s="414">
        <v>1.01E-2</v>
      </c>
      <c r="J46" s="414">
        <v>7.3499999999999996E-2</v>
      </c>
      <c r="K46" s="414">
        <v>0</v>
      </c>
      <c r="L46" s="401"/>
      <c r="M46" s="413">
        <v>1.6</v>
      </c>
      <c r="N46" s="414">
        <v>4.3299999999999998E-2</v>
      </c>
      <c r="O46" s="414">
        <v>2.0799999999999999E-2</v>
      </c>
      <c r="P46" s="414">
        <v>0</v>
      </c>
      <c r="Q46" s="414">
        <v>5.5300000000000002E-2</v>
      </c>
      <c r="R46" s="401"/>
    </row>
    <row r="47" spans="1:18">
      <c r="A47" s="413">
        <v>1.65</v>
      </c>
      <c r="B47" s="414">
        <v>4.8599999999999997E-2</v>
      </c>
      <c r="C47" s="414">
        <v>1.7899999999999999E-2</v>
      </c>
      <c r="D47" s="414">
        <v>0</v>
      </c>
      <c r="E47" s="414">
        <v>0</v>
      </c>
      <c r="F47" s="401"/>
      <c r="G47" s="413">
        <v>1.65</v>
      </c>
      <c r="H47" s="414">
        <v>3.3799999999999997E-2</v>
      </c>
      <c r="I47" s="414">
        <v>9.2999999999999992E-3</v>
      </c>
      <c r="J47" s="414">
        <v>7.1800000000000003E-2</v>
      </c>
      <c r="K47" s="414">
        <v>0</v>
      </c>
      <c r="L47" s="401"/>
      <c r="M47" s="413">
        <v>1.65</v>
      </c>
      <c r="N47" s="414">
        <v>4.3700000000000003E-2</v>
      </c>
      <c r="O47" s="414">
        <v>1.9800000000000002E-2</v>
      </c>
      <c r="P47" s="414">
        <v>0</v>
      </c>
      <c r="Q47" s="414">
        <v>5.1900000000000002E-2</v>
      </c>
      <c r="R47" s="401"/>
    </row>
    <row r="48" spans="1:18">
      <c r="A48" s="413">
        <v>1.7</v>
      </c>
      <c r="B48" s="414">
        <v>4.8800000000000003E-2</v>
      </c>
      <c r="C48" s="414">
        <v>1.6899999999999998E-2</v>
      </c>
      <c r="D48" s="414">
        <v>0</v>
      </c>
      <c r="E48" s="414">
        <v>0</v>
      </c>
      <c r="F48" s="401"/>
      <c r="G48" s="413">
        <v>1.7</v>
      </c>
      <c r="H48" s="414">
        <v>3.3300000000000003E-2</v>
      </c>
      <c r="I48" s="414">
        <v>8.6E-3</v>
      </c>
      <c r="J48" s="414">
        <v>7.0099999999999996E-2</v>
      </c>
      <c r="K48" s="414">
        <v>0</v>
      </c>
      <c r="L48" s="401"/>
      <c r="M48" s="413">
        <v>1.7</v>
      </c>
      <c r="N48" s="414">
        <v>4.41E-2</v>
      </c>
      <c r="O48" s="414">
        <v>1.9E-2</v>
      </c>
      <c r="P48" s="414">
        <v>0</v>
      </c>
      <c r="Q48" s="414">
        <v>4.8899999999999999E-2</v>
      </c>
      <c r="R48" s="401"/>
    </row>
    <row r="49" spans="1:18">
      <c r="A49" s="413">
        <v>1.75</v>
      </c>
      <c r="B49" s="414">
        <v>4.8599999999999997E-2</v>
      </c>
      <c r="C49" s="414">
        <v>1.5800000000000002E-2</v>
      </c>
      <c r="D49" s="414">
        <v>0</v>
      </c>
      <c r="E49" s="414">
        <v>0</v>
      </c>
      <c r="F49" s="401"/>
      <c r="G49" s="413">
        <v>1.75</v>
      </c>
      <c r="H49" s="414">
        <v>3.2899999999999999E-2</v>
      </c>
      <c r="I49" s="414">
        <v>8.0000000000000002E-3</v>
      </c>
      <c r="J49" s="414">
        <v>6.8500000000000005E-2</v>
      </c>
      <c r="K49" s="414">
        <v>0</v>
      </c>
      <c r="L49" s="401"/>
      <c r="M49" s="413">
        <v>1.75</v>
      </c>
      <c r="N49" s="414">
        <v>4.4299999999999999E-2</v>
      </c>
      <c r="O49" s="414">
        <v>1.8100000000000002E-2</v>
      </c>
      <c r="P49" s="414">
        <v>0</v>
      </c>
      <c r="Q49" s="414">
        <v>4.5999999999999999E-2</v>
      </c>
      <c r="R49" s="401"/>
    </row>
    <row r="50" spans="1:18">
      <c r="A50" s="413">
        <v>1.8</v>
      </c>
      <c r="B50" s="414">
        <v>4.8500000000000001E-2</v>
      </c>
      <c r="C50" s="414">
        <v>1.4800000000000001E-2</v>
      </c>
      <c r="D50" s="414">
        <v>0</v>
      </c>
      <c r="E50" s="414">
        <v>0</v>
      </c>
      <c r="F50" s="401"/>
      <c r="G50" s="413">
        <v>1.8</v>
      </c>
      <c r="H50" s="414">
        <v>3.2599999999999997E-2</v>
      </c>
      <c r="I50" s="414">
        <v>7.4999999999999997E-3</v>
      </c>
      <c r="J50" s="414">
        <v>6.6799999999999998E-2</v>
      </c>
      <c r="K50" s="414">
        <v>0</v>
      </c>
      <c r="L50" s="401"/>
      <c r="M50" s="413">
        <v>1.8</v>
      </c>
      <c r="N50" s="414">
        <v>4.4400000000000002E-2</v>
      </c>
      <c r="O50" s="414">
        <v>1.72E-2</v>
      </c>
      <c r="P50" s="414">
        <v>0</v>
      </c>
      <c r="Q50" s="414">
        <v>4.3200000000000002E-2</v>
      </c>
      <c r="R50" s="401"/>
    </row>
    <row r="51" spans="1:18">
      <c r="A51" s="413">
        <v>1.85</v>
      </c>
      <c r="B51" s="414">
        <v>4.8399999999999999E-2</v>
      </c>
      <c r="C51" s="414">
        <v>1.4E-2</v>
      </c>
      <c r="D51" s="414">
        <v>0</v>
      </c>
      <c r="E51" s="414">
        <v>0</v>
      </c>
      <c r="F51" s="401"/>
      <c r="G51" s="413">
        <v>1.85</v>
      </c>
      <c r="H51" s="414">
        <v>3.2099999999999997E-2</v>
      </c>
      <c r="I51" s="414">
        <v>6.8999999999999999E-3</v>
      </c>
      <c r="J51" s="414">
        <v>6.5299999999999997E-2</v>
      </c>
      <c r="K51" s="414">
        <v>0</v>
      </c>
      <c r="L51" s="401"/>
      <c r="M51" s="413">
        <v>1.85</v>
      </c>
      <c r="N51" s="414">
        <v>4.4499999999999998E-2</v>
      </c>
      <c r="O51" s="414">
        <v>1.6500000000000001E-2</v>
      </c>
      <c r="P51" s="414">
        <v>0</v>
      </c>
      <c r="Q51" s="414">
        <v>4.07E-2</v>
      </c>
      <c r="R51" s="401"/>
    </row>
    <row r="52" spans="1:18">
      <c r="A52" s="413">
        <v>1.9</v>
      </c>
      <c r="B52" s="414">
        <v>4.8000000000000001E-2</v>
      </c>
      <c r="C52" s="414">
        <v>1.3299999999999999E-2</v>
      </c>
      <c r="D52" s="414">
        <v>0</v>
      </c>
      <c r="E52" s="414">
        <v>0</v>
      </c>
      <c r="F52" s="401"/>
      <c r="G52" s="413">
        <v>1.9</v>
      </c>
      <c r="H52" s="414">
        <v>3.1600000000000003E-2</v>
      </c>
      <c r="I52" s="414">
        <v>6.4000000000000003E-3</v>
      </c>
      <c r="J52" s="414">
        <v>6.3799999999999996E-2</v>
      </c>
      <c r="K52" s="414">
        <v>0</v>
      </c>
      <c r="L52" s="401"/>
      <c r="M52" s="413">
        <v>1.9</v>
      </c>
      <c r="N52" s="414">
        <v>4.4499999999999998E-2</v>
      </c>
      <c r="O52" s="414">
        <v>1.5699999999999999E-2</v>
      </c>
      <c r="P52" s="414">
        <v>0</v>
      </c>
      <c r="Q52" s="414">
        <v>3.32E-2</v>
      </c>
      <c r="R52" s="401"/>
    </row>
    <row r="53" spans="1:18">
      <c r="A53" s="413">
        <v>1.95</v>
      </c>
      <c r="B53" s="414">
        <v>4.7600000000000003E-2</v>
      </c>
      <c r="C53" s="414">
        <v>1.2500000000000001E-2</v>
      </c>
      <c r="D53" s="414">
        <v>0</v>
      </c>
      <c r="E53" s="414">
        <v>0</v>
      </c>
      <c r="F53" s="401"/>
      <c r="G53" s="413">
        <v>1.95</v>
      </c>
      <c r="H53" s="414">
        <v>3.1E-2</v>
      </c>
      <c r="I53" s="414">
        <v>6.0000000000000001E-3</v>
      </c>
      <c r="J53" s="414">
        <v>6.2399999999999997E-2</v>
      </c>
      <c r="K53" s="414">
        <v>0</v>
      </c>
      <c r="L53" s="401"/>
      <c r="M53" s="413">
        <v>1.95</v>
      </c>
      <c r="N53" s="414">
        <v>4.4400000000000002E-2</v>
      </c>
      <c r="O53" s="414">
        <v>1.49E-2</v>
      </c>
      <c r="P53" s="414">
        <v>0</v>
      </c>
      <c r="Q53" s="414">
        <v>3.39E-2</v>
      </c>
      <c r="R53" s="401"/>
    </row>
    <row r="54" spans="1:18">
      <c r="A54" s="416">
        <v>2</v>
      </c>
      <c r="B54" s="417">
        <v>4.7300000000000002E-2</v>
      </c>
      <c r="C54" s="417">
        <v>1.18E-2</v>
      </c>
      <c r="D54" s="417">
        <v>0</v>
      </c>
      <c r="E54" s="417">
        <v>0</v>
      </c>
      <c r="F54" s="401"/>
      <c r="G54" s="416">
        <v>2</v>
      </c>
      <c r="H54" s="417">
        <v>3.0300000000000001E-2</v>
      </c>
      <c r="I54" s="417">
        <v>5.5999999999999999E-3</v>
      </c>
      <c r="J54" s="417">
        <v>6.0999999999999999E-2</v>
      </c>
      <c r="K54" s="417">
        <v>0</v>
      </c>
      <c r="L54" s="401"/>
      <c r="M54" s="416">
        <v>2</v>
      </c>
      <c r="N54" s="417">
        <v>4.4299999999999999E-2</v>
      </c>
      <c r="O54" s="417">
        <v>1.4200000000000001E-2</v>
      </c>
      <c r="P54" s="417">
        <v>0</v>
      </c>
      <c r="Q54" s="417">
        <v>3.3799999999999997E-2</v>
      </c>
      <c r="R54" s="401"/>
    </row>
    <row r="55" spans="1:18">
      <c r="A55" s="418"/>
      <c r="B55" s="415"/>
      <c r="C55" s="415"/>
      <c r="D55" s="415"/>
      <c r="E55" s="415"/>
      <c r="F55" s="401"/>
      <c r="G55" s="401"/>
      <c r="H55" s="401"/>
      <c r="I55" s="401"/>
      <c r="J55" s="401"/>
      <c r="K55" s="401"/>
      <c r="L55" s="401"/>
      <c r="M55" s="401"/>
      <c r="N55" s="401"/>
      <c r="O55" s="401"/>
      <c r="P55" s="401"/>
      <c r="Q55" s="401"/>
      <c r="R55" s="401"/>
    </row>
    <row r="56" spans="1:18" ht="18">
      <c r="A56" s="695" t="s">
        <v>836</v>
      </c>
      <c r="B56" s="695"/>
      <c r="C56" s="695"/>
      <c r="D56" s="695"/>
      <c r="E56" s="695"/>
      <c r="F56" s="401"/>
      <c r="G56" s="695" t="s">
        <v>837</v>
      </c>
      <c r="H56" s="695"/>
      <c r="I56" s="695"/>
      <c r="J56" s="695"/>
      <c r="K56" s="695"/>
      <c r="L56" s="401"/>
      <c r="M56" s="695" t="s">
        <v>838</v>
      </c>
      <c r="N56" s="695"/>
      <c r="O56" s="695"/>
      <c r="P56" s="695"/>
      <c r="Q56" s="695"/>
      <c r="R56" s="401"/>
    </row>
    <row r="57" spans="1:18">
      <c r="A57" s="410" t="s">
        <v>334</v>
      </c>
      <c r="B57" s="411" t="s">
        <v>435</v>
      </c>
      <c r="C57" s="411" t="s">
        <v>3</v>
      </c>
      <c r="D57" s="411" t="s">
        <v>436</v>
      </c>
      <c r="E57" s="411" t="s">
        <v>437</v>
      </c>
      <c r="F57" s="412"/>
      <c r="G57" s="410" t="s">
        <v>334</v>
      </c>
      <c r="H57" s="411" t="s">
        <v>435</v>
      </c>
      <c r="I57" s="411" t="s">
        <v>3</v>
      </c>
      <c r="J57" s="411" t="s">
        <v>436</v>
      </c>
      <c r="K57" s="411" t="s">
        <v>437</v>
      </c>
      <c r="L57" s="412"/>
      <c r="M57" s="410" t="s">
        <v>334</v>
      </c>
      <c r="N57" s="411" t="s">
        <v>435</v>
      </c>
      <c r="O57" s="411" t="s">
        <v>3</v>
      </c>
      <c r="P57" s="411" t="s">
        <v>436</v>
      </c>
      <c r="Q57" s="411" t="s">
        <v>437</v>
      </c>
      <c r="R57" s="401"/>
    </row>
    <row r="58" spans="1:18">
      <c r="A58" s="413">
        <v>1</v>
      </c>
      <c r="B58" s="414">
        <v>2.6700000000000002E-2</v>
      </c>
      <c r="C58" s="414">
        <v>1.7999999999999999E-2</v>
      </c>
      <c r="D58" s="414">
        <v>6.9400000000000003E-2</v>
      </c>
      <c r="E58" s="414">
        <v>0</v>
      </c>
      <c r="F58" s="401"/>
      <c r="G58" s="413">
        <v>1</v>
      </c>
      <c r="H58" s="414">
        <v>1.7999999999999999E-2</v>
      </c>
      <c r="I58" s="414">
        <v>2.6700000000000002E-2</v>
      </c>
      <c r="J58" s="414">
        <v>0</v>
      </c>
      <c r="K58" s="414">
        <v>6.9400000000000003E-2</v>
      </c>
      <c r="L58" s="401"/>
      <c r="M58" s="413">
        <v>1</v>
      </c>
      <c r="N58" s="414">
        <v>2.69E-2</v>
      </c>
      <c r="O58" s="414">
        <v>2.69E-2</v>
      </c>
      <c r="P58" s="414">
        <v>6.25E-2</v>
      </c>
      <c r="Q58" s="414">
        <v>6.25E-2</v>
      </c>
      <c r="R58" s="401"/>
    </row>
    <row r="59" spans="1:18">
      <c r="A59" s="413">
        <v>1.05</v>
      </c>
      <c r="B59" s="414">
        <v>2.6700000000000002E-2</v>
      </c>
      <c r="C59" s="414">
        <v>1.61E-2</v>
      </c>
      <c r="D59" s="414">
        <v>6.8000000000000005E-2</v>
      </c>
      <c r="E59" s="414">
        <v>0</v>
      </c>
      <c r="F59" s="401"/>
      <c r="G59" s="413">
        <v>1.05</v>
      </c>
      <c r="H59" s="414">
        <v>1.9900000000000001E-2</v>
      </c>
      <c r="I59" s="414">
        <v>2.6499999999999999E-2</v>
      </c>
      <c r="J59" s="414">
        <v>0</v>
      </c>
      <c r="K59" s="414">
        <v>7.0499999999999993E-2</v>
      </c>
      <c r="L59" s="401"/>
      <c r="M59" s="413">
        <v>1.05</v>
      </c>
      <c r="N59" s="414">
        <v>2.8199999999999999E-2</v>
      </c>
      <c r="O59" s="414">
        <v>2.5499999999999998E-2</v>
      </c>
      <c r="P59" s="414">
        <v>6.5500000000000003E-2</v>
      </c>
      <c r="Q59" s="414">
        <v>5.8999999999999997E-2</v>
      </c>
      <c r="R59" s="401"/>
    </row>
    <row r="60" spans="1:18">
      <c r="A60" s="413">
        <v>1.1000000000000001</v>
      </c>
      <c r="B60" s="414">
        <v>2.6599999999999999E-2</v>
      </c>
      <c r="C60" s="414">
        <v>1.46E-2</v>
      </c>
      <c r="D60" s="414">
        <v>6.6699999999999995E-2</v>
      </c>
      <c r="E60" s="414">
        <v>0</v>
      </c>
      <c r="F60" s="401"/>
      <c r="G60" s="413">
        <v>1.1000000000000001</v>
      </c>
      <c r="H60" s="414">
        <v>2.18E-2</v>
      </c>
      <c r="I60" s="414">
        <v>2.6200000000000001E-2</v>
      </c>
      <c r="J60" s="414">
        <v>0</v>
      </c>
      <c r="K60" s="414">
        <v>7.0800000000000002E-2</v>
      </c>
      <c r="L60" s="401"/>
      <c r="M60" s="413">
        <v>1.1000000000000001</v>
      </c>
      <c r="N60" s="414">
        <v>2.92E-2</v>
      </c>
      <c r="O60" s="414">
        <v>2.4199999999999999E-2</v>
      </c>
      <c r="P60" s="414">
        <v>6.7500000000000004E-2</v>
      </c>
      <c r="Q60" s="414">
        <v>5.5800000000000002E-2</v>
      </c>
      <c r="R60" s="401"/>
    </row>
    <row r="61" spans="1:18">
      <c r="A61" s="413">
        <v>1.1499999999999999</v>
      </c>
      <c r="B61" s="414">
        <v>2.64E-2</v>
      </c>
      <c r="C61" s="414">
        <v>1.3100000000000001E-2</v>
      </c>
      <c r="D61" s="414">
        <v>6.5000000000000002E-2</v>
      </c>
      <c r="E61" s="414">
        <v>0</v>
      </c>
      <c r="F61" s="401"/>
      <c r="G61" s="413">
        <v>1.1499999999999999</v>
      </c>
      <c r="H61" s="414">
        <v>2.3599999999999999E-2</v>
      </c>
      <c r="I61" s="414">
        <v>2.58E-2</v>
      </c>
      <c r="J61" s="414">
        <v>0</v>
      </c>
      <c r="K61" s="414">
        <v>7.0999999999999994E-2</v>
      </c>
      <c r="L61" s="401"/>
      <c r="M61" s="413">
        <v>1.1499999999999999</v>
      </c>
      <c r="N61" s="414">
        <v>3.0099999999999998E-2</v>
      </c>
      <c r="O61" s="414">
        <v>2.2800000000000001E-2</v>
      </c>
      <c r="P61" s="414">
        <v>6.9099999999999995E-2</v>
      </c>
      <c r="Q61" s="414">
        <v>5.2200000000000003E-2</v>
      </c>
      <c r="R61" s="401"/>
    </row>
    <row r="62" spans="1:18">
      <c r="A62" s="413">
        <v>1.2</v>
      </c>
      <c r="B62" s="414">
        <v>2.6100000000000002E-2</v>
      </c>
      <c r="C62" s="414">
        <v>1.18E-2</v>
      </c>
      <c r="D62" s="414">
        <v>6.3299999999999995E-2</v>
      </c>
      <c r="E62" s="414">
        <v>0</v>
      </c>
      <c r="F62" s="401"/>
      <c r="G62" s="413">
        <v>1.2</v>
      </c>
      <c r="H62" s="414">
        <v>2.5399999999999999E-2</v>
      </c>
      <c r="I62" s="414">
        <v>2.5399999999999999E-2</v>
      </c>
      <c r="J62" s="414">
        <v>0</v>
      </c>
      <c r="K62" s="414">
        <v>7.0699999999999999E-2</v>
      </c>
      <c r="L62" s="401"/>
      <c r="M62" s="413">
        <v>1.2</v>
      </c>
      <c r="N62" s="414">
        <v>3.09E-2</v>
      </c>
      <c r="O62" s="414">
        <v>2.1399999999999999E-2</v>
      </c>
      <c r="P62" s="414">
        <v>7.0300000000000001E-2</v>
      </c>
      <c r="Q62" s="414">
        <v>4.8800000000000003E-2</v>
      </c>
      <c r="R62" s="401"/>
    </row>
    <row r="63" spans="1:18">
      <c r="A63" s="413">
        <v>1.25</v>
      </c>
      <c r="B63" s="414">
        <v>2.5700000000000001E-2</v>
      </c>
      <c r="C63" s="414">
        <v>1.06E-2</v>
      </c>
      <c r="D63" s="414">
        <v>6.1600000000000002E-2</v>
      </c>
      <c r="E63" s="414">
        <v>0</v>
      </c>
      <c r="F63" s="401"/>
      <c r="G63" s="413">
        <v>1.25</v>
      </c>
      <c r="H63" s="414">
        <v>2.7099999999999999E-2</v>
      </c>
      <c r="I63" s="414">
        <v>2.4799999999999999E-2</v>
      </c>
      <c r="J63" s="414">
        <v>0</v>
      </c>
      <c r="K63" s="414">
        <v>7.0000000000000007E-2</v>
      </c>
      <c r="L63" s="401"/>
      <c r="M63" s="413">
        <v>1.25</v>
      </c>
      <c r="N63" s="414">
        <v>3.1399999999999997E-2</v>
      </c>
      <c r="O63" s="414">
        <v>2.0199999999999999E-2</v>
      </c>
      <c r="P63" s="414">
        <v>7.0999999999999994E-2</v>
      </c>
      <c r="Q63" s="414">
        <v>4.5400000000000003E-2</v>
      </c>
      <c r="R63" s="401"/>
    </row>
    <row r="64" spans="1:18">
      <c r="A64" s="413">
        <v>1.3</v>
      </c>
      <c r="B64" s="414">
        <v>2.5399999999999999E-2</v>
      </c>
      <c r="C64" s="414">
        <v>9.7000000000000003E-3</v>
      </c>
      <c r="D64" s="414">
        <v>5.9900000000000002E-2</v>
      </c>
      <c r="E64" s="414">
        <v>0</v>
      </c>
      <c r="F64" s="401"/>
      <c r="G64" s="413">
        <v>1.3</v>
      </c>
      <c r="H64" s="414">
        <v>2.87E-2</v>
      </c>
      <c r="I64" s="414">
        <v>2.4199999999999999E-2</v>
      </c>
      <c r="J64" s="414">
        <v>0</v>
      </c>
      <c r="K64" s="414">
        <v>6.8900000000000003E-2</v>
      </c>
      <c r="L64" s="401"/>
      <c r="M64" s="413">
        <v>1.3</v>
      </c>
      <c r="N64" s="414">
        <v>3.1899999999999998E-2</v>
      </c>
      <c r="O64" s="414">
        <v>1.8800000000000001E-2</v>
      </c>
      <c r="P64" s="414">
        <v>7.1099999999999997E-2</v>
      </c>
      <c r="Q64" s="414">
        <v>4.2099999999999999E-2</v>
      </c>
      <c r="R64" s="401"/>
    </row>
    <row r="65" spans="1:18">
      <c r="A65" s="413">
        <v>1.35</v>
      </c>
      <c r="B65" s="414">
        <v>2.5000000000000001E-2</v>
      </c>
      <c r="C65" s="414">
        <v>8.8000000000000005E-3</v>
      </c>
      <c r="D65" s="414">
        <v>5.8200000000000002E-2</v>
      </c>
      <c r="E65" s="414">
        <v>0</v>
      </c>
      <c r="F65" s="401"/>
      <c r="G65" s="413">
        <v>1.35</v>
      </c>
      <c r="H65" s="414">
        <v>3.0200000000000001E-2</v>
      </c>
      <c r="I65" s="414">
        <v>2.35E-2</v>
      </c>
      <c r="J65" s="414">
        <v>0</v>
      </c>
      <c r="K65" s="414">
        <v>6.7599999999999993E-2</v>
      </c>
      <c r="L65" s="401"/>
      <c r="M65" s="413">
        <v>1.35</v>
      </c>
      <c r="N65" s="414">
        <v>3.2000000000000001E-2</v>
      </c>
      <c r="O65" s="414">
        <v>1.7600000000000001E-2</v>
      </c>
      <c r="P65" s="414">
        <v>7.1099999999999997E-2</v>
      </c>
      <c r="Q65" s="414">
        <v>3.9100000000000003E-2</v>
      </c>
      <c r="R65" s="401"/>
    </row>
    <row r="66" spans="1:18">
      <c r="A66" s="413">
        <v>1.4</v>
      </c>
      <c r="B66" s="414">
        <v>2.4500000000000001E-2</v>
      </c>
      <c r="C66" s="414">
        <v>8.0000000000000002E-3</v>
      </c>
      <c r="D66" s="414">
        <v>5.6500000000000002E-2</v>
      </c>
      <c r="E66" s="414">
        <v>0</v>
      </c>
      <c r="F66" s="401"/>
      <c r="G66" s="413">
        <v>1.4</v>
      </c>
      <c r="H66" s="414">
        <v>3.1600000000000003E-2</v>
      </c>
      <c r="I66" s="414">
        <v>2.29E-2</v>
      </c>
      <c r="J66" s="414">
        <v>0</v>
      </c>
      <c r="K66" s="414">
        <v>6.6000000000000003E-2</v>
      </c>
      <c r="L66" s="401"/>
      <c r="M66" s="413">
        <v>1.4</v>
      </c>
      <c r="N66" s="414">
        <v>3.2300000000000002E-2</v>
      </c>
      <c r="O66" s="414">
        <v>1.6500000000000001E-2</v>
      </c>
      <c r="P66" s="414">
        <v>7.0900000000000005E-2</v>
      </c>
      <c r="Q66" s="414">
        <v>3.61E-2</v>
      </c>
      <c r="R66" s="401"/>
    </row>
    <row r="67" spans="1:18">
      <c r="A67" s="413">
        <v>1.45</v>
      </c>
      <c r="B67" s="414">
        <v>2.4E-2</v>
      </c>
      <c r="C67" s="414">
        <v>7.1999999999999998E-3</v>
      </c>
      <c r="D67" s="414">
        <v>5.5E-2</v>
      </c>
      <c r="E67" s="414">
        <v>0</v>
      </c>
      <c r="F67" s="401"/>
      <c r="G67" s="413">
        <v>1.45</v>
      </c>
      <c r="H67" s="414">
        <v>3.2899999999999999E-2</v>
      </c>
      <c r="I67" s="414">
        <v>2.2200000000000001E-2</v>
      </c>
      <c r="J67" s="414">
        <v>0</v>
      </c>
      <c r="K67" s="414">
        <v>6.4100000000000004E-2</v>
      </c>
      <c r="L67" s="401"/>
      <c r="M67" s="413">
        <v>1.45</v>
      </c>
      <c r="N67" s="414">
        <v>3.2399999999999998E-2</v>
      </c>
      <c r="O67" s="414">
        <v>1.54E-2</v>
      </c>
      <c r="P67" s="414">
        <v>7.0300000000000001E-2</v>
      </c>
      <c r="Q67" s="414">
        <v>3.3399999999999999E-2</v>
      </c>
      <c r="R67" s="401"/>
    </row>
    <row r="68" spans="1:18">
      <c r="A68" s="413">
        <v>1.5</v>
      </c>
      <c r="B68" s="414">
        <v>2.35E-2</v>
      </c>
      <c r="C68" s="414">
        <v>6.6E-3</v>
      </c>
      <c r="D68" s="414">
        <v>5.33E-2</v>
      </c>
      <c r="E68" s="414">
        <v>0</v>
      </c>
      <c r="F68" s="401"/>
      <c r="G68" s="413">
        <v>1.5</v>
      </c>
      <c r="H68" s="414">
        <v>3.4099999999999998E-2</v>
      </c>
      <c r="I68" s="414">
        <v>2.1399999999999999E-2</v>
      </c>
      <c r="J68" s="414">
        <v>0</v>
      </c>
      <c r="K68" s="414">
        <v>6.2100000000000002E-2</v>
      </c>
      <c r="L68" s="401"/>
      <c r="M68" s="413">
        <v>1.5</v>
      </c>
      <c r="N68" s="414">
        <v>3.2399999999999998E-2</v>
      </c>
      <c r="O68" s="414">
        <v>1.44E-2</v>
      </c>
      <c r="P68" s="414">
        <v>6.9500000000000006E-2</v>
      </c>
      <c r="Q68" s="414">
        <v>3.1E-2</v>
      </c>
      <c r="R68" s="401"/>
    </row>
    <row r="69" spans="1:18">
      <c r="A69" s="413">
        <v>1.55</v>
      </c>
      <c r="B69" s="414">
        <v>2.3E-2</v>
      </c>
      <c r="C69" s="414">
        <v>6.0000000000000001E-3</v>
      </c>
      <c r="D69" s="414">
        <v>5.1900000000000002E-2</v>
      </c>
      <c r="E69" s="414">
        <v>0</v>
      </c>
      <c r="F69" s="401"/>
      <c r="G69" s="413">
        <v>1.55</v>
      </c>
      <c r="H69" s="414">
        <v>3.5200000000000002E-2</v>
      </c>
      <c r="I69" s="414">
        <v>2.07E-2</v>
      </c>
      <c r="J69" s="414">
        <v>0</v>
      </c>
      <c r="K69" s="414">
        <v>5.9900000000000002E-2</v>
      </c>
      <c r="L69" s="401"/>
      <c r="M69" s="413">
        <v>1.55</v>
      </c>
      <c r="N69" s="414">
        <v>3.2300000000000002E-2</v>
      </c>
      <c r="O69" s="414">
        <v>1.34E-2</v>
      </c>
      <c r="P69" s="414">
        <v>6.8599999999999994E-2</v>
      </c>
      <c r="Q69" s="414">
        <v>2.86E-2</v>
      </c>
      <c r="R69" s="401"/>
    </row>
    <row r="70" spans="1:18">
      <c r="A70" s="413">
        <v>1.6</v>
      </c>
      <c r="B70" s="414">
        <v>2.2599999999999999E-2</v>
      </c>
      <c r="C70" s="414">
        <v>5.5999999999999999E-3</v>
      </c>
      <c r="D70" s="414">
        <v>5.0599999999999999E-2</v>
      </c>
      <c r="E70" s="414">
        <v>0</v>
      </c>
      <c r="F70" s="401"/>
      <c r="G70" s="413">
        <v>1.6</v>
      </c>
      <c r="H70" s="414">
        <v>3.6200000000000003E-2</v>
      </c>
      <c r="I70" s="414">
        <v>0.02</v>
      </c>
      <c r="J70" s="414">
        <v>0</v>
      </c>
      <c r="K70" s="414">
        <v>5.7700000000000001E-2</v>
      </c>
      <c r="L70" s="401"/>
      <c r="M70" s="413">
        <v>1.6</v>
      </c>
      <c r="N70" s="414">
        <v>3.2099999999999997E-2</v>
      </c>
      <c r="O70" s="414">
        <v>1.2500000000000001E-2</v>
      </c>
      <c r="P70" s="414">
        <v>6.7799999999999999E-2</v>
      </c>
      <c r="Q70" s="414">
        <v>2.6499999999999999E-2</v>
      </c>
      <c r="R70" s="401"/>
    </row>
    <row r="71" spans="1:18">
      <c r="A71" s="413">
        <v>1.65</v>
      </c>
      <c r="B71" s="414">
        <v>2.2100000000000002E-2</v>
      </c>
      <c r="C71" s="414">
        <v>5.1000000000000004E-3</v>
      </c>
      <c r="D71" s="414">
        <v>4.9299999999999997E-2</v>
      </c>
      <c r="E71" s="414">
        <v>0</v>
      </c>
      <c r="F71" s="401"/>
      <c r="G71" s="413">
        <v>1.65</v>
      </c>
      <c r="H71" s="414">
        <v>3.6900000000000002E-2</v>
      </c>
      <c r="I71" s="414">
        <v>1.9300000000000001E-2</v>
      </c>
      <c r="J71" s="414">
        <v>0</v>
      </c>
      <c r="K71" s="414">
        <v>5.5500000000000001E-2</v>
      </c>
      <c r="L71" s="401"/>
      <c r="M71" s="413">
        <v>1.65</v>
      </c>
      <c r="N71" s="414">
        <v>3.1899999999999998E-2</v>
      </c>
      <c r="O71" s="414">
        <v>1.17E-2</v>
      </c>
      <c r="P71" s="414">
        <v>6.6799999999999998E-2</v>
      </c>
      <c r="Q71" s="414">
        <v>2.4500000000000001E-2</v>
      </c>
      <c r="R71" s="401"/>
    </row>
    <row r="72" spans="1:18">
      <c r="A72" s="413">
        <v>1.7</v>
      </c>
      <c r="B72" s="414">
        <v>2.1700000000000001E-2</v>
      </c>
      <c r="C72" s="414">
        <v>4.7000000000000002E-3</v>
      </c>
      <c r="D72" s="414">
        <v>4.7600000000000003E-2</v>
      </c>
      <c r="E72" s="414">
        <v>0</v>
      </c>
      <c r="F72" s="401"/>
      <c r="G72" s="413">
        <v>1.7</v>
      </c>
      <c r="H72" s="414">
        <v>3.7600000000000001E-2</v>
      </c>
      <c r="I72" s="414">
        <v>1.8599999999999998E-2</v>
      </c>
      <c r="J72" s="414">
        <v>0</v>
      </c>
      <c r="K72" s="414">
        <v>5.3100000000000001E-2</v>
      </c>
      <c r="L72" s="401"/>
      <c r="M72" s="413">
        <v>1.7</v>
      </c>
      <c r="N72" s="414">
        <v>3.1600000000000003E-2</v>
      </c>
      <c r="O72" s="414">
        <v>1.09E-2</v>
      </c>
      <c r="P72" s="414">
        <v>6.5699999999999995E-2</v>
      </c>
      <c r="Q72" s="414">
        <v>2.2800000000000001E-2</v>
      </c>
      <c r="R72" s="401"/>
    </row>
    <row r="73" spans="1:18">
      <c r="A73" s="413">
        <v>1.75</v>
      </c>
      <c r="B73" s="414">
        <v>2.12E-2</v>
      </c>
      <c r="C73" s="414">
        <v>4.3E-3</v>
      </c>
      <c r="D73" s="414">
        <v>4.6600000000000003E-2</v>
      </c>
      <c r="E73" s="414">
        <v>0</v>
      </c>
      <c r="F73" s="401"/>
      <c r="G73" s="413">
        <v>1.75</v>
      </c>
      <c r="H73" s="414">
        <v>3.8300000000000001E-2</v>
      </c>
      <c r="I73" s="414">
        <v>1.7899999999999999E-2</v>
      </c>
      <c r="J73" s="414">
        <v>0</v>
      </c>
      <c r="K73" s="414">
        <v>5.0700000000000002E-2</v>
      </c>
      <c r="L73" s="401"/>
      <c r="M73" s="413">
        <v>1.75</v>
      </c>
      <c r="N73" s="414">
        <v>3.1300000000000001E-2</v>
      </c>
      <c r="O73" s="414">
        <v>9.7000000000000003E-3</v>
      </c>
      <c r="P73" s="414">
        <v>6.4500000000000002E-2</v>
      </c>
      <c r="Q73" s="414">
        <v>2.1100000000000001E-2</v>
      </c>
      <c r="R73" s="401"/>
    </row>
    <row r="74" spans="1:18">
      <c r="A74" s="413">
        <v>1.8</v>
      </c>
      <c r="B74" s="414">
        <v>2.0799999999999999E-2</v>
      </c>
      <c r="C74" s="414">
        <v>4.0000000000000001E-3</v>
      </c>
      <c r="D74" s="414">
        <v>4.5400000000000003E-2</v>
      </c>
      <c r="E74" s="414">
        <v>0</v>
      </c>
      <c r="F74" s="401"/>
      <c r="G74" s="413">
        <v>1.8</v>
      </c>
      <c r="H74" s="414">
        <v>3.8800000000000001E-2</v>
      </c>
      <c r="I74" s="414">
        <v>1.72E-2</v>
      </c>
      <c r="J74" s="414">
        <v>0</v>
      </c>
      <c r="K74" s="414">
        <v>4.8399999999999999E-2</v>
      </c>
      <c r="L74" s="401"/>
      <c r="M74" s="413">
        <v>1.8</v>
      </c>
      <c r="N74" s="414">
        <v>3.0800000000000001E-2</v>
      </c>
      <c r="O74" s="414">
        <v>9.5999999999999992E-3</v>
      </c>
      <c r="P74" s="414">
        <v>6.3500000000000001E-2</v>
      </c>
      <c r="Q74" s="414">
        <v>1.9599999999999999E-2</v>
      </c>
      <c r="R74" s="401"/>
    </row>
    <row r="75" spans="1:18">
      <c r="A75" s="413">
        <v>1.85</v>
      </c>
      <c r="B75" s="414">
        <v>2.0400000000000001E-2</v>
      </c>
      <c r="C75" s="414">
        <v>3.7000000000000002E-3</v>
      </c>
      <c r="D75" s="414">
        <v>4.4299999999999999E-2</v>
      </c>
      <c r="E75" s="414">
        <v>0</v>
      </c>
      <c r="F75" s="401"/>
      <c r="G75" s="413">
        <v>1.85</v>
      </c>
      <c r="H75" s="414">
        <v>3.9300000000000002E-2</v>
      </c>
      <c r="I75" s="414">
        <v>1.6500000000000001E-2</v>
      </c>
      <c r="J75" s="414">
        <v>0</v>
      </c>
      <c r="K75" s="414">
        <v>4.6100000000000002E-2</v>
      </c>
      <c r="L75" s="401"/>
      <c r="M75" s="413">
        <v>1.85</v>
      </c>
      <c r="N75" s="414">
        <v>3.0599999999999999E-2</v>
      </c>
      <c r="O75" s="414">
        <v>8.8999999999999999E-3</v>
      </c>
      <c r="P75" s="414">
        <v>6.2199999999999998E-2</v>
      </c>
      <c r="Q75" s="414">
        <v>1.83E-2</v>
      </c>
      <c r="R75" s="401"/>
    </row>
    <row r="76" spans="1:18">
      <c r="A76" s="413">
        <v>1.9</v>
      </c>
      <c r="B76" s="414">
        <v>1.9900000000000001E-2</v>
      </c>
      <c r="C76" s="414">
        <v>3.3999999999999998E-3</v>
      </c>
      <c r="D76" s="414">
        <v>4.3200000000000002E-2</v>
      </c>
      <c r="E76" s="414">
        <v>0</v>
      </c>
      <c r="F76" s="401"/>
      <c r="G76" s="413">
        <v>1.9</v>
      </c>
      <c r="H76" s="414">
        <v>3.9600000000000003E-2</v>
      </c>
      <c r="I76" s="414">
        <v>1.5800000000000002E-2</v>
      </c>
      <c r="J76" s="414">
        <v>0</v>
      </c>
      <c r="K76" s="414">
        <v>4.3900000000000002E-2</v>
      </c>
      <c r="L76" s="401"/>
      <c r="M76" s="413">
        <v>1.9</v>
      </c>
      <c r="N76" s="414">
        <v>3.0200000000000001E-2</v>
      </c>
      <c r="O76" s="414">
        <v>8.3999999999999995E-3</v>
      </c>
      <c r="P76" s="414">
        <v>6.1199999999999997E-2</v>
      </c>
      <c r="Q76" s="414">
        <v>1.6899999999999998E-2</v>
      </c>
      <c r="R76" s="401"/>
    </row>
    <row r="77" spans="1:18">
      <c r="A77" s="413">
        <v>1.95</v>
      </c>
      <c r="B77" s="414">
        <v>1.9599999999999999E-2</v>
      </c>
      <c r="C77" s="414">
        <v>3.2000000000000002E-3</v>
      </c>
      <c r="D77" s="414">
        <v>4.2200000000000001E-2</v>
      </c>
      <c r="E77" s="414">
        <v>0</v>
      </c>
      <c r="F77" s="401"/>
      <c r="G77" s="413">
        <v>1.95</v>
      </c>
      <c r="H77" s="414">
        <v>3.9800000000000002E-2</v>
      </c>
      <c r="I77" s="414">
        <v>1.52E-2</v>
      </c>
      <c r="J77" s="414">
        <v>0</v>
      </c>
      <c r="K77" s="414">
        <v>4.1799999999999997E-2</v>
      </c>
      <c r="L77" s="401"/>
      <c r="M77" s="413">
        <v>1.95</v>
      </c>
      <c r="N77" s="414">
        <v>2.9899999999999999E-2</v>
      </c>
      <c r="O77" s="414">
        <v>7.7999999999999996E-3</v>
      </c>
      <c r="P77" s="414">
        <v>5.9900000000000002E-2</v>
      </c>
      <c r="Q77" s="414">
        <v>1.6E-2</v>
      </c>
      <c r="R77" s="401"/>
    </row>
    <row r="78" spans="1:18">
      <c r="A78" s="416">
        <v>2</v>
      </c>
      <c r="B78" s="417">
        <v>1.9300000000000001E-2</v>
      </c>
      <c r="C78" s="417">
        <v>3.0000000000000001E-3</v>
      </c>
      <c r="D78" s="417">
        <v>4.1200000000000001E-2</v>
      </c>
      <c r="E78" s="417">
        <v>0</v>
      </c>
      <c r="F78" s="401"/>
      <c r="G78" s="416">
        <v>2</v>
      </c>
      <c r="H78" s="417">
        <v>0.04</v>
      </c>
      <c r="I78" s="417">
        <v>1.46E-2</v>
      </c>
      <c r="J78" s="417">
        <v>0</v>
      </c>
      <c r="K78" s="417">
        <v>3.9699999999999999E-2</v>
      </c>
      <c r="L78" s="401"/>
      <c r="M78" s="416">
        <v>2</v>
      </c>
      <c r="N78" s="417">
        <v>2.9399999999999999E-2</v>
      </c>
      <c r="O78" s="417">
        <v>7.4000000000000003E-3</v>
      </c>
      <c r="P78" s="417">
        <v>5.8799999999999998E-2</v>
      </c>
      <c r="Q78" s="417">
        <v>1.47E-2</v>
      </c>
      <c r="R78" s="401"/>
    </row>
    <row r="79" spans="1:18">
      <c r="A79" s="418"/>
      <c r="B79" s="415"/>
      <c r="C79" s="415"/>
      <c r="D79" s="415"/>
      <c r="E79" s="415"/>
      <c r="F79" s="401"/>
      <c r="G79" s="401"/>
      <c r="H79" s="401"/>
      <c r="I79" s="401"/>
      <c r="J79" s="401"/>
      <c r="K79" s="401"/>
      <c r="L79" s="401"/>
      <c r="M79" s="401"/>
      <c r="N79" s="401"/>
      <c r="O79" s="401"/>
      <c r="P79" s="401"/>
      <c r="Q79" s="401"/>
      <c r="R79" s="401"/>
    </row>
    <row r="80" spans="1:18" ht="18">
      <c r="A80" s="695" t="s">
        <v>839</v>
      </c>
      <c r="B80" s="695"/>
      <c r="C80" s="695"/>
      <c r="D80" s="695"/>
      <c r="E80" s="695"/>
      <c r="F80" s="401"/>
      <c r="G80" s="695" t="s">
        <v>840</v>
      </c>
      <c r="H80" s="695"/>
      <c r="I80" s="695"/>
      <c r="J80" s="695"/>
      <c r="K80" s="695"/>
      <c r="L80" s="401"/>
      <c r="M80" s="695" t="s">
        <v>841</v>
      </c>
      <c r="N80" s="695"/>
      <c r="O80" s="695"/>
      <c r="P80" s="695"/>
      <c r="Q80" s="695"/>
      <c r="R80" s="401"/>
    </row>
    <row r="81" spans="1:18">
      <c r="A81" s="410" t="s">
        <v>334</v>
      </c>
      <c r="B81" s="411" t="s">
        <v>435</v>
      </c>
      <c r="C81" s="411" t="s">
        <v>3</v>
      </c>
      <c r="D81" s="411" t="s">
        <v>436</v>
      </c>
      <c r="E81" s="411" t="s">
        <v>437</v>
      </c>
      <c r="F81" s="412"/>
      <c r="G81" s="410" t="s">
        <v>334</v>
      </c>
      <c r="H81" s="411" t="s">
        <v>435</v>
      </c>
      <c r="I81" s="411" t="s">
        <v>3</v>
      </c>
      <c r="J81" s="411" t="s">
        <v>436</v>
      </c>
      <c r="K81" s="411" t="s">
        <v>437</v>
      </c>
      <c r="L81" s="412"/>
      <c r="M81" s="410" t="s">
        <v>334</v>
      </c>
      <c r="N81" s="411" t="s">
        <v>435</v>
      </c>
      <c r="O81" s="411" t="s">
        <v>3</v>
      </c>
      <c r="P81" s="411" t="s">
        <v>436</v>
      </c>
      <c r="Q81" s="411" t="s">
        <v>437</v>
      </c>
      <c r="R81" s="401"/>
    </row>
    <row r="82" spans="1:18">
      <c r="A82" s="413">
        <v>1</v>
      </c>
      <c r="B82" s="414">
        <v>2.2599999999999999E-2</v>
      </c>
      <c r="C82" s="414">
        <v>1.9800000000000002E-2</v>
      </c>
      <c r="D82" s="414">
        <v>5.5599999999999997E-2</v>
      </c>
      <c r="E82" s="414">
        <v>4.1700000000000001E-2</v>
      </c>
      <c r="F82" s="401"/>
      <c r="G82" s="413">
        <v>1</v>
      </c>
      <c r="H82" s="414">
        <v>1.9800000000000002E-2</v>
      </c>
      <c r="I82" s="414">
        <v>2.2599999999999999E-2</v>
      </c>
      <c r="J82" s="414">
        <v>4.1700000000000001E-2</v>
      </c>
      <c r="K82" s="414">
        <v>5.5599999999999997E-2</v>
      </c>
      <c r="L82" s="401"/>
      <c r="M82" s="413">
        <v>1</v>
      </c>
      <c r="N82" s="414">
        <v>1.7899999999999999E-2</v>
      </c>
      <c r="O82" s="414">
        <v>1.7899999999999999E-2</v>
      </c>
      <c r="P82" s="414">
        <v>4.1700000000000001E-2</v>
      </c>
      <c r="Q82" s="414">
        <v>4.1700000000000001E-2</v>
      </c>
      <c r="R82" s="401"/>
    </row>
    <row r="83" spans="1:18">
      <c r="A83" s="413">
        <v>1.05</v>
      </c>
      <c r="B83" s="414">
        <v>2.3099999999999999E-2</v>
      </c>
      <c r="C83" s="414">
        <v>1.84E-2</v>
      </c>
      <c r="D83" s="414">
        <v>5.6000000000000001E-2</v>
      </c>
      <c r="E83" s="414">
        <v>3.85E-2</v>
      </c>
      <c r="F83" s="401"/>
      <c r="G83" s="413">
        <v>1.05</v>
      </c>
      <c r="H83" s="414">
        <v>2.1299999999999999E-2</v>
      </c>
      <c r="I83" s="414">
        <v>2.2100000000000002E-2</v>
      </c>
      <c r="J83" s="414">
        <v>4.4999999999999998E-2</v>
      </c>
      <c r="K83" s="414">
        <v>5.45E-2</v>
      </c>
      <c r="L83" s="401"/>
      <c r="M83" s="413">
        <v>1.05</v>
      </c>
      <c r="N83" s="414">
        <v>1.8700000000000001E-2</v>
      </c>
      <c r="O83" s="414">
        <v>1.7100000000000001E-2</v>
      </c>
      <c r="P83" s="414">
        <v>4.3700000000000003E-2</v>
      </c>
      <c r="Q83" s="414">
        <v>3.9399999999999998E-2</v>
      </c>
      <c r="R83" s="401"/>
    </row>
    <row r="84" spans="1:18">
      <c r="A84" s="413">
        <v>1.1000000000000001</v>
      </c>
      <c r="B84" s="414">
        <v>2.3400000000000001E-2</v>
      </c>
      <c r="C84" s="414">
        <v>1.6899999999999998E-2</v>
      </c>
      <c r="D84" s="414">
        <v>5.6500000000000002E-2</v>
      </c>
      <c r="E84" s="414">
        <v>3.5000000000000003E-2</v>
      </c>
      <c r="F84" s="401"/>
      <c r="G84" s="413">
        <v>1.1000000000000001</v>
      </c>
      <c r="H84" s="414">
        <v>2.2599999999999999E-2</v>
      </c>
      <c r="I84" s="414">
        <v>2.12E-2</v>
      </c>
      <c r="J84" s="414">
        <v>4.8099999999999997E-2</v>
      </c>
      <c r="K84" s="414">
        <v>5.2999999999999999E-2</v>
      </c>
      <c r="L84" s="401"/>
      <c r="M84" s="413">
        <v>1.1000000000000001</v>
      </c>
      <c r="N84" s="414">
        <v>1.9400000000000001E-2</v>
      </c>
      <c r="O84" s="414">
        <v>1.61E-2</v>
      </c>
      <c r="P84" s="414">
        <v>4.4999999999999998E-2</v>
      </c>
      <c r="Q84" s="414">
        <v>3.7199999999999997E-2</v>
      </c>
      <c r="R84" s="401"/>
    </row>
    <row r="85" spans="1:18">
      <c r="A85" s="413">
        <v>1.1499999999999999</v>
      </c>
      <c r="B85" s="414">
        <v>2.3599999999999999E-2</v>
      </c>
      <c r="C85" s="414">
        <v>1.54E-2</v>
      </c>
      <c r="D85" s="414">
        <v>5.6399999999999999E-2</v>
      </c>
      <c r="E85" s="414">
        <v>3.1899999999999998E-2</v>
      </c>
      <c r="F85" s="401"/>
      <c r="G85" s="413">
        <v>1.1499999999999999</v>
      </c>
      <c r="H85" s="414">
        <v>2.3800000000000002E-2</v>
      </c>
      <c r="I85" s="414">
        <v>2.06E-2</v>
      </c>
      <c r="J85" s="414">
        <v>5.0700000000000002E-2</v>
      </c>
      <c r="K85" s="414">
        <v>5.11E-2</v>
      </c>
      <c r="L85" s="401"/>
      <c r="M85" s="413">
        <v>1.1499999999999999</v>
      </c>
      <c r="N85" s="414">
        <v>0.02</v>
      </c>
      <c r="O85" s="414">
        <v>1.4999999999999999E-2</v>
      </c>
      <c r="P85" s="414">
        <v>4.6100000000000002E-2</v>
      </c>
      <c r="Q85" s="414">
        <v>3.49E-2</v>
      </c>
      <c r="R85" s="401"/>
    </row>
    <row r="86" spans="1:18">
      <c r="A86" s="413">
        <v>1.2</v>
      </c>
      <c r="B86" s="414">
        <v>2.3599999999999999E-2</v>
      </c>
      <c r="C86" s="414">
        <v>1.4200000000000001E-2</v>
      </c>
      <c r="D86" s="414">
        <v>5.6000000000000001E-2</v>
      </c>
      <c r="E86" s="414">
        <v>2.92E-2</v>
      </c>
      <c r="F86" s="401"/>
      <c r="G86" s="413">
        <v>1.2</v>
      </c>
      <c r="H86" s="414">
        <v>2.4899999999999999E-2</v>
      </c>
      <c r="I86" s="414">
        <v>1.9800000000000002E-2</v>
      </c>
      <c r="J86" s="414">
        <v>5.2999999999999999E-2</v>
      </c>
      <c r="K86" s="414">
        <v>4.9099999999999998E-2</v>
      </c>
      <c r="L86" s="401"/>
      <c r="M86" s="413">
        <v>1.2</v>
      </c>
      <c r="N86" s="414">
        <v>2.0400000000000001E-2</v>
      </c>
      <c r="O86" s="414">
        <v>1.4200000000000001E-2</v>
      </c>
      <c r="P86" s="414">
        <v>4.6800000000000001E-2</v>
      </c>
      <c r="Q86" s="414">
        <v>3.2500000000000001E-2</v>
      </c>
      <c r="R86" s="401"/>
    </row>
    <row r="87" spans="1:18">
      <c r="A87" s="413">
        <v>1.25</v>
      </c>
      <c r="B87" s="414">
        <v>2.3599999999999999E-2</v>
      </c>
      <c r="C87" s="414">
        <v>1.32E-2</v>
      </c>
      <c r="D87" s="414">
        <v>5.5199999999999999E-2</v>
      </c>
      <c r="E87" s="414">
        <v>2.6700000000000002E-2</v>
      </c>
      <c r="F87" s="401"/>
      <c r="G87" s="413">
        <v>1.25</v>
      </c>
      <c r="H87" s="414">
        <v>2.58E-2</v>
      </c>
      <c r="I87" s="414">
        <v>1.89E-2</v>
      </c>
      <c r="J87" s="414">
        <v>5.4899999999999997E-2</v>
      </c>
      <c r="K87" s="414">
        <v>4.7E-2</v>
      </c>
      <c r="L87" s="401"/>
      <c r="M87" s="413">
        <v>1.25</v>
      </c>
      <c r="N87" s="414">
        <v>2.07E-2</v>
      </c>
      <c r="O87" s="414">
        <v>1.3299999999999999E-2</v>
      </c>
      <c r="P87" s="414">
        <v>4.7300000000000002E-2</v>
      </c>
      <c r="Q87" s="414">
        <v>3.0300000000000001E-2</v>
      </c>
      <c r="R87" s="401"/>
    </row>
    <row r="88" spans="1:18">
      <c r="A88" s="413">
        <v>1.3</v>
      </c>
      <c r="B88" s="414">
        <v>2.35E-2</v>
      </c>
      <c r="C88" s="414">
        <v>1.2E-2</v>
      </c>
      <c r="D88" s="414">
        <v>5.45E-2</v>
      </c>
      <c r="E88" s="414">
        <v>2.4199999999999999E-2</v>
      </c>
      <c r="F88" s="401"/>
      <c r="G88" s="413">
        <v>1.3</v>
      </c>
      <c r="H88" s="414">
        <v>2.6599999999999999E-2</v>
      </c>
      <c r="I88" s="414">
        <v>1.8100000000000002E-2</v>
      </c>
      <c r="J88" s="414">
        <v>5.6500000000000002E-2</v>
      </c>
      <c r="K88" s="414">
        <v>4.4699999999999997E-2</v>
      </c>
      <c r="L88" s="401"/>
      <c r="M88" s="413">
        <v>1.3</v>
      </c>
      <c r="N88" s="414">
        <v>2.0799999999999999E-2</v>
      </c>
      <c r="O88" s="414">
        <v>1.23E-2</v>
      </c>
      <c r="P88" s="414">
        <v>4.7500000000000001E-2</v>
      </c>
      <c r="Q88" s="414">
        <v>2.81E-2</v>
      </c>
      <c r="R88" s="401"/>
    </row>
    <row r="89" spans="1:18">
      <c r="A89" s="413">
        <v>1.35</v>
      </c>
      <c r="B89" s="414">
        <v>2.3300000000000001E-2</v>
      </c>
      <c r="C89" s="414">
        <v>1.0999999999999999E-2</v>
      </c>
      <c r="D89" s="414">
        <v>5.3600000000000002E-2</v>
      </c>
      <c r="E89" s="414">
        <v>2.2200000000000001E-2</v>
      </c>
      <c r="F89" s="401"/>
      <c r="G89" s="413">
        <v>1.35</v>
      </c>
      <c r="H89" s="414">
        <v>2.7199999999999998E-2</v>
      </c>
      <c r="I89" s="414">
        <v>1.72E-2</v>
      </c>
      <c r="J89" s="414">
        <v>5.7700000000000001E-2</v>
      </c>
      <c r="K89" s="414">
        <v>4.24E-2</v>
      </c>
      <c r="L89" s="401"/>
      <c r="M89" s="413">
        <v>1.35</v>
      </c>
      <c r="N89" s="414">
        <v>2.1000000000000001E-2</v>
      </c>
      <c r="O89" s="414">
        <v>1.15E-2</v>
      </c>
      <c r="P89" s="414">
        <v>4.7399999999999998E-2</v>
      </c>
      <c r="Q89" s="414">
        <v>2.6200000000000001E-2</v>
      </c>
      <c r="R89" s="401"/>
    </row>
    <row r="90" spans="1:18">
      <c r="A90" s="413">
        <v>1.4</v>
      </c>
      <c r="B90" s="414">
        <v>2.3E-2</v>
      </c>
      <c r="C90" s="414">
        <v>1.0200000000000001E-2</v>
      </c>
      <c r="D90" s="414">
        <v>5.2600000000000001E-2</v>
      </c>
      <c r="E90" s="414">
        <v>2.0199999999999999E-2</v>
      </c>
      <c r="F90" s="401"/>
      <c r="G90" s="413">
        <v>1.4</v>
      </c>
      <c r="H90" s="414">
        <v>2.7900000000000001E-2</v>
      </c>
      <c r="I90" s="414">
        <v>1.6199999999999999E-2</v>
      </c>
      <c r="J90" s="414">
        <v>5.8799999999999998E-2</v>
      </c>
      <c r="K90" s="414">
        <v>0.04</v>
      </c>
      <c r="L90" s="401"/>
      <c r="M90" s="413">
        <v>1.4</v>
      </c>
      <c r="N90" s="414">
        <v>2.1000000000000001E-2</v>
      </c>
      <c r="O90" s="414">
        <v>1.0699999999999999E-2</v>
      </c>
      <c r="P90" s="414">
        <v>4.7300000000000002E-2</v>
      </c>
      <c r="Q90" s="414">
        <v>2.4E-2</v>
      </c>
      <c r="R90" s="401"/>
    </row>
    <row r="91" spans="1:18">
      <c r="A91" s="413">
        <v>1.45</v>
      </c>
      <c r="B91" s="414">
        <v>2.2800000000000001E-2</v>
      </c>
      <c r="C91" s="414">
        <v>9.4000000000000004E-3</v>
      </c>
      <c r="D91" s="414">
        <v>5.16E-2</v>
      </c>
      <c r="E91" s="414">
        <v>1.8499999999999999E-2</v>
      </c>
      <c r="F91" s="401"/>
      <c r="G91" s="413">
        <v>1.45</v>
      </c>
      <c r="H91" s="414">
        <v>2.8199999999999999E-2</v>
      </c>
      <c r="I91" s="414">
        <v>1.54E-2</v>
      </c>
      <c r="J91" s="414">
        <v>5.9299999999999999E-2</v>
      </c>
      <c r="K91" s="414">
        <v>3.7699999999999997E-2</v>
      </c>
      <c r="L91" s="401"/>
      <c r="M91" s="413">
        <v>1.45</v>
      </c>
      <c r="N91" s="414">
        <v>2.0899999999999998E-2</v>
      </c>
      <c r="O91" s="414">
        <v>0.01</v>
      </c>
      <c r="P91" s="414">
        <v>4.6899999999999997E-2</v>
      </c>
      <c r="Q91" s="414">
        <v>2.23E-2</v>
      </c>
      <c r="R91" s="401"/>
    </row>
    <row r="92" spans="1:18">
      <c r="A92" s="413">
        <v>1.5</v>
      </c>
      <c r="B92" s="414">
        <v>2.2499999999999999E-2</v>
      </c>
      <c r="C92" s="414">
        <v>8.6E-3</v>
      </c>
      <c r="D92" s="414">
        <v>5.0599999999999999E-2</v>
      </c>
      <c r="E92" s="414">
        <v>1.6899999999999998E-2</v>
      </c>
      <c r="F92" s="401"/>
      <c r="G92" s="413">
        <v>1.5</v>
      </c>
      <c r="H92" s="414">
        <v>2.8500000000000001E-2</v>
      </c>
      <c r="I92" s="414">
        <v>1.46E-2</v>
      </c>
      <c r="J92" s="414">
        <v>5.9700000000000003E-2</v>
      </c>
      <c r="K92" s="414">
        <v>3.5400000000000001E-2</v>
      </c>
      <c r="L92" s="401"/>
      <c r="M92" s="413">
        <v>1.5</v>
      </c>
      <c r="N92" s="414">
        <v>2.0799999999999999E-2</v>
      </c>
      <c r="O92" s="414">
        <v>9.2999999999999992E-3</v>
      </c>
      <c r="P92" s="414">
        <v>4.6399999999999997E-2</v>
      </c>
      <c r="Q92" s="414">
        <v>2.06E-2</v>
      </c>
      <c r="R92" s="401"/>
    </row>
    <row r="93" spans="1:18">
      <c r="A93" s="413">
        <v>1.55</v>
      </c>
      <c r="B93" s="414">
        <v>2.2100000000000002E-2</v>
      </c>
      <c r="C93" s="414">
        <v>7.9000000000000008E-3</v>
      </c>
      <c r="D93" s="414">
        <v>4.9500000000000002E-2</v>
      </c>
      <c r="E93" s="414">
        <v>1.55E-2</v>
      </c>
      <c r="F93" s="401"/>
      <c r="G93" s="413">
        <v>1.55</v>
      </c>
      <c r="H93" s="414">
        <v>2.8899999999999999E-2</v>
      </c>
      <c r="I93" s="414">
        <v>1.38E-2</v>
      </c>
      <c r="J93" s="414">
        <v>5.9900000000000002E-2</v>
      </c>
      <c r="K93" s="414">
        <v>3.32E-2</v>
      </c>
      <c r="L93" s="401"/>
      <c r="M93" s="413">
        <v>1.55</v>
      </c>
      <c r="N93" s="414">
        <v>2.06E-2</v>
      </c>
      <c r="O93" s="414">
        <v>8.6E-3</v>
      </c>
      <c r="P93" s="414">
        <v>4.5900000000000003E-2</v>
      </c>
      <c r="Q93" s="414">
        <v>1.9099999999999999E-2</v>
      </c>
      <c r="R93" s="401"/>
    </row>
    <row r="94" spans="1:18">
      <c r="A94" s="413">
        <v>1.6</v>
      </c>
      <c r="B94" s="414">
        <v>2.18E-2</v>
      </c>
      <c r="C94" s="414">
        <v>7.3000000000000001E-3</v>
      </c>
      <c r="D94" s="414">
        <v>4.8399999999999999E-2</v>
      </c>
      <c r="E94" s="414">
        <v>1.4200000000000001E-2</v>
      </c>
      <c r="F94" s="401"/>
      <c r="G94" s="413">
        <v>1.6</v>
      </c>
      <c r="H94" s="414">
        <v>2.8899999999999999E-2</v>
      </c>
      <c r="I94" s="414">
        <v>1.2999999999999999E-2</v>
      </c>
      <c r="J94" s="414">
        <v>5.9900000000000002E-2</v>
      </c>
      <c r="K94" s="414">
        <v>3.1199999999999999E-2</v>
      </c>
      <c r="L94" s="401"/>
      <c r="M94" s="413">
        <v>1.6</v>
      </c>
      <c r="N94" s="414">
        <v>2.0500000000000001E-2</v>
      </c>
      <c r="O94" s="414">
        <v>8.0000000000000002E-3</v>
      </c>
      <c r="P94" s="414">
        <v>4.5199999999999997E-2</v>
      </c>
      <c r="Q94" s="414">
        <v>1.77E-2</v>
      </c>
      <c r="R94" s="401"/>
    </row>
    <row r="95" spans="1:18">
      <c r="A95" s="413">
        <v>1.65</v>
      </c>
      <c r="B95" s="414">
        <v>2.1399999999999999E-2</v>
      </c>
      <c r="C95" s="414">
        <v>6.7000000000000002E-3</v>
      </c>
      <c r="D95" s="414">
        <v>4.7300000000000002E-2</v>
      </c>
      <c r="E95" s="414">
        <v>1.3100000000000001E-2</v>
      </c>
      <c r="F95" s="401"/>
      <c r="G95" s="413">
        <v>1.65</v>
      </c>
      <c r="H95" s="414">
        <v>2.9000000000000001E-2</v>
      </c>
      <c r="I95" s="414">
        <v>1.23E-2</v>
      </c>
      <c r="J95" s="414">
        <v>5.9700000000000003E-2</v>
      </c>
      <c r="K95" s="414">
        <v>2.93E-2</v>
      </c>
      <c r="L95" s="401"/>
      <c r="M95" s="413">
        <v>1.65</v>
      </c>
      <c r="N95" s="414">
        <v>2.0199999999999999E-2</v>
      </c>
      <c r="O95" s="414">
        <v>7.4000000000000003E-3</v>
      </c>
      <c r="P95" s="414">
        <v>4.4600000000000001E-2</v>
      </c>
      <c r="Q95" s="414">
        <v>1.6400000000000001E-2</v>
      </c>
      <c r="R95" s="401"/>
    </row>
    <row r="96" spans="1:18">
      <c r="A96" s="413">
        <v>1.7</v>
      </c>
      <c r="B96" s="414">
        <v>2.1000000000000001E-2</v>
      </c>
      <c r="C96" s="414">
        <v>6.1999999999999998E-3</v>
      </c>
      <c r="D96" s="414">
        <v>4.6199999999999998E-2</v>
      </c>
      <c r="E96" s="414">
        <v>1.2E-2</v>
      </c>
      <c r="F96" s="401"/>
      <c r="G96" s="413">
        <v>1.7</v>
      </c>
      <c r="H96" s="414">
        <v>2.9000000000000001E-2</v>
      </c>
      <c r="I96" s="414">
        <v>1.1599999999999999E-2</v>
      </c>
      <c r="J96" s="414">
        <v>5.9400000000000001E-2</v>
      </c>
      <c r="K96" s="414">
        <v>2.7400000000000001E-2</v>
      </c>
      <c r="L96" s="401"/>
      <c r="M96" s="413">
        <v>1.7</v>
      </c>
      <c r="N96" s="414">
        <v>0.02</v>
      </c>
      <c r="O96" s="414">
        <v>6.8999999999999999E-3</v>
      </c>
      <c r="P96" s="414">
        <v>4.3799999999999999E-2</v>
      </c>
      <c r="Q96" s="414">
        <v>1.52E-2</v>
      </c>
      <c r="R96" s="401"/>
    </row>
    <row r="97" spans="1:18">
      <c r="A97" s="413">
        <v>1.75</v>
      </c>
      <c r="B97" s="414">
        <v>2.06E-2</v>
      </c>
      <c r="C97" s="414">
        <v>5.7999999999999996E-3</v>
      </c>
      <c r="D97" s="414">
        <v>4.5199999999999997E-2</v>
      </c>
      <c r="E97" s="414">
        <v>1.12E-2</v>
      </c>
      <c r="F97" s="401"/>
      <c r="G97" s="413">
        <v>1.75</v>
      </c>
      <c r="H97" s="414">
        <v>2.9000000000000001E-2</v>
      </c>
      <c r="I97" s="414">
        <v>1.09E-2</v>
      </c>
      <c r="J97" s="414">
        <v>5.8900000000000001E-2</v>
      </c>
      <c r="K97" s="414">
        <v>2.5600000000000001E-2</v>
      </c>
      <c r="L97" s="401"/>
      <c r="M97" s="413">
        <v>1.75</v>
      </c>
      <c r="N97" s="414">
        <v>1.9699999999999999E-2</v>
      </c>
      <c r="O97" s="414">
        <v>6.4000000000000003E-3</v>
      </c>
      <c r="P97" s="414">
        <v>4.3099999999999999E-2</v>
      </c>
      <c r="Q97" s="414">
        <v>1.41E-2</v>
      </c>
      <c r="R97" s="401"/>
    </row>
    <row r="98" spans="1:18">
      <c r="A98" s="413">
        <v>1.8</v>
      </c>
      <c r="B98" s="414">
        <v>2.0299999999999999E-2</v>
      </c>
      <c r="C98" s="414">
        <v>5.4000000000000003E-3</v>
      </c>
      <c r="D98" s="414">
        <v>4.4200000000000003E-2</v>
      </c>
      <c r="E98" s="414">
        <v>1.0200000000000001E-2</v>
      </c>
      <c r="F98" s="401"/>
      <c r="G98" s="413">
        <v>1.8</v>
      </c>
      <c r="H98" s="414">
        <v>2.8799999999999999E-2</v>
      </c>
      <c r="I98" s="414">
        <v>1.03E-2</v>
      </c>
      <c r="J98" s="414">
        <v>5.8299999999999998E-2</v>
      </c>
      <c r="K98" s="414">
        <v>2.4E-2</v>
      </c>
      <c r="L98" s="401"/>
      <c r="M98" s="413">
        <v>1.8</v>
      </c>
      <c r="N98" s="414">
        <v>1.95E-2</v>
      </c>
      <c r="O98" s="414">
        <v>6.0000000000000001E-3</v>
      </c>
      <c r="P98" s="414">
        <v>4.2299999999999997E-2</v>
      </c>
      <c r="Q98" s="414">
        <v>1.3100000000000001E-2</v>
      </c>
      <c r="R98" s="401"/>
    </row>
    <row r="99" spans="1:18">
      <c r="A99" s="413">
        <v>1.85</v>
      </c>
      <c r="B99" s="414">
        <v>0.02</v>
      </c>
      <c r="C99" s="414">
        <v>5.0000000000000001E-3</v>
      </c>
      <c r="D99" s="414">
        <v>4.3200000000000002E-2</v>
      </c>
      <c r="E99" s="414">
        <v>9.4999999999999998E-3</v>
      </c>
      <c r="F99" s="401"/>
      <c r="G99" s="413">
        <v>1.85</v>
      </c>
      <c r="H99" s="414">
        <v>2.86E-2</v>
      </c>
      <c r="I99" s="414">
        <v>9.7000000000000003E-3</v>
      </c>
      <c r="J99" s="414">
        <v>5.7599999999999998E-2</v>
      </c>
      <c r="K99" s="414">
        <v>2.2499999999999999E-2</v>
      </c>
      <c r="L99" s="401"/>
      <c r="M99" s="413">
        <v>1.85</v>
      </c>
      <c r="N99" s="414">
        <v>1.9199999999999998E-2</v>
      </c>
      <c r="O99" s="414">
        <v>5.5999999999999999E-3</v>
      </c>
      <c r="P99" s="414">
        <v>4.1500000000000002E-2</v>
      </c>
      <c r="Q99" s="414">
        <v>1.2200000000000001E-2</v>
      </c>
      <c r="R99" s="401"/>
    </row>
    <row r="100" spans="1:18">
      <c r="A100" s="413">
        <v>1.9</v>
      </c>
      <c r="B100" s="414">
        <v>1.9599999999999999E-2</v>
      </c>
      <c r="C100" s="414">
        <v>4.5999999999999999E-3</v>
      </c>
      <c r="D100" s="414">
        <v>4.2200000000000001E-2</v>
      </c>
      <c r="E100" s="414">
        <v>8.8000000000000005E-3</v>
      </c>
      <c r="F100" s="401"/>
      <c r="G100" s="413">
        <v>1.9</v>
      </c>
      <c r="H100" s="414">
        <v>2.8400000000000002E-2</v>
      </c>
      <c r="I100" s="414">
        <v>9.1999999999999998E-3</v>
      </c>
      <c r="J100" s="414">
        <v>5.7000000000000002E-2</v>
      </c>
      <c r="K100" s="414">
        <v>2.12E-2</v>
      </c>
      <c r="L100" s="401"/>
      <c r="M100" s="413">
        <v>1.9</v>
      </c>
      <c r="N100" s="414">
        <v>1.9E-2</v>
      </c>
      <c r="O100" s="414">
        <v>5.1999999999999998E-3</v>
      </c>
      <c r="P100" s="414">
        <v>4.0800000000000003E-2</v>
      </c>
      <c r="Q100" s="414">
        <v>1.1299999999999999E-2</v>
      </c>
      <c r="R100" s="401"/>
    </row>
    <row r="101" spans="1:18">
      <c r="A101" s="413">
        <v>1.95</v>
      </c>
      <c r="B101" s="414">
        <v>1.9199999999999998E-2</v>
      </c>
      <c r="C101" s="414">
        <v>4.3E-3</v>
      </c>
      <c r="D101" s="414">
        <v>4.1300000000000003E-2</v>
      </c>
      <c r="E101" s="414">
        <v>8.2000000000000007E-3</v>
      </c>
      <c r="F101" s="401"/>
      <c r="G101" s="413">
        <v>1.95</v>
      </c>
      <c r="H101" s="414">
        <v>2.8199999999999999E-2</v>
      </c>
      <c r="I101" s="414">
        <v>8.6E-3</v>
      </c>
      <c r="J101" s="414">
        <v>5.62E-2</v>
      </c>
      <c r="K101" s="414">
        <v>1.9800000000000002E-2</v>
      </c>
      <c r="L101" s="401"/>
      <c r="M101" s="413">
        <v>1.95</v>
      </c>
      <c r="N101" s="414">
        <v>1.8599999999999998E-2</v>
      </c>
      <c r="O101" s="414">
        <v>4.8999999999999998E-3</v>
      </c>
      <c r="P101" s="414">
        <v>0.04</v>
      </c>
      <c r="Q101" s="414">
        <v>1.0699999999999999E-2</v>
      </c>
      <c r="R101" s="401"/>
    </row>
    <row r="102" spans="1:18">
      <c r="A102" s="416">
        <v>2</v>
      </c>
      <c r="B102" s="417">
        <v>1.89E-2</v>
      </c>
      <c r="C102" s="417">
        <v>4.0000000000000001E-3</v>
      </c>
      <c r="D102" s="417">
        <v>4.0399999999999998E-2</v>
      </c>
      <c r="E102" s="417">
        <v>7.6E-3</v>
      </c>
      <c r="F102" s="401"/>
      <c r="G102" s="416">
        <v>2</v>
      </c>
      <c r="H102" s="417">
        <v>2.8000000000000001E-2</v>
      </c>
      <c r="I102" s="417">
        <v>8.0999999999999996E-3</v>
      </c>
      <c r="J102" s="417">
        <v>5.5500000000000001E-2</v>
      </c>
      <c r="K102" s="417">
        <v>1.8700000000000001E-2</v>
      </c>
      <c r="L102" s="401"/>
      <c r="M102" s="416">
        <v>2</v>
      </c>
      <c r="N102" s="417">
        <v>1.83E-2</v>
      </c>
      <c r="O102" s="417">
        <v>4.5999999999999999E-3</v>
      </c>
      <c r="P102" s="417">
        <v>3.9199999999999999E-2</v>
      </c>
      <c r="Q102" s="417">
        <v>9.7999999999999997E-3</v>
      </c>
      <c r="R102" s="401"/>
    </row>
    <row r="103" spans="1:18">
      <c r="A103" s="418"/>
      <c r="B103" s="415"/>
      <c r="C103" s="415"/>
      <c r="D103" s="415"/>
      <c r="E103" s="415"/>
      <c r="F103" s="401"/>
      <c r="G103" s="401"/>
      <c r="H103" s="401"/>
      <c r="I103" s="401"/>
      <c r="J103" s="401"/>
      <c r="K103" s="401"/>
      <c r="L103" s="401"/>
      <c r="M103" s="401"/>
      <c r="N103" s="401"/>
      <c r="O103" s="401"/>
      <c r="P103" s="401"/>
      <c r="Q103" s="401"/>
      <c r="R103" s="401"/>
    </row>
    <row r="104" spans="1:18" ht="18">
      <c r="A104" s="695" t="s">
        <v>842</v>
      </c>
      <c r="B104" s="695"/>
      <c r="C104" s="695"/>
      <c r="D104" s="695"/>
      <c r="E104" s="695"/>
      <c r="F104" s="401"/>
      <c r="G104" s="695" t="s">
        <v>843</v>
      </c>
      <c r="H104" s="695"/>
      <c r="I104" s="695"/>
      <c r="J104" s="695"/>
      <c r="K104" s="695"/>
      <c r="L104" s="401"/>
      <c r="M104" s="401"/>
      <c r="N104" s="401"/>
      <c r="O104" s="401"/>
      <c r="P104" s="401"/>
      <c r="Q104" s="401"/>
      <c r="R104" s="401"/>
    </row>
    <row r="105" spans="1:18">
      <c r="A105" s="410" t="s">
        <v>334</v>
      </c>
      <c r="B105" s="411" t="s">
        <v>435</v>
      </c>
      <c r="C105" s="411" t="s">
        <v>3</v>
      </c>
      <c r="D105" s="411" t="s">
        <v>436</v>
      </c>
      <c r="E105" s="411" t="s">
        <v>437</v>
      </c>
      <c r="F105" s="412"/>
      <c r="G105" s="410" t="s">
        <v>334</v>
      </c>
      <c r="H105" s="411" t="s">
        <v>435</v>
      </c>
      <c r="I105" s="411" t="s">
        <v>3</v>
      </c>
      <c r="J105" s="411" t="s">
        <v>436</v>
      </c>
      <c r="K105" s="411" t="s">
        <v>437</v>
      </c>
      <c r="L105" s="401"/>
      <c r="M105" s="401"/>
      <c r="N105" s="401"/>
      <c r="O105" s="401"/>
      <c r="P105" s="401"/>
      <c r="Q105" s="401"/>
      <c r="R105" s="401"/>
    </row>
    <row r="106" spans="1:18">
      <c r="A106" s="413">
        <v>1</v>
      </c>
      <c r="B106" s="414">
        <v>9.9000000000000008E-3</v>
      </c>
      <c r="C106" s="414">
        <v>4.5699999999999998E-2</v>
      </c>
      <c r="D106" s="414">
        <v>5.0999999999999997E-2</v>
      </c>
      <c r="E106" s="414">
        <v>8.5300000000000001E-2</v>
      </c>
      <c r="F106" s="401"/>
      <c r="G106" s="413">
        <v>1</v>
      </c>
      <c r="H106" s="414">
        <v>4.5699999999999998E-2</v>
      </c>
      <c r="I106" s="414">
        <v>8.9999999999999993E-3</v>
      </c>
      <c r="J106" s="414">
        <v>8.5500000000000007E-2</v>
      </c>
      <c r="K106" s="414">
        <v>5.0999999999999997E-2</v>
      </c>
      <c r="L106" s="401"/>
      <c r="M106" s="401"/>
      <c r="N106" s="401"/>
      <c r="O106" s="401"/>
      <c r="P106" s="401"/>
      <c r="Q106" s="401"/>
      <c r="R106" s="401"/>
    </row>
    <row r="107" spans="1:18">
      <c r="A107" s="413">
        <v>1.1000000000000001</v>
      </c>
      <c r="B107" s="414">
        <v>1.0200000000000001E-2</v>
      </c>
      <c r="C107" s="414">
        <v>4.9200000000000001E-2</v>
      </c>
      <c r="D107" s="414">
        <v>5.74E-2</v>
      </c>
      <c r="E107" s="414">
        <v>9.2999999999999999E-2</v>
      </c>
      <c r="F107" s="401"/>
      <c r="G107" s="413">
        <v>1.1000000000000001</v>
      </c>
      <c r="H107" s="414">
        <v>4.2099999999999999E-2</v>
      </c>
      <c r="I107" s="414">
        <v>9.4000000000000004E-3</v>
      </c>
      <c r="J107" s="414">
        <v>7.7700000000000005E-2</v>
      </c>
      <c r="K107" s="414">
        <v>4.48E-2</v>
      </c>
      <c r="L107" s="401"/>
      <c r="M107" s="401"/>
      <c r="N107" s="401"/>
      <c r="O107" s="401"/>
      <c r="P107" s="401"/>
      <c r="Q107" s="401"/>
      <c r="R107" s="401"/>
    </row>
    <row r="108" spans="1:18">
      <c r="A108" s="413">
        <v>1.2</v>
      </c>
      <c r="B108" s="414">
        <v>1.0200000000000001E-2</v>
      </c>
      <c r="C108" s="414">
        <v>5.1900000000000002E-2</v>
      </c>
      <c r="D108" s="414">
        <v>6.3600000000000004E-2</v>
      </c>
      <c r="E108" s="414">
        <v>0.1</v>
      </c>
      <c r="F108" s="401"/>
      <c r="G108" s="413">
        <v>1.2</v>
      </c>
      <c r="H108" s="414">
        <v>3.8899999999999997E-2</v>
      </c>
      <c r="I108" s="414">
        <v>8.6999999999999994E-3</v>
      </c>
      <c r="J108" s="414">
        <v>7.1199999999999999E-2</v>
      </c>
      <c r="K108" s="414">
        <v>3.9699999999999999E-2</v>
      </c>
      <c r="L108" s="401"/>
      <c r="M108" s="401"/>
      <c r="N108" s="401"/>
      <c r="O108" s="401"/>
      <c r="P108" s="401"/>
      <c r="Q108" s="401"/>
      <c r="R108" s="401"/>
    </row>
    <row r="109" spans="1:18">
      <c r="A109" s="413">
        <v>1.3</v>
      </c>
      <c r="B109" s="414">
        <v>0.01</v>
      </c>
      <c r="C109" s="414">
        <v>5.3999999999999999E-2</v>
      </c>
      <c r="D109" s="414">
        <v>7.0000000000000007E-2</v>
      </c>
      <c r="E109" s="414">
        <v>0.1062</v>
      </c>
      <c r="F109" s="401"/>
      <c r="G109" s="413">
        <v>1.3</v>
      </c>
      <c r="H109" s="414">
        <v>3.6200000000000003E-2</v>
      </c>
      <c r="I109" s="414">
        <v>7.9000000000000008E-3</v>
      </c>
      <c r="J109" s="414">
        <v>6.5799999999999997E-2</v>
      </c>
      <c r="K109" s="414">
        <v>3.5400000000000001E-2</v>
      </c>
      <c r="L109" s="401"/>
      <c r="M109" s="401"/>
      <c r="N109" s="401"/>
      <c r="O109" s="401"/>
      <c r="P109" s="401"/>
      <c r="Q109" s="401"/>
      <c r="R109" s="401"/>
    </row>
    <row r="110" spans="1:18">
      <c r="A110" s="413">
        <v>1.4</v>
      </c>
      <c r="B110" s="414">
        <v>9.7000000000000003E-3</v>
      </c>
      <c r="C110" s="414">
        <v>5.5199999999999999E-2</v>
      </c>
      <c r="D110" s="414">
        <v>7.6100000000000001E-2</v>
      </c>
      <c r="E110" s="414">
        <v>0.1115</v>
      </c>
      <c r="F110" s="401"/>
      <c r="G110" s="413">
        <v>1.4</v>
      </c>
      <c r="H110" s="414">
        <v>3.3599999999999998E-2</v>
      </c>
      <c r="I110" s="414">
        <v>7.0000000000000001E-3</v>
      </c>
      <c r="J110" s="414">
        <v>6.0900000000000003E-2</v>
      </c>
      <c r="K110" s="414">
        <v>3.15E-2</v>
      </c>
      <c r="L110" s="401"/>
      <c r="M110" s="401"/>
      <c r="N110" s="401"/>
      <c r="O110" s="401"/>
      <c r="P110" s="401"/>
      <c r="Q110" s="401"/>
      <c r="R110" s="401"/>
    </row>
    <row r="111" spans="1:18">
      <c r="A111" s="416">
        <v>1.5</v>
      </c>
      <c r="B111" s="417">
        <v>9.4999999999999998E-3</v>
      </c>
      <c r="C111" s="417">
        <v>5.5599999999999997E-2</v>
      </c>
      <c r="D111" s="417">
        <v>8.2100000000000006E-2</v>
      </c>
      <c r="E111" s="417">
        <v>0.11550000000000001</v>
      </c>
      <c r="F111" s="401"/>
      <c r="G111" s="416">
        <v>1.5</v>
      </c>
      <c r="H111" s="417">
        <v>3.1099999999999999E-2</v>
      </c>
      <c r="I111" s="417">
        <v>5.8999999999999999E-3</v>
      </c>
      <c r="J111" s="417">
        <v>5.62E-2</v>
      </c>
      <c r="K111" s="417">
        <v>2.7900000000000001E-2</v>
      </c>
      <c r="L111" s="401"/>
      <c r="M111" s="401"/>
      <c r="N111" s="401"/>
      <c r="O111" s="401"/>
      <c r="P111" s="401"/>
      <c r="Q111" s="401"/>
      <c r="R111" s="401"/>
    </row>
  </sheetData>
  <mergeCells count="18">
    <mergeCell ref="A80:E80"/>
    <mergeCell ref="G80:K80"/>
    <mergeCell ref="M80:Q80"/>
    <mergeCell ref="A104:E104"/>
    <mergeCell ref="G104:K104"/>
    <mergeCell ref="S16:T16"/>
    <mergeCell ref="A32:E32"/>
    <mergeCell ref="G32:K32"/>
    <mergeCell ref="M32:Q32"/>
    <mergeCell ref="A56:E56"/>
    <mergeCell ref="G56:K56"/>
    <mergeCell ref="M56:Q56"/>
    <mergeCell ref="Q16:R16"/>
    <mergeCell ref="M2:O2"/>
    <mergeCell ref="M4:O4"/>
    <mergeCell ref="L16:L17"/>
    <mergeCell ref="M16:N16"/>
    <mergeCell ref="O16:P16"/>
  </mergeCells>
  <pageMargins left="0.7" right="0.7" top="0.75" bottom="0.75" header="0.3" footer="0.3"/>
  <drawing r:id="rId1"/>
  <legacyDrawing r:id="rId2"/>
  <oleObjects>
    <mc:AlternateContent xmlns:mc="http://schemas.openxmlformats.org/markup-compatibility/2006">
      <mc:Choice Requires="x14">
        <oleObject progId="Equation.DSMT4" shapeId="26625" r:id="rId3">
          <objectPr defaultSize="0" autoPict="0" r:id="rId4">
            <anchor moveWithCells="1" sizeWithCells="1">
              <from>
                <xdr:col>12</xdr:col>
                <xdr:colOff>476250</xdr:colOff>
                <xdr:row>3</xdr:row>
                <xdr:rowOff>200025</xdr:rowOff>
              </from>
              <to>
                <xdr:col>14</xdr:col>
                <xdr:colOff>371475</xdr:colOff>
                <xdr:row>5</xdr:row>
                <xdr:rowOff>66675</xdr:rowOff>
              </to>
            </anchor>
          </objectPr>
        </oleObject>
      </mc:Choice>
      <mc:Fallback>
        <oleObject progId="Equation.DSMT4" shapeId="26625" r:id="rId3"/>
      </mc:Fallback>
    </mc:AlternateContent>
    <mc:AlternateContent xmlns:mc="http://schemas.openxmlformats.org/markup-compatibility/2006">
      <mc:Choice Requires="x14">
        <oleObject progId="AutoCAD.Drawing.17" shapeId="26626" r:id="rId5">
          <objectPr defaultSize="0" autoPict="0" r:id="rId6">
            <anchor moveWithCells="1">
              <from>
                <xdr:col>11</xdr:col>
                <xdr:colOff>9525</xdr:colOff>
                <xdr:row>5</xdr:row>
                <xdr:rowOff>219075</xdr:rowOff>
              </from>
              <to>
                <xdr:col>17</xdr:col>
                <xdr:colOff>276225</xdr:colOff>
                <xdr:row>16</xdr:row>
                <xdr:rowOff>85725</xdr:rowOff>
              </to>
            </anchor>
          </objectPr>
        </oleObject>
      </mc:Choice>
      <mc:Fallback>
        <oleObject progId="AutoCAD.Drawing.17" shapeId="26626" r:id="rId5"/>
      </mc:Fallback>
    </mc:AlternateContent>
    <mc:AlternateContent xmlns:mc="http://schemas.openxmlformats.org/markup-compatibility/2006">
      <mc:Choice Requires="x14">
        <oleObject progId="Equation.DSMT4" shapeId="26627" r:id="rId7">
          <objectPr defaultSize="0" autoPict="0" r:id="rId8">
            <anchor moveWithCells="1" sizeWithCells="1">
              <from>
                <xdr:col>12</xdr:col>
                <xdr:colOff>228600</xdr:colOff>
                <xdr:row>15</xdr:row>
                <xdr:rowOff>190500</xdr:rowOff>
              </from>
              <to>
                <xdr:col>12</xdr:col>
                <xdr:colOff>685800</xdr:colOff>
                <xdr:row>17</xdr:row>
                <xdr:rowOff>28575</xdr:rowOff>
              </to>
            </anchor>
          </objectPr>
        </oleObject>
      </mc:Choice>
      <mc:Fallback>
        <oleObject progId="Equation.DSMT4" shapeId="26627" r:id="rId7"/>
      </mc:Fallback>
    </mc:AlternateContent>
    <mc:AlternateContent xmlns:mc="http://schemas.openxmlformats.org/markup-compatibility/2006">
      <mc:Choice Requires="x14">
        <oleObject progId="Equation.DSMT4" shapeId="26628" r:id="rId9">
          <objectPr defaultSize="0" autoPict="0" r:id="rId10">
            <anchor moveWithCells="1" sizeWithCells="1">
              <from>
                <xdr:col>13</xdr:col>
                <xdr:colOff>200025</xdr:colOff>
                <xdr:row>15</xdr:row>
                <xdr:rowOff>200025</xdr:rowOff>
              </from>
              <to>
                <xdr:col>13</xdr:col>
                <xdr:colOff>657225</xdr:colOff>
                <xdr:row>17</xdr:row>
                <xdr:rowOff>38100</xdr:rowOff>
              </to>
            </anchor>
          </objectPr>
        </oleObject>
      </mc:Choice>
      <mc:Fallback>
        <oleObject progId="Equation.DSMT4" shapeId="26628" r:id="rId9"/>
      </mc:Fallback>
    </mc:AlternateContent>
    <mc:AlternateContent xmlns:mc="http://schemas.openxmlformats.org/markup-compatibility/2006">
      <mc:Choice Requires="x14">
        <oleObject progId="Equation.DSMT4" shapeId="26629" r:id="rId11">
          <objectPr defaultSize="0" autoPict="0" r:id="rId8">
            <anchor moveWithCells="1" sizeWithCells="1">
              <from>
                <xdr:col>14</xdr:col>
                <xdr:colOff>238125</xdr:colOff>
                <xdr:row>15</xdr:row>
                <xdr:rowOff>209550</xdr:rowOff>
              </from>
              <to>
                <xdr:col>14</xdr:col>
                <xdr:colOff>695325</xdr:colOff>
                <xdr:row>17</xdr:row>
                <xdr:rowOff>47625</xdr:rowOff>
              </to>
            </anchor>
          </objectPr>
        </oleObject>
      </mc:Choice>
      <mc:Fallback>
        <oleObject progId="Equation.DSMT4" shapeId="26629" r:id="rId11"/>
      </mc:Fallback>
    </mc:AlternateContent>
    <mc:AlternateContent xmlns:mc="http://schemas.openxmlformats.org/markup-compatibility/2006">
      <mc:Choice Requires="x14">
        <oleObject progId="Equation.DSMT4" shapeId="26630" r:id="rId12">
          <objectPr defaultSize="0" autoPict="0" r:id="rId10">
            <anchor moveWithCells="1" sizeWithCells="1">
              <from>
                <xdr:col>15</xdr:col>
                <xdr:colOff>209550</xdr:colOff>
                <xdr:row>15</xdr:row>
                <xdr:rowOff>219075</xdr:rowOff>
              </from>
              <to>
                <xdr:col>15</xdr:col>
                <xdr:colOff>666750</xdr:colOff>
                <xdr:row>17</xdr:row>
                <xdr:rowOff>57150</xdr:rowOff>
              </to>
            </anchor>
          </objectPr>
        </oleObject>
      </mc:Choice>
      <mc:Fallback>
        <oleObject progId="Equation.DSMT4" shapeId="26630" r:id="rId12"/>
      </mc:Fallback>
    </mc:AlternateContent>
    <mc:AlternateContent xmlns:mc="http://schemas.openxmlformats.org/markup-compatibility/2006">
      <mc:Choice Requires="x14">
        <oleObject progId="Equation.DSMT4" shapeId="26631" r:id="rId13">
          <objectPr defaultSize="0" autoPict="0" r:id="rId8">
            <anchor moveWithCells="1" sizeWithCells="1">
              <from>
                <xdr:col>16</xdr:col>
                <xdr:colOff>209550</xdr:colOff>
                <xdr:row>15</xdr:row>
                <xdr:rowOff>200025</xdr:rowOff>
              </from>
              <to>
                <xdr:col>16</xdr:col>
                <xdr:colOff>666750</xdr:colOff>
                <xdr:row>17</xdr:row>
                <xdr:rowOff>38100</xdr:rowOff>
              </to>
            </anchor>
          </objectPr>
        </oleObject>
      </mc:Choice>
      <mc:Fallback>
        <oleObject progId="Equation.DSMT4" shapeId="26631" r:id="rId13"/>
      </mc:Fallback>
    </mc:AlternateContent>
    <mc:AlternateContent xmlns:mc="http://schemas.openxmlformats.org/markup-compatibility/2006">
      <mc:Choice Requires="x14">
        <oleObject progId="Equation.DSMT4" shapeId="26632" r:id="rId14">
          <objectPr defaultSize="0" autoPict="0" r:id="rId10">
            <anchor moveWithCells="1" sizeWithCells="1">
              <from>
                <xdr:col>17</xdr:col>
                <xdr:colOff>180975</xdr:colOff>
                <xdr:row>15</xdr:row>
                <xdr:rowOff>209550</xdr:rowOff>
              </from>
              <to>
                <xdr:col>17</xdr:col>
                <xdr:colOff>638175</xdr:colOff>
                <xdr:row>17</xdr:row>
                <xdr:rowOff>47625</xdr:rowOff>
              </to>
            </anchor>
          </objectPr>
        </oleObject>
      </mc:Choice>
      <mc:Fallback>
        <oleObject progId="Equation.DSMT4" shapeId="26632" r:id="rId14"/>
      </mc:Fallback>
    </mc:AlternateContent>
    <mc:AlternateContent xmlns:mc="http://schemas.openxmlformats.org/markup-compatibility/2006">
      <mc:Choice Requires="x14">
        <oleObject progId="Equation.DSMT4" shapeId="26633" r:id="rId15">
          <objectPr defaultSize="0" autoPict="0" r:id="rId8">
            <anchor moveWithCells="1" sizeWithCells="1">
              <from>
                <xdr:col>18</xdr:col>
                <xdr:colOff>219075</xdr:colOff>
                <xdr:row>15</xdr:row>
                <xdr:rowOff>190500</xdr:rowOff>
              </from>
              <to>
                <xdr:col>18</xdr:col>
                <xdr:colOff>676275</xdr:colOff>
                <xdr:row>17</xdr:row>
                <xdr:rowOff>28575</xdr:rowOff>
              </to>
            </anchor>
          </objectPr>
        </oleObject>
      </mc:Choice>
      <mc:Fallback>
        <oleObject progId="Equation.DSMT4" shapeId="26633" r:id="rId15"/>
      </mc:Fallback>
    </mc:AlternateContent>
    <mc:AlternateContent xmlns:mc="http://schemas.openxmlformats.org/markup-compatibility/2006">
      <mc:Choice Requires="x14">
        <oleObject progId="Equation.DSMT4" shapeId="26634" r:id="rId16">
          <objectPr defaultSize="0" autoPict="0" r:id="rId10">
            <anchor moveWithCells="1" sizeWithCells="1">
              <from>
                <xdr:col>19</xdr:col>
                <xdr:colOff>190500</xdr:colOff>
                <xdr:row>15</xdr:row>
                <xdr:rowOff>200025</xdr:rowOff>
              </from>
              <to>
                <xdr:col>19</xdr:col>
                <xdr:colOff>647700</xdr:colOff>
                <xdr:row>17</xdr:row>
                <xdr:rowOff>38100</xdr:rowOff>
              </to>
            </anchor>
          </objectPr>
        </oleObject>
      </mc:Choice>
      <mc:Fallback>
        <oleObject progId="Equation.DSMT4" shapeId="26634" r:id="rId16"/>
      </mc:Fallback>
    </mc:AlternateContent>
  </oleObjec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24EC-1372-417C-BF02-01F679CA5045}">
  <dimension ref="A1:B1"/>
  <sheetViews>
    <sheetView workbookViewId="0">
      <selection activeCell="J19" sqref="J19"/>
    </sheetView>
  </sheetViews>
  <sheetFormatPr defaultRowHeight="15"/>
  <cols>
    <col min="1" max="1" width="14.5703125" bestFit="1" customWidth="1"/>
  </cols>
  <sheetData>
    <row r="1" spans="1:2">
      <c r="A1" t="s">
        <v>62</v>
      </c>
      <c r="B1">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0B9-275A-48D5-ABAA-348E51522F41}">
  <dimension ref="A1:B24"/>
  <sheetViews>
    <sheetView topLeftCell="A7" workbookViewId="0">
      <selection activeCell="E12" sqref="E12"/>
    </sheetView>
  </sheetViews>
  <sheetFormatPr defaultRowHeight="15"/>
  <cols>
    <col min="1" max="1" width="44.140625" bestFit="1" customWidth="1"/>
  </cols>
  <sheetData>
    <row r="1" spans="1:2" ht="16.5">
      <c r="A1" s="3" t="s">
        <v>28</v>
      </c>
    </row>
    <row r="2" spans="1:2" ht="16.5">
      <c r="A2" s="3" t="s">
        <v>29</v>
      </c>
    </row>
    <row r="3" spans="1:2" ht="16.5">
      <c r="A3" s="4" t="s">
        <v>30</v>
      </c>
    </row>
    <row r="4" spans="1:2" ht="16.5">
      <c r="A4" s="3" t="s">
        <v>31</v>
      </c>
      <c r="B4">
        <v>260</v>
      </c>
    </row>
    <row r="5" spans="1:2" ht="16.5">
      <c r="A5" s="4" t="s">
        <v>32</v>
      </c>
    </row>
    <row r="6" spans="1:2" ht="16.5">
      <c r="A6" s="3" t="s">
        <v>31</v>
      </c>
      <c r="B6">
        <v>210</v>
      </c>
    </row>
    <row r="7" spans="1:2" ht="16.5">
      <c r="A7" s="4" t="s">
        <v>33</v>
      </c>
    </row>
    <row r="8" spans="1:2" ht="16.5">
      <c r="A8" s="3" t="s">
        <v>31</v>
      </c>
      <c r="B8">
        <v>2000000</v>
      </c>
    </row>
    <row r="9" spans="1:2" ht="16.5">
      <c r="A9" s="3" t="s">
        <v>34</v>
      </c>
    </row>
    <row r="10" spans="1:2" ht="16.5">
      <c r="A10" s="3" t="s">
        <v>35</v>
      </c>
    </row>
    <row r="11" spans="1:2" ht="16.5">
      <c r="A11" s="3" t="s">
        <v>36</v>
      </c>
    </row>
    <row r="12" spans="1:2" ht="16.5">
      <c r="A12" s="3" t="s">
        <v>31</v>
      </c>
      <c r="B12">
        <v>260</v>
      </c>
    </row>
    <row r="13" spans="1:2" ht="16.5">
      <c r="A13" s="3" t="s">
        <v>37</v>
      </c>
    </row>
    <row r="14" spans="1:2" ht="16.5">
      <c r="A14" s="3" t="s">
        <v>31</v>
      </c>
      <c r="B14">
        <v>210</v>
      </c>
    </row>
    <row r="15" spans="1:2" ht="16.5">
      <c r="A15" s="3" t="s">
        <v>38</v>
      </c>
    </row>
    <row r="16" spans="1:2" ht="16.5">
      <c r="A16" s="3" t="s">
        <v>31</v>
      </c>
      <c r="B16">
        <v>200000</v>
      </c>
    </row>
    <row r="17" spans="1:2" ht="16.5">
      <c r="A17" s="3" t="s">
        <v>39</v>
      </c>
    </row>
    <row r="18" spans="1:2" ht="16.5">
      <c r="A18" s="3" t="s">
        <v>35</v>
      </c>
    </row>
    <row r="19" spans="1:2" ht="16.5">
      <c r="A19" s="3" t="s">
        <v>36</v>
      </c>
    </row>
    <row r="20" spans="1:2" ht="16.5">
      <c r="A20" s="3" t="s">
        <v>31</v>
      </c>
      <c r="B20">
        <v>350</v>
      </c>
    </row>
    <row r="21" spans="1:2" ht="16.5">
      <c r="A21" s="3" t="s">
        <v>37</v>
      </c>
    </row>
    <row r="22" spans="1:2" ht="16.5">
      <c r="A22" s="3" t="s">
        <v>31</v>
      </c>
      <c r="B22">
        <v>280</v>
      </c>
    </row>
    <row r="23" spans="1:2" ht="16.5">
      <c r="A23" s="3" t="s">
        <v>38</v>
      </c>
    </row>
    <row r="24" spans="1:2" ht="16.5">
      <c r="A24" s="3" t="s">
        <v>31</v>
      </c>
      <c r="B24">
        <v>200000</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C39A-C1FE-4E81-96F8-FE26900C8179}">
  <dimension ref="A1:B9"/>
  <sheetViews>
    <sheetView workbookViewId="0">
      <selection activeCell="D6" sqref="D6"/>
    </sheetView>
  </sheetViews>
  <sheetFormatPr defaultRowHeight="15"/>
  <cols>
    <col min="1" max="1" width="70.28515625" customWidth="1"/>
  </cols>
  <sheetData>
    <row r="1" spans="1:2" ht="16.5">
      <c r="A1" s="3" t="s">
        <v>40</v>
      </c>
    </row>
    <row r="2" spans="1:2" ht="16.5">
      <c r="A2" s="5" t="s">
        <v>41</v>
      </c>
    </row>
    <row r="3" spans="1:2" ht="33">
      <c r="A3" s="3" t="s">
        <v>42</v>
      </c>
    </row>
    <row r="4" spans="1:2" ht="16.5">
      <c r="A4" s="4" t="s">
        <v>43</v>
      </c>
    </row>
    <row r="5" spans="1:2" ht="16.5">
      <c r="A5" s="3" t="s">
        <v>31</v>
      </c>
      <c r="B5">
        <v>14.5</v>
      </c>
    </row>
    <row r="6" spans="1:2" ht="16.5">
      <c r="A6" s="4" t="s">
        <v>44</v>
      </c>
    </row>
    <row r="7" spans="1:2" ht="16.5">
      <c r="A7" s="3" t="s">
        <v>31</v>
      </c>
      <c r="B7">
        <v>1.05</v>
      </c>
    </row>
    <row r="8" spans="1:2" ht="16.5">
      <c r="A8" s="4" t="s">
        <v>33</v>
      </c>
    </row>
    <row r="9" spans="1:2" ht="16.5">
      <c r="A9" s="3" t="s">
        <v>31</v>
      </c>
      <c r="B9">
        <v>30000</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B65E-9118-43EF-B256-83FCD856D421}">
  <dimension ref="A1:Q64"/>
  <sheetViews>
    <sheetView topLeftCell="A49" workbookViewId="0">
      <selection activeCell="H19" sqref="H19"/>
    </sheetView>
  </sheetViews>
  <sheetFormatPr defaultRowHeight="15"/>
  <cols>
    <col min="1" max="1" width="30.5703125" bestFit="1" customWidth="1"/>
    <col min="2" max="2" width="11.140625" customWidth="1"/>
    <col min="3" max="3" width="12" customWidth="1"/>
    <col min="4" max="4" width="10.28515625" style="2" bestFit="1" customWidth="1"/>
    <col min="5" max="5" width="6.85546875" style="1" bestFit="1" customWidth="1"/>
    <col min="6" max="6" width="14.42578125" customWidth="1"/>
    <col min="7" max="7" width="10.140625" style="6" bestFit="1" customWidth="1"/>
    <col min="8" max="8" width="7.7109375" customWidth="1"/>
    <col min="9" max="9" width="14" customWidth="1"/>
    <col min="10" max="10" width="5" bestFit="1" customWidth="1"/>
    <col min="11" max="11" width="7" bestFit="1" customWidth="1"/>
    <col min="12" max="12" width="5" bestFit="1" customWidth="1"/>
    <col min="13" max="13" width="7.7109375" customWidth="1"/>
    <col min="14" max="15" width="8.7109375" bestFit="1" customWidth="1"/>
    <col min="16" max="16" width="6.85546875" bestFit="1" customWidth="1"/>
    <col min="17" max="17" width="8.7109375" bestFit="1" customWidth="1"/>
  </cols>
  <sheetData>
    <row r="1" spans="1:8" ht="20.25">
      <c r="A1" s="700" t="s">
        <v>23</v>
      </c>
      <c r="B1" s="697" t="s">
        <v>24</v>
      </c>
      <c r="C1" s="697" t="s">
        <v>761</v>
      </c>
      <c r="D1" s="383" t="s">
        <v>13</v>
      </c>
      <c r="E1" s="697" t="s">
        <v>14</v>
      </c>
      <c r="F1" s="384" t="s">
        <v>25</v>
      </c>
    </row>
    <row r="2" spans="1:8" ht="19.5">
      <c r="A2" s="700"/>
      <c r="B2" s="697"/>
      <c r="C2" s="697"/>
      <c r="D2" s="384" t="s">
        <v>762</v>
      </c>
      <c r="E2" s="697"/>
      <c r="F2" s="384" t="s">
        <v>763</v>
      </c>
    </row>
    <row r="3" spans="1:8" ht="16.5">
      <c r="A3" s="385" t="s">
        <v>15</v>
      </c>
      <c r="B3" s="386">
        <v>10</v>
      </c>
      <c r="C3" s="386">
        <v>2</v>
      </c>
      <c r="D3" s="387">
        <f>B3*C3/1000</f>
        <v>0.02</v>
      </c>
      <c r="E3" s="386">
        <v>1.2</v>
      </c>
      <c r="F3" s="388">
        <f>D3*E3</f>
        <v>2.4E-2</v>
      </c>
    </row>
    <row r="4" spans="1:8" ht="16.5">
      <c r="A4" s="385" t="s">
        <v>26</v>
      </c>
      <c r="B4" s="386">
        <v>35</v>
      </c>
      <c r="C4" s="386">
        <v>1.8</v>
      </c>
      <c r="D4" s="387">
        <f>B4*C4/1000</f>
        <v>6.3E-2</v>
      </c>
      <c r="E4" s="386">
        <v>1.3</v>
      </c>
      <c r="F4" s="388">
        <f>D4*E4</f>
        <v>8.1900000000000001E-2</v>
      </c>
    </row>
    <row r="5" spans="1:8" ht="16.5">
      <c r="A5" s="385" t="s">
        <v>17</v>
      </c>
      <c r="B5" s="389">
        <f>TH!$E$45</f>
        <v>100</v>
      </c>
      <c r="C5" s="386">
        <v>2.5</v>
      </c>
      <c r="D5" s="387">
        <f>B5*C5/1000</f>
        <v>0.25</v>
      </c>
      <c r="E5" s="386">
        <v>1.1000000000000001</v>
      </c>
      <c r="F5" s="388">
        <f>D5*E5</f>
        <v>0.27500000000000002</v>
      </c>
    </row>
    <row r="6" spans="1:8" ht="16.5">
      <c r="A6" s="385" t="s">
        <v>19</v>
      </c>
      <c r="B6" s="386">
        <v>15</v>
      </c>
      <c r="C6" s="386">
        <v>1.8</v>
      </c>
      <c r="D6" s="387">
        <f>B6*C6/1000</f>
        <v>2.7E-2</v>
      </c>
      <c r="E6" s="386">
        <v>1.3</v>
      </c>
      <c r="F6" s="388">
        <f>D6*E6</f>
        <v>3.5099999999999999E-2</v>
      </c>
    </row>
    <row r="7" spans="1:8" ht="16.5">
      <c r="A7" s="385" t="s">
        <v>20</v>
      </c>
      <c r="B7" s="386"/>
      <c r="C7" s="386"/>
      <c r="D7" s="387">
        <v>0.05</v>
      </c>
      <c r="E7" s="386">
        <v>1.2</v>
      </c>
      <c r="F7" s="388">
        <f>D7*E7</f>
        <v>0.06</v>
      </c>
    </row>
    <row r="8" spans="1:8" ht="16.5">
      <c r="A8" s="698" t="s">
        <v>21</v>
      </c>
      <c r="B8" s="698"/>
      <c r="C8" s="698"/>
      <c r="D8" s="383">
        <f>SUM(D3:D7)</f>
        <v>0.41000000000000003</v>
      </c>
      <c r="E8" s="390"/>
      <c r="F8" s="383">
        <f>SUM(F3:F7)</f>
        <v>0.47600000000000003</v>
      </c>
      <c r="H8" s="40">
        <f>F8-F5</f>
        <v>0.20100000000000001</v>
      </c>
    </row>
    <row r="10" spans="1:8" ht="17.25">
      <c r="A10" s="699" t="s">
        <v>27</v>
      </c>
      <c r="B10" s="699"/>
      <c r="C10" s="699"/>
      <c r="D10" s="699"/>
      <c r="E10" s="699"/>
      <c r="F10" s="699"/>
    </row>
    <row r="12" spans="1:8" ht="20.25" customHeight="1">
      <c r="A12" s="697" t="s">
        <v>12</v>
      </c>
      <c r="B12" s="697" t="s">
        <v>24</v>
      </c>
      <c r="C12" s="697" t="s">
        <v>761</v>
      </c>
      <c r="D12" s="383" t="s">
        <v>13</v>
      </c>
      <c r="E12" s="697" t="s">
        <v>14</v>
      </c>
      <c r="F12" s="384" t="s">
        <v>25</v>
      </c>
    </row>
    <row r="13" spans="1:8" ht="19.5">
      <c r="A13" s="697"/>
      <c r="B13" s="697"/>
      <c r="C13" s="697"/>
      <c r="D13" s="384" t="s">
        <v>762</v>
      </c>
      <c r="E13" s="697"/>
      <c r="F13" s="384" t="s">
        <v>763</v>
      </c>
    </row>
    <row r="14" spans="1:8" ht="16.5">
      <c r="A14" s="385" t="s">
        <v>15</v>
      </c>
      <c r="B14" s="386">
        <v>10</v>
      </c>
      <c r="C14" s="386">
        <v>2</v>
      </c>
      <c r="D14" s="387">
        <f>B14*C14/1000</f>
        <v>0.02</v>
      </c>
      <c r="E14" s="386">
        <v>1.2</v>
      </c>
      <c r="F14" s="386">
        <f t="shared" ref="F14:F19" si="0">E14*D14</f>
        <v>2.4E-2</v>
      </c>
    </row>
    <row r="15" spans="1:8" ht="16.5">
      <c r="A15" s="385" t="s">
        <v>16</v>
      </c>
      <c r="B15" s="386">
        <v>50</v>
      </c>
      <c r="C15" s="386">
        <v>1.8</v>
      </c>
      <c r="D15" s="387">
        <f>B15*C15/1000</f>
        <v>0.09</v>
      </c>
      <c r="E15" s="386">
        <v>1.3</v>
      </c>
      <c r="F15" s="386">
        <f t="shared" si="0"/>
        <v>0.11699999999999999</v>
      </c>
    </row>
    <row r="16" spans="1:8" ht="16.5">
      <c r="A16" s="385" t="s">
        <v>17</v>
      </c>
      <c r="B16" s="389">
        <f>TH!$E$45</f>
        <v>100</v>
      </c>
      <c r="C16" s="386">
        <v>2.5</v>
      </c>
      <c r="D16" s="387">
        <f>B16*C16/1000</f>
        <v>0.25</v>
      </c>
      <c r="E16" s="386">
        <v>1.1000000000000001</v>
      </c>
      <c r="F16" s="386">
        <f t="shared" si="0"/>
        <v>0.27500000000000002</v>
      </c>
    </row>
    <row r="17" spans="1:17" ht="16.5">
      <c r="A17" s="385" t="s">
        <v>18</v>
      </c>
      <c r="B17" s="386">
        <v>3</v>
      </c>
      <c r="C17" s="386">
        <v>1</v>
      </c>
      <c r="D17" s="387">
        <f>B17*C17/1000</f>
        <v>3.0000000000000001E-3</v>
      </c>
      <c r="E17" s="386">
        <v>1.3</v>
      </c>
      <c r="F17" s="386">
        <f t="shared" si="0"/>
        <v>3.9000000000000003E-3</v>
      </c>
    </row>
    <row r="18" spans="1:17" ht="16.5">
      <c r="A18" s="385" t="s">
        <v>19</v>
      </c>
      <c r="B18" s="386">
        <v>15</v>
      </c>
      <c r="C18" s="386">
        <v>1.8</v>
      </c>
      <c r="D18" s="387">
        <f>B18*C18/1000</f>
        <v>2.7E-2</v>
      </c>
      <c r="E18" s="386">
        <v>1.3</v>
      </c>
      <c r="F18" s="386">
        <f t="shared" si="0"/>
        <v>3.5099999999999999E-2</v>
      </c>
    </row>
    <row r="19" spans="1:17" ht="16.5">
      <c r="A19" s="385" t="s">
        <v>20</v>
      </c>
      <c r="B19" s="386"/>
      <c r="C19" s="386"/>
      <c r="D19" s="387">
        <v>0.05</v>
      </c>
      <c r="E19" s="386">
        <v>1.2</v>
      </c>
      <c r="F19" s="386">
        <f t="shared" si="0"/>
        <v>0.06</v>
      </c>
    </row>
    <row r="20" spans="1:17" ht="16.5">
      <c r="A20" s="698" t="s">
        <v>21</v>
      </c>
      <c r="B20" s="698"/>
      <c r="C20" s="698"/>
      <c r="D20" s="383">
        <f>SUM(D14:D19)</f>
        <v>0.44</v>
      </c>
      <c r="E20" s="386"/>
      <c r="F20" s="384">
        <f>SUM(F14:F19)</f>
        <v>0.51500000000000012</v>
      </c>
      <c r="H20" s="40">
        <f>F20-F16</f>
        <v>0.2400000000000001</v>
      </c>
    </row>
    <row r="22" spans="1:17" ht="17.25">
      <c r="A22" s="699" t="s">
        <v>22</v>
      </c>
      <c r="B22" s="699"/>
      <c r="C22" s="699"/>
      <c r="D22" s="699"/>
      <c r="E22" s="699"/>
      <c r="F22" s="699"/>
    </row>
    <row r="24" spans="1:17" ht="20.25" customHeight="1">
      <c r="A24" s="697" t="s">
        <v>12</v>
      </c>
      <c r="B24" s="697" t="s">
        <v>24</v>
      </c>
      <c r="C24" s="697" t="s">
        <v>761</v>
      </c>
      <c r="D24" s="383" t="s">
        <v>13</v>
      </c>
      <c r="E24" s="697" t="s">
        <v>14</v>
      </c>
      <c r="F24" s="384" t="s">
        <v>25</v>
      </c>
    </row>
    <row r="25" spans="1:17" ht="19.5">
      <c r="A25" s="697"/>
      <c r="B25" s="697"/>
      <c r="C25" s="697"/>
      <c r="D25" s="384" t="s">
        <v>762</v>
      </c>
      <c r="E25" s="697"/>
      <c r="F25" s="384" t="s">
        <v>763</v>
      </c>
    </row>
    <row r="26" spans="1:17" ht="17.25" customHeight="1">
      <c r="A26" s="385" t="s">
        <v>46</v>
      </c>
      <c r="B26" s="391"/>
      <c r="C26" s="391"/>
      <c r="D26" s="387"/>
      <c r="E26" s="386"/>
      <c r="F26" s="386"/>
    </row>
    <row r="27" spans="1:17" ht="16.5">
      <c r="A27" s="385" t="s">
        <v>47</v>
      </c>
      <c r="B27" s="391">
        <v>10</v>
      </c>
      <c r="C27" s="391">
        <v>2</v>
      </c>
      <c r="D27" s="387">
        <f>C27*B27/1000</f>
        <v>0.02</v>
      </c>
      <c r="E27" s="386">
        <v>1.2</v>
      </c>
      <c r="F27" s="386">
        <f>E27*D27</f>
        <v>2.4E-2</v>
      </c>
    </row>
    <row r="28" spans="1:17" ht="20.25">
      <c r="A28" s="385" t="s">
        <v>48</v>
      </c>
      <c r="B28" s="391">
        <v>35</v>
      </c>
      <c r="C28" s="391">
        <v>1.8</v>
      </c>
      <c r="D28" s="387">
        <f>C28*B28/1000</f>
        <v>6.3E-2</v>
      </c>
      <c r="E28" s="386">
        <v>1.3</v>
      </c>
      <c r="F28" s="386">
        <f>E28*D28</f>
        <v>8.1900000000000001E-2</v>
      </c>
      <c r="H28" s="696" t="s">
        <v>50</v>
      </c>
      <c r="I28" s="696" t="s">
        <v>51</v>
      </c>
      <c r="J28" s="384" t="s">
        <v>52</v>
      </c>
      <c r="K28" s="384" t="s">
        <v>53</v>
      </c>
      <c r="L28" s="384" t="s">
        <v>54</v>
      </c>
      <c r="M28" s="384" t="s">
        <v>55</v>
      </c>
      <c r="N28" s="392" t="s">
        <v>97</v>
      </c>
      <c r="O28" s="384" t="s">
        <v>56</v>
      </c>
      <c r="P28" s="384" t="s">
        <v>14</v>
      </c>
      <c r="Q28" s="384" t="s">
        <v>57</v>
      </c>
    </row>
    <row r="29" spans="1:17" ht="19.5">
      <c r="A29" s="385" t="s">
        <v>49</v>
      </c>
      <c r="B29" s="391">
        <v>15</v>
      </c>
      <c r="C29" s="391">
        <v>1.8</v>
      </c>
      <c r="D29" s="387">
        <f>C29*B29/1000</f>
        <v>2.7E-2</v>
      </c>
      <c r="E29" s="386">
        <v>1.3</v>
      </c>
      <c r="F29" s="386">
        <f>E29*D29</f>
        <v>3.5099999999999999E-2</v>
      </c>
      <c r="H29" s="696"/>
      <c r="I29" s="696"/>
      <c r="J29" s="384" t="s">
        <v>58</v>
      </c>
      <c r="K29" s="393" t="s">
        <v>59</v>
      </c>
      <c r="L29" s="384" t="s">
        <v>58</v>
      </c>
      <c r="M29" s="384" t="s">
        <v>60</v>
      </c>
      <c r="N29" s="394" t="s">
        <v>768</v>
      </c>
      <c r="O29" s="394" t="s">
        <v>769</v>
      </c>
      <c r="P29" s="384"/>
      <c r="Q29" s="394" t="s">
        <v>769</v>
      </c>
    </row>
    <row r="30" spans="1:17" ht="16.5">
      <c r="A30" s="385" t="s">
        <v>20</v>
      </c>
      <c r="B30" s="391"/>
      <c r="C30" s="391"/>
      <c r="D30" s="387">
        <v>0.05</v>
      </c>
      <c r="E30" s="386">
        <v>1.2</v>
      </c>
      <c r="F30" s="386">
        <f>E30*D30</f>
        <v>0.06</v>
      </c>
      <c r="H30" s="395">
        <v>1</v>
      </c>
      <c r="I30" s="395" t="s">
        <v>61</v>
      </c>
      <c r="J30" s="386">
        <v>0.1</v>
      </c>
      <c r="K30" s="386">
        <f>5.8+3.8</f>
        <v>9.6</v>
      </c>
      <c r="L30" s="386">
        <v>3.6</v>
      </c>
      <c r="M30" s="386">
        <f>5.8*3.8</f>
        <v>22.04</v>
      </c>
      <c r="N30" s="395">
        <v>1.8</v>
      </c>
      <c r="O30" s="395">
        <f>ROUND((J30*K30*L30)/M30*N30,solethapphan)</f>
        <v>0.28000000000000003</v>
      </c>
      <c r="P30" s="396">
        <v>1.1000000000000001</v>
      </c>
      <c r="Q30" s="395">
        <f>ROUND(O30*P30,solethapphan)</f>
        <v>0.31</v>
      </c>
    </row>
    <row r="31" spans="1:17" ht="16.5">
      <c r="A31" s="385" t="s">
        <v>21</v>
      </c>
      <c r="B31" s="391"/>
      <c r="C31" s="391"/>
      <c r="D31" s="383">
        <f>SUM(D26:D30)</f>
        <v>0.16</v>
      </c>
      <c r="E31" s="386"/>
      <c r="F31" s="384">
        <f>SUM(F26:F30)</f>
        <v>0.20099999999999998</v>
      </c>
      <c r="H31" s="395">
        <v>2</v>
      </c>
      <c r="I31" s="395" t="s">
        <v>767</v>
      </c>
      <c r="J31" s="386">
        <v>0.2</v>
      </c>
      <c r="K31" s="386">
        <f>5.8+3.8</f>
        <v>9.6</v>
      </c>
      <c r="L31" s="386">
        <v>3.6</v>
      </c>
      <c r="M31" s="386">
        <f>5.8*3.8</f>
        <v>22.04</v>
      </c>
      <c r="N31" s="395">
        <v>3.6</v>
      </c>
      <c r="O31" s="395">
        <f>ROUND((J31*K31*L31)/M31*N31,solethapphan)</f>
        <v>1.1299999999999999</v>
      </c>
      <c r="P31" s="396">
        <v>1.2</v>
      </c>
      <c r="Q31" s="395">
        <f>ROUND(O31*P31,solethapphan)</f>
        <v>1.36</v>
      </c>
    </row>
    <row r="32" spans="1:17" ht="16.5">
      <c r="H32" s="395"/>
      <c r="I32" s="395"/>
      <c r="J32" s="386"/>
      <c r="K32" s="386"/>
      <c r="L32" s="386"/>
      <c r="M32" s="386"/>
      <c r="N32" s="395"/>
      <c r="O32" s="395"/>
      <c r="P32" s="396"/>
      <c r="Q32" s="395"/>
    </row>
    <row r="33" spans="1:17" ht="17.25">
      <c r="A33" s="699" t="s">
        <v>45</v>
      </c>
      <c r="B33" s="699"/>
      <c r="C33" s="699"/>
      <c r="D33" s="699"/>
      <c r="E33" s="699"/>
      <c r="F33" s="699"/>
      <c r="H33" s="8" t="s">
        <v>766</v>
      </c>
    </row>
    <row r="35" spans="1:17" ht="21.75" customHeight="1">
      <c r="H35" s="696" t="s">
        <v>50</v>
      </c>
      <c r="I35" s="696" t="s">
        <v>51</v>
      </c>
      <c r="J35" s="384" t="s">
        <v>52</v>
      </c>
      <c r="K35" s="384" t="s">
        <v>53</v>
      </c>
      <c r="L35" s="384" t="s">
        <v>54</v>
      </c>
      <c r="M35" s="384" t="s">
        <v>55</v>
      </c>
      <c r="N35" s="392" t="s">
        <v>97</v>
      </c>
      <c r="O35" s="384" t="s">
        <v>56</v>
      </c>
      <c r="P35" s="384" t="s">
        <v>14</v>
      </c>
      <c r="Q35" s="384" t="s">
        <v>57</v>
      </c>
    </row>
    <row r="36" spans="1:17" ht="19.5">
      <c r="H36" s="696"/>
      <c r="I36" s="696"/>
      <c r="J36" s="384" t="s">
        <v>58</v>
      </c>
      <c r="K36" s="393" t="s">
        <v>59</v>
      </c>
      <c r="L36" s="384" t="s">
        <v>58</v>
      </c>
      <c r="M36" s="384" t="s">
        <v>60</v>
      </c>
      <c r="N36" s="394" t="s">
        <v>768</v>
      </c>
      <c r="O36" s="394" t="s">
        <v>769</v>
      </c>
      <c r="P36" s="384"/>
      <c r="Q36" s="394" t="s">
        <v>769</v>
      </c>
    </row>
    <row r="37" spans="1:17" ht="16.5">
      <c r="H37" s="395">
        <v>1</v>
      </c>
      <c r="I37" s="395" t="s">
        <v>61</v>
      </c>
      <c r="J37" s="386">
        <v>0.1</v>
      </c>
      <c r="K37" s="386">
        <f>3.8*2+4.3*2+1.375*2</f>
        <v>18.95</v>
      </c>
      <c r="L37" s="386">
        <v>3.6</v>
      </c>
      <c r="M37" s="386">
        <f>H42*I42</f>
        <v>22.04</v>
      </c>
      <c r="N37" s="395">
        <v>1.8</v>
      </c>
      <c r="O37" s="395">
        <f>ROUND((J37*K37*L37)/M37*N37,solethapphan)</f>
        <v>0.56000000000000005</v>
      </c>
      <c r="P37" s="395">
        <v>1.1000000000000001</v>
      </c>
      <c r="Q37" s="395">
        <f>ROUND(O37*P37,solethapphan)</f>
        <v>0.62</v>
      </c>
    </row>
    <row r="39" spans="1:17" ht="17.25">
      <c r="B39" s="8"/>
      <c r="C39" s="8"/>
      <c r="D39" s="8"/>
      <c r="E39" s="8"/>
      <c r="F39" s="8"/>
      <c r="G39" s="8"/>
      <c r="H39" s="8" t="s">
        <v>228</v>
      </c>
      <c r="I39" s="8"/>
      <c r="J39" s="8"/>
      <c r="Q39" s="398">
        <f>Q37+F20</f>
        <v>1.1350000000000002</v>
      </c>
    </row>
    <row r="41" spans="1:17">
      <c r="G41" s="6" t="s">
        <v>230</v>
      </c>
      <c r="H41" t="s">
        <v>229</v>
      </c>
    </row>
    <row r="42" spans="1:17">
      <c r="G42" s="6" t="s">
        <v>113</v>
      </c>
      <c r="H42">
        <v>3.8</v>
      </c>
      <c r="I42">
        <v>5.8</v>
      </c>
    </row>
    <row r="44" spans="1:17" ht="20.25">
      <c r="H44" s="696" t="s">
        <v>50</v>
      </c>
      <c r="I44" s="696" t="s">
        <v>51</v>
      </c>
      <c r="J44" s="384" t="s">
        <v>52</v>
      </c>
      <c r="K44" s="384" t="s">
        <v>53</v>
      </c>
      <c r="L44" s="384" t="s">
        <v>54</v>
      </c>
      <c r="M44" s="384" t="s">
        <v>55</v>
      </c>
      <c r="N44" s="392" t="s">
        <v>97</v>
      </c>
      <c r="O44" s="384" t="s">
        <v>56</v>
      </c>
      <c r="P44" s="384" t="s">
        <v>14</v>
      </c>
      <c r="Q44" s="384" t="s">
        <v>57</v>
      </c>
    </row>
    <row r="45" spans="1:17" ht="19.5">
      <c r="H45" s="696"/>
      <c r="I45" s="696"/>
      <c r="J45" s="384" t="s">
        <v>58</v>
      </c>
      <c r="K45" s="393" t="s">
        <v>59</v>
      </c>
      <c r="L45" s="384" t="s">
        <v>58</v>
      </c>
      <c r="M45" s="384" t="s">
        <v>60</v>
      </c>
      <c r="N45" s="394" t="s">
        <v>768</v>
      </c>
      <c r="O45" s="394" t="s">
        <v>769</v>
      </c>
      <c r="P45" s="384"/>
      <c r="Q45" s="394" t="s">
        <v>769</v>
      </c>
    </row>
    <row r="46" spans="1:17" ht="16.5">
      <c r="H46" s="395">
        <v>1</v>
      </c>
      <c r="I46" s="395" t="s">
        <v>61</v>
      </c>
      <c r="J46" s="386">
        <v>0.1</v>
      </c>
      <c r="K46" s="386">
        <v>3.8</v>
      </c>
      <c r="L46" s="386">
        <v>3.6</v>
      </c>
      <c r="M46" s="386">
        <f>H51*I51</f>
        <v>20.139999999999997</v>
      </c>
      <c r="N46" s="395">
        <v>1.8</v>
      </c>
      <c r="O46" s="395">
        <f>ROUND((J46*K46*L46)/M46*N46,solethapphan)</f>
        <v>0.12</v>
      </c>
      <c r="P46" s="396">
        <v>1.1000000000000001</v>
      </c>
      <c r="Q46" s="395">
        <f>ROUND(O46*P46,solethapphan)</f>
        <v>0.13</v>
      </c>
    </row>
    <row r="48" spans="1:17" ht="17.25">
      <c r="G48" s="8"/>
      <c r="H48" s="8" t="s">
        <v>231</v>
      </c>
      <c r="I48" s="8"/>
      <c r="J48" s="8"/>
      <c r="Q48" s="398">
        <f>Q46+F8</f>
        <v>0.60600000000000009</v>
      </c>
    </row>
    <row r="50" spans="2:9">
      <c r="G50" s="6" t="s">
        <v>230</v>
      </c>
      <c r="H50" t="s">
        <v>229</v>
      </c>
    </row>
    <row r="51" spans="2:9">
      <c r="G51" s="6" t="s">
        <v>113</v>
      </c>
      <c r="H51">
        <v>3.8</v>
      </c>
      <c r="I51">
        <v>5.3</v>
      </c>
    </row>
    <row r="55" spans="2:9" ht="15.75" thickBot="1"/>
    <row r="56" spans="2:9" ht="49.5">
      <c r="B56" s="701" t="s">
        <v>491</v>
      </c>
      <c r="C56" s="704" t="s">
        <v>492</v>
      </c>
      <c r="D56" s="264" t="s">
        <v>493</v>
      </c>
      <c r="E56" s="264" t="s">
        <v>493</v>
      </c>
      <c r="F56" s="264" t="s">
        <v>495</v>
      </c>
      <c r="G56" s="264" t="s">
        <v>497</v>
      </c>
      <c r="H56" s="264" t="s">
        <v>498</v>
      </c>
    </row>
    <row r="57" spans="2:9" ht="49.5">
      <c r="B57" s="702"/>
      <c r="C57" s="705"/>
      <c r="D57" s="265" t="s">
        <v>58</v>
      </c>
      <c r="E57" s="265" t="s">
        <v>494</v>
      </c>
      <c r="F57" s="265" t="s">
        <v>496</v>
      </c>
      <c r="G57" s="265" t="s">
        <v>14</v>
      </c>
      <c r="H57" s="265" t="s">
        <v>499</v>
      </c>
    </row>
    <row r="58" spans="2:9" ht="17.25" thickBot="1">
      <c r="B58" s="703"/>
      <c r="C58" s="706"/>
      <c r="D58" s="266"/>
      <c r="E58" s="267" t="s">
        <v>58</v>
      </c>
      <c r="F58" s="266"/>
      <c r="G58" s="266"/>
      <c r="H58" s="266"/>
    </row>
    <row r="59" spans="2:9" ht="33.75" thickBot="1">
      <c r="B59" s="707" t="s">
        <v>200</v>
      </c>
      <c r="C59" s="268" t="s">
        <v>518</v>
      </c>
      <c r="D59" s="263" t="s">
        <v>500</v>
      </c>
      <c r="E59" s="263" t="s">
        <v>501</v>
      </c>
      <c r="F59" s="263">
        <v>2400</v>
      </c>
      <c r="G59" s="263">
        <v>1.2</v>
      </c>
      <c r="H59" s="263" t="s">
        <v>502</v>
      </c>
    </row>
    <row r="60" spans="2:9" ht="33.75" thickBot="1">
      <c r="B60" s="708"/>
      <c r="C60" s="268" t="s">
        <v>503</v>
      </c>
      <c r="D60" s="263" t="s">
        <v>500</v>
      </c>
      <c r="E60" s="263" t="s">
        <v>501</v>
      </c>
      <c r="F60" s="263">
        <v>1800</v>
      </c>
      <c r="G60" s="263">
        <v>1.3</v>
      </c>
      <c r="H60" s="263" t="s">
        <v>504</v>
      </c>
    </row>
    <row r="61" spans="2:9" ht="33.75" thickBot="1">
      <c r="B61" s="708"/>
      <c r="C61" s="268" t="s">
        <v>519</v>
      </c>
      <c r="D61" s="263" t="s">
        <v>505</v>
      </c>
      <c r="E61" s="263" t="s">
        <v>506</v>
      </c>
      <c r="F61" s="263">
        <v>1800</v>
      </c>
      <c r="G61" s="263">
        <v>1.2</v>
      </c>
      <c r="H61" s="263" t="s">
        <v>507</v>
      </c>
    </row>
    <row r="62" spans="2:9" ht="33.75" thickBot="1">
      <c r="B62" s="708"/>
      <c r="C62" s="268" t="s">
        <v>508</v>
      </c>
      <c r="D62" s="263" t="s">
        <v>509</v>
      </c>
      <c r="E62" s="263" t="s">
        <v>510</v>
      </c>
      <c r="F62" s="263">
        <v>2500</v>
      </c>
      <c r="G62" s="263">
        <v>1.1000000000000001</v>
      </c>
      <c r="H62" s="263" t="s">
        <v>511</v>
      </c>
    </row>
    <row r="63" spans="2:9" ht="33.75" thickBot="1">
      <c r="B63" s="709"/>
      <c r="C63" s="268" t="s">
        <v>512</v>
      </c>
      <c r="D63" s="263" t="s">
        <v>513</v>
      </c>
      <c r="E63" s="263" t="s">
        <v>514</v>
      </c>
      <c r="F63" s="263">
        <v>1800</v>
      </c>
      <c r="G63" s="263">
        <v>1.3</v>
      </c>
      <c r="H63" s="263" t="s">
        <v>515</v>
      </c>
    </row>
    <row r="64" spans="2:9" ht="33.75" thickBot="1">
      <c r="B64" s="710" t="s">
        <v>516</v>
      </c>
      <c r="C64" s="711"/>
      <c r="D64" s="711"/>
      <c r="E64" s="711"/>
      <c r="F64" s="711"/>
      <c r="G64" s="712"/>
      <c r="H64" s="263" t="s">
        <v>517</v>
      </c>
    </row>
  </sheetData>
  <mergeCells count="27">
    <mergeCell ref="B56:B58"/>
    <mergeCell ref="C56:C58"/>
    <mergeCell ref="B59:B63"/>
    <mergeCell ref="B64:G64"/>
    <mergeCell ref="A24:A25"/>
    <mergeCell ref="C24:C25"/>
    <mergeCell ref="E24:E25"/>
    <mergeCell ref="B24:B25"/>
    <mergeCell ref="A33:F33"/>
    <mergeCell ref="A10:F10"/>
    <mergeCell ref="A1:A2"/>
    <mergeCell ref="B1:B2"/>
    <mergeCell ref="C1:C2"/>
    <mergeCell ref="E1:E2"/>
    <mergeCell ref="A8:C8"/>
    <mergeCell ref="A12:A13"/>
    <mergeCell ref="C12:C13"/>
    <mergeCell ref="E12:E13"/>
    <mergeCell ref="A20:C20"/>
    <mergeCell ref="A22:F22"/>
    <mergeCell ref="B12:B13"/>
    <mergeCell ref="H28:H29"/>
    <mergeCell ref="I28:I29"/>
    <mergeCell ref="H44:H45"/>
    <mergeCell ref="I44:I45"/>
    <mergeCell ref="H35:H36"/>
    <mergeCell ref="I35:I36"/>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BD06-52BF-40D9-A3FA-CDE2F2507A09}">
  <dimension ref="A1:W41"/>
  <sheetViews>
    <sheetView topLeftCell="H4" workbookViewId="0">
      <selection activeCell="O26" sqref="O26"/>
    </sheetView>
  </sheetViews>
  <sheetFormatPr defaultRowHeight="15"/>
  <cols>
    <col min="1" max="1" width="26.85546875" customWidth="1"/>
    <col min="2" max="2" width="13.140625" customWidth="1"/>
    <col min="4" max="4" width="12.7109375" customWidth="1"/>
    <col min="9" max="9" width="38.28515625" bestFit="1" customWidth="1"/>
    <col min="17" max="17" width="14.140625" customWidth="1"/>
    <col min="20" max="20" width="10.42578125" bestFit="1" customWidth="1"/>
    <col min="22" max="22" width="10" bestFit="1" customWidth="1"/>
    <col min="23" max="23" width="11.85546875" bestFit="1" customWidth="1"/>
  </cols>
  <sheetData>
    <row r="1" spans="1:14" ht="19.5">
      <c r="A1" s="384" t="s">
        <v>63</v>
      </c>
      <c r="B1" s="384" t="s">
        <v>764</v>
      </c>
      <c r="C1" s="384" t="s">
        <v>14</v>
      </c>
      <c r="D1" s="384" t="s">
        <v>765</v>
      </c>
    </row>
    <row r="2" spans="1:14" ht="16.5">
      <c r="A2" s="385" t="s">
        <v>64</v>
      </c>
      <c r="B2" s="386">
        <v>0.3</v>
      </c>
      <c r="C2" s="386">
        <v>1.2</v>
      </c>
      <c r="D2" s="388">
        <f t="shared" ref="D2:D7" si="0">C2*B2</f>
        <v>0.36</v>
      </c>
    </row>
    <row r="3" spans="1:14" ht="16.5">
      <c r="A3" s="385" t="s">
        <v>65</v>
      </c>
      <c r="B3" s="386">
        <v>0.15</v>
      </c>
      <c r="C3" s="386">
        <v>1.3</v>
      </c>
      <c r="D3" s="388">
        <f t="shared" si="0"/>
        <v>0.19500000000000001</v>
      </c>
    </row>
    <row r="4" spans="1:14" ht="16.5">
      <c r="A4" s="385" t="s">
        <v>66</v>
      </c>
      <c r="B4" s="386">
        <v>0.2</v>
      </c>
      <c r="C4" s="386">
        <v>1.2</v>
      </c>
      <c r="D4" s="388">
        <f t="shared" si="0"/>
        <v>0.24</v>
      </c>
    </row>
    <row r="5" spans="1:14" ht="16.5">
      <c r="A5" s="385" t="s">
        <v>202</v>
      </c>
      <c r="B5" s="386">
        <v>0.4</v>
      </c>
      <c r="C5" s="386">
        <v>1.2</v>
      </c>
      <c r="D5" s="388">
        <f t="shared" si="0"/>
        <v>0.48</v>
      </c>
    </row>
    <row r="6" spans="1:14" ht="16.5">
      <c r="A6" s="385" t="s">
        <v>203</v>
      </c>
      <c r="B6" s="386">
        <v>0.7</v>
      </c>
      <c r="C6" s="386">
        <v>1.2</v>
      </c>
      <c r="D6" s="388">
        <f t="shared" si="0"/>
        <v>0.84</v>
      </c>
    </row>
    <row r="7" spans="1:14" ht="16.5">
      <c r="A7" s="385" t="s">
        <v>67</v>
      </c>
      <c r="B7" s="386">
        <v>0.3</v>
      </c>
      <c r="C7" s="386">
        <v>1.2</v>
      </c>
      <c r="D7" s="388">
        <f t="shared" si="0"/>
        <v>0.36</v>
      </c>
    </row>
    <row r="8" spans="1:14">
      <c r="B8" s="397"/>
      <c r="C8" s="397"/>
      <c r="D8" s="397"/>
    </row>
    <row r="9" spans="1:14" ht="17.25">
      <c r="A9" s="699" t="s">
        <v>68</v>
      </c>
      <c r="B9" s="699"/>
      <c r="C9" s="699"/>
      <c r="D9" s="699"/>
    </row>
    <row r="12" spans="1:14" ht="16.5">
      <c r="H12" s="715" t="s">
        <v>120</v>
      </c>
      <c r="I12" s="716" t="s">
        <v>653</v>
      </c>
      <c r="J12" s="717" t="s">
        <v>654</v>
      </c>
      <c r="K12" s="717"/>
      <c r="L12" s="717"/>
      <c r="M12" s="343" t="s">
        <v>655</v>
      </c>
      <c r="N12" s="343" t="s">
        <v>199</v>
      </c>
    </row>
    <row r="13" spans="1:14" ht="33" customHeight="1">
      <c r="H13" s="715"/>
      <c r="I13" s="716"/>
      <c r="J13" s="717"/>
      <c r="K13" s="717"/>
      <c r="L13" s="717"/>
      <c r="M13" s="713" t="s">
        <v>656</v>
      </c>
      <c r="N13" s="713" t="s">
        <v>664</v>
      </c>
    </row>
    <row r="14" spans="1:14" ht="49.5">
      <c r="H14" s="715"/>
      <c r="I14" s="716"/>
      <c r="J14" s="343" t="s">
        <v>666</v>
      </c>
      <c r="K14" s="343" t="s">
        <v>665</v>
      </c>
      <c r="L14" s="344" t="s">
        <v>657</v>
      </c>
      <c r="M14" s="714"/>
      <c r="N14" s="714"/>
    </row>
    <row r="15" spans="1:14" ht="16.5">
      <c r="H15" s="341">
        <v>1</v>
      </c>
      <c r="I15" s="342" t="s">
        <v>658</v>
      </c>
      <c r="J15" s="341">
        <v>1.8</v>
      </c>
      <c r="K15" s="341">
        <v>3.2</v>
      </c>
      <c r="L15" s="341">
        <v>5</v>
      </c>
      <c r="M15" s="341">
        <v>1.2</v>
      </c>
      <c r="N15" s="341">
        <f>L15*M15</f>
        <v>6</v>
      </c>
    </row>
    <row r="16" spans="1:14" ht="16.5">
      <c r="H16" s="341">
        <v>2</v>
      </c>
      <c r="I16" s="342" t="s">
        <v>659</v>
      </c>
      <c r="J16" s="341">
        <v>1.4</v>
      </c>
      <c r="K16" s="341">
        <v>2.6</v>
      </c>
      <c r="L16" s="341">
        <v>4</v>
      </c>
      <c r="M16" s="341">
        <v>1.2</v>
      </c>
      <c r="N16" s="341">
        <f t="shared" ref="N16:N21" si="1">L16*M16</f>
        <v>4.8</v>
      </c>
    </row>
    <row r="17" spans="8:23" ht="16.5">
      <c r="H17" s="341">
        <v>3</v>
      </c>
      <c r="I17" s="342" t="s">
        <v>667</v>
      </c>
      <c r="J17" s="341">
        <v>1</v>
      </c>
      <c r="K17" s="341">
        <v>2</v>
      </c>
      <c r="L17" s="341">
        <v>3</v>
      </c>
      <c r="M17" s="341">
        <v>1.2</v>
      </c>
      <c r="N17" s="341">
        <f t="shared" si="1"/>
        <v>3.5999999999999996</v>
      </c>
    </row>
    <row r="18" spans="8:23" ht="16.5">
      <c r="H18" s="341">
        <v>4</v>
      </c>
      <c r="I18" s="342" t="s">
        <v>660</v>
      </c>
      <c r="J18" s="341">
        <v>4.8</v>
      </c>
      <c r="K18" s="341">
        <v>0</v>
      </c>
      <c r="L18" s="341">
        <v>4.8</v>
      </c>
      <c r="M18" s="341">
        <v>1.2</v>
      </c>
      <c r="N18" s="341">
        <f t="shared" si="1"/>
        <v>5.76</v>
      </c>
    </row>
    <row r="19" spans="8:23" ht="16.5">
      <c r="H19" s="341">
        <v>5</v>
      </c>
      <c r="I19" s="342" t="s">
        <v>661</v>
      </c>
      <c r="J19" s="341">
        <v>1</v>
      </c>
      <c r="K19" s="341">
        <v>1</v>
      </c>
      <c r="L19" s="341">
        <v>2</v>
      </c>
      <c r="M19" s="341">
        <v>1.2</v>
      </c>
      <c r="N19" s="341">
        <f t="shared" si="1"/>
        <v>2.4</v>
      </c>
    </row>
    <row r="20" spans="8:23" ht="16.5">
      <c r="H20" s="341">
        <v>6</v>
      </c>
      <c r="I20" s="342" t="s">
        <v>662</v>
      </c>
      <c r="J20" s="341">
        <v>0.5</v>
      </c>
      <c r="K20" s="341">
        <v>1</v>
      </c>
      <c r="L20" s="341">
        <v>1.5</v>
      </c>
      <c r="M20" s="341">
        <v>1.3</v>
      </c>
      <c r="N20" s="341">
        <f t="shared" si="1"/>
        <v>1.9500000000000002</v>
      </c>
    </row>
    <row r="21" spans="8:23" ht="16.5">
      <c r="H21" s="341">
        <v>7</v>
      </c>
      <c r="I21" s="342" t="s">
        <v>663</v>
      </c>
      <c r="J21" s="341">
        <v>0</v>
      </c>
      <c r="K21" s="341">
        <v>0.75</v>
      </c>
      <c r="L21" s="341">
        <v>0.75</v>
      </c>
      <c r="M21" s="341">
        <v>1.3</v>
      </c>
      <c r="N21" s="341">
        <f t="shared" si="1"/>
        <v>0.97500000000000009</v>
      </c>
    </row>
    <row r="25" spans="8:23" ht="18">
      <c r="P25" s="719" t="s">
        <v>120</v>
      </c>
      <c r="Q25" s="718" t="s">
        <v>668</v>
      </c>
      <c r="R25" s="718" t="s">
        <v>669</v>
      </c>
      <c r="S25" s="718" t="s">
        <v>670</v>
      </c>
      <c r="T25" s="718" t="s">
        <v>671</v>
      </c>
      <c r="U25" s="391" t="s">
        <v>672</v>
      </c>
      <c r="V25" s="566" t="s">
        <v>674</v>
      </c>
      <c r="W25" s="566" t="s">
        <v>675</v>
      </c>
    </row>
    <row r="26" spans="8:23" ht="33">
      <c r="P26" s="719"/>
      <c r="Q26" s="718"/>
      <c r="R26" s="718"/>
      <c r="S26" s="718"/>
      <c r="T26" s="718"/>
      <c r="U26" s="391" t="s">
        <v>673</v>
      </c>
      <c r="V26" s="566" t="s">
        <v>680</v>
      </c>
      <c r="W26" s="566" t="s">
        <v>680</v>
      </c>
    </row>
    <row r="27" spans="8:23" ht="16.5">
      <c r="P27" s="386">
        <v>0</v>
      </c>
      <c r="Q27" s="598" t="s">
        <v>677</v>
      </c>
      <c r="R27" s="386">
        <f>TH!B12</f>
        <v>2.85</v>
      </c>
      <c r="S27" s="386">
        <v>0</v>
      </c>
      <c r="T27" s="386">
        <v>0</v>
      </c>
      <c r="U27" s="386">
        <v>0</v>
      </c>
      <c r="V27" s="386">
        <v>0</v>
      </c>
      <c r="W27" s="386">
        <v>0</v>
      </c>
    </row>
    <row r="28" spans="8:23" ht="16.5">
      <c r="P28" s="395">
        <v>1</v>
      </c>
      <c r="Q28" s="599" t="s">
        <v>8</v>
      </c>
      <c r="R28" s="395">
        <f>TH!B13</f>
        <v>3.6</v>
      </c>
      <c r="S28" s="600">
        <f>S27+R27</f>
        <v>2.85</v>
      </c>
      <c r="T28" s="601">
        <f>Q38+(S28-P38)*R38</f>
        <v>0.79400000000000004</v>
      </c>
      <c r="U28" s="386">
        <f>R27</f>
        <v>2.85</v>
      </c>
      <c r="V28" s="602">
        <f>0.8*TH!$B$226*T28*1.2*R27</f>
        <v>206.37648000000002</v>
      </c>
      <c r="W28" s="603">
        <f>0.6*TH!$B$226*T28*1.2*R27</f>
        <v>154.78236000000001</v>
      </c>
    </row>
    <row r="29" spans="8:23" ht="16.5">
      <c r="P29" s="395">
        <v>2</v>
      </c>
      <c r="Q29" s="599" t="s">
        <v>7</v>
      </c>
      <c r="R29" s="395">
        <f>TH!B18</f>
        <v>3.6</v>
      </c>
      <c r="S29" s="600">
        <f t="shared" ref="S29:S31" si="2">S28+R28</f>
        <v>6.45</v>
      </c>
      <c r="T29" s="601">
        <f>Q38+(S29-P38)*R38</f>
        <v>0.93799999999999994</v>
      </c>
      <c r="U29" s="386">
        <f t="shared" ref="U29:U31" si="3">R28</f>
        <v>3.6</v>
      </c>
      <c r="V29" s="602">
        <f>0.8*TH!$B$226*T29*1.2*R28</f>
        <v>307.96415999999999</v>
      </c>
      <c r="W29" s="603">
        <f>0.6*TH!$B$226*T29*1.2*R28</f>
        <v>230.97311999999994</v>
      </c>
    </row>
    <row r="30" spans="8:23" ht="16.5">
      <c r="P30" s="395">
        <v>3</v>
      </c>
      <c r="Q30" s="599" t="s">
        <v>10</v>
      </c>
      <c r="R30" s="395">
        <f>TH!B19</f>
        <v>3.3</v>
      </c>
      <c r="S30" s="600">
        <f t="shared" si="2"/>
        <v>10.050000000000001</v>
      </c>
      <c r="T30" s="601">
        <f>Q39+(S30-P39)*R39</f>
        <v>1.0012000000000001</v>
      </c>
      <c r="U30" s="386">
        <f t="shared" si="3"/>
        <v>3.6</v>
      </c>
      <c r="V30" s="602">
        <f>0.8*TH!$B$226*T30*1.2*R29</f>
        <v>328.71398399999998</v>
      </c>
      <c r="W30" s="603">
        <f>0.6*TH!$B$226*T30*1.2*R29</f>
        <v>246.53548799999999</v>
      </c>
    </row>
    <row r="31" spans="8:23" ht="16.5">
      <c r="P31" s="395"/>
      <c r="Q31" s="599"/>
      <c r="R31" s="395"/>
      <c r="S31" s="600">
        <f t="shared" si="2"/>
        <v>13.350000000000001</v>
      </c>
      <c r="T31" s="601">
        <f>Q39+(S31-P39)*R39</f>
        <v>1.0804</v>
      </c>
      <c r="U31" s="386">
        <f t="shared" si="3"/>
        <v>3.3</v>
      </c>
      <c r="V31" s="602">
        <f>0.8*TH!$B$226*T31*1.2*R30</f>
        <v>325.15718399999997</v>
      </c>
      <c r="W31" s="603">
        <f>0.6*TH!$B$226*T31*1.2*R30</f>
        <v>243.86788799999999</v>
      </c>
    </row>
    <row r="32" spans="8:23" ht="16.5">
      <c r="P32" s="604" t="s">
        <v>676</v>
      </c>
      <c r="Q32" s="605"/>
      <c r="R32" s="604">
        <f>SUM(R27:R30)</f>
        <v>13.350000000000001</v>
      </c>
      <c r="S32" s="604"/>
      <c r="T32" s="604"/>
      <c r="U32" s="606"/>
      <c r="V32" s="604"/>
      <c r="W32" s="604"/>
    </row>
    <row r="37" spans="16:18">
      <c r="P37">
        <v>3</v>
      </c>
      <c r="Q37">
        <v>0.8</v>
      </c>
    </row>
    <row r="38" spans="16:18">
      <c r="P38">
        <v>5</v>
      </c>
      <c r="Q38">
        <v>0.88</v>
      </c>
      <c r="R38">
        <f>(Q38-Q37)/(P38-P37)</f>
        <v>3.999999999999998E-2</v>
      </c>
    </row>
    <row r="39" spans="16:18">
      <c r="P39">
        <v>10</v>
      </c>
      <c r="Q39">
        <v>1</v>
      </c>
      <c r="R39">
        <f t="shared" ref="R39:R41" si="4">(Q39-Q38)/(P39-P38)</f>
        <v>2.4E-2</v>
      </c>
    </row>
    <row r="40" spans="16:18">
      <c r="P40">
        <v>15</v>
      </c>
      <c r="Q40">
        <v>1.08</v>
      </c>
      <c r="R40">
        <f t="shared" si="4"/>
        <v>1.6000000000000014E-2</v>
      </c>
    </row>
    <row r="41" spans="16:18">
      <c r="P41">
        <v>20</v>
      </c>
      <c r="Q41">
        <v>1.1299999999999999</v>
      </c>
      <c r="R41">
        <f t="shared" si="4"/>
        <v>9.9999999999999638E-3</v>
      </c>
    </row>
  </sheetData>
  <mergeCells count="11">
    <mergeCell ref="T25:T26"/>
    <mergeCell ref="P25:P26"/>
    <mergeCell ref="Q25:Q26"/>
    <mergeCell ref="R25:R26"/>
    <mergeCell ref="S25:S26"/>
    <mergeCell ref="A9:D9"/>
    <mergeCell ref="M13:M14"/>
    <mergeCell ref="N13:N14"/>
    <mergeCell ref="H12:H14"/>
    <mergeCell ref="I12:I14"/>
    <mergeCell ref="J12:L13"/>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39C2-3902-47E3-898F-AB31D45AB6E5}">
  <dimension ref="B1:T22"/>
  <sheetViews>
    <sheetView workbookViewId="0">
      <selection activeCell="B5" sqref="B5:F18"/>
    </sheetView>
  </sheetViews>
  <sheetFormatPr defaultRowHeight="15"/>
  <cols>
    <col min="3" max="4" width="9.5703125" style="25" bestFit="1" customWidth="1"/>
    <col min="5" max="5" width="12" customWidth="1"/>
  </cols>
  <sheetData>
    <row r="1" spans="2:20" ht="19.5" thickBot="1">
      <c r="B1" s="720" t="s">
        <v>189</v>
      </c>
      <c r="C1" s="720"/>
      <c r="D1" s="720"/>
      <c r="E1" s="720"/>
      <c r="F1" s="720"/>
      <c r="G1" s="720"/>
      <c r="H1" s="720"/>
      <c r="I1" s="720"/>
      <c r="J1" s="720"/>
      <c r="K1" s="720"/>
      <c r="L1" s="720"/>
      <c r="M1" s="14"/>
      <c r="N1" s="14"/>
      <c r="O1" s="14"/>
      <c r="P1" s="14"/>
      <c r="Q1" s="14"/>
      <c r="R1" s="14"/>
      <c r="S1" s="14"/>
      <c r="T1" s="14"/>
    </row>
    <row r="2" spans="2:20" ht="15.75">
      <c r="B2" s="721" t="s">
        <v>190</v>
      </c>
      <c r="C2" s="722" t="s">
        <v>191</v>
      </c>
      <c r="D2" s="722" t="s">
        <v>192</v>
      </c>
      <c r="E2" s="721" t="s">
        <v>193</v>
      </c>
      <c r="F2" s="721" t="s">
        <v>194</v>
      </c>
      <c r="G2" s="721" t="s">
        <v>195</v>
      </c>
      <c r="H2" s="721" t="s">
        <v>196</v>
      </c>
      <c r="I2" s="721" t="s">
        <v>197</v>
      </c>
      <c r="J2" s="721"/>
      <c r="K2" s="721" t="s">
        <v>198</v>
      </c>
      <c r="L2" s="721"/>
      <c r="M2" s="14"/>
      <c r="N2" s="14"/>
      <c r="O2" s="14"/>
      <c r="P2" s="14"/>
      <c r="Q2" s="14"/>
      <c r="R2" s="14"/>
      <c r="S2" s="14"/>
      <c r="T2" s="14"/>
    </row>
    <row r="3" spans="2:20" ht="15.75">
      <c r="B3" s="721"/>
      <c r="C3" s="722"/>
      <c r="D3" s="722"/>
      <c r="E3" s="721"/>
      <c r="F3" s="721"/>
      <c r="G3" s="721"/>
      <c r="H3" s="721"/>
      <c r="I3" s="15" t="s">
        <v>199</v>
      </c>
      <c r="J3" s="15" t="s">
        <v>200</v>
      </c>
      <c r="K3" s="15" t="s">
        <v>199</v>
      </c>
      <c r="L3" s="15" t="s">
        <v>200</v>
      </c>
      <c r="M3" s="14"/>
      <c r="N3" s="14"/>
      <c r="O3" s="14"/>
      <c r="P3" s="14"/>
      <c r="Q3" s="14"/>
      <c r="R3" s="14"/>
      <c r="S3" s="14"/>
      <c r="T3" s="14"/>
    </row>
    <row r="4" spans="2:20" ht="15.75">
      <c r="B4" s="721"/>
      <c r="C4" s="723" t="s">
        <v>919</v>
      </c>
      <c r="D4" s="723"/>
      <c r="E4" s="721"/>
      <c r="F4" s="721"/>
      <c r="G4" s="721"/>
      <c r="H4" s="721"/>
      <c r="I4" s="723" t="s">
        <v>920</v>
      </c>
      <c r="J4" s="723"/>
      <c r="K4" s="723"/>
      <c r="L4" s="723"/>
      <c r="M4" s="16"/>
      <c r="N4" s="16"/>
      <c r="O4" s="14"/>
      <c r="P4" s="14"/>
      <c r="Q4" s="14"/>
      <c r="R4" s="14"/>
      <c r="S4" s="14"/>
      <c r="T4" s="14"/>
    </row>
    <row r="5" spans="2:20" ht="15.75">
      <c r="B5" s="17" t="s">
        <v>201</v>
      </c>
      <c r="C5" s="444">
        <f>hoattai_san!$D$3</f>
        <v>0.19500000000000001</v>
      </c>
      <c r="D5" s="444">
        <f>tinhtai_san!$Q$39</f>
        <v>1.1350000000000002</v>
      </c>
      <c r="E5" s="18">
        <f t="shared" ref="E5:E16" si="0">VLOOKUP(B5,KH_SAN,2,0)/1000+0.2</f>
        <v>4</v>
      </c>
      <c r="F5" s="271">
        <f t="shared" ref="F5:F16" si="1">VLOOKUP(B5,KH_SAN,3,0)/1000+0.2</f>
        <v>6</v>
      </c>
      <c r="G5" s="19">
        <f>E5/(2*F5)</f>
        <v>0.33333333333333331</v>
      </c>
      <c r="H5" s="19">
        <f>1-(2*G5^2)+G5^3</f>
        <v>0.81481481481481488</v>
      </c>
      <c r="I5" s="445">
        <f>(5/8)*(C5*E5)/2</f>
        <v>0.24375000000000002</v>
      </c>
      <c r="J5" s="445">
        <f>(5/8)*(D5*E5)/2</f>
        <v>1.4187500000000002</v>
      </c>
      <c r="K5" s="446">
        <f>$H5*C5*$E5/2</f>
        <v>0.31777777777777783</v>
      </c>
      <c r="L5" s="446">
        <f>$H5*D5*$E5/2</f>
        <v>1.8496296296296302</v>
      </c>
      <c r="M5" s="16"/>
      <c r="N5" s="16"/>
      <c r="O5" s="14"/>
      <c r="P5" s="14"/>
      <c r="Q5" s="20"/>
      <c r="R5" s="20"/>
      <c r="S5" s="20"/>
      <c r="T5" s="20"/>
    </row>
    <row r="6" spans="2:20" ht="15.75">
      <c r="B6" s="17" t="s">
        <v>204</v>
      </c>
      <c r="C6" s="444">
        <f>hoattai_san!$D$6</f>
        <v>0.84</v>
      </c>
      <c r="D6" s="444">
        <f>tinhtai_san!$F$8</f>
        <v>0.47600000000000003</v>
      </c>
      <c r="E6" s="271">
        <f t="shared" si="0"/>
        <v>4</v>
      </c>
      <c r="F6" s="271">
        <f t="shared" si="1"/>
        <v>6</v>
      </c>
      <c r="G6" s="29">
        <f t="shared" ref="G6:G16" si="2">E6/(2*F6)</f>
        <v>0.33333333333333331</v>
      </c>
      <c r="H6" s="29">
        <f t="shared" ref="H6:H16" si="3">1-(2*G6^2)+G6^3</f>
        <v>0.81481481481481488</v>
      </c>
      <c r="I6" s="445">
        <f t="shared" ref="I6:I16" si="4">(5/8)*(C6*E6)/2</f>
        <v>1.05</v>
      </c>
      <c r="J6" s="445">
        <f t="shared" ref="J6:J16" si="5">(5/8)*(D6*E6)/2</f>
        <v>0.59500000000000008</v>
      </c>
      <c r="K6" s="446">
        <f t="shared" ref="K6:K16" si="6">$H6*C6*$E6/2</f>
        <v>1.368888888888889</v>
      </c>
      <c r="L6" s="446">
        <f t="shared" ref="L6:L16" si="7">$H6*D6*$E6/2</f>
        <v>0.77570370370370378</v>
      </c>
      <c r="M6" s="16"/>
      <c r="N6" s="16"/>
      <c r="O6" s="14"/>
      <c r="P6" s="14"/>
      <c r="Q6" s="20"/>
      <c r="R6" s="20"/>
      <c r="S6" s="20"/>
      <c r="T6" s="20"/>
    </row>
    <row r="7" spans="2:20" ht="15.75">
      <c r="B7" s="17" t="s">
        <v>105</v>
      </c>
      <c r="C7" s="444">
        <f>hoattai_san!$D$5</f>
        <v>0.48</v>
      </c>
      <c r="D7" s="444">
        <f>tinhtai_san!$F$8</f>
        <v>0.47600000000000003</v>
      </c>
      <c r="E7" s="271">
        <f t="shared" si="0"/>
        <v>4</v>
      </c>
      <c r="F7" s="271">
        <f t="shared" si="1"/>
        <v>6</v>
      </c>
      <c r="G7" s="29">
        <f t="shared" si="2"/>
        <v>0.33333333333333331</v>
      </c>
      <c r="H7" s="29">
        <f t="shared" si="3"/>
        <v>0.81481481481481488</v>
      </c>
      <c r="I7" s="445">
        <f t="shared" si="4"/>
        <v>0.6</v>
      </c>
      <c r="J7" s="445">
        <f t="shared" si="5"/>
        <v>0.59500000000000008</v>
      </c>
      <c r="K7" s="446">
        <f t="shared" si="6"/>
        <v>0.78222222222222226</v>
      </c>
      <c r="L7" s="446">
        <f t="shared" si="7"/>
        <v>0.77570370370370378</v>
      </c>
      <c r="M7" s="16"/>
      <c r="N7" s="16"/>
      <c r="O7" s="14"/>
      <c r="P7" s="14"/>
      <c r="Q7" s="20"/>
      <c r="R7" s="20"/>
      <c r="S7" s="20"/>
      <c r="T7" s="20"/>
    </row>
    <row r="8" spans="2:20" ht="15.75">
      <c r="B8" s="17" t="s">
        <v>103</v>
      </c>
      <c r="C8" s="444">
        <f>hoattai_san!$D$2</f>
        <v>0.36</v>
      </c>
      <c r="D8" s="444">
        <f>tinhtai_san!$F$8</f>
        <v>0.47600000000000003</v>
      </c>
      <c r="E8" s="271">
        <f t="shared" si="0"/>
        <v>3</v>
      </c>
      <c r="F8" s="271">
        <f t="shared" si="1"/>
        <v>4</v>
      </c>
      <c r="G8" s="29">
        <f t="shared" si="2"/>
        <v>0.375</v>
      </c>
      <c r="H8" s="29">
        <f t="shared" si="3"/>
        <v>0.771484375</v>
      </c>
      <c r="I8" s="445">
        <f t="shared" si="4"/>
        <v>0.33750000000000002</v>
      </c>
      <c r="J8" s="445">
        <f t="shared" si="5"/>
        <v>0.44625000000000004</v>
      </c>
      <c r="K8" s="446">
        <f t="shared" si="6"/>
        <v>0.41660156249999997</v>
      </c>
      <c r="L8" s="446">
        <f t="shared" si="7"/>
        <v>0.55083984375000006</v>
      </c>
      <c r="M8" s="16"/>
      <c r="N8" s="16"/>
      <c r="O8" s="14"/>
      <c r="P8" s="14"/>
      <c r="Q8" s="20"/>
      <c r="R8" s="20"/>
      <c r="S8" s="20"/>
      <c r="T8" s="20"/>
    </row>
    <row r="9" spans="2:20" ht="15.75">
      <c r="B9" s="17" t="s">
        <v>104</v>
      </c>
      <c r="C9" s="444">
        <f>hoattai_san!$D$2</f>
        <v>0.36</v>
      </c>
      <c r="D9" s="444">
        <f>tinhtai_san!$Q$48</f>
        <v>0.60600000000000009</v>
      </c>
      <c r="E9" s="271">
        <f t="shared" si="0"/>
        <v>4</v>
      </c>
      <c r="F9" s="271">
        <f t="shared" si="1"/>
        <v>5.5</v>
      </c>
      <c r="G9" s="29">
        <f t="shared" si="2"/>
        <v>0.36363636363636365</v>
      </c>
      <c r="H9" s="29">
        <f t="shared" si="3"/>
        <v>0.78362133734034556</v>
      </c>
      <c r="I9" s="445">
        <f t="shared" si="4"/>
        <v>0.44999999999999996</v>
      </c>
      <c r="J9" s="445">
        <f t="shared" si="5"/>
        <v>0.75750000000000006</v>
      </c>
      <c r="K9" s="446">
        <f t="shared" si="6"/>
        <v>0.5642073628850488</v>
      </c>
      <c r="L9" s="446">
        <f t="shared" si="7"/>
        <v>0.94974906085649902</v>
      </c>
      <c r="M9" s="16"/>
      <c r="N9" s="16"/>
      <c r="O9" s="14"/>
      <c r="P9" s="14"/>
      <c r="Q9" s="20"/>
      <c r="R9" s="20"/>
      <c r="S9" s="20"/>
      <c r="T9" s="20"/>
    </row>
    <row r="10" spans="2:20" ht="15.75">
      <c r="B10" s="17" t="s">
        <v>108</v>
      </c>
      <c r="C10" s="444">
        <f>hoattai_san!$D$5</f>
        <v>0.48</v>
      </c>
      <c r="D10" s="444">
        <f>tinhtai_san!$F$8</f>
        <v>0.47600000000000003</v>
      </c>
      <c r="E10" s="271">
        <f t="shared" si="0"/>
        <v>2</v>
      </c>
      <c r="F10" s="271">
        <f t="shared" si="1"/>
        <v>6</v>
      </c>
      <c r="G10" s="29">
        <f t="shared" si="2"/>
        <v>0.16666666666666666</v>
      </c>
      <c r="H10" s="29">
        <f t="shared" si="3"/>
        <v>0.94907407407407407</v>
      </c>
      <c r="I10" s="445">
        <f t="shared" si="4"/>
        <v>0.3</v>
      </c>
      <c r="J10" s="445">
        <f t="shared" si="5"/>
        <v>0.29750000000000004</v>
      </c>
      <c r="K10" s="446">
        <f t="shared" si="6"/>
        <v>0.45555555555555555</v>
      </c>
      <c r="L10" s="446">
        <f t="shared" si="7"/>
        <v>0.4517592592592593</v>
      </c>
      <c r="M10" s="16"/>
      <c r="N10" s="16"/>
      <c r="O10" s="14"/>
      <c r="P10" s="14"/>
      <c r="Q10" s="20"/>
      <c r="R10" s="20"/>
      <c r="S10" s="20"/>
      <c r="T10" s="20"/>
    </row>
    <row r="11" spans="2:20" ht="15.75">
      <c r="B11" s="17" t="s">
        <v>107</v>
      </c>
      <c r="C11" s="444">
        <f>hoattai_san!$D$5</f>
        <v>0.48</v>
      </c>
      <c r="D11" s="444">
        <f>tinhtai_san!$F$8</f>
        <v>0.47600000000000003</v>
      </c>
      <c r="E11" s="271">
        <f t="shared" si="0"/>
        <v>2</v>
      </c>
      <c r="F11" s="271">
        <f t="shared" si="1"/>
        <v>3</v>
      </c>
      <c r="G11" s="29">
        <f t="shared" si="2"/>
        <v>0.33333333333333331</v>
      </c>
      <c r="H11" s="29">
        <f t="shared" si="3"/>
        <v>0.81481481481481488</v>
      </c>
      <c r="I11" s="445">
        <f t="shared" si="4"/>
        <v>0.3</v>
      </c>
      <c r="J11" s="445">
        <f t="shared" si="5"/>
        <v>0.29750000000000004</v>
      </c>
      <c r="K11" s="446">
        <f t="shared" si="6"/>
        <v>0.39111111111111113</v>
      </c>
      <c r="L11" s="446">
        <f t="shared" si="7"/>
        <v>0.38785185185185189</v>
      </c>
      <c r="M11" s="16"/>
      <c r="N11" s="16"/>
      <c r="O11" s="14"/>
      <c r="P11" s="14"/>
      <c r="Q11" s="20"/>
      <c r="R11" s="20"/>
      <c r="S11" s="20"/>
      <c r="T11" s="20"/>
    </row>
    <row r="12" spans="2:20" ht="15.75">
      <c r="B12" s="17" t="s">
        <v>106</v>
      </c>
      <c r="C12" s="444">
        <f>hoattai_san!$D$5</f>
        <v>0.48</v>
      </c>
      <c r="D12" s="444">
        <f>tinhtai_san!$F$8</f>
        <v>0.47600000000000003</v>
      </c>
      <c r="E12" s="271">
        <f t="shared" si="0"/>
        <v>2</v>
      </c>
      <c r="F12" s="271">
        <f t="shared" si="1"/>
        <v>5.5</v>
      </c>
      <c r="G12" s="29">
        <f t="shared" si="2"/>
        <v>0.18181818181818182</v>
      </c>
      <c r="H12" s="29">
        <f t="shared" si="3"/>
        <v>0.93989481592787383</v>
      </c>
      <c r="I12" s="445">
        <f t="shared" si="4"/>
        <v>0.3</v>
      </c>
      <c r="J12" s="445">
        <f t="shared" si="5"/>
        <v>0.29750000000000004</v>
      </c>
      <c r="K12" s="446">
        <f t="shared" si="6"/>
        <v>0.45114951164537942</v>
      </c>
      <c r="L12" s="446">
        <f t="shared" si="7"/>
        <v>0.44738993238166797</v>
      </c>
      <c r="M12" s="16"/>
      <c r="N12" s="16"/>
      <c r="O12" s="14"/>
      <c r="P12" s="14"/>
      <c r="Q12" s="20"/>
      <c r="R12" s="20"/>
      <c r="S12" s="20"/>
      <c r="T12" s="20"/>
    </row>
    <row r="13" spans="2:20" ht="15.75">
      <c r="B13" s="17" t="s">
        <v>109</v>
      </c>
      <c r="C13" s="444">
        <f>hoattai_san!$D$5</f>
        <v>0.48</v>
      </c>
      <c r="D13" s="444">
        <f>tinhtai_san!$F$8</f>
        <v>0.47600000000000003</v>
      </c>
      <c r="E13" s="271">
        <f t="shared" si="0"/>
        <v>2</v>
      </c>
      <c r="F13" s="271">
        <f t="shared" si="1"/>
        <v>4</v>
      </c>
      <c r="G13" s="29">
        <f t="shared" si="2"/>
        <v>0.25</v>
      </c>
      <c r="H13" s="29">
        <f t="shared" si="3"/>
        <v>0.890625</v>
      </c>
      <c r="I13" s="445">
        <f t="shared" si="4"/>
        <v>0.3</v>
      </c>
      <c r="J13" s="445">
        <f t="shared" si="5"/>
        <v>0.29750000000000004</v>
      </c>
      <c r="K13" s="446">
        <f t="shared" si="6"/>
        <v>0.42749999999999999</v>
      </c>
      <c r="L13" s="446">
        <f t="shared" si="7"/>
        <v>0.42393750000000002</v>
      </c>
      <c r="M13" s="16"/>
      <c r="N13" s="16"/>
      <c r="O13" s="14"/>
      <c r="P13" s="14"/>
      <c r="Q13" s="20"/>
      <c r="R13" s="20"/>
      <c r="S13" s="20"/>
      <c r="T13" s="20"/>
    </row>
    <row r="14" spans="2:20" ht="15.75">
      <c r="B14" s="17" t="s">
        <v>110</v>
      </c>
      <c r="C14" s="444">
        <f>hoattai_san!$D$5</f>
        <v>0.48</v>
      </c>
      <c r="D14" s="444">
        <f>tinhtai_san!$F$8</f>
        <v>0.47600000000000003</v>
      </c>
      <c r="E14" s="271">
        <f t="shared" si="0"/>
        <v>4</v>
      </c>
      <c r="F14" s="271">
        <f t="shared" si="1"/>
        <v>4</v>
      </c>
      <c r="G14" s="29">
        <f t="shared" si="2"/>
        <v>0.5</v>
      </c>
      <c r="H14" s="29">
        <f t="shared" si="3"/>
        <v>0.625</v>
      </c>
      <c r="I14" s="445">
        <f t="shared" si="4"/>
        <v>0.6</v>
      </c>
      <c r="J14" s="445">
        <f t="shared" si="5"/>
        <v>0.59500000000000008</v>
      </c>
      <c r="K14" s="446">
        <f t="shared" si="6"/>
        <v>0.6</v>
      </c>
      <c r="L14" s="446">
        <f t="shared" si="7"/>
        <v>0.59500000000000008</v>
      </c>
      <c r="M14" s="16"/>
      <c r="N14" s="16"/>
      <c r="O14" s="14"/>
      <c r="P14" s="14"/>
      <c r="Q14" s="20"/>
      <c r="R14" s="20"/>
      <c r="S14" s="20"/>
      <c r="T14" s="20"/>
    </row>
    <row r="15" spans="2:20" ht="15.75">
      <c r="B15" s="17" t="s">
        <v>112</v>
      </c>
      <c r="C15" s="444">
        <f>hoattai_san!$D$5</f>
        <v>0.48</v>
      </c>
      <c r="D15" s="444">
        <f>tinhtai_san!$F$8</f>
        <v>0.47600000000000003</v>
      </c>
      <c r="E15" s="271">
        <f t="shared" si="0"/>
        <v>2</v>
      </c>
      <c r="F15" s="271">
        <f t="shared" si="1"/>
        <v>2.7</v>
      </c>
      <c r="G15" s="29">
        <f t="shared" si="2"/>
        <v>0.37037037037037035</v>
      </c>
      <c r="H15" s="29">
        <f t="shared" si="3"/>
        <v>0.77645684092872025</v>
      </c>
      <c r="I15" s="445">
        <f t="shared" si="4"/>
        <v>0.3</v>
      </c>
      <c r="J15" s="445">
        <f t="shared" si="5"/>
        <v>0.29750000000000004</v>
      </c>
      <c r="K15" s="446">
        <f t="shared" si="6"/>
        <v>0.3726992836457857</v>
      </c>
      <c r="L15" s="446">
        <f t="shared" si="7"/>
        <v>0.36959345628207085</v>
      </c>
      <c r="M15" s="16"/>
      <c r="N15" s="16"/>
      <c r="O15" s="14"/>
      <c r="P15" s="14"/>
      <c r="Q15" s="20"/>
      <c r="R15" s="20"/>
      <c r="S15" s="20"/>
      <c r="T15" s="20"/>
    </row>
    <row r="16" spans="2:20" ht="15.75">
      <c r="B16" s="17" t="s">
        <v>111</v>
      </c>
      <c r="C16" s="444">
        <f>hoattai_san!$D$5</f>
        <v>0.48</v>
      </c>
      <c r="D16" s="444">
        <f>tinhtai_san!$F$8</f>
        <v>0.47600000000000003</v>
      </c>
      <c r="E16" s="271">
        <f t="shared" si="0"/>
        <v>2.9000000000000004</v>
      </c>
      <c r="F16" s="271">
        <f t="shared" si="1"/>
        <v>4</v>
      </c>
      <c r="G16" s="29">
        <f t="shared" si="2"/>
        <v>0.36250000000000004</v>
      </c>
      <c r="H16" s="29">
        <f t="shared" si="3"/>
        <v>0.7848222656249999</v>
      </c>
      <c r="I16" s="445">
        <f t="shared" si="4"/>
        <v>0.43500000000000005</v>
      </c>
      <c r="J16" s="445">
        <f t="shared" si="5"/>
        <v>0.43137500000000006</v>
      </c>
      <c r="K16" s="446">
        <f t="shared" si="6"/>
        <v>0.54623629687499997</v>
      </c>
      <c r="L16" s="446">
        <f t="shared" si="7"/>
        <v>0.54168432773437503</v>
      </c>
      <c r="M16" s="16"/>
      <c r="N16" s="16"/>
      <c r="O16" s="14"/>
      <c r="P16" s="14"/>
      <c r="Q16" s="20"/>
      <c r="R16" s="20"/>
      <c r="S16" s="20"/>
      <c r="T16" s="20"/>
    </row>
    <row r="17" spans="2:20" ht="15.75">
      <c r="B17" s="17" t="s">
        <v>461</v>
      </c>
      <c r="C17" s="444">
        <f>hoattai_san!$D$5</f>
        <v>0.48</v>
      </c>
      <c r="D17" s="444">
        <f>tinhtai_san!$F$8</f>
        <v>0.47600000000000003</v>
      </c>
      <c r="E17" s="271">
        <f>VLOOKUP(B17,KH_SAN,2,0)/1000+0.1</f>
        <v>0.79999999999999993</v>
      </c>
      <c r="F17" s="271">
        <f>VLOOKUP(B17,KH_SAN,3,0)/1000+0.1</f>
        <v>4.3</v>
      </c>
      <c r="G17" s="29">
        <f>E17/(2*F17)</f>
        <v>9.3023255813953487E-2</v>
      </c>
      <c r="H17" s="29">
        <f>1-(2*G17^2)+G17^3</f>
        <v>0.98349830832505314</v>
      </c>
      <c r="I17" s="445">
        <f>(5/8)*(C17*E17)/2</f>
        <v>0.11999999999999998</v>
      </c>
      <c r="J17" s="445">
        <f>(5/8)*(D17*E17)/2</f>
        <v>0.11899999999999999</v>
      </c>
      <c r="K17" s="446">
        <f>$H17*C17*$E17/2</f>
        <v>0.18883167519841018</v>
      </c>
      <c r="L17" s="446">
        <f>$H17*D17*$E17/2</f>
        <v>0.18725807790509011</v>
      </c>
      <c r="M17" s="16"/>
      <c r="N17" s="16"/>
      <c r="O17" s="14"/>
      <c r="P17" s="14"/>
      <c r="Q17" s="20"/>
      <c r="R17" s="20"/>
      <c r="S17" s="20"/>
      <c r="T17" s="20"/>
    </row>
    <row r="18" spans="2:20" ht="15.75">
      <c r="B18" s="17" t="s">
        <v>462</v>
      </c>
      <c r="C18" s="444">
        <f>hoattai_san!$D$5</f>
        <v>0.48</v>
      </c>
      <c r="D18" s="444">
        <f>tinhtai_san!$F$8</f>
        <v>0.47600000000000003</v>
      </c>
      <c r="E18" s="271">
        <f>VLOOKUP(B18,KH_SAN,2,0)/1000+0.1</f>
        <v>0.79999999999999993</v>
      </c>
      <c r="F18" s="271">
        <f>VLOOKUP(B18,KH_SAN,3,0)/1000+0.1</f>
        <v>3.7</v>
      </c>
      <c r="G18" s="29">
        <f>E18/(2*F18)</f>
        <v>0.1081081081081081</v>
      </c>
      <c r="H18" s="29">
        <f>1-(2*G18^2)+G18^3</f>
        <v>0.97788877262945928</v>
      </c>
      <c r="I18" s="445">
        <f>(5/8)*(C18*E18)/2</f>
        <v>0.11999999999999998</v>
      </c>
      <c r="J18" s="445">
        <f>(5/8)*(D18*E18)/2</f>
        <v>0.11899999999999999</v>
      </c>
      <c r="K18" s="446">
        <f>$H18*C18*$E18/2</f>
        <v>0.18775464434485617</v>
      </c>
      <c r="L18" s="446">
        <f>$H18*D18*$E18/2</f>
        <v>0.18619002230864903</v>
      </c>
      <c r="M18" s="16"/>
      <c r="N18" s="16"/>
      <c r="O18" s="14"/>
      <c r="P18" s="14"/>
      <c r="Q18" s="20"/>
      <c r="R18" s="20"/>
      <c r="S18" s="20"/>
      <c r="T18" s="20"/>
    </row>
    <row r="19" spans="2:20" ht="15.75">
      <c r="B19" s="17"/>
      <c r="C19" s="24"/>
      <c r="D19" s="24"/>
      <c r="E19" s="28"/>
      <c r="F19" s="28"/>
      <c r="G19" s="29"/>
      <c r="H19" s="29"/>
      <c r="I19" s="26"/>
      <c r="J19" s="26"/>
      <c r="K19" s="27"/>
      <c r="L19" s="27"/>
      <c r="M19" s="16"/>
      <c r="N19" s="16"/>
      <c r="O19" s="14"/>
      <c r="P19" s="14"/>
      <c r="Q19" s="20"/>
      <c r="R19" s="20"/>
      <c r="S19" s="20"/>
      <c r="T19" s="20"/>
    </row>
    <row r="20" spans="2:20" ht="15.75">
      <c r="B20" s="17"/>
      <c r="C20" s="24"/>
      <c r="D20" s="24"/>
      <c r="E20" s="17"/>
      <c r="F20" s="17"/>
      <c r="G20" s="19"/>
      <c r="H20" s="19"/>
      <c r="I20" s="21"/>
      <c r="J20" s="21"/>
      <c r="K20" s="22"/>
      <c r="L20" s="22"/>
      <c r="M20" s="16"/>
      <c r="N20" s="16"/>
      <c r="O20" s="14"/>
      <c r="P20" s="14"/>
      <c r="Q20" s="20"/>
      <c r="R20" s="20"/>
      <c r="S20" s="20"/>
      <c r="T20" s="20"/>
    </row>
    <row r="21" spans="2:20" ht="15.75">
      <c r="B21" s="17"/>
      <c r="C21" s="24"/>
      <c r="D21" s="24"/>
      <c r="E21" s="17"/>
      <c r="F21" s="17"/>
      <c r="G21" s="19"/>
      <c r="H21" s="19"/>
      <c r="I21" s="21"/>
      <c r="J21" s="21"/>
      <c r="K21" s="22"/>
      <c r="L21" s="22"/>
      <c r="M21" s="16"/>
      <c r="N21" s="16"/>
      <c r="O21" s="14"/>
      <c r="P21" s="14"/>
      <c r="Q21" s="20"/>
      <c r="R21" s="20"/>
      <c r="S21" s="20"/>
      <c r="T21" s="20"/>
    </row>
    <row r="22" spans="2:20" ht="15.75">
      <c r="B22" s="17"/>
      <c r="C22" s="24"/>
      <c r="D22" s="24"/>
      <c r="E22" s="17"/>
      <c r="F22" s="17"/>
      <c r="G22" s="19"/>
      <c r="H22" s="19"/>
      <c r="I22" s="21"/>
      <c r="J22" s="21"/>
      <c r="K22" s="22"/>
      <c r="L22" s="22"/>
      <c r="M22" s="14"/>
      <c r="N22" s="14"/>
      <c r="O22" s="23"/>
      <c r="P22" s="14"/>
      <c r="Q22" s="20"/>
      <c r="R22" s="20"/>
      <c r="S22" s="20"/>
      <c r="T22" s="20"/>
    </row>
  </sheetData>
  <mergeCells count="12">
    <mergeCell ref="B1:L1"/>
    <mergeCell ref="B2:B4"/>
    <mergeCell ref="C2:C3"/>
    <mergeCell ref="D2:D3"/>
    <mergeCell ref="E2:E4"/>
    <mergeCell ref="F2:F4"/>
    <mergeCell ref="G2:G4"/>
    <mergeCell ref="H2:H4"/>
    <mergeCell ref="I2:J2"/>
    <mergeCell ref="K2:L2"/>
    <mergeCell ref="C4:D4"/>
    <mergeCell ref="I4:L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4C60-1E24-4343-93AF-21D003F8A8ED}">
  <dimension ref="B1:T18"/>
  <sheetViews>
    <sheetView workbookViewId="0">
      <selection activeCell="F7" sqref="F7"/>
    </sheetView>
  </sheetViews>
  <sheetFormatPr defaultRowHeight="15"/>
  <cols>
    <col min="3" max="3" width="10.140625" customWidth="1"/>
  </cols>
  <sheetData>
    <row r="1" spans="2:20" ht="15.75" thickBot="1">
      <c r="B1" s="269"/>
      <c r="C1" s="269"/>
      <c r="D1" s="269"/>
      <c r="E1" s="269"/>
      <c r="F1" s="269"/>
      <c r="G1" s="269"/>
      <c r="H1" s="269"/>
      <c r="I1" s="269"/>
      <c r="J1" s="269"/>
      <c r="K1" s="269"/>
      <c r="L1" s="269"/>
      <c r="M1" s="269"/>
      <c r="N1" s="269"/>
      <c r="O1" s="269"/>
      <c r="P1" s="269"/>
      <c r="Q1" s="269"/>
      <c r="R1" s="269"/>
      <c r="S1" s="269"/>
      <c r="T1" s="269"/>
    </row>
    <row r="2" spans="2:20" ht="19.5" thickBot="1">
      <c r="B2" s="720" t="s">
        <v>589</v>
      </c>
      <c r="C2" s="720"/>
      <c r="D2" s="720"/>
      <c r="E2" s="720"/>
      <c r="F2" s="720"/>
      <c r="G2" s="720"/>
      <c r="H2" s="720"/>
      <c r="I2" s="720"/>
      <c r="J2" s="720"/>
      <c r="K2" s="720"/>
      <c r="L2" s="720"/>
      <c r="M2" s="720"/>
      <c r="N2" s="720"/>
      <c r="O2" s="720"/>
      <c r="P2" s="720"/>
      <c r="Q2" s="720"/>
      <c r="R2" s="720"/>
      <c r="S2" s="269"/>
      <c r="T2" s="269"/>
    </row>
    <row r="3" spans="2:20" ht="16.5" thickBot="1">
      <c r="B3" s="724" t="s">
        <v>570</v>
      </c>
      <c r="C3" s="724" t="s">
        <v>571</v>
      </c>
      <c r="D3" s="724" t="s">
        <v>572</v>
      </c>
      <c r="E3" s="724"/>
      <c r="F3" s="724" t="s">
        <v>573</v>
      </c>
      <c r="G3" s="724" t="s">
        <v>574</v>
      </c>
      <c r="H3" s="724"/>
      <c r="I3" s="724"/>
      <c r="J3" s="724" t="s">
        <v>575</v>
      </c>
      <c r="K3" s="724"/>
      <c r="L3" s="724"/>
      <c r="M3" s="724"/>
      <c r="N3" s="724" t="s">
        <v>576</v>
      </c>
      <c r="O3" s="724"/>
      <c r="P3" s="724"/>
      <c r="Q3" s="724" t="s">
        <v>577</v>
      </c>
      <c r="R3" s="724"/>
      <c r="S3" s="269"/>
      <c r="T3" s="269"/>
    </row>
    <row r="4" spans="2:20" ht="18" thickBot="1">
      <c r="B4" s="724"/>
      <c r="C4" s="724"/>
      <c r="D4" s="724"/>
      <c r="E4" s="724"/>
      <c r="F4" s="724"/>
      <c r="G4" s="724"/>
      <c r="H4" s="724"/>
      <c r="I4" s="724"/>
      <c r="J4" s="724"/>
      <c r="K4" s="724"/>
      <c r="L4" s="724"/>
      <c r="M4" s="724"/>
      <c r="N4" s="272" t="s">
        <v>578</v>
      </c>
      <c r="O4" s="272" t="s">
        <v>579</v>
      </c>
      <c r="P4" s="272" t="s">
        <v>580</v>
      </c>
      <c r="Q4" s="272" t="s">
        <v>578</v>
      </c>
      <c r="R4" s="272" t="s">
        <v>580</v>
      </c>
      <c r="S4" s="269"/>
      <c r="T4" s="269"/>
    </row>
    <row r="5" spans="2:20" ht="15.75">
      <c r="B5" s="724"/>
      <c r="C5" s="273" t="s">
        <v>6</v>
      </c>
      <c r="D5" s="273" t="s">
        <v>581</v>
      </c>
      <c r="E5" s="273" t="s">
        <v>582</v>
      </c>
      <c r="F5" s="273" t="s">
        <v>583</v>
      </c>
      <c r="G5" s="273" t="s">
        <v>584</v>
      </c>
      <c r="H5" s="273" t="s">
        <v>585</v>
      </c>
      <c r="I5" s="273" t="s">
        <v>210</v>
      </c>
      <c r="J5" s="724"/>
      <c r="K5" s="724"/>
      <c r="L5" s="724"/>
      <c r="M5" s="724"/>
      <c r="N5" s="273" t="s">
        <v>583</v>
      </c>
      <c r="O5" s="273" t="s">
        <v>583</v>
      </c>
      <c r="P5" s="273" t="s">
        <v>586</v>
      </c>
      <c r="Q5" s="273" t="s">
        <v>583</v>
      </c>
      <c r="R5" s="273" t="s">
        <v>586</v>
      </c>
      <c r="S5" s="269"/>
      <c r="T5" s="269"/>
    </row>
    <row r="6" spans="2:20" ht="15.75">
      <c r="B6" s="274">
        <v>1</v>
      </c>
      <c r="C6" s="271">
        <v>4</v>
      </c>
      <c r="D6" s="270">
        <f>TH!$B$53/10</f>
        <v>20</v>
      </c>
      <c r="E6" s="270">
        <f>TH!$B$50/10</f>
        <v>40</v>
      </c>
      <c r="F6" s="275">
        <f>1.1*D6*E6*2500/10000</f>
        <v>220</v>
      </c>
      <c r="G6" s="270">
        <v>200</v>
      </c>
      <c r="H6" s="271">
        <f>TH!$B$18</f>
        <v>3.6</v>
      </c>
      <c r="I6" s="276">
        <f>IF(G6=100,180*1.1*H6,IF(G6=200,330*1.1*H6,0))</f>
        <v>1306.8000000000002</v>
      </c>
      <c r="J6" s="277" t="s">
        <v>105</v>
      </c>
      <c r="K6" s="278" t="s">
        <v>587</v>
      </c>
      <c r="L6" s="277"/>
      <c r="M6" s="278"/>
      <c r="N6" s="279">
        <f>(IF(K6="HT",VLOOKUP(J6,'tải sàn'!$B$5:$L$50,11,0),IF(K6="TG",VLOOKUP(J6,'tải sàn'!$B$5:$L$50,9,0),0)))+(IF(M6="HT",VLOOKUP(L6,'tải sàn'!$B$5:$L$50,11,0),IF(M6="TG",VLOOKUP(L6,'tải sàn'!$B$5:$L$50,9,0),0)))</f>
        <v>0.59500000000000008</v>
      </c>
      <c r="O6" s="279">
        <f>F6+I6+N6</f>
        <v>1527.3950000000002</v>
      </c>
      <c r="P6" s="280">
        <f>O6*C6/2</f>
        <v>3054.7900000000004</v>
      </c>
      <c r="Q6" s="279">
        <f>(IF(K6="HT",VLOOKUP(J6,'tải sàn'!$B$5:$L$50,10,0),IF(K6="TG",VLOOKUP(J6,'tải sàn'!$B$5:$L$50,8,0),0)))+(IF(M6="HT",VLOOKUP(L6,'tải sàn'!$B$5:$L$50,10,0),IF(M6="TG",VLOOKUP(L6,'tải sàn'!$B$5:$L$50,8,0),0)))</f>
        <v>0.6</v>
      </c>
      <c r="R6" s="280">
        <f>Q6*C6/2</f>
        <v>1.2</v>
      </c>
      <c r="S6" s="281"/>
      <c r="T6" s="269"/>
    </row>
    <row r="7" spans="2:20" ht="15.75">
      <c r="B7" s="274">
        <v>2</v>
      </c>
      <c r="C7" s="271">
        <v>4</v>
      </c>
      <c r="D7" s="270">
        <f>TH!$B$53/10</f>
        <v>20</v>
      </c>
      <c r="E7" s="270">
        <f>TH!$B$50/10</f>
        <v>40</v>
      </c>
      <c r="F7" s="275">
        <f>1.1*D7*E7*2500/10000</f>
        <v>220</v>
      </c>
      <c r="G7" s="270">
        <v>100</v>
      </c>
      <c r="H7" s="271">
        <f>TH!$B$18</f>
        <v>3.6</v>
      </c>
      <c r="I7" s="276">
        <f>IF(G7=100,180*1.1*H7,IF(G7=200,330*1.1*H7,0))</f>
        <v>712.80000000000007</v>
      </c>
      <c r="J7" s="277" t="s">
        <v>105</v>
      </c>
      <c r="K7" s="278" t="s">
        <v>587</v>
      </c>
      <c r="L7" s="277" t="s">
        <v>103</v>
      </c>
      <c r="M7" s="278" t="s">
        <v>588</v>
      </c>
      <c r="N7" s="279">
        <f>(IF(K7="HT",VLOOKUP(J7,'tải sàn'!$B$5:$L$50,11,0),IF(K7="TG",VLOOKUP(J7,'tải sàn'!$B$5:$L$50,9,0),0)))+(IF(M7="HT",VLOOKUP(L7,'tải sàn'!$B$5:$L$50,11,0),IF(M7="TG",VLOOKUP(L7,'tải sàn'!$B$5:$L$50,9,0),0)))</f>
        <v>1.1458398437500001</v>
      </c>
      <c r="O7" s="279">
        <f>F7+I7+N7</f>
        <v>933.94583984375004</v>
      </c>
      <c r="P7" s="280">
        <f>O7*C7/2</f>
        <v>1867.8916796875001</v>
      </c>
      <c r="Q7" s="279">
        <f>(IF(K7="HT",VLOOKUP(J7,'tải sàn'!$B$5:$L$50,10,0),IF(K7="TG",VLOOKUP(J7,'tải sàn'!$B$5:$L$50,8,0),0)))+(IF(M7="HT",VLOOKUP(L7,'tải sàn'!$B$5:$L$50,10,0),IF(M7="TG",VLOOKUP(L7,'tải sàn'!$B$5:$L$50,8,0),0)))</f>
        <v>1.0166015625</v>
      </c>
      <c r="R7" s="280">
        <f>Q7*C7/2</f>
        <v>2.033203125</v>
      </c>
      <c r="S7" s="269"/>
      <c r="T7" s="281"/>
    </row>
    <row r="8" spans="2:20" ht="15.75">
      <c r="B8" s="274">
        <v>3</v>
      </c>
      <c r="C8" s="271">
        <v>2</v>
      </c>
      <c r="D8" s="270">
        <f>TH!$B$53/10</f>
        <v>20</v>
      </c>
      <c r="E8" s="270">
        <f>TH!$B$50/10</f>
        <v>40</v>
      </c>
      <c r="F8" s="275">
        <f>1.1*D8*E8*2500/10000</f>
        <v>220</v>
      </c>
      <c r="G8" s="270">
        <v>0</v>
      </c>
      <c r="H8" s="271">
        <f>TH!$B$18</f>
        <v>3.6</v>
      </c>
      <c r="I8" s="276">
        <f>IF(G8=100,180*1.1*H8,IF(G8=200,330*1.1*H8,0))</f>
        <v>0</v>
      </c>
      <c r="J8" s="277" t="s">
        <v>108</v>
      </c>
      <c r="K8" s="278" t="s">
        <v>588</v>
      </c>
      <c r="L8" s="277" t="s">
        <v>107</v>
      </c>
      <c r="M8" s="278" t="s">
        <v>587</v>
      </c>
      <c r="N8" s="279">
        <f>(IF(K8="HT",VLOOKUP(J8,'tải sàn'!$B$5:$L$50,11,0),IF(K8="TG",VLOOKUP(J8,'tải sàn'!$B$5:$L$50,9,0),0)))+(IF(M8="HT",VLOOKUP(L8,'tải sàn'!$B$5:$L$50,11,0),IF(M8="TG",VLOOKUP(L8,'tải sàn'!$B$5:$L$50,9,0),0)))</f>
        <v>0.74925925925925929</v>
      </c>
      <c r="O8" s="279">
        <f>F8+I8+N8</f>
        <v>220.74925925925925</v>
      </c>
      <c r="P8" s="280">
        <f>O8*C8/2</f>
        <v>220.74925925925925</v>
      </c>
      <c r="Q8" s="279">
        <f>(IF(K8="HT",VLOOKUP(J8,'tải sàn'!$B$5:$L$50,10,0),IF(K8="TG",VLOOKUP(J8,'tải sàn'!$B$5:$L$50,8,0),0)))+(IF(M8="HT",VLOOKUP(L8,'tải sàn'!$B$5:$L$50,10,0),IF(M8="TG",VLOOKUP(L8,'tải sàn'!$B$5:$L$50,8,0),0)))</f>
        <v>0.75555555555555554</v>
      </c>
      <c r="R8" s="280">
        <f>Q8*C8/2</f>
        <v>0.75555555555555554</v>
      </c>
      <c r="S8" s="269"/>
      <c r="T8" s="282"/>
    </row>
    <row r="9" spans="2:20" ht="15.75">
      <c r="B9" s="274">
        <v>4</v>
      </c>
      <c r="C9" s="271">
        <v>4</v>
      </c>
      <c r="D9" s="270">
        <f>TH!$B$53/10</f>
        <v>20</v>
      </c>
      <c r="E9" s="270">
        <f>TH!$B$50/10</f>
        <v>40</v>
      </c>
      <c r="F9" s="275">
        <f>1.1*D9*E9*2500/10000</f>
        <v>220</v>
      </c>
      <c r="G9" s="270">
        <v>0</v>
      </c>
      <c r="H9" s="271">
        <f>TH!$B$18</f>
        <v>3.6</v>
      </c>
      <c r="I9" s="276">
        <f>IF(G9=100,180*1.1*H9,IF(G9=200,330*1.1*H9,0))</f>
        <v>0</v>
      </c>
      <c r="J9" s="277" t="s">
        <v>201</v>
      </c>
      <c r="K9" s="278" t="s">
        <v>587</v>
      </c>
      <c r="L9" s="277" t="s">
        <v>103</v>
      </c>
      <c r="M9" s="278" t="s">
        <v>588</v>
      </c>
      <c r="N9" s="279">
        <f>(IF(K9="HT",VLOOKUP(J9,'tải sàn'!$B$5:$L$50,11,0),IF(K9="TG",VLOOKUP(J9,'tải sàn'!$B$5:$L$50,9,0),0)))+(IF(M9="HT",VLOOKUP(L9,'tải sàn'!$B$5:$L$50,11,0),IF(M9="TG",VLOOKUP(L9,'tải sàn'!$B$5:$L$50,9,0),0)))</f>
        <v>1.9695898437500001</v>
      </c>
      <c r="O9" s="279">
        <f>F9+I9+N9</f>
        <v>221.96958984374999</v>
      </c>
      <c r="P9" s="280">
        <f>O9*C9/2</f>
        <v>443.93917968749997</v>
      </c>
      <c r="Q9" s="279">
        <f>(IF(K9="HT",VLOOKUP(J9,'tải sàn'!$B$5:$L$50,10,0),IF(K9="TG",VLOOKUP(J9,'tải sàn'!$B$5:$L$50,8,0),0)))+(IF(M9="HT",VLOOKUP(L9,'tải sàn'!$B$5:$L$50,10,0),IF(M9="TG",VLOOKUP(L9,'tải sàn'!$B$5:$L$50,8,0),0)))</f>
        <v>0.66035156250000004</v>
      </c>
      <c r="R9" s="280">
        <f>Q9*C9/2</f>
        <v>1.3207031250000001</v>
      </c>
      <c r="S9" s="281"/>
      <c r="T9" s="269"/>
    </row>
    <row r="10" spans="2:20" ht="15.75">
      <c r="B10" s="283">
        <v>5</v>
      </c>
      <c r="C10" s="284">
        <v>6</v>
      </c>
      <c r="D10" s="270">
        <f>TH!$B$53/10</f>
        <v>20</v>
      </c>
      <c r="E10" s="270">
        <f>TH!$B$50/10</f>
        <v>40</v>
      </c>
      <c r="F10" s="275">
        <f>1.1*D10*E10*2500/10000</f>
        <v>220</v>
      </c>
      <c r="G10" s="270">
        <v>200</v>
      </c>
      <c r="H10" s="271">
        <f>TH!$B$18</f>
        <v>3.6</v>
      </c>
      <c r="I10" s="276">
        <f>IF(G10=100,180*1.1*H10,IF(G10=200,330*1.1*H10,0))</f>
        <v>1306.8000000000002</v>
      </c>
      <c r="J10" s="277" t="s">
        <v>105</v>
      </c>
      <c r="K10" s="278" t="s">
        <v>587</v>
      </c>
      <c r="L10" s="277"/>
      <c r="M10" s="278"/>
      <c r="N10" s="279">
        <f>(IF(K10="HT",VLOOKUP(J10,'tải sàn'!$B$5:$L$50,11,0),IF(K10="TG",VLOOKUP(J10,'tải sàn'!$B$5:$L$50,9,0),0)))+(IF(M10="HT",VLOOKUP(L10,'tải sàn'!$B$5:$L$50,11,0),IF(M10="TG",VLOOKUP(L10,'tải sàn'!$B$5:$L$50,9,0),0)))</f>
        <v>0.59500000000000008</v>
      </c>
      <c r="O10" s="279">
        <f>F10+I10+N10</f>
        <v>1527.3950000000002</v>
      </c>
      <c r="P10" s="280">
        <f>O10*C10/2</f>
        <v>4582.1850000000004</v>
      </c>
      <c r="Q10" s="279">
        <f>(IF(K10="HT",VLOOKUP(J10,'tải sàn'!$B$5:$L$50,10,0),IF(K10="TG",VLOOKUP(J10,'tải sàn'!$B$5:$L$50,8,0),0)))+(IF(M10="HT",VLOOKUP(L10,'tải sàn'!$B$5:$L$50,10,0),IF(M10="TG",VLOOKUP(L10,'tải sàn'!$B$5:$L$50,8,0),0)))</f>
        <v>0.6</v>
      </c>
      <c r="R10" s="280">
        <f>Q10*C10/2</f>
        <v>1.7999999999999998</v>
      </c>
    </row>
    <row r="11" spans="2:20" ht="15.75">
      <c r="B11" s="274">
        <v>6</v>
      </c>
      <c r="C11" s="284">
        <v>6</v>
      </c>
      <c r="D11" s="270">
        <f>TH!$B$53/10</f>
        <v>20</v>
      </c>
      <c r="E11" s="270">
        <f>TH!$B$50/10</f>
        <v>40</v>
      </c>
      <c r="F11" s="275">
        <f t="shared" ref="F11:F18" si="0">1.1*D11*E11*2500/10000</f>
        <v>220</v>
      </c>
      <c r="G11" s="270">
        <v>0</v>
      </c>
      <c r="H11" s="271">
        <f>TH!$B$18</f>
        <v>3.6</v>
      </c>
      <c r="I11" s="276">
        <f t="shared" ref="I11:I17" si="1">IF(G11=100,180*1.1*H11,IF(G11=200,330*1.1*H11,0))</f>
        <v>0</v>
      </c>
      <c r="J11" s="277" t="s">
        <v>105</v>
      </c>
      <c r="K11" s="278" t="s">
        <v>588</v>
      </c>
      <c r="L11" s="277" t="s">
        <v>105</v>
      </c>
      <c r="M11" s="278" t="s">
        <v>588</v>
      </c>
      <c r="N11" s="279">
        <f>(IF(K11="HT",VLOOKUP(J11,'tải sàn'!$B$5:$L$50,11,0),IF(K11="TG",VLOOKUP(J11,'tải sàn'!$B$5:$L$50,9,0),0)))+(IF(M11="HT",VLOOKUP(L11,'tải sàn'!$B$5:$L$50,11,0),IF(M11="TG",VLOOKUP(L11,'tải sàn'!$B$5:$L$50,9,0),0)))</f>
        <v>1.5514074074074076</v>
      </c>
      <c r="O11" s="279">
        <f t="shared" ref="O11:O18" si="2">F11+I11+N11</f>
        <v>221.5514074074074</v>
      </c>
      <c r="P11" s="280">
        <f t="shared" ref="P11:P17" si="3">O11*C11/2</f>
        <v>664.65422222222219</v>
      </c>
      <c r="Q11" s="279">
        <f>(IF(K11="HT",VLOOKUP(J11,'tải sàn'!$B$5:$L$50,10,0),IF(K11="TG",VLOOKUP(J11,'tải sàn'!$B$5:$L$50,8,0),0)))+(IF(M11="HT",VLOOKUP(L11,'tải sàn'!$B$5:$L$50,10,0),IF(M11="TG",VLOOKUP(L11,'tải sàn'!$B$5:$L$50,8,0),0)))</f>
        <v>1.5644444444444445</v>
      </c>
      <c r="R11" s="280">
        <f t="shared" ref="R11:R18" si="4">Q11*C11/2</f>
        <v>4.6933333333333334</v>
      </c>
    </row>
    <row r="12" spans="2:20" ht="15.75">
      <c r="B12" s="283">
        <v>7</v>
      </c>
      <c r="C12" s="284">
        <v>6</v>
      </c>
      <c r="D12" s="270">
        <f>TH!$B$53/10</f>
        <v>20</v>
      </c>
      <c r="E12" s="270">
        <f>TH!$B$50/10</f>
        <v>40</v>
      </c>
      <c r="F12" s="275">
        <f t="shared" si="0"/>
        <v>220</v>
      </c>
      <c r="G12" s="270">
        <v>100</v>
      </c>
      <c r="H12" s="271">
        <f>TH!$B$18</f>
        <v>3.6</v>
      </c>
      <c r="I12" s="276">
        <f t="shared" si="1"/>
        <v>712.80000000000007</v>
      </c>
      <c r="J12" s="277" t="s">
        <v>105</v>
      </c>
      <c r="K12" s="278" t="s">
        <v>588</v>
      </c>
      <c r="L12" s="277" t="s">
        <v>108</v>
      </c>
      <c r="M12" s="278" t="s">
        <v>588</v>
      </c>
      <c r="N12" s="279">
        <f>(IF(K12="HT",VLOOKUP(J12,'tải sàn'!$B$5:$L$50,11,0),IF(K12="TG",VLOOKUP(J12,'tải sàn'!$B$5:$L$50,9,0),0)))+(IF(M12="HT",VLOOKUP(L12,'tải sàn'!$B$5:$L$50,11,0),IF(M12="TG",VLOOKUP(L12,'tải sàn'!$B$5:$L$50,9,0),0)))</f>
        <v>1.2274629629629632</v>
      </c>
      <c r="O12" s="279">
        <f t="shared" si="2"/>
        <v>934.027462962963</v>
      </c>
      <c r="P12" s="280">
        <f t="shared" si="3"/>
        <v>2802.082388888889</v>
      </c>
      <c r="Q12" s="279">
        <f>(IF(K12="HT",VLOOKUP(J12,'tải sàn'!$B$5:$L$50,10,0),IF(K12="TG",VLOOKUP(J12,'tải sàn'!$B$5:$L$50,8,0),0)))+(IF(M12="HT",VLOOKUP(L12,'tải sàn'!$B$5:$L$50,10,0),IF(M12="TG",VLOOKUP(L12,'tải sàn'!$B$5:$L$50,8,0),0)))</f>
        <v>1.2377777777777779</v>
      </c>
      <c r="R12" s="280">
        <f t="shared" si="4"/>
        <v>3.7133333333333338</v>
      </c>
    </row>
    <row r="13" spans="2:20" ht="15.75">
      <c r="B13" s="274">
        <v>8</v>
      </c>
      <c r="C13" s="284">
        <v>6</v>
      </c>
      <c r="D13" s="270">
        <f>TH!$B$53/10</f>
        <v>20</v>
      </c>
      <c r="E13" s="270">
        <f>TH!$B$50/10</f>
        <v>40</v>
      </c>
      <c r="F13" s="275">
        <f t="shared" si="0"/>
        <v>220</v>
      </c>
      <c r="G13" s="270">
        <v>100</v>
      </c>
      <c r="H13" s="271">
        <f>TH!$B$18</f>
        <v>3.6</v>
      </c>
      <c r="I13" s="276">
        <f t="shared" si="1"/>
        <v>712.80000000000007</v>
      </c>
      <c r="J13" s="277" t="s">
        <v>108</v>
      </c>
      <c r="K13" s="278" t="s">
        <v>588</v>
      </c>
      <c r="L13" s="277" t="s">
        <v>201</v>
      </c>
      <c r="M13" s="278" t="s">
        <v>588</v>
      </c>
      <c r="N13" s="279">
        <f>(IF(K13="HT",VLOOKUP(J13,'tải sàn'!$B$5:$L$50,11,0),IF(K13="TG",VLOOKUP(J13,'tải sàn'!$B$5:$L$50,9,0),0)))+(IF(M13="HT",VLOOKUP(L13,'tải sàn'!$B$5:$L$50,11,0),IF(M13="TG",VLOOKUP(L13,'tải sàn'!$B$5:$L$50,9,0),0)))</f>
        <v>2.3013888888888894</v>
      </c>
      <c r="O13" s="279">
        <f t="shared" si="2"/>
        <v>935.10138888888901</v>
      </c>
      <c r="P13" s="280">
        <f t="shared" si="3"/>
        <v>2805.3041666666668</v>
      </c>
      <c r="Q13" s="279">
        <f>(IF(K13="HT",VLOOKUP(J13,'tải sàn'!$B$5:$L$50,10,0),IF(K13="TG",VLOOKUP(J13,'tải sàn'!$B$5:$L$50,8,0),0)))+(IF(M13="HT",VLOOKUP(L13,'tải sàn'!$B$5:$L$50,10,0),IF(M13="TG",VLOOKUP(L13,'tải sàn'!$B$5:$L$50,8,0),0)))</f>
        <v>0.77333333333333343</v>
      </c>
      <c r="R13" s="280">
        <f t="shared" si="4"/>
        <v>2.3200000000000003</v>
      </c>
    </row>
    <row r="14" spans="2:20" ht="15.75">
      <c r="B14" s="283">
        <v>9</v>
      </c>
      <c r="C14" s="284">
        <v>6</v>
      </c>
      <c r="D14" s="270">
        <f>TH!$B$53/10</f>
        <v>20</v>
      </c>
      <c r="E14" s="270">
        <f>TH!$B$50/10</f>
        <v>40</v>
      </c>
      <c r="F14" s="275">
        <f t="shared" si="0"/>
        <v>220</v>
      </c>
      <c r="G14" s="270">
        <v>200</v>
      </c>
      <c r="H14" s="271">
        <f>TH!$B$18</f>
        <v>3.6</v>
      </c>
      <c r="I14" s="276">
        <f t="shared" si="1"/>
        <v>1306.8000000000002</v>
      </c>
      <c r="J14" s="277" t="s">
        <v>201</v>
      </c>
      <c r="K14" s="278" t="s">
        <v>588</v>
      </c>
      <c r="L14" s="277"/>
      <c r="M14" s="278"/>
      <c r="N14" s="279">
        <f>(IF(K14="HT",VLOOKUP(J14,'tải sàn'!$B$5:$L$50,11,0),IF(K14="TG",VLOOKUP(J14,'tải sàn'!$B$5:$L$50,9,0),0)))+(IF(M14="HT",VLOOKUP(L14,'tải sàn'!$B$5:$L$50,11,0),IF(M14="TG",VLOOKUP(L14,'tải sàn'!$B$5:$L$50,9,0),0)))</f>
        <v>1.8496296296296302</v>
      </c>
      <c r="O14" s="279">
        <f>F14+I14+N14</f>
        <v>1528.6496296296298</v>
      </c>
      <c r="P14" s="280">
        <f>O14*C14/2</f>
        <v>4585.9488888888891</v>
      </c>
      <c r="Q14" s="279">
        <f>(IF(K14="HT",VLOOKUP(J14,'tải sàn'!$B$5:$L$50,10,0),IF(K14="TG",VLOOKUP(J14,'tải sàn'!$B$5:$L$50,8,0),0)))+(IF(M14="HT",VLOOKUP(L14,'tải sàn'!$B$5:$L$50,10,0),IF(M14="TG",VLOOKUP(L14,'tải sàn'!$B$5:$L$50,8,0),0)))</f>
        <v>0.31777777777777783</v>
      </c>
      <c r="R14" s="280">
        <f t="shared" si="4"/>
        <v>0.95333333333333348</v>
      </c>
    </row>
    <row r="15" spans="2:20" ht="15.75">
      <c r="B15" s="274">
        <v>10</v>
      </c>
      <c r="C15" s="284">
        <v>3</v>
      </c>
      <c r="D15" s="270">
        <f>TH!$B$53/10</f>
        <v>20</v>
      </c>
      <c r="E15" s="270">
        <f>TH!$B$50/10</f>
        <v>40</v>
      </c>
      <c r="F15" s="275">
        <f t="shared" si="0"/>
        <v>220</v>
      </c>
      <c r="G15" s="270">
        <v>200</v>
      </c>
      <c r="H15" s="271">
        <f>TH!$B$18</f>
        <v>3.6</v>
      </c>
      <c r="I15" s="276">
        <f t="shared" si="1"/>
        <v>1306.8000000000002</v>
      </c>
      <c r="J15" s="277" t="s">
        <v>103</v>
      </c>
      <c r="K15" s="278" t="s">
        <v>587</v>
      </c>
      <c r="L15" s="277"/>
      <c r="M15" s="278"/>
      <c r="N15" s="279">
        <f>(IF(K15="HT",VLOOKUP(J15,'tải sàn'!$B$5:$L$50,11,0),IF(K15="TG",VLOOKUP(J15,'tải sàn'!$B$5:$L$50,9,0),0)))+(IF(M15="HT",VLOOKUP(L15,'tải sàn'!$B$5:$L$50,11,0),IF(M15="TG",VLOOKUP(L15,'tải sàn'!$B$5:$L$50,9,0),0)))</f>
        <v>0.44625000000000004</v>
      </c>
      <c r="O15" s="279">
        <f t="shared" si="2"/>
        <v>1527.2462500000001</v>
      </c>
      <c r="P15" s="280">
        <f t="shared" si="3"/>
        <v>2290.8693750000002</v>
      </c>
      <c r="Q15" s="279">
        <f>(IF(K15="HT",VLOOKUP(J15,'tải sàn'!$B$5:$L$50,10,0),IF(K15="TG",VLOOKUP(J15,'tải sàn'!$B$5:$L$50,8,0),0)))+(IF(M15="HT",VLOOKUP(L15,'tải sàn'!$B$5:$L$50,10,0),IF(M15="TG",VLOOKUP(L15,'tải sàn'!$B$5:$L$50,8,0),0)))</f>
        <v>0.33750000000000002</v>
      </c>
      <c r="R15" s="280">
        <f t="shared" si="4"/>
        <v>0.50625000000000009</v>
      </c>
    </row>
    <row r="16" spans="2:20" ht="15.75">
      <c r="B16" s="283">
        <v>11</v>
      </c>
      <c r="C16" s="284">
        <v>3</v>
      </c>
      <c r="D16" s="270">
        <f>TH!$B$53/10</f>
        <v>20</v>
      </c>
      <c r="E16" s="270">
        <f>TH!$B$50/10</f>
        <v>40</v>
      </c>
      <c r="F16" s="275">
        <f t="shared" si="0"/>
        <v>220</v>
      </c>
      <c r="G16" s="270">
        <v>100</v>
      </c>
      <c r="H16" s="271">
        <f>TH!$B$18</f>
        <v>3.6</v>
      </c>
      <c r="I16" s="276">
        <f t="shared" si="1"/>
        <v>712.80000000000007</v>
      </c>
      <c r="J16" s="277" t="s">
        <v>103</v>
      </c>
      <c r="K16" s="278" t="s">
        <v>587</v>
      </c>
      <c r="L16" s="277" t="s">
        <v>107</v>
      </c>
      <c r="M16" s="278" t="s">
        <v>588</v>
      </c>
      <c r="N16" s="279">
        <f>(IF(K16="HT",VLOOKUP(J16,'tải sàn'!$B$5:$L$50,11,0),IF(K16="TG",VLOOKUP(J16,'tải sàn'!$B$5:$L$50,9,0),0)))+(IF(M16="HT",VLOOKUP(L16,'tải sàn'!$B$5:$L$50,11,0),IF(M16="TG",VLOOKUP(L16,'tải sàn'!$B$5:$L$50,9,0),0)))</f>
        <v>0.83410185185185193</v>
      </c>
      <c r="O16" s="279">
        <f t="shared" si="2"/>
        <v>933.63410185185194</v>
      </c>
      <c r="P16" s="280">
        <f t="shared" si="3"/>
        <v>1400.4511527777779</v>
      </c>
      <c r="Q16" s="279">
        <f>(IF(K16="HT",VLOOKUP(J16,'tải sàn'!$B$5:$L$50,10,0),IF(K16="TG",VLOOKUP(J16,'tải sàn'!$B$5:$L$50,8,0),0)))+(IF(M16="HT",VLOOKUP(L16,'tải sàn'!$B$5:$L$50,10,0),IF(M16="TG",VLOOKUP(L16,'tải sàn'!$B$5:$L$50,8,0),0)))</f>
        <v>0.7286111111111111</v>
      </c>
      <c r="R16" s="280">
        <f t="shared" si="4"/>
        <v>1.0929166666666665</v>
      </c>
    </row>
    <row r="17" spans="2:18" ht="15.75">
      <c r="B17" s="274">
        <v>12</v>
      </c>
      <c r="C17" s="284">
        <v>3</v>
      </c>
      <c r="D17" s="270">
        <f>TH!$B$53/10</f>
        <v>20</v>
      </c>
      <c r="E17" s="270">
        <f>TH!$B$50/10</f>
        <v>40</v>
      </c>
      <c r="F17" s="275">
        <f t="shared" si="0"/>
        <v>220</v>
      </c>
      <c r="G17" s="270">
        <v>100</v>
      </c>
      <c r="H17" s="271">
        <f>TH!$B$18</f>
        <v>3.6</v>
      </c>
      <c r="I17" s="276">
        <f t="shared" si="1"/>
        <v>712.80000000000007</v>
      </c>
      <c r="J17" s="277" t="s">
        <v>107</v>
      </c>
      <c r="K17" s="278" t="s">
        <v>588</v>
      </c>
      <c r="L17" s="277" t="s">
        <v>103</v>
      </c>
      <c r="M17" s="278" t="s">
        <v>587</v>
      </c>
      <c r="N17" s="279">
        <f>(IF(K17="HT",VLOOKUP(J17,'tải sàn'!$B$5:$L$50,11,0),IF(K17="TG",VLOOKUP(J17,'tải sàn'!$B$5:$L$50,9,0),0)))+(IF(M17="HT",VLOOKUP(L17,'tải sàn'!$B$5:$L$50,11,0),IF(M17="TG",VLOOKUP(L17,'tải sàn'!$B$5:$L$50,9,0),0)))</f>
        <v>0.83410185185185193</v>
      </c>
      <c r="O17" s="279">
        <f t="shared" si="2"/>
        <v>933.63410185185194</v>
      </c>
      <c r="P17" s="280">
        <f t="shared" si="3"/>
        <v>1400.4511527777779</v>
      </c>
      <c r="Q17" s="279">
        <f>(IF(K17="HT",VLOOKUP(J17,'tải sàn'!$B$5:$L$50,10,0),IF(K17="TG",VLOOKUP(J17,'tải sàn'!$B$5:$L$50,8,0),0)))+(IF(M17="HT",VLOOKUP(L17,'tải sàn'!$B$5:$L$50,10,0),IF(M17="TG",VLOOKUP(L17,'tải sàn'!$B$5:$L$50,8,0),0)))</f>
        <v>0.7286111111111111</v>
      </c>
      <c r="R17" s="280">
        <f t="shared" si="4"/>
        <v>1.0929166666666665</v>
      </c>
    </row>
    <row r="18" spans="2:18" ht="15.75">
      <c r="B18" s="283">
        <v>13</v>
      </c>
      <c r="C18" s="284">
        <v>3</v>
      </c>
      <c r="D18" s="270">
        <f>TH!$B$53/10</f>
        <v>20</v>
      </c>
      <c r="E18" s="270">
        <f>TH!$B$50/10</f>
        <v>40</v>
      </c>
      <c r="F18" s="275">
        <f t="shared" si="0"/>
        <v>220</v>
      </c>
      <c r="G18" s="270">
        <v>200</v>
      </c>
      <c r="H18" s="271">
        <f>TH!$B$18</f>
        <v>3.6</v>
      </c>
      <c r="I18" s="276">
        <f>IF(G18=100,180*1.1*H18,IF(G18=200,330*1.1*H18,0))</f>
        <v>1306.8000000000002</v>
      </c>
      <c r="J18" s="277" t="s">
        <v>103</v>
      </c>
      <c r="K18" s="278" t="s">
        <v>587</v>
      </c>
      <c r="L18" s="277"/>
      <c r="M18" s="278"/>
      <c r="N18" s="279">
        <f>(IF(K18="HT",VLOOKUP(J18,'tải sàn'!$B$5:$L$50,11,0),IF(K18="TG",VLOOKUP(J18,'tải sàn'!$B$5:$L$50,9,0),0)))+(IF(M18="HT",VLOOKUP(L18,'tải sàn'!$B$5:$L$50,11,0),IF(M18="TG",VLOOKUP(L18,'tải sàn'!$B$5:$L$50,9,0),0)))</f>
        <v>0.44625000000000004</v>
      </c>
      <c r="O18" s="279">
        <f t="shared" si="2"/>
        <v>1527.2462500000001</v>
      </c>
      <c r="P18" s="280">
        <f>O18*C18/2</f>
        <v>2290.8693750000002</v>
      </c>
      <c r="Q18" s="279">
        <f>(IF(K18="HT",VLOOKUP(J18,'tải sàn'!$B$5:$L$50,10,0),IF(K18="TG",VLOOKUP(J18,'tải sàn'!$B$5:$L$50,8,0),0)))+(IF(M18="HT",VLOOKUP(L18,'tải sàn'!$B$5:$L$50,10,0),IF(M18="TG",VLOOKUP(L18,'tải sàn'!$B$5:$L$50,8,0),0)))</f>
        <v>0.33750000000000002</v>
      </c>
      <c r="R18" s="280">
        <f t="shared" si="4"/>
        <v>0.50625000000000009</v>
      </c>
    </row>
  </sheetData>
  <mergeCells count="9">
    <mergeCell ref="B2:R2"/>
    <mergeCell ref="B3:B5"/>
    <mergeCell ref="C3:C4"/>
    <mergeCell ref="D3:E4"/>
    <mergeCell ref="F3:F4"/>
    <mergeCell ref="G3:I4"/>
    <mergeCell ref="J3:M5"/>
    <mergeCell ref="N3:P3"/>
    <mergeCell ref="Q3:R3"/>
  </mergeCells>
  <phoneticPr fontId="45"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2BB-D406-4C54-8BEF-7C266B2BB678}">
  <dimension ref="A1:X12"/>
  <sheetViews>
    <sheetView zoomScale="85" zoomScaleNormal="85" workbookViewId="0">
      <selection activeCell="C13" sqref="C13"/>
    </sheetView>
  </sheetViews>
  <sheetFormatPr defaultRowHeight="15"/>
  <sheetData>
    <row r="1" spans="1:24" ht="15.75" thickBot="1">
      <c r="A1" s="288"/>
      <c r="B1" s="288"/>
      <c r="C1" s="288"/>
      <c r="D1" s="288"/>
      <c r="E1" s="288"/>
      <c r="F1" s="288"/>
      <c r="G1" s="288"/>
      <c r="H1" s="288"/>
      <c r="I1" s="288"/>
      <c r="J1" s="288"/>
      <c r="K1" s="288"/>
      <c r="L1" s="288"/>
      <c r="M1" s="288"/>
      <c r="N1" s="288"/>
      <c r="O1" s="288"/>
      <c r="P1" s="288"/>
      <c r="Q1" s="288"/>
      <c r="R1" s="288"/>
      <c r="S1" s="288"/>
      <c r="T1" s="288"/>
      <c r="U1" s="288"/>
      <c r="V1" s="288"/>
      <c r="W1" s="288"/>
      <c r="X1" s="288"/>
    </row>
    <row r="2" spans="1:24" ht="19.5" thickBot="1">
      <c r="A2" s="741" t="s">
        <v>590</v>
      </c>
      <c r="B2" s="742"/>
      <c r="C2" s="742"/>
      <c r="D2" s="742"/>
      <c r="E2" s="742"/>
      <c r="F2" s="742"/>
      <c r="G2" s="742"/>
      <c r="H2" s="742"/>
      <c r="I2" s="742"/>
      <c r="J2" s="742"/>
      <c r="K2" s="742"/>
      <c r="L2" s="742"/>
      <c r="M2" s="742"/>
      <c r="N2" s="742"/>
      <c r="O2" s="742"/>
      <c r="P2" s="742"/>
      <c r="Q2" s="742"/>
      <c r="R2" s="742"/>
      <c r="S2" s="742"/>
      <c r="T2" s="742"/>
      <c r="U2" s="742"/>
      <c r="V2" s="742"/>
      <c r="W2" s="742"/>
      <c r="X2" s="743"/>
    </row>
    <row r="3" spans="1:24" ht="15.75">
      <c r="A3" s="744" t="s">
        <v>570</v>
      </c>
      <c r="B3" s="737" t="s">
        <v>591</v>
      </c>
      <c r="C3" s="739"/>
      <c r="D3" s="753" t="s">
        <v>592</v>
      </c>
      <c r="E3" s="750"/>
      <c r="F3" s="747" t="s">
        <v>573</v>
      </c>
      <c r="G3" s="737" t="s">
        <v>574</v>
      </c>
      <c r="H3" s="738"/>
      <c r="I3" s="739"/>
      <c r="J3" s="747" t="s">
        <v>593</v>
      </c>
      <c r="K3" s="737" t="s">
        <v>575</v>
      </c>
      <c r="L3" s="738"/>
      <c r="M3" s="738"/>
      <c r="N3" s="739"/>
      <c r="O3" s="753" t="s">
        <v>594</v>
      </c>
      <c r="P3" s="749"/>
      <c r="Q3" s="749"/>
      <c r="R3" s="749"/>
      <c r="S3" s="749"/>
      <c r="T3" s="750"/>
      <c r="U3" s="748" t="s">
        <v>595</v>
      </c>
      <c r="V3" s="748"/>
      <c r="W3" s="748"/>
      <c r="X3" s="748"/>
    </row>
    <row r="4" spans="1:24" ht="33">
      <c r="A4" s="745"/>
      <c r="B4" s="751" t="s">
        <v>596</v>
      </c>
      <c r="C4" s="751" t="s">
        <v>597</v>
      </c>
      <c r="D4" s="754" t="s">
        <v>598</v>
      </c>
      <c r="E4" s="751" t="s">
        <v>599</v>
      </c>
      <c r="F4" s="748"/>
      <c r="G4" s="740" t="s">
        <v>600</v>
      </c>
      <c r="H4" s="740" t="s">
        <v>601</v>
      </c>
      <c r="I4" s="740" t="s">
        <v>602</v>
      </c>
      <c r="J4" s="747"/>
      <c r="K4" s="737"/>
      <c r="L4" s="738"/>
      <c r="M4" s="738"/>
      <c r="N4" s="739"/>
      <c r="O4" s="292" t="s">
        <v>603</v>
      </c>
      <c r="P4" s="292" t="s">
        <v>604</v>
      </c>
      <c r="Q4" s="756" t="s">
        <v>605</v>
      </c>
      <c r="R4" s="289" t="s">
        <v>606</v>
      </c>
      <c r="S4" s="289" t="s">
        <v>607</v>
      </c>
      <c r="T4" s="289" t="s">
        <v>608</v>
      </c>
      <c r="U4" s="292" t="s">
        <v>604</v>
      </c>
      <c r="V4" s="289" t="s">
        <v>606</v>
      </c>
      <c r="W4" s="289" t="s">
        <v>607</v>
      </c>
      <c r="X4" s="289" t="s">
        <v>608</v>
      </c>
    </row>
    <row r="5" spans="1:24" ht="15.75">
      <c r="A5" s="746"/>
      <c r="B5" s="752"/>
      <c r="C5" s="752"/>
      <c r="D5" s="755"/>
      <c r="E5" s="752"/>
      <c r="F5" s="290" t="s">
        <v>583</v>
      </c>
      <c r="G5" s="740"/>
      <c r="H5" s="740"/>
      <c r="I5" s="740"/>
      <c r="J5" s="748"/>
      <c r="K5" s="737"/>
      <c r="L5" s="738"/>
      <c r="M5" s="749"/>
      <c r="N5" s="750"/>
      <c r="O5" s="290" t="s">
        <v>583</v>
      </c>
      <c r="P5" s="295" t="s">
        <v>521</v>
      </c>
      <c r="Q5" s="748"/>
      <c r="R5" s="290" t="s">
        <v>586</v>
      </c>
      <c r="S5" s="290" t="s">
        <v>586</v>
      </c>
      <c r="T5" s="290" t="s">
        <v>586</v>
      </c>
      <c r="U5" s="290" t="s">
        <v>521</v>
      </c>
      <c r="V5" s="290" t="s">
        <v>586</v>
      </c>
      <c r="W5" s="290" t="s">
        <v>586</v>
      </c>
      <c r="X5" s="290" t="s">
        <v>586</v>
      </c>
    </row>
    <row r="6" spans="1:24" ht="15.75">
      <c r="A6" s="725"/>
      <c r="B6" s="727">
        <v>2.7</v>
      </c>
      <c r="C6" s="727">
        <v>2.8</v>
      </c>
      <c r="D6" s="725">
        <f>TH!$B$53/10</f>
        <v>20</v>
      </c>
      <c r="E6" s="725">
        <f>TH!$B$50/10</f>
        <v>40</v>
      </c>
      <c r="F6" s="731">
        <f>1.1*D6*E6*2500/10000</f>
        <v>220</v>
      </c>
      <c r="G6" s="293">
        <v>200</v>
      </c>
      <c r="H6" s="293">
        <f>TH!$B$18</f>
        <v>3.6</v>
      </c>
      <c r="I6" s="294">
        <f>IF(G6=100,180*1.1*H6,IF(G6=200,330*1.1*H6,0))</f>
        <v>1306.8000000000002</v>
      </c>
      <c r="J6" s="293" t="s">
        <v>520</v>
      </c>
      <c r="K6" s="296" t="s">
        <v>112</v>
      </c>
      <c r="L6" s="297" t="s">
        <v>588</v>
      </c>
      <c r="M6" s="296" t="s">
        <v>104</v>
      </c>
      <c r="N6" s="297" t="s">
        <v>588</v>
      </c>
      <c r="O6" s="291">
        <f>(IF(L6="HT",VLOOKUP(K6,'tải sàn'!$B$5:$L$50,11,0),IF(L6="TG",VLOOKUP(K6,'tải sàn'!$B$5:$L$50,9,0),0)))+(IF(N6="HT",VLOOKUP(M6,'tải sàn'!$B$5:$L$50,11,0),IF(N6="TG",VLOOKUP(M6,'tải sàn'!$B$5:$L$50,9,0),0)))</f>
        <v>1.31934251713857</v>
      </c>
      <c r="P6" s="298">
        <f>F6+I6+O6</f>
        <v>1528.1193425171386</v>
      </c>
      <c r="Q6" s="733">
        <v>8</v>
      </c>
      <c r="R6" s="735">
        <f>VLOOKUP(Q6,'dam loai 1 T2'!$B$6:$R$30,15,0)</f>
        <v>2805.3041666666668</v>
      </c>
      <c r="S6" s="729">
        <f>((P6*B6*(C6+(B6/2))/(B6+C6))+(P7*C6*(C6/2))/(B6+C6))+(R6*C6/(B6+C6))</f>
        <v>5943.8196210708657</v>
      </c>
      <c r="T6" s="729">
        <f>((P6*B6*(B6/2))/(B6+C6))+(P7*C6*(B6+(C6/2))/(B6+C6))+(R6*B6/(B6+C6))</f>
        <v>6497.1060677624737</v>
      </c>
      <c r="U6" s="291">
        <f>(IF(L6="HT",VLOOKUP(K6,'tải sàn'!$B$5:$L$50,10,0),IF(L6="TG",VLOOKUP(K6,'tải sàn'!$B$5:$L$50,8,0),0)))+(IF(N6="HT",VLOOKUP(M6,'tải sàn'!$B$5:$L$50,10,0),IF(N6="TG",VLOOKUP(M6,'tải sàn'!$B$5:$L$50,8,0),0)))</f>
        <v>0.93690664653083444</v>
      </c>
      <c r="V6" s="735">
        <f>VLOOKUP(Q6,'dam loai 1 T2'!$B$6:$R$30,17,0)</f>
        <v>2.3200000000000003</v>
      </c>
      <c r="W6" s="729">
        <f>((U6*B6*(C6+(B6/2))/(B6+C6))+(U7*C6*(C6/2))/(B6+C6))+(V6*C6/(B6+C6))</f>
        <v>3.4919512430704351</v>
      </c>
      <c r="X6" s="729">
        <f>((U6*B6*(B6/2))/(B6+C6))+(U7*C6*(B6+(C6/2))/(B6+C6))+(V6*B6/(B6+C6))</f>
        <v>2.9374773186409548</v>
      </c>
    </row>
    <row r="7" spans="1:24" ht="15.75">
      <c r="A7" s="726"/>
      <c r="B7" s="728">
        <v>2.7</v>
      </c>
      <c r="C7" s="728">
        <v>7</v>
      </c>
      <c r="D7" s="726">
        <v>20</v>
      </c>
      <c r="E7" s="726">
        <v>120</v>
      </c>
      <c r="F7" s="732">
        <v>660</v>
      </c>
      <c r="G7" s="293">
        <v>200</v>
      </c>
      <c r="H7" s="293">
        <f>TH!$B$18</f>
        <v>3.6</v>
      </c>
      <c r="I7" s="294">
        <f>IF(G7=100,180*1.1*H7,IF(G7=200,330*1.1*H7,0))</f>
        <v>1306.8000000000002</v>
      </c>
      <c r="J7" s="293" t="s">
        <v>521</v>
      </c>
      <c r="K7" s="296"/>
      <c r="L7" s="297"/>
      <c r="M7" s="296" t="s">
        <v>104</v>
      </c>
      <c r="N7" s="297" t="s">
        <v>588</v>
      </c>
      <c r="O7" s="291">
        <f>(IF(L7="HT",VLOOKUP(K7,'tải sàn'!$B$5:$L$50,11,0),IF(L7="TG",VLOOKUP(K7,'tải sàn'!$B$5:$L$50,9,0),0)))+(IF(N7="HT",VLOOKUP(M7,'tải sàn'!$B$5:$L$50,11,0),IF(N7="TG",VLOOKUP(M7,'tải sàn'!$B$5:$L$50,9,0),0)))</f>
        <v>0.94974906085649902</v>
      </c>
      <c r="P7" s="298">
        <f>F7+I7+O7</f>
        <v>1967.7497490608566</v>
      </c>
      <c r="Q7" s="734"/>
      <c r="R7" s="736"/>
      <c r="S7" s="730"/>
      <c r="T7" s="730"/>
      <c r="U7" s="291">
        <f>(IF(L7="HT",VLOOKUP(K7,'tải sàn'!$B$5:$L$50,10,0),IF(L7="TG",VLOOKUP(K7,'tải sàn'!$B$5:$L$50,8,0),0)))+(IF(N7="HT",VLOOKUP(M7,'tải sàn'!$B$5:$L$50,10,0),IF(N7="TG",VLOOKUP(M7,'tải sàn'!$B$5:$L$50,8,0),0)))</f>
        <v>0.5642073628850488</v>
      </c>
      <c r="V7" s="736"/>
      <c r="W7" s="730"/>
      <c r="X7" s="730"/>
    </row>
    <row r="8" spans="1:24" ht="15.75">
      <c r="A8" s="725"/>
      <c r="B8" s="727">
        <v>2.7</v>
      </c>
      <c r="C8" s="727">
        <v>2.8</v>
      </c>
      <c r="D8" s="725">
        <f>TH!$B$53/10</f>
        <v>20</v>
      </c>
      <c r="E8" s="725">
        <f>TH!$B$50/10</f>
        <v>40</v>
      </c>
      <c r="F8" s="731">
        <v>220</v>
      </c>
      <c r="G8" s="293">
        <v>200</v>
      </c>
      <c r="H8" s="293">
        <f>TH!$B$18</f>
        <v>3.6</v>
      </c>
      <c r="I8" s="294">
        <f>IF(G8=100,180*1.1*H8,IF(G8=200,330*1.1*H8,0))</f>
        <v>1306.8000000000002</v>
      </c>
      <c r="J8" s="293" t="s">
        <v>520</v>
      </c>
      <c r="K8" s="296" t="s">
        <v>112</v>
      </c>
      <c r="L8" s="297" t="s">
        <v>588</v>
      </c>
      <c r="M8" s="296" t="s">
        <v>104</v>
      </c>
      <c r="N8" s="297" t="s">
        <v>588</v>
      </c>
      <c r="O8" s="291">
        <f>(IF(L8="HT",VLOOKUP(K8,'tải sàn'!$B$5:$L$50,11,0),IF(L8="TG",VLOOKUP(K8,'tải sàn'!$B$5:$L$50,9,0),0)))+(IF(N8="HT",VLOOKUP(M8,'tải sàn'!$B$5:$L$50,11,0),IF(N8="TG",VLOOKUP(M8,'tải sàn'!$B$5:$L$50,9,0),0)))</f>
        <v>1.31934251713857</v>
      </c>
      <c r="P8" s="298">
        <f>F8+I8+O8</f>
        <v>1528.1193425171386</v>
      </c>
      <c r="Q8" s="733">
        <v>9</v>
      </c>
      <c r="R8" s="735">
        <f>VLOOKUP(Q8,'dam loai 1 T2'!$B$6:$R$30,15,0)</f>
        <v>4585.9488888888891</v>
      </c>
      <c r="S8" s="729">
        <f>((P8*B8*(C8+(B8/2))/(B8+C8))+(P9*C8*(C8/2))/(B8+C8))+(R8*C8/(B8+C8))</f>
        <v>6536.7296614749066</v>
      </c>
      <c r="T8" s="729">
        <f>((P8*B8*(B8/2))/(B8+C8))+(P9*C8*(B8+(C8/2))/(B8+C8))+(R8*B8/(B8+C8))</f>
        <v>6452.840749580655</v>
      </c>
      <c r="U8" s="291">
        <f>(IF(L8="HT",VLOOKUP(K8,'tải sàn'!$B$5:$L$50,10,0),IF(L8="TG",VLOOKUP(K8,'tải sàn'!$B$5:$L$50,8,0),0)))+(IF(N8="HT",VLOOKUP(M8,'tải sàn'!$B$5:$L$50,10,0),IF(N8="TG",VLOOKUP(M8,'tải sàn'!$B$5:$L$50,8,0),0)))</f>
        <v>0.93690664653083444</v>
      </c>
      <c r="V8" s="735">
        <f>VLOOKUP(Q8,'dam loai 1 T2'!$B$6:$R$30,17,0)</f>
        <v>0.95333333333333348</v>
      </c>
      <c r="W8" s="729">
        <f>((U8*B8*(C8+(B8/2))/(B8+C8))+(U9*C8*(C8/2))/(B8+C8))+(V8*C8/(B8+C8))</f>
        <v>2.7961936673128589</v>
      </c>
      <c r="X8" s="729">
        <f>((U8*B8*(B8/2))/(B8+C8))+(U9*C8*(B8+(C8/2))/(B8+C8))+(V8*B8/(B8+C8))</f>
        <v>2.2665682277318639</v>
      </c>
    </row>
    <row r="9" spans="1:24" ht="15.75">
      <c r="A9" s="726"/>
      <c r="B9" s="728">
        <v>2.7</v>
      </c>
      <c r="C9" s="728">
        <v>7</v>
      </c>
      <c r="D9" s="726">
        <v>20</v>
      </c>
      <c r="E9" s="726">
        <v>120</v>
      </c>
      <c r="F9" s="732">
        <v>220</v>
      </c>
      <c r="G9" s="293">
        <v>200</v>
      </c>
      <c r="H9" s="293">
        <f>TH!$B$18</f>
        <v>3.6</v>
      </c>
      <c r="I9" s="294">
        <f>IF(G9=100,180*1.1*H9,IF(G9=200,330*1.1*H9,0))</f>
        <v>1306.8000000000002</v>
      </c>
      <c r="J9" s="293" t="s">
        <v>521</v>
      </c>
      <c r="K9" s="296"/>
      <c r="L9" s="297"/>
      <c r="M9" s="296" t="s">
        <v>104</v>
      </c>
      <c r="N9" s="297" t="s">
        <v>588</v>
      </c>
      <c r="O9" s="291">
        <f>(IF(L9="HT",VLOOKUP(K9,'tải sàn'!$B$5:$L$50,11,0),IF(L9="TG",VLOOKUP(K9,'tải sàn'!$B$5:$L$50,9,0),0)))+(IF(N9="HT",VLOOKUP(M9,'tải sàn'!$B$5:$L$50,11,0),IF(N9="TG",VLOOKUP(M9,'tải sàn'!$B$5:$L$50,9,0),0)))</f>
        <v>0.94974906085649902</v>
      </c>
      <c r="P9" s="298">
        <f>F9+I9+O9</f>
        <v>1527.7497490608566</v>
      </c>
      <c r="Q9" s="734"/>
      <c r="R9" s="736"/>
      <c r="S9" s="730"/>
      <c r="T9" s="730"/>
      <c r="U9" s="291">
        <f>(IF(L9="HT",VLOOKUP(K9,'tải sàn'!$B$5:$L$50,10,0),IF(L9="TG",VLOOKUP(K9,'tải sàn'!$B$5:$L$50,8,0),0)))+(IF(N9="HT",VLOOKUP(M9,'tải sàn'!$B$5:$L$50,10,0),IF(N9="TG",VLOOKUP(M9,'tải sàn'!$B$5:$L$50,8,0),0)))</f>
        <v>0.5642073628850488</v>
      </c>
      <c r="V9" s="736"/>
      <c r="W9" s="730"/>
      <c r="X9" s="730"/>
    </row>
    <row r="12" spans="1:24" ht="15.75">
      <c r="D12" s="270"/>
      <c r="E12" s="270"/>
    </row>
  </sheetData>
  <mergeCells count="44">
    <mergeCell ref="T8:T9"/>
    <mergeCell ref="Q8:Q9"/>
    <mergeCell ref="R8:R9"/>
    <mergeCell ref="U3:X3"/>
    <mergeCell ref="J3:J5"/>
    <mergeCell ref="O3:T3"/>
    <mergeCell ref="Q4:Q5"/>
    <mergeCell ref="W6:W7"/>
    <mergeCell ref="X6:X7"/>
    <mergeCell ref="S8:S9"/>
    <mergeCell ref="T6:T7"/>
    <mergeCell ref="V6:V7"/>
    <mergeCell ref="A2:X2"/>
    <mergeCell ref="W8:W9"/>
    <mergeCell ref="X8:X9"/>
    <mergeCell ref="V8:V9"/>
    <mergeCell ref="A3:A5"/>
    <mergeCell ref="F3:F4"/>
    <mergeCell ref="K3:N5"/>
    <mergeCell ref="A8:A9"/>
    <mergeCell ref="B8:B9"/>
    <mergeCell ref="C8:C9"/>
    <mergeCell ref="B3:C3"/>
    <mergeCell ref="B4:B5"/>
    <mergeCell ref="C4:C5"/>
    <mergeCell ref="D3:E3"/>
    <mergeCell ref="D4:D5"/>
    <mergeCell ref="E4:E5"/>
    <mergeCell ref="G3:I3"/>
    <mergeCell ref="G4:G5"/>
    <mergeCell ref="H4:H5"/>
    <mergeCell ref="I4:I5"/>
    <mergeCell ref="D8:D9"/>
    <mergeCell ref="E8:E9"/>
    <mergeCell ref="F8:F9"/>
    <mergeCell ref="A6:A7"/>
    <mergeCell ref="B6:B7"/>
    <mergeCell ref="C6:C7"/>
    <mergeCell ref="D6:D7"/>
    <mergeCell ref="S6:S7"/>
    <mergeCell ref="E6:E7"/>
    <mergeCell ref="F6:F7"/>
    <mergeCell ref="Q6:Q7"/>
    <mergeCell ref="R6:R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8EE8-9E0C-4F76-BBC7-8CC74B5F20D6}">
  <dimension ref="A1:X19"/>
  <sheetViews>
    <sheetView workbookViewId="0">
      <selection activeCell="L20" sqref="L20"/>
    </sheetView>
  </sheetViews>
  <sheetFormatPr defaultRowHeight="15"/>
  <sheetData>
    <row r="1" spans="1:24" ht="19.5" thickBot="1">
      <c r="A1" s="741" t="s">
        <v>626</v>
      </c>
      <c r="B1" s="742"/>
      <c r="C1" s="742"/>
      <c r="D1" s="742"/>
      <c r="E1" s="742"/>
      <c r="F1" s="742"/>
      <c r="G1" s="742"/>
      <c r="H1" s="742"/>
      <c r="I1" s="742"/>
      <c r="J1" s="742"/>
      <c r="K1" s="742"/>
      <c r="L1" s="742"/>
      <c r="M1" s="742"/>
      <c r="N1" s="742"/>
      <c r="O1" s="742"/>
      <c r="P1" s="742"/>
      <c r="Q1" s="742"/>
      <c r="R1" s="742"/>
      <c r="S1" s="742"/>
      <c r="T1" s="742"/>
      <c r="U1" s="742"/>
      <c r="V1" s="742"/>
      <c r="W1" s="742"/>
      <c r="X1" s="743"/>
    </row>
    <row r="2" spans="1:24" ht="15.75">
      <c r="A2" s="744" t="s">
        <v>570</v>
      </c>
      <c r="B2" s="737" t="s">
        <v>591</v>
      </c>
      <c r="C2" s="739"/>
      <c r="D2" s="753" t="s">
        <v>592</v>
      </c>
      <c r="E2" s="750"/>
      <c r="F2" s="761" t="s">
        <v>573</v>
      </c>
      <c r="G2" s="737" t="s">
        <v>574</v>
      </c>
      <c r="H2" s="738"/>
      <c r="I2" s="739"/>
      <c r="J2" s="747" t="s">
        <v>593</v>
      </c>
      <c r="K2" s="737" t="s">
        <v>575</v>
      </c>
      <c r="L2" s="738"/>
      <c r="M2" s="738"/>
      <c r="N2" s="739"/>
      <c r="O2" s="753" t="s">
        <v>594</v>
      </c>
      <c r="P2" s="749"/>
      <c r="Q2" s="749"/>
      <c r="R2" s="749"/>
      <c r="S2" s="749"/>
      <c r="T2" s="750"/>
      <c r="U2" s="748" t="s">
        <v>595</v>
      </c>
      <c r="V2" s="748"/>
      <c r="W2" s="748"/>
      <c r="X2" s="748"/>
    </row>
    <row r="3" spans="1:24">
      <c r="A3" s="745"/>
      <c r="B3" s="751" t="s">
        <v>596</v>
      </c>
      <c r="C3" s="751" t="s">
        <v>597</v>
      </c>
      <c r="D3" s="754" t="s">
        <v>598</v>
      </c>
      <c r="E3" s="751" t="s">
        <v>599</v>
      </c>
      <c r="F3" s="747"/>
      <c r="G3" s="740" t="s">
        <v>600</v>
      </c>
      <c r="H3" s="740" t="s">
        <v>601</v>
      </c>
      <c r="I3" s="740" t="s">
        <v>602</v>
      </c>
      <c r="J3" s="747"/>
      <c r="K3" s="737"/>
      <c r="L3" s="738"/>
      <c r="M3" s="738"/>
      <c r="N3" s="739"/>
      <c r="O3" s="756" t="s">
        <v>603</v>
      </c>
      <c r="P3" s="756" t="s">
        <v>604</v>
      </c>
      <c r="Q3" s="756" t="s">
        <v>627</v>
      </c>
      <c r="R3" s="756" t="s">
        <v>606</v>
      </c>
      <c r="S3" s="756" t="s">
        <v>607</v>
      </c>
      <c r="T3" s="756" t="s">
        <v>608</v>
      </c>
      <c r="U3" s="756" t="s">
        <v>604</v>
      </c>
      <c r="V3" s="756" t="s">
        <v>606</v>
      </c>
      <c r="W3" s="756" t="s">
        <v>607</v>
      </c>
      <c r="X3" s="756" t="s">
        <v>608</v>
      </c>
    </row>
    <row r="4" spans="1:24">
      <c r="A4" s="745"/>
      <c r="B4" s="760"/>
      <c r="C4" s="760"/>
      <c r="D4" s="759"/>
      <c r="E4" s="760"/>
      <c r="F4" s="748"/>
      <c r="G4" s="740"/>
      <c r="H4" s="740"/>
      <c r="I4" s="740"/>
      <c r="J4" s="747"/>
      <c r="K4" s="737"/>
      <c r="L4" s="738"/>
      <c r="M4" s="738"/>
      <c r="N4" s="739"/>
      <c r="O4" s="748"/>
      <c r="P4" s="748"/>
      <c r="Q4" s="747"/>
      <c r="R4" s="748"/>
      <c r="S4" s="748"/>
      <c r="T4" s="748"/>
      <c r="U4" s="748"/>
      <c r="V4" s="748"/>
      <c r="W4" s="748"/>
      <c r="X4" s="748"/>
    </row>
    <row r="5" spans="1:24" ht="15.75">
      <c r="A5" s="746"/>
      <c r="B5" s="752"/>
      <c r="C5" s="752"/>
      <c r="D5" s="755"/>
      <c r="E5" s="752"/>
      <c r="F5" s="319" t="s">
        <v>583</v>
      </c>
      <c r="G5" s="740"/>
      <c r="H5" s="740"/>
      <c r="I5" s="740"/>
      <c r="J5" s="748"/>
      <c r="K5" s="737"/>
      <c r="L5" s="738"/>
      <c r="M5" s="749"/>
      <c r="N5" s="750"/>
      <c r="O5" s="319" t="s">
        <v>583</v>
      </c>
      <c r="P5" s="324" t="s">
        <v>521</v>
      </c>
      <c r="Q5" s="747"/>
      <c r="R5" s="319" t="s">
        <v>586</v>
      </c>
      <c r="S5" s="319" t="s">
        <v>586</v>
      </c>
      <c r="T5" s="319" t="s">
        <v>586</v>
      </c>
      <c r="U5" s="319" t="s">
        <v>521</v>
      </c>
      <c r="V5" s="319" t="s">
        <v>586</v>
      </c>
      <c r="W5" s="319" t="s">
        <v>586</v>
      </c>
      <c r="X5" s="319" t="s">
        <v>586</v>
      </c>
    </row>
    <row r="6" spans="1:24" ht="15.75">
      <c r="A6" s="725"/>
      <c r="B6" s="727">
        <v>2.5</v>
      </c>
      <c r="C6" s="727">
        <v>3.5</v>
      </c>
      <c r="D6" s="725">
        <v>20</v>
      </c>
      <c r="E6" s="725">
        <v>60</v>
      </c>
      <c r="F6" s="731">
        <v>330</v>
      </c>
      <c r="G6" s="322"/>
      <c r="H6" s="322">
        <v>3.2</v>
      </c>
      <c r="I6" s="323">
        <v>0</v>
      </c>
      <c r="J6" s="322" t="s">
        <v>520</v>
      </c>
      <c r="K6" s="325" t="s">
        <v>103</v>
      </c>
      <c r="L6" s="326" t="s">
        <v>588</v>
      </c>
      <c r="M6" s="325" t="s">
        <v>106</v>
      </c>
      <c r="N6" s="326" t="s">
        <v>587</v>
      </c>
      <c r="O6" s="320">
        <v>957.84247685185187</v>
      </c>
      <c r="P6" s="336">
        <v>1287.8424768518519</v>
      </c>
      <c r="Q6" s="332">
        <v>9</v>
      </c>
      <c r="R6" s="757">
        <v>4981.6097543068154</v>
      </c>
      <c r="S6" s="729">
        <v>7448.2292980232214</v>
      </c>
      <c r="T6" s="729">
        <v>7587.6222115273576</v>
      </c>
      <c r="U6" s="320">
        <v>957.88194444444446</v>
      </c>
      <c r="V6" s="735">
        <v>2012.6040288800707</v>
      </c>
      <c r="W6" s="729">
        <v>4075.8224022633749</v>
      </c>
      <c r="X6" s="729">
        <v>3780.6134718547914</v>
      </c>
    </row>
    <row r="7" spans="1:24" ht="15.75">
      <c r="A7" s="726"/>
      <c r="B7" s="728">
        <v>2.7</v>
      </c>
      <c r="C7" s="728">
        <v>7</v>
      </c>
      <c r="D7" s="726">
        <v>20</v>
      </c>
      <c r="E7" s="726">
        <v>120</v>
      </c>
      <c r="F7" s="732">
        <v>660</v>
      </c>
      <c r="G7" s="322">
        <v>100</v>
      </c>
      <c r="H7" s="322">
        <v>3.2</v>
      </c>
      <c r="I7" s="323">
        <v>633.60000000000014</v>
      </c>
      <c r="J7" s="322" t="s">
        <v>521</v>
      </c>
      <c r="K7" s="325" t="s">
        <v>103</v>
      </c>
      <c r="L7" s="326" t="s">
        <v>588</v>
      </c>
      <c r="M7" s="325" t="s">
        <v>108</v>
      </c>
      <c r="N7" s="326" t="s">
        <v>588</v>
      </c>
      <c r="O7" s="320">
        <v>989.15301803260991</v>
      </c>
      <c r="P7" s="336">
        <v>1952.75301803261</v>
      </c>
      <c r="Q7" s="333" t="s">
        <v>628</v>
      </c>
      <c r="R7" s="758"/>
      <c r="S7" s="730"/>
      <c r="T7" s="730"/>
      <c r="U7" s="320">
        <v>985.46485260770976</v>
      </c>
      <c r="V7" s="736"/>
      <c r="W7" s="730"/>
      <c r="X7" s="730"/>
    </row>
    <row r="8" spans="1:24" ht="15.75">
      <c r="A8" s="725"/>
      <c r="B8" s="727">
        <v>2.5</v>
      </c>
      <c r="C8" s="727">
        <v>3.5</v>
      </c>
      <c r="D8" s="725">
        <v>20</v>
      </c>
      <c r="E8" s="725">
        <v>60</v>
      </c>
      <c r="F8" s="731">
        <v>330</v>
      </c>
      <c r="G8" s="322">
        <v>100</v>
      </c>
      <c r="H8" s="322">
        <v>3.2</v>
      </c>
      <c r="I8" s="323">
        <v>633.60000000000014</v>
      </c>
      <c r="J8" s="322" t="s">
        <v>520</v>
      </c>
      <c r="K8" s="325" t="s">
        <v>108</v>
      </c>
      <c r="L8" s="326" t="s">
        <v>587</v>
      </c>
      <c r="M8" s="325" t="s">
        <v>106</v>
      </c>
      <c r="N8" s="326" t="s">
        <v>588</v>
      </c>
      <c r="O8" s="320">
        <v>678.94223679698212</v>
      </c>
      <c r="P8" s="336">
        <v>1642.5422367969823</v>
      </c>
      <c r="Q8" s="332">
        <v>9</v>
      </c>
      <c r="R8" s="757">
        <v>4752.5294662540946</v>
      </c>
      <c r="S8" s="729">
        <v>7763.3069849766689</v>
      </c>
      <c r="T8" s="729">
        <v>7061.7493395593192</v>
      </c>
      <c r="U8" s="320">
        <v>598.11171124828536</v>
      </c>
      <c r="V8" s="735">
        <v>1947.5928681657847</v>
      </c>
      <c r="W8" s="729">
        <v>2986.2577964248972</v>
      </c>
      <c r="X8" s="729">
        <v>2741.4115892305999</v>
      </c>
    </row>
    <row r="9" spans="1:24" ht="15.75">
      <c r="A9" s="726"/>
      <c r="B9" s="728">
        <v>2.2999999999999998</v>
      </c>
      <c r="C9" s="728">
        <v>3</v>
      </c>
      <c r="D9" s="726">
        <v>20</v>
      </c>
      <c r="E9" s="726">
        <v>40</v>
      </c>
      <c r="F9" s="732">
        <v>220</v>
      </c>
      <c r="G9" s="322">
        <v>100</v>
      </c>
      <c r="H9" s="322">
        <v>3.2</v>
      </c>
      <c r="I9" s="323">
        <v>633.60000000000014</v>
      </c>
      <c r="J9" s="322" t="s">
        <v>521</v>
      </c>
      <c r="K9" s="325" t="s">
        <v>107</v>
      </c>
      <c r="L9" s="326" t="s">
        <v>587</v>
      </c>
      <c r="M9" s="325" t="s">
        <v>106</v>
      </c>
      <c r="N9" s="326" t="s">
        <v>588</v>
      </c>
      <c r="O9" s="320">
        <v>741.02036179698212</v>
      </c>
      <c r="P9" s="336">
        <v>1704.6203617969823</v>
      </c>
      <c r="Q9" s="333" t="s">
        <v>617</v>
      </c>
      <c r="R9" s="758"/>
      <c r="S9" s="730"/>
      <c r="T9" s="730"/>
      <c r="U9" s="320">
        <v>652.79921124828536</v>
      </c>
      <c r="V9" s="736"/>
      <c r="W9" s="730"/>
      <c r="X9" s="730"/>
    </row>
    <row r="10" spans="1:24" ht="15.75">
      <c r="A10" s="725"/>
      <c r="B10" s="727"/>
      <c r="C10" s="727"/>
      <c r="D10" s="725"/>
      <c r="E10" s="725"/>
      <c r="F10" s="731">
        <v>0</v>
      </c>
      <c r="G10" s="322"/>
      <c r="H10" s="322"/>
      <c r="I10" s="323">
        <v>0</v>
      </c>
      <c r="J10" s="322"/>
      <c r="K10" s="325"/>
      <c r="L10" s="326"/>
      <c r="M10" s="325"/>
      <c r="N10" s="326"/>
      <c r="O10" s="320">
        <v>0</v>
      </c>
      <c r="P10" s="336">
        <v>0</v>
      </c>
      <c r="Q10" s="332"/>
      <c r="R10" s="757" t="s">
        <v>629</v>
      </c>
      <c r="S10" s="729" t="e">
        <v>#DIV/0!</v>
      </c>
      <c r="T10" s="729" t="e">
        <v>#DIV/0!</v>
      </c>
      <c r="U10" s="320">
        <v>0</v>
      </c>
      <c r="V10" s="735" t="s">
        <v>629</v>
      </c>
      <c r="W10" s="729" t="e">
        <v>#DIV/0!</v>
      </c>
      <c r="X10" s="729" t="e">
        <v>#DIV/0!</v>
      </c>
    </row>
    <row r="11" spans="1:24" ht="15.75">
      <c r="A11" s="726"/>
      <c r="B11" s="728"/>
      <c r="C11" s="728"/>
      <c r="D11" s="726"/>
      <c r="E11" s="726"/>
      <c r="F11" s="732">
        <v>0</v>
      </c>
      <c r="G11" s="322"/>
      <c r="H11" s="322"/>
      <c r="I11" s="323">
        <v>0</v>
      </c>
      <c r="J11" s="322"/>
      <c r="K11" s="325"/>
      <c r="L11" s="326"/>
      <c r="M11" s="325"/>
      <c r="N11" s="326"/>
      <c r="O11" s="320">
        <v>0</v>
      </c>
      <c r="P11" s="336">
        <v>0</v>
      </c>
      <c r="Q11" s="333"/>
      <c r="R11" s="758"/>
      <c r="S11" s="730"/>
      <c r="T11" s="730"/>
      <c r="U11" s="320">
        <v>0</v>
      </c>
      <c r="V11" s="736"/>
      <c r="W11" s="730"/>
      <c r="X11" s="730"/>
    </row>
    <row r="12" spans="1:24" ht="15.75">
      <c r="A12" s="725"/>
      <c r="B12" s="727"/>
      <c r="C12" s="727"/>
      <c r="D12" s="725"/>
      <c r="E12" s="725"/>
      <c r="F12" s="731">
        <v>0</v>
      </c>
      <c r="G12" s="322"/>
      <c r="H12" s="322"/>
      <c r="I12" s="323">
        <v>0</v>
      </c>
      <c r="J12" s="322"/>
      <c r="K12" s="325"/>
      <c r="L12" s="326"/>
      <c r="M12" s="325"/>
      <c r="N12" s="326"/>
      <c r="O12" s="320">
        <v>0</v>
      </c>
      <c r="P12" s="336">
        <v>0</v>
      </c>
      <c r="Q12" s="332"/>
      <c r="R12" s="757" t="s">
        <v>629</v>
      </c>
      <c r="S12" s="729" t="e">
        <v>#DIV/0!</v>
      </c>
      <c r="T12" s="729" t="e">
        <v>#DIV/0!</v>
      </c>
      <c r="U12" s="320">
        <v>0</v>
      </c>
      <c r="V12" s="735" t="s">
        <v>629</v>
      </c>
      <c r="W12" s="729" t="e">
        <v>#DIV/0!</v>
      </c>
      <c r="X12" s="729" t="e">
        <v>#DIV/0!</v>
      </c>
    </row>
    <row r="13" spans="1:24" ht="15.75">
      <c r="A13" s="726"/>
      <c r="B13" s="728"/>
      <c r="C13" s="728"/>
      <c r="D13" s="726"/>
      <c r="E13" s="726"/>
      <c r="F13" s="732">
        <v>0</v>
      </c>
      <c r="G13" s="322"/>
      <c r="H13" s="322"/>
      <c r="I13" s="323">
        <v>0</v>
      </c>
      <c r="J13" s="322"/>
      <c r="K13" s="325"/>
      <c r="L13" s="326"/>
      <c r="M13" s="325"/>
      <c r="N13" s="326"/>
      <c r="O13" s="320">
        <v>0</v>
      </c>
      <c r="P13" s="336">
        <v>0</v>
      </c>
      <c r="Q13" s="333"/>
      <c r="R13" s="758"/>
      <c r="S13" s="730"/>
      <c r="T13" s="730"/>
      <c r="U13" s="320">
        <v>0</v>
      </c>
      <c r="V13" s="736"/>
      <c r="W13" s="730"/>
      <c r="X13" s="730"/>
    </row>
    <row r="14" spans="1:24" ht="15.75">
      <c r="A14" s="725"/>
      <c r="B14" s="727"/>
      <c r="C14" s="727"/>
      <c r="D14" s="725"/>
      <c r="E14" s="725"/>
      <c r="F14" s="731">
        <v>0</v>
      </c>
      <c r="G14" s="322"/>
      <c r="H14" s="322"/>
      <c r="I14" s="323">
        <v>0</v>
      </c>
      <c r="J14" s="322"/>
      <c r="K14" s="325"/>
      <c r="L14" s="326"/>
      <c r="M14" s="325"/>
      <c r="N14" s="326"/>
      <c r="O14" s="320">
        <v>0</v>
      </c>
      <c r="P14" s="336">
        <v>0</v>
      </c>
      <c r="Q14" s="332"/>
      <c r="R14" s="757" t="s">
        <v>629</v>
      </c>
      <c r="S14" s="729" t="e">
        <v>#DIV/0!</v>
      </c>
      <c r="T14" s="729" t="e">
        <v>#DIV/0!</v>
      </c>
      <c r="U14" s="320">
        <v>0</v>
      </c>
      <c r="V14" s="735" t="s">
        <v>629</v>
      </c>
      <c r="W14" s="729" t="e">
        <v>#DIV/0!</v>
      </c>
      <c r="X14" s="729" t="e">
        <v>#DIV/0!</v>
      </c>
    </row>
    <row r="15" spans="1:24" ht="15.75">
      <c r="A15" s="726"/>
      <c r="B15" s="728"/>
      <c r="C15" s="728"/>
      <c r="D15" s="726"/>
      <c r="E15" s="726"/>
      <c r="F15" s="732">
        <v>0</v>
      </c>
      <c r="G15" s="322"/>
      <c r="H15" s="322"/>
      <c r="I15" s="323">
        <v>0</v>
      </c>
      <c r="J15" s="322"/>
      <c r="K15" s="325"/>
      <c r="L15" s="326"/>
      <c r="M15" s="325"/>
      <c r="N15" s="326"/>
      <c r="O15" s="320">
        <v>0</v>
      </c>
      <c r="P15" s="336">
        <v>0</v>
      </c>
      <c r="Q15" s="333"/>
      <c r="R15" s="758"/>
      <c r="S15" s="730"/>
      <c r="T15" s="730"/>
      <c r="U15" s="320">
        <v>0</v>
      </c>
      <c r="V15" s="736"/>
      <c r="W15" s="730"/>
      <c r="X15" s="730"/>
    </row>
    <row r="16" spans="1:24" ht="15.75">
      <c r="A16" s="725"/>
      <c r="B16" s="727"/>
      <c r="C16" s="727"/>
      <c r="D16" s="725"/>
      <c r="E16" s="725"/>
      <c r="F16" s="731">
        <v>0</v>
      </c>
      <c r="G16" s="322"/>
      <c r="H16" s="322"/>
      <c r="I16" s="323">
        <v>0</v>
      </c>
      <c r="J16" s="322"/>
      <c r="K16" s="325"/>
      <c r="L16" s="326"/>
      <c r="M16" s="325"/>
      <c r="N16" s="326"/>
      <c r="O16" s="320">
        <v>0</v>
      </c>
      <c r="P16" s="336">
        <v>0</v>
      </c>
      <c r="Q16" s="332"/>
      <c r="R16" s="757" t="s">
        <v>629</v>
      </c>
      <c r="S16" s="729" t="e">
        <v>#DIV/0!</v>
      </c>
      <c r="T16" s="729" t="e">
        <v>#DIV/0!</v>
      </c>
      <c r="U16" s="320">
        <v>0</v>
      </c>
      <c r="V16" s="735" t="s">
        <v>629</v>
      </c>
      <c r="W16" s="729" t="e">
        <v>#DIV/0!</v>
      </c>
      <c r="X16" s="729" t="e">
        <v>#DIV/0!</v>
      </c>
    </row>
    <row r="17" spans="1:24" ht="15.75">
      <c r="A17" s="726"/>
      <c r="B17" s="728"/>
      <c r="C17" s="728"/>
      <c r="D17" s="726"/>
      <c r="E17" s="726"/>
      <c r="F17" s="732">
        <v>0</v>
      </c>
      <c r="G17" s="322"/>
      <c r="H17" s="322"/>
      <c r="I17" s="323">
        <v>0</v>
      </c>
      <c r="J17" s="322"/>
      <c r="K17" s="325"/>
      <c r="L17" s="326"/>
      <c r="M17" s="325"/>
      <c r="N17" s="326"/>
      <c r="O17" s="320">
        <v>0</v>
      </c>
      <c r="P17" s="336">
        <v>0</v>
      </c>
      <c r="Q17" s="333"/>
      <c r="R17" s="758"/>
      <c r="S17" s="730"/>
      <c r="T17" s="730"/>
      <c r="U17" s="320">
        <v>0</v>
      </c>
      <c r="V17" s="736"/>
      <c r="W17" s="730"/>
      <c r="X17" s="730"/>
    </row>
    <row r="18" spans="1:24" ht="15.75">
      <c r="A18" s="725"/>
      <c r="B18" s="727"/>
      <c r="C18" s="727"/>
      <c r="D18" s="725"/>
      <c r="E18" s="725"/>
      <c r="F18" s="731">
        <v>0</v>
      </c>
      <c r="G18" s="322"/>
      <c r="H18" s="322"/>
      <c r="I18" s="323">
        <v>0</v>
      </c>
      <c r="J18" s="322"/>
      <c r="K18" s="325"/>
      <c r="L18" s="326"/>
      <c r="M18" s="325"/>
      <c r="N18" s="326"/>
      <c r="O18" s="320">
        <v>0</v>
      </c>
      <c r="P18" s="336">
        <v>0</v>
      </c>
      <c r="Q18" s="332"/>
      <c r="R18" s="757" t="s">
        <v>629</v>
      </c>
      <c r="S18" s="729" t="e">
        <v>#DIV/0!</v>
      </c>
      <c r="T18" s="729" t="e">
        <v>#DIV/0!</v>
      </c>
      <c r="U18" s="320">
        <v>0</v>
      </c>
      <c r="V18" s="735" t="s">
        <v>629</v>
      </c>
      <c r="W18" s="729" t="e">
        <v>#DIV/0!</v>
      </c>
      <c r="X18" s="729" t="e">
        <v>#DIV/0!</v>
      </c>
    </row>
    <row r="19" spans="1:24" ht="15.75">
      <c r="A19" s="726"/>
      <c r="B19" s="728"/>
      <c r="C19" s="728"/>
      <c r="D19" s="726"/>
      <c r="E19" s="726"/>
      <c r="F19" s="732">
        <v>0</v>
      </c>
      <c r="G19" s="322"/>
      <c r="H19" s="322"/>
      <c r="I19" s="323">
        <v>0</v>
      </c>
      <c r="J19" s="322"/>
      <c r="K19" s="325"/>
      <c r="L19" s="326"/>
      <c r="M19" s="325"/>
      <c r="N19" s="326"/>
      <c r="O19" s="320">
        <v>0</v>
      </c>
      <c r="P19" s="336">
        <v>0</v>
      </c>
      <c r="Q19" s="333"/>
      <c r="R19" s="758"/>
      <c r="S19" s="730"/>
      <c r="T19" s="730"/>
      <c r="U19" s="320">
        <v>0</v>
      </c>
      <c r="V19" s="736"/>
      <c r="W19" s="730"/>
      <c r="X19" s="730"/>
    </row>
  </sheetData>
  <mergeCells count="111">
    <mergeCell ref="A1:X1"/>
    <mergeCell ref="A2:A5"/>
    <mergeCell ref="B2:C2"/>
    <mergeCell ref="D2:E2"/>
    <mergeCell ref="G2:I2"/>
    <mergeCell ref="J2:J5"/>
    <mergeCell ref="K2:N5"/>
    <mergeCell ref="Q3:Q5"/>
    <mergeCell ref="O3:O4"/>
    <mergeCell ref="B3:B5"/>
    <mergeCell ref="F2:F4"/>
    <mergeCell ref="R3:R4"/>
    <mergeCell ref="S3:S4"/>
    <mergeCell ref="T3:T4"/>
    <mergeCell ref="U3:U4"/>
    <mergeCell ref="H3:H5"/>
    <mergeCell ref="I3:I5"/>
    <mergeCell ref="O2:T2"/>
    <mergeCell ref="U2:X2"/>
    <mergeCell ref="P3:P4"/>
    <mergeCell ref="V3:V4"/>
    <mergeCell ref="W3:W4"/>
    <mergeCell ref="X3:X4"/>
    <mergeCell ref="C3:C5"/>
    <mergeCell ref="R6:R7"/>
    <mergeCell ref="A6:A7"/>
    <mergeCell ref="B6:B7"/>
    <mergeCell ref="C6:C7"/>
    <mergeCell ref="D6:D7"/>
    <mergeCell ref="G3:G5"/>
    <mergeCell ref="D3:D5"/>
    <mergeCell ref="E3:E5"/>
    <mergeCell ref="X6:X7"/>
    <mergeCell ref="S6:S7"/>
    <mergeCell ref="T6:T7"/>
    <mergeCell ref="V6:V7"/>
    <mergeCell ref="W6:W7"/>
    <mergeCell ref="E6:E7"/>
    <mergeCell ref="F6:F7"/>
    <mergeCell ref="A8:A9"/>
    <mergeCell ref="B8:B9"/>
    <mergeCell ref="C8:C9"/>
    <mergeCell ref="D8:D9"/>
    <mergeCell ref="E8:E9"/>
    <mergeCell ref="F8:F9"/>
    <mergeCell ref="R8:R9"/>
    <mergeCell ref="S8:S9"/>
    <mergeCell ref="T8:T9"/>
    <mergeCell ref="V10:V11"/>
    <mergeCell ref="W10:W11"/>
    <mergeCell ref="V8:V9"/>
    <mergeCell ref="W8:W9"/>
    <mergeCell ref="X10:X11"/>
    <mergeCell ref="A12:A13"/>
    <mergeCell ref="B12:B13"/>
    <mergeCell ref="C12:C13"/>
    <mergeCell ref="D12:D13"/>
    <mergeCell ref="E12:E13"/>
    <mergeCell ref="X8:X9"/>
    <mergeCell ref="A10:A11"/>
    <mergeCell ref="B10:B11"/>
    <mergeCell ref="C10:C11"/>
    <mergeCell ref="D10:D11"/>
    <mergeCell ref="E10:E11"/>
    <mergeCell ref="F10:F11"/>
    <mergeCell ref="R10:R11"/>
    <mergeCell ref="S10:S11"/>
    <mergeCell ref="T10:T11"/>
    <mergeCell ref="W12:W13"/>
    <mergeCell ref="F12:F13"/>
    <mergeCell ref="R12:R13"/>
    <mergeCell ref="S12:S13"/>
    <mergeCell ref="R18:R19"/>
    <mergeCell ref="X14:X15"/>
    <mergeCell ref="A16:A17"/>
    <mergeCell ref="B16:B17"/>
    <mergeCell ref="C16:C17"/>
    <mergeCell ref="D16:D17"/>
    <mergeCell ref="E16:E17"/>
    <mergeCell ref="F16:F17"/>
    <mergeCell ref="F14:F15"/>
    <mergeCell ref="R14:R15"/>
    <mergeCell ref="S14:S15"/>
    <mergeCell ref="T14:T15"/>
    <mergeCell ref="V14:V15"/>
    <mergeCell ref="W14:W15"/>
    <mergeCell ref="T16:T17"/>
    <mergeCell ref="T12:T13"/>
    <mergeCell ref="X12:X13"/>
    <mergeCell ref="A14:A15"/>
    <mergeCell ref="B14:B15"/>
    <mergeCell ref="C14:C15"/>
    <mergeCell ref="D14:D15"/>
    <mergeCell ref="R16:R17"/>
    <mergeCell ref="S16:S17"/>
    <mergeCell ref="A18:A19"/>
    <mergeCell ref="B18:B19"/>
    <mergeCell ref="C18:C19"/>
    <mergeCell ref="D18:D19"/>
    <mergeCell ref="E18:E19"/>
    <mergeCell ref="F18:F19"/>
    <mergeCell ref="V12:V13"/>
    <mergeCell ref="E14:E15"/>
    <mergeCell ref="X18:X19"/>
    <mergeCell ref="S18:S19"/>
    <mergeCell ref="T18:T19"/>
    <mergeCell ref="V18:V19"/>
    <mergeCell ref="W18:W19"/>
    <mergeCell ref="V16:V17"/>
    <mergeCell ref="W16:W17"/>
    <mergeCell ref="X16:X1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7E01-B995-4C9B-A29E-84517EEBC0B1}">
  <dimension ref="A1:U31"/>
  <sheetViews>
    <sheetView workbookViewId="0">
      <selection activeCell="F19" sqref="F19:G20"/>
    </sheetView>
  </sheetViews>
  <sheetFormatPr defaultRowHeight="15"/>
  <sheetData>
    <row r="1" spans="1:16" ht="15.75" thickBot="1">
      <c r="A1" s="299"/>
      <c r="B1" s="299"/>
      <c r="C1" s="299"/>
      <c r="D1" s="299"/>
      <c r="E1" s="299"/>
      <c r="F1" s="299"/>
      <c r="G1" s="299"/>
      <c r="H1" s="299"/>
      <c r="I1" s="299"/>
      <c r="J1" s="299"/>
      <c r="K1" s="299"/>
    </row>
    <row r="2" spans="1:16" ht="19.5" thickBot="1">
      <c r="A2" s="741" t="s">
        <v>620</v>
      </c>
      <c r="B2" s="742"/>
      <c r="C2" s="742"/>
      <c r="D2" s="742"/>
      <c r="E2" s="742"/>
      <c r="F2" s="742"/>
      <c r="G2" s="742"/>
      <c r="H2" s="742"/>
      <c r="I2" s="742"/>
      <c r="J2" s="742"/>
      <c r="K2" s="743"/>
    </row>
    <row r="3" spans="1:16" ht="15.75">
      <c r="A3" s="761" t="s">
        <v>609</v>
      </c>
      <c r="B3" s="737" t="s">
        <v>574</v>
      </c>
      <c r="C3" s="738"/>
      <c r="D3" s="739"/>
      <c r="E3" s="737" t="s">
        <v>575</v>
      </c>
      <c r="F3" s="738"/>
      <c r="G3" s="738"/>
      <c r="H3" s="739"/>
      <c r="I3" s="753" t="s">
        <v>594</v>
      </c>
      <c r="J3" s="749"/>
      <c r="K3" s="761" t="s">
        <v>595</v>
      </c>
    </row>
    <row r="4" spans="1:16" ht="33">
      <c r="A4" s="747"/>
      <c r="B4" s="740" t="s">
        <v>600</v>
      </c>
      <c r="C4" s="740" t="s">
        <v>601</v>
      </c>
      <c r="D4" s="740" t="s">
        <v>602</v>
      </c>
      <c r="E4" s="737"/>
      <c r="F4" s="738"/>
      <c r="G4" s="738"/>
      <c r="H4" s="739"/>
      <c r="I4" s="303" t="s">
        <v>603</v>
      </c>
      <c r="J4" s="303" t="s">
        <v>579</v>
      </c>
      <c r="K4" s="748"/>
    </row>
    <row r="5" spans="1:16" ht="15.75">
      <c r="A5" s="748"/>
      <c r="B5" s="740"/>
      <c r="C5" s="740"/>
      <c r="D5" s="740"/>
      <c r="E5" s="737"/>
      <c r="F5" s="738"/>
      <c r="G5" s="749"/>
      <c r="H5" s="750"/>
      <c r="I5" s="301" t="s">
        <v>583</v>
      </c>
      <c r="J5" s="301" t="s">
        <v>583</v>
      </c>
      <c r="K5" s="301" t="s">
        <v>583</v>
      </c>
    </row>
    <row r="6" spans="1:16" ht="15.75">
      <c r="A6" s="304" t="s">
        <v>621</v>
      </c>
      <c r="B6" s="304">
        <v>200</v>
      </c>
      <c r="C6" s="304">
        <f>TH!$B$18</f>
        <v>3.6</v>
      </c>
      <c r="D6" s="315">
        <f t="shared" ref="D6:D11" si="0">IF(B6=100,180*1.1*C6,IF(B6=200,330*1.1*C6,0))</f>
        <v>1306.8000000000002</v>
      </c>
      <c r="E6" s="307" t="s">
        <v>105</v>
      </c>
      <c r="F6" s="308" t="s">
        <v>587</v>
      </c>
      <c r="G6" s="307"/>
      <c r="H6" s="308"/>
      <c r="I6" s="302">
        <f>(IF(F6="HT",VLOOKUP(E6,'tải sàn'!$B$5:$L$50,11,0),IF(F6="TG",VLOOKUP(E6,'tải sàn'!$B$5:$L$50,9,0),0)))+(IF(H6="HT",VLOOKUP(G6,'tải sàn'!$B$5:$L$50,11,0),IF(H6="TG",VLOOKUP(G6,'tải sàn'!$B$5:$L$50,9,0),0)))</f>
        <v>0.59500000000000008</v>
      </c>
      <c r="J6" s="317">
        <f t="shared" ref="J6:J11" si="1">D6+I6</f>
        <v>1307.3950000000002</v>
      </c>
      <c r="K6" s="317">
        <f>(IF(F6="HT",VLOOKUP(E6,'tải sàn'!$B$5:$L$50,10,0),IF(F6="TG",VLOOKUP(E6,'tải sàn'!$B$5:$L$50,8,0),0)))+(IF(H6="HT",VLOOKUP(G6,'tải sàn'!$B$5:$L$50,10,0),IF(H6="TG",VLOOKUP(G6,'tải sàn'!$B$5:$L$50,8,0),0)))</f>
        <v>0.6</v>
      </c>
    </row>
    <row r="7" spans="1:16" ht="15.75">
      <c r="A7" s="304" t="s">
        <v>622</v>
      </c>
      <c r="B7" s="304">
        <v>100</v>
      </c>
      <c r="C7" s="322">
        <f>TH!$B$18</f>
        <v>3.6</v>
      </c>
      <c r="D7" s="315">
        <f t="shared" si="0"/>
        <v>712.80000000000007</v>
      </c>
      <c r="E7" s="307" t="s">
        <v>105</v>
      </c>
      <c r="F7" s="308" t="s">
        <v>587</v>
      </c>
      <c r="G7" s="307" t="s">
        <v>103</v>
      </c>
      <c r="H7" s="308" t="s">
        <v>588</v>
      </c>
      <c r="I7" s="302">
        <f>(IF(F7="HT",VLOOKUP(E7,'tải sàn'!$B$5:$L$50,11,0),IF(F7="TG",VLOOKUP(E7,'tải sàn'!$B$5:$L$50,9,0),0)))+(IF(H7="HT",VLOOKUP(G7,'tải sàn'!$B$5:$L$50,11,0),IF(H7="TG",VLOOKUP(G7,'tải sàn'!$B$5:$L$50,9,0),0)))</f>
        <v>1.1458398437500001</v>
      </c>
      <c r="J7" s="317">
        <f t="shared" si="1"/>
        <v>713.94583984375004</v>
      </c>
      <c r="K7" s="317">
        <f>(IF(F7="HT",VLOOKUP(E7,'tải sàn'!$B$5:$L$50,10,0),IF(F7="TG",VLOOKUP(E7,'tải sàn'!$B$5:$L$50,8,0),0)))+(IF(H7="HT",VLOOKUP(G7,'tải sàn'!$B$5:$L$50,10,0),IF(H7="TG",VLOOKUP(G7,'tải sàn'!$B$5:$L$50,8,0),0)))</f>
        <v>1.0166015625</v>
      </c>
    </row>
    <row r="8" spans="1:16" ht="15.75">
      <c r="A8" s="304" t="s">
        <v>610</v>
      </c>
      <c r="B8" s="304">
        <v>0</v>
      </c>
      <c r="C8" s="322">
        <f>TH!$B$18</f>
        <v>3.6</v>
      </c>
      <c r="D8" s="315">
        <f t="shared" si="0"/>
        <v>0</v>
      </c>
      <c r="E8" s="307" t="s">
        <v>108</v>
      </c>
      <c r="F8" s="308" t="s">
        <v>587</v>
      </c>
      <c r="G8" s="307" t="s">
        <v>107</v>
      </c>
      <c r="H8" s="308" t="s">
        <v>587</v>
      </c>
      <c r="I8" s="302">
        <f>(IF(F8="HT",VLOOKUP(E8,'tải sàn'!$B$5:$L$50,11,0),IF(F8="TG",VLOOKUP(E8,'tải sàn'!$B$5:$L$50,9,0),0)))+(IF(H8="HT",VLOOKUP(G8,'tải sàn'!$B$5:$L$50,11,0),IF(H8="TG",VLOOKUP(G8,'tải sàn'!$B$5:$L$50,9,0),0)))</f>
        <v>0.59500000000000008</v>
      </c>
      <c r="J8" s="317">
        <f t="shared" si="1"/>
        <v>0.59500000000000008</v>
      </c>
      <c r="K8" s="317">
        <f>(IF(F8="HT",VLOOKUP(E8,'tải sàn'!$B$5:$L$50,10,0),IF(F8="TG",VLOOKUP(E8,'tải sàn'!$B$5:$L$50,8,0),0)))+(IF(H8="HT",VLOOKUP(G8,'tải sàn'!$B$5:$L$50,10,0),IF(H8="TG",VLOOKUP(G8,'tải sàn'!$B$5:$L$50,8,0),0)))</f>
        <v>0.6</v>
      </c>
    </row>
    <row r="9" spans="1:16" ht="15.75">
      <c r="A9" s="304" t="s">
        <v>623</v>
      </c>
      <c r="B9" s="304">
        <v>0</v>
      </c>
      <c r="C9" s="322">
        <f>TH!$B$18</f>
        <v>3.6</v>
      </c>
      <c r="D9" s="315">
        <f t="shared" si="0"/>
        <v>0</v>
      </c>
      <c r="E9" s="307" t="s">
        <v>201</v>
      </c>
      <c r="F9" s="308" t="s">
        <v>587</v>
      </c>
      <c r="G9" s="307" t="s">
        <v>103</v>
      </c>
      <c r="H9" s="308" t="s">
        <v>588</v>
      </c>
      <c r="I9" s="302">
        <f>(IF(F9="HT",VLOOKUP(E9,'tải sàn'!$B$5:$L$50,11,0),IF(F9="TG",VLOOKUP(E9,'tải sàn'!$B$5:$L$50,9,0),0)))+(IF(H9="HT",VLOOKUP(G9,'tải sàn'!$B$5:$L$50,11,0),IF(H9="TG",VLOOKUP(G9,'tải sàn'!$B$5:$L$50,9,0),0)))</f>
        <v>1.9695898437500001</v>
      </c>
      <c r="J9" s="317">
        <f t="shared" si="1"/>
        <v>1.9695898437500001</v>
      </c>
      <c r="K9" s="317">
        <f>(IF(F9="HT",VLOOKUP(E9,'tải sàn'!$B$5:$L$50,10,0),IF(F9="TG",VLOOKUP(E9,'tải sàn'!$B$5:$L$50,8,0),0)))+(IF(H9="HT",VLOOKUP(G9,'tải sàn'!$B$5:$L$50,10,0),IF(H9="TG",VLOOKUP(G9,'tải sàn'!$B$5:$L$50,8,0),0)))</f>
        <v>0.66035156250000004</v>
      </c>
    </row>
    <row r="10" spans="1:16" ht="15.75">
      <c r="A10" s="304"/>
      <c r="B10" s="304"/>
      <c r="C10" s="304"/>
      <c r="D10" s="315">
        <f t="shared" si="0"/>
        <v>0</v>
      </c>
      <c r="E10" s="307"/>
      <c r="F10" s="308"/>
      <c r="G10" s="307"/>
      <c r="H10" s="308"/>
      <c r="I10" s="302">
        <f>(IF(F10="HT",VLOOKUP(E10,'tải sàn'!$B$5:$L$50,11,0),IF(F10="TG",VLOOKUP(E10,'tải sàn'!$B$5:$L$50,9,0),0)))+(IF(H10="HT",VLOOKUP(G10,'tải sàn'!$B$5:$L$50,11,0),IF(H10="TG",VLOOKUP(G10,'tải sàn'!$B$5:$L$50,9,0),0)))</f>
        <v>0</v>
      </c>
      <c r="J10" s="317">
        <f t="shared" si="1"/>
        <v>0</v>
      </c>
      <c r="K10" s="317">
        <f>(IF(F10="HT",VLOOKUP(E10,'tải sàn'!$B$5:$L$50,10,0),IF(F10="TG",VLOOKUP(E10,'tải sàn'!$B$5:$L$50,8,0),0)))+(IF(H10="HT",VLOOKUP(G10,'tải sàn'!$B$5:$L$50,10,0),IF(H10="TG",VLOOKUP(G10,'tải sàn'!$B$5:$L$50,8,0),0)))</f>
        <v>0</v>
      </c>
    </row>
    <row r="11" spans="1:16" ht="15.75">
      <c r="A11" s="304"/>
      <c r="B11" s="304"/>
      <c r="C11" s="304"/>
      <c r="D11" s="315">
        <f t="shared" si="0"/>
        <v>0</v>
      </c>
      <c r="E11" s="307"/>
      <c r="F11" s="308"/>
      <c r="G11" s="307"/>
      <c r="H11" s="308"/>
      <c r="I11" s="302">
        <f>(IF(F11="HT",VLOOKUP(E11,'tải sàn'!$B$5:$L$50,11,0),IF(F11="TG",VLOOKUP(E11,'tải sàn'!$B$5:$L$50,9,0),0)))+(IF(H11="HT",VLOOKUP(G11,'tải sàn'!$B$5:$L$50,11,0),IF(H11="TG",VLOOKUP(G11,'tải sàn'!$B$5:$L$50,9,0),0)))</f>
        <v>0</v>
      </c>
      <c r="J11" s="317">
        <f t="shared" si="1"/>
        <v>0</v>
      </c>
      <c r="K11" s="317">
        <f>(IF(F11="HT",VLOOKUP(E11,'tải sàn'!$B$5:$L$50,10,0),IF(F11="TG",VLOOKUP(E11,'tải sàn'!$B$5:$L$50,8,0),0)))+(IF(H11="HT",VLOOKUP(G11,'tải sàn'!$B$5:$L$50,10,0),IF(H11="TG",VLOOKUP(G11,'tải sàn'!$B$5:$L$50,8,0),0)))</f>
        <v>0</v>
      </c>
    </row>
    <row r="12" spans="1:16" ht="15.75" thickBot="1">
      <c r="A12" s="299"/>
      <c r="B12" s="299"/>
      <c r="C12" s="299"/>
      <c r="D12" s="299"/>
      <c r="E12" s="299"/>
      <c r="F12" s="299"/>
      <c r="G12" s="299"/>
      <c r="H12" s="299"/>
      <c r="I12" s="299"/>
      <c r="J12" s="299"/>
      <c r="K12" s="299"/>
    </row>
    <row r="13" spans="1:16" ht="19.5" thickBot="1">
      <c r="A13" s="741" t="s">
        <v>624</v>
      </c>
      <c r="B13" s="742"/>
      <c r="C13" s="742"/>
      <c r="D13" s="742"/>
      <c r="E13" s="742"/>
      <c r="F13" s="742"/>
      <c r="G13" s="742"/>
      <c r="H13" s="742"/>
      <c r="I13" s="742"/>
      <c r="J13" s="742"/>
      <c r="K13" s="743"/>
    </row>
    <row r="14" spans="1:16">
      <c r="A14" s="747" t="s">
        <v>611</v>
      </c>
      <c r="B14" s="748" t="s">
        <v>612</v>
      </c>
      <c r="C14" s="768" t="s">
        <v>613</v>
      </c>
      <c r="D14" s="769"/>
      <c r="E14" s="773" t="s">
        <v>200</v>
      </c>
      <c r="F14" s="768" t="s">
        <v>614</v>
      </c>
      <c r="G14" s="769"/>
      <c r="H14" s="768" t="s">
        <v>199</v>
      </c>
      <c r="I14" s="769"/>
      <c r="J14" s="768" t="s">
        <v>615</v>
      </c>
      <c r="K14" s="769"/>
      <c r="M14" s="768" t="s">
        <v>615</v>
      </c>
      <c r="N14" s="769"/>
      <c r="O14" s="768" t="s">
        <v>615</v>
      </c>
      <c r="P14" s="769"/>
    </row>
    <row r="15" spans="1:16">
      <c r="A15" s="747"/>
      <c r="B15" s="774"/>
      <c r="C15" s="768"/>
      <c r="D15" s="769"/>
      <c r="E15" s="773"/>
      <c r="F15" s="768"/>
      <c r="G15" s="769"/>
      <c r="H15" s="768"/>
      <c r="I15" s="769"/>
      <c r="J15" s="768"/>
      <c r="K15" s="769"/>
      <c r="M15" s="768"/>
      <c r="N15" s="769"/>
      <c r="O15" s="768"/>
      <c r="P15" s="769"/>
    </row>
    <row r="16" spans="1:16" ht="15.75">
      <c r="A16" s="748"/>
      <c r="B16" s="774"/>
      <c r="C16" s="768"/>
      <c r="D16" s="769"/>
      <c r="E16" s="309" t="s">
        <v>586</v>
      </c>
      <c r="F16" s="770" t="s">
        <v>586</v>
      </c>
      <c r="G16" s="771"/>
      <c r="H16" s="770" t="s">
        <v>586</v>
      </c>
      <c r="I16" s="771"/>
      <c r="J16" s="770" t="s">
        <v>586</v>
      </c>
      <c r="K16" s="771"/>
      <c r="M16" s="770" t="s">
        <v>586</v>
      </c>
      <c r="N16" s="771"/>
      <c r="O16" s="770" t="s">
        <v>586</v>
      </c>
      <c r="P16" s="771"/>
    </row>
    <row r="17" spans="1:21" ht="15.75">
      <c r="A17" s="725" t="s">
        <v>528</v>
      </c>
      <c r="B17" s="310">
        <v>5</v>
      </c>
      <c r="C17" s="313">
        <v>1</v>
      </c>
      <c r="D17" s="311"/>
      <c r="E17" s="312">
        <f>IF(C17=1,VLOOKUP(B17,'dam loai 1 T2'!$B$6:$R$41,15,0),IF(C17=2,(IF(D17="Ri",VLOOKUP(B17,'dam loai 2 T2'!$A$6:$X$50,19,0),IF(D17="Rj",VLOOKUP(B17,'dam loai 2 T2'!$A$6:$X$50,20,0),0))),IF(C17=3,(IF(D17="Ri",VLOOKUP(B17,'dam loai 3 T2'!$A$6:$X$50,19,0),IF(D17="Rj",VLOOKUP(B17,'dam loai 3 T2'!$A$6:$X$50,20,0),0))))))</f>
        <v>4582.1850000000004</v>
      </c>
      <c r="F17" s="762">
        <f>E17+E18</f>
        <v>4582.1850000000004</v>
      </c>
      <c r="G17" s="763"/>
      <c r="H17" s="766">
        <f>IF(C17=1,VLOOKUP(B17,'dam loai 1 T2'!$B$6:$R$41,17,0),IF(C17=2,(IF(D17="Ri",VLOOKUP(B17,'dam loai 2 T2'!$A$6:$X$50,23,0),IF(D17="Rj",VLOOKUP(B17,'dam loai 2 T2'!$A$6:$X$50,24,0),0))),IF(C17=3,(IF(D17="Ri",VLOOKUP(B17,'dam loai 3 T2'!$A$6:$X$50,23,0),IF(D17="Rj",VLOOKUP(B17,'dam loai 3 T2'!$A$6:$X$50,24,0),0))))))</f>
        <v>1.7999999999999998</v>
      </c>
      <c r="I17" s="767"/>
      <c r="J17" s="762">
        <f>H17+H18</f>
        <v>1.7999999999999998</v>
      </c>
      <c r="K17" s="763"/>
      <c r="L17" s="299"/>
      <c r="M17" s="762">
        <v>2.88</v>
      </c>
      <c r="N17" s="763"/>
      <c r="O17" s="775">
        <f>M17/F17*1000</f>
        <v>0.62852110947070006</v>
      </c>
      <c r="P17" s="776"/>
    </row>
    <row r="18" spans="1:21" ht="15.75">
      <c r="A18" s="726"/>
      <c r="B18" s="310"/>
      <c r="C18" s="313"/>
      <c r="D18" s="311"/>
      <c r="E18" s="312" t="b">
        <f>IF(C18=1,VLOOKUP(B18,'dam loai 1 T2'!$B$6:$R$41,15,0),IF(C18=2,(IF(D18="Ri",VLOOKUP(B18,'dam loai 2 T2'!$A$6:$X$50,19,0),IF(D18="Rj",VLOOKUP(B18,'dam loai 2 T2'!$A$6:$X$50,20,0),0))),IF(C18=3,(IF(D18="Ri",VLOOKUP(B18,'dam loai 3 T2'!$A$6:$X$50,19,0),IF(D18="Rj",VLOOKUP(B18,'dam loai 3 T2'!$A$6:$X$50,20,0),0))))))</f>
        <v>0</v>
      </c>
      <c r="F18" s="764"/>
      <c r="G18" s="765"/>
      <c r="H18" s="766" t="b">
        <f>IF(C18=1,VLOOKUP(B18,'dam loai 1 T2'!$B$6:$R$41,17,0),IF(C18=2,(IF(D18="Ri",VLOOKUP(B18,'dam loai 2 T2'!$A$6:$X$50,23,0),IF(D18="Rj",VLOOKUP(B18,'dam loai 2 T2'!$A$6:$X$50,24,0),0))),IF(C18=3,(IF(D18="Ri",VLOOKUP(B18,'dam loai 3 T2'!$A$6:$X$50,23,0),IF(D18="Rj",VLOOKUP(B18,'dam loai 3 T2'!$A$6:$X$50,24,0),0))))))</f>
        <v>0</v>
      </c>
      <c r="I18" s="767"/>
      <c r="J18" s="764"/>
      <c r="K18" s="765"/>
      <c r="L18" s="299"/>
      <c r="M18" s="764"/>
      <c r="N18" s="765"/>
      <c r="O18" s="777"/>
      <c r="P18" s="778"/>
    </row>
    <row r="19" spans="1:21" ht="15.75">
      <c r="A19" s="725" t="s">
        <v>616</v>
      </c>
      <c r="B19" s="310">
        <v>6</v>
      </c>
      <c r="C19" s="313">
        <v>1</v>
      </c>
      <c r="D19" s="311"/>
      <c r="E19" s="330">
        <f>IF(C19=1,VLOOKUP(B19,'dam loai 1 T2'!$B$6:$R$41,15,0),IF(C19=2,(IF(D19="Ri",VLOOKUP(B19,'dam loai 2 T2'!$A$6:$X$50,19,0),IF(D19="Rj",VLOOKUP(B19,'dam loai 2 T2'!$A$6:$X$50,20,0),0))),IF(C19=3,(IF(D19="Ri",VLOOKUP(B19,'dam loai 3 T2'!$A$6:$X$50,19,0),IF(D19="Rj",VLOOKUP(B19,'dam loai 3 T2'!$A$6:$X$50,20,0),0))))))</f>
        <v>664.65422222222219</v>
      </c>
      <c r="F19" s="762">
        <f>E19+E20</f>
        <v>2955.5235972222226</v>
      </c>
      <c r="G19" s="763"/>
      <c r="H19" s="766">
        <f>IF(C19=1,VLOOKUP(B19,'dam loai 1 T2'!$B$6:$R$41,17,0),IF(C19=2,(IF(D19="Ri",VLOOKUP(B19,'dam loai 2 T2'!$A$6:$X$50,23,0),IF(D19="Rj",VLOOKUP(B19,'dam loai 2 T2'!$A$6:$X$50,24,0),0))),IF(C19=3,(IF(D19="Ri",VLOOKUP(B19,'dam loai 3 T2'!$A$6:$X$50,23,0),IF(D19="Rj",VLOOKUP(B19,'dam loai 3 T2'!$A$6:$X$50,24,0),0))))))</f>
        <v>4.6933333333333334</v>
      </c>
      <c r="I19" s="767"/>
      <c r="J19" s="762">
        <f>H19+H20</f>
        <v>5.199583333333333</v>
      </c>
      <c r="K19" s="763"/>
      <c r="L19" s="299"/>
      <c r="M19" s="762">
        <v>6.84</v>
      </c>
      <c r="N19" s="763"/>
      <c r="O19" s="775">
        <f t="shared" ref="O19" si="2">M19/F19*1000</f>
        <v>2.3143107388581301</v>
      </c>
      <c r="P19" s="776"/>
    </row>
    <row r="20" spans="1:21" ht="15.75">
      <c r="A20" s="726"/>
      <c r="B20" s="310">
        <v>10</v>
      </c>
      <c r="C20" s="313">
        <v>1</v>
      </c>
      <c r="D20" s="311"/>
      <c r="E20" s="330">
        <f>IF(C20=1,VLOOKUP(B20,'dam loai 1 T2'!$B$6:$R$41,15,0),IF(C20=2,(IF(D20="Ri",VLOOKUP(B20,'dam loai 2 T2'!$A$6:$X$50,19,0),IF(D20="Rj",VLOOKUP(B20,'dam loai 2 T2'!$A$6:$X$50,20,0),0))),IF(C20=3,(IF(D20="Ri",VLOOKUP(B20,'dam loai 3 T2'!$A$6:$X$50,19,0),IF(D20="Rj",VLOOKUP(B20,'dam loai 3 T2'!$A$6:$X$50,20,0),0))))))</f>
        <v>2290.8693750000002</v>
      </c>
      <c r="F20" s="764"/>
      <c r="G20" s="765"/>
      <c r="H20" s="766">
        <f>IF(C20=1,VLOOKUP(B20,'dam loai 1 T2'!$B$6:$R$41,17,0),IF(C20=2,(IF(D20="Ri",VLOOKUP(B20,'dam loai 2 T2'!$A$6:$X$50,23,0),IF(D20="Rj",VLOOKUP(B20,'dam loai 2 T2'!$A$6:$X$50,24,0),0))),IF(C20=3,(IF(D20="Ri",VLOOKUP(B20,'dam loai 3 T2'!$A$6:$X$50,23,0),IF(D20="Rj",VLOOKUP(B20,'dam loai 3 T2'!$A$6:$X$50,24,0),0))))))</f>
        <v>0.50625000000000009</v>
      </c>
      <c r="I20" s="767"/>
      <c r="J20" s="764"/>
      <c r="K20" s="765"/>
      <c r="L20" s="299"/>
      <c r="M20" s="764"/>
      <c r="N20" s="765"/>
      <c r="O20" s="777"/>
      <c r="P20" s="778"/>
    </row>
    <row r="21" spans="1:21" ht="15.75">
      <c r="A21" s="725" t="s">
        <v>618</v>
      </c>
      <c r="B21" s="310">
        <v>7</v>
      </c>
      <c r="C21" s="313">
        <v>1</v>
      </c>
      <c r="D21" s="311"/>
      <c r="E21" s="330">
        <f>IF(C21=1,VLOOKUP(B21,'dam loai 1 T2'!$B$6:$R$41,15,0),IF(C21=2,(IF(D21="Ri",VLOOKUP(B21,'dam loai 2 T2'!$A$6:$X$50,19,0),IF(D21="Rj",VLOOKUP(B21,'dam loai 2 T2'!$A$6:$X$50,20,0),0))),IF(C21=3,(IF(D21="Ri",VLOOKUP(B21,'dam loai 3 T2'!$A$6:$X$50,19,0),IF(D21="Rj",VLOOKUP(B21,'dam loai 3 T2'!$A$6:$X$50,20,0),0))))))</f>
        <v>2802.082388888889</v>
      </c>
      <c r="F21" s="762">
        <f>E21+E22</f>
        <v>4202.5335416666667</v>
      </c>
      <c r="G21" s="763"/>
      <c r="H21" s="766">
        <f>IF(C21=1,VLOOKUP(B21,'dam loai 1 T2'!$B$6:$R$41,17,0),IF(C21=2,(IF(D21="Ri",VLOOKUP(B21,'dam loai 2 T2'!$A$6:$X$50,23,0),IF(D21="Rj",VLOOKUP(B21,'dam loai 2 T2'!$A$6:$X$50,24,0),0))),IF(C21=3,(IF(D21="Ri",VLOOKUP(B21,'dam loai 3 T2'!$A$6:$X$50,23,0),IF(D21="Rj",VLOOKUP(B21,'dam loai 3 T2'!$A$6:$X$50,24,0),0))))))</f>
        <v>3.7133333333333338</v>
      </c>
      <c r="I21" s="767"/>
      <c r="J21" s="762">
        <f>H21+H22</f>
        <v>4.8062500000000004</v>
      </c>
      <c r="K21" s="763"/>
      <c r="L21" s="299"/>
      <c r="M21" s="762">
        <v>5.94</v>
      </c>
      <c r="N21" s="763"/>
      <c r="O21" s="775">
        <f t="shared" ref="O21" si="3">M21/F21*1000</f>
        <v>1.4134330972274116</v>
      </c>
      <c r="P21" s="776"/>
    </row>
    <row r="22" spans="1:21" ht="15.75">
      <c r="A22" s="726"/>
      <c r="B22" s="310">
        <v>11</v>
      </c>
      <c r="C22" s="313">
        <v>1</v>
      </c>
      <c r="D22" s="311"/>
      <c r="E22" s="330">
        <f>IF(C22=1,VLOOKUP(B22,'dam loai 1 T2'!$B$6:$R$41,15,0),IF(C22=2,(IF(D22="Ri",VLOOKUP(B22,'dam loai 2 T2'!$A$6:$X$50,19,0),IF(D22="Rj",VLOOKUP(B22,'dam loai 2 T2'!$A$6:$X$50,20,0),0))),IF(C22=3,(IF(D22="Ri",VLOOKUP(B22,'dam loai 3 T2'!$A$6:$X$50,19,0),IF(D22="Rj",VLOOKUP(B22,'dam loai 3 T2'!$A$6:$X$50,20,0),0))))))</f>
        <v>1400.4511527777779</v>
      </c>
      <c r="F22" s="764"/>
      <c r="G22" s="765"/>
      <c r="H22" s="766">
        <f>IF(C22=1,VLOOKUP(B22,'dam loai 1 T2'!$B$6:$R$41,17,0),IF(C22=2,(IF(D22="Ri",VLOOKUP(B22,'dam loai 2 T2'!$A$6:$X$50,23,0),IF(D22="Rj",VLOOKUP(B22,'dam loai 2 T2'!$A$6:$X$50,24,0),0))),IF(C22=3,(IF(D22="Ri",VLOOKUP(B22,'dam loai 3 T2'!$A$6:$X$50,23,0),IF(D22="Rj",VLOOKUP(B22,'dam loai 3 T2'!$A$6:$X$50,24,0),0))))))</f>
        <v>1.0929166666666665</v>
      </c>
      <c r="I22" s="767"/>
      <c r="J22" s="764"/>
      <c r="K22" s="765"/>
      <c r="L22" s="299"/>
      <c r="M22" s="764"/>
      <c r="N22" s="765"/>
      <c r="O22" s="777"/>
      <c r="P22" s="778"/>
    </row>
    <row r="23" spans="1:21" ht="15.75">
      <c r="A23" s="725" t="s">
        <v>619</v>
      </c>
      <c r="B23" s="310">
        <v>8</v>
      </c>
      <c r="C23" s="313">
        <v>1</v>
      </c>
      <c r="D23" s="311"/>
      <c r="E23" s="330">
        <f>IF(C23=1,VLOOKUP(B23,'dam loai 1 T2'!$B$6:$R$41,15,0),IF(C23=2,(IF(D23="Ri",VLOOKUP(B23,'dam loai 2 T2'!$A$6:$X$50,19,0),IF(D23="Rj",VLOOKUP(B23,'dam loai 2 T2'!$A$6:$X$50,20,0),0))),IF(C23=3,(IF(D23="Ri",VLOOKUP(B23,'dam loai 3 T2'!$A$6:$X$50,19,0),IF(D23="Rj",VLOOKUP(B23,'dam loai 3 T2'!$A$6:$X$50,20,0),0))))))</f>
        <v>2805.3041666666668</v>
      </c>
      <c r="F23" s="762">
        <f>E23+E24</f>
        <v>4205.7553194444445</v>
      </c>
      <c r="G23" s="763"/>
      <c r="H23" s="766">
        <f>IF(C23=1,VLOOKUP(B23,'dam loai 1 T2'!$B$6:$R$41,17,0),IF(C23=2,(IF(D23="Ri",VLOOKUP(B23,'dam loai 2 T2'!$A$6:$X$50,23,0),IF(D23="Rj",VLOOKUP(B23,'dam loai 2 T2'!$A$6:$X$50,24,0),0))),IF(C23=3,(IF(D23="Ri",VLOOKUP(B23,'dam loai 3 T2'!$A$6:$X$50,23,0),IF(D23="Rj",VLOOKUP(B23,'dam loai 3 T2'!$A$6:$X$50,24,0),0))))))</f>
        <v>2.3200000000000003</v>
      </c>
      <c r="I23" s="767"/>
      <c r="J23" s="762">
        <f>H23+H24</f>
        <v>3.4129166666666668</v>
      </c>
      <c r="K23" s="763"/>
      <c r="L23" s="299"/>
      <c r="M23" s="762">
        <v>4.2300000000000004</v>
      </c>
      <c r="N23" s="763"/>
      <c r="O23" s="775">
        <f t="shared" ref="O23" si="4">M23/F23*1000</f>
        <v>1.0057646436166807</v>
      </c>
      <c r="P23" s="776"/>
    </row>
    <row r="24" spans="1:21" ht="15.75">
      <c r="A24" s="726"/>
      <c r="B24" s="310">
        <v>12</v>
      </c>
      <c r="C24" s="313">
        <v>1</v>
      </c>
      <c r="D24" s="311"/>
      <c r="E24" s="330">
        <f>IF(C24=1,VLOOKUP(B24,'dam loai 1 T2'!$B$6:$R$41,15,0),IF(C24=2,(IF(D24="Ri",VLOOKUP(B24,'dam loai 2 T2'!$A$6:$X$50,19,0),IF(D24="Rj",VLOOKUP(B24,'dam loai 2 T2'!$A$6:$X$50,20,0),0))),IF(C24=3,(IF(D24="Ri",VLOOKUP(B24,'dam loai 3 T2'!$A$6:$X$50,19,0),IF(D24="Rj",VLOOKUP(B24,'dam loai 3 T2'!$A$6:$X$50,20,0),0))))))</f>
        <v>1400.4511527777779</v>
      </c>
      <c r="F24" s="764"/>
      <c r="G24" s="765"/>
      <c r="H24" s="766">
        <f>IF(C24=1,VLOOKUP(B24,'dam loai 1 T2'!$B$6:$R$41,17,0),IF(C24=2,(IF(D24="Ri",VLOOKUP(B24,'dam loai 2 T2'!$A$6:$X$50,23,0),IF(D24="Rj",VLOOKUP(B24,'dam loai 2 T2'!$A$6:$X$50,24,0),0))),IF(C24=3,(IF(D24="Ri",VLOOKUP(B24,'dam loai 3 T2'!$A$6:$X$50,23,0),IF(D24="Rj",VLOOKUP(B24,'dam loai 3 T2'!$A$6:$X$50,24,0),0))))))</f>
        <v>1.0929166666666665</v>
      </c>
      <c r="I24" s="767"/>
      <c r="J24" s="764"/>
      <c r="K24" s="765"/>
      <c r="L24" s="299"/>
      <c r="M24" s="764"/>
      <c r="N24" s="765"/>
      <c r="O24" s="777"/>
      <c r="P24" s="778"/>
    </row>
    <row r="25" spans="1:21" ht="15.75">
      <c r="A25" s="725" t="s">
        <v>625</v>
      </c>
      <c r="B25" s="310">
        <v>9</v>
      </c>
      <c r="C25" s="331">
        <v>1</v>
      </c>
      <c r="D25" s="311"/>
      <c r="E25" s="330">
        <f>IF(C25=1,VLOOKUP(B25,'dam loai 1 T2'!$B$6:$R$41,15,0),IF(C25=2,(IF(D25="Ri",VLOOKUP(B25,'dam loai 2 T2'!$A$6:$X$50,19,0),IF(D25="Rj",VLOOKUP(B25,'dam loai 2 T2'!$A$6:$X$50,20,0),0))),IF(C25=3,(IF(D25="Ri",VLOOKUP(B25,'dam loai 3 T2'!$A$6:$X$50,19,0),IF(D25="Rj",VLOOKUP(B25,'dam loai 3 T2'!$A$6:$X$50,20,0),0))))))</f>
        <v>4585.9488888888891</v>
      </c>
      <c r="F25" s="762">
        <f>E25+E26</f>
        <v>6876.8182638888893</v>
      </c>
      <c r="G25" s="763"/>
      <c r="H25" s="766">
        <f>IF(C25=1,VLOOKUP(B25,'dam loai 1 T2'!$B$6:$R$41,17,0),IF(C25=2,(IF(D25="Ri",VLOOKUP(B25,'dam loai 2 T2'!$A$6:$X$50,23,0),IF(D25="Rj",VLOOKUP(B25,'dam loai 2 T2'!$A$6:$X$50,24,0),0))),IF(C25=3,(IF(D25="Ri",VLOOKUP(B25,'dam loai 3 T2'!$A$6:$X$50,23,0),IF(D25="Rj",VLOOKUP(B25,'dam loai 3 T2'!$A$6:$X$50,24,0),0))))))</f>
        <v>0.95333333333333348</v>
      </c>
      <c r="I25" s="767"/>
      <c r="J25" s="762">
        <f>H25+H26</f>
        <v>1.4595833333333337</v>
      </c>
      <c r="K25" s="763"/>
      <c r="L25" s="299"/>
      <c r="M25" s="762">
        <v>2.25</v>
      </c>
      <c r="N25" s="763"/>
      <c r="O25" s="775">
        <f t="shared" ref="O25" si="5">M25/F25*1000</f>
        <v>0.32718619478648386</v>
      </c>
      <c r="P25" s="776"/>
    </row>
    <row r="26" spans="1:21" ht="15.75">
      <c r="A26" s="726"/>
      <c r="B26" s="310">
        <v>13</v>
      </c>
      <c r="C26" s="331">
        <v>1</v>
      </c>
      <c r="D26" s="311"/>
      <c r="E26" s="330">
        <f>IF(C26=1,VLOOKUP(B26,'dam loai 1 T2'!$B$6:$R$41,15,0),IF(C26=2,(IF(D26="Ri",VLOOKUP(B26,'dam loai 2 T2'!$A$6:$X$50,19,0),IF(D26="Rj",VLOOKUP(B26,'dam loai 2 T2'!$A$6:$X$50,20,0),0))),IF(C26=3,(IF(D26="Ri",VLOOKUP(B26,'dam loai 3 T2'!$A$6:$X$50,19,0),IF(D26="Rj",VLOOKUP(B26,'dam loai 3 T2'!$A$6:$X$50,20,0),0))))))</f>
        <v>2290.8693750000002</v>
      </c>
      <c r="F26" s="764"/>
      <c r="G26" s="765"/>
      <c r="H26" s="772">
        <f>IF(C26=1,VLOOKUP(B26,'dam loai 1 T2'!$B$6:$R$41,17,0),IF(C26=2,(IF(D26="Ri",VLOOKUP(B26,'dam loai 2 T2'!$A$6:$X$50,23,0),IF(D26="Rj",VLOOKUP(B26,'dam loai 2 T2'!$A$6:$X$50,24,0),0))),IF(C26=3,(IF(D26="Ri",VLOOKUP(B26,'dam loai 3 T2'!$A$6:$X$50,23,0),IF(D26="Rj",VLOOKUP(B26,'dam loai 3 T2'!$A$6:$X$50,24,0),0))))))</f>
        <v>0.50625000000000009</v>
      </c>
      <c r="I26" s="772"/>
      <c r="J26" s="764"/>
      <c r="K26" s="765"/>
      <c r="L26" s="299"/>
      <c r="M26" s="764"/>
      <c r="N26" s="765"/>
      <c r="O26" s="777"/>
      <c r="P26" s="778"/>
    </row>
    <row r="30" spans="1:21" ht="18.75">
      <c r="A30" s="314"/>
      <c r="B30" s="314"/>
      <c r="C30" s="314"/>
      <c r="D30" s="314"/>
      <c r="E30" s="314"/>
      <c r="F30" s="314"/>
      <c r="G30" s="314"/>
      <c r="H30" s="314"/>
      <c r="I30" s="314"/>
      <c r="J30" s="314"/>
      <c r="K30" s="314"/>
      <c r="L30" s="314"/>
      <c r="M30" s="314"/>
      <c r="N30" s="314"/>
      <c r="O30" s="314"/>
      <c r="P30" s="314"/>
      <c r="Q30" s="314"/>
      <c r="R30" s="314"/>
      <c r="S30" s="314"/>
      <c r="T30" s="314"/>
      <c r="U30" s="314"/>
    </row>
    <row r="31" spans="1:21" ht="18.75">
      <c r="A31" s="314"/>
      <c r="B31" s="314"/>
      <c r="C31" s="314"/>
      <c r="D31" s="314"/>
      <c r="E31" s="314"/>
      <c r="F31" s="314"/>
      <c r="G31" s="314"/>
      <c r="H31" s="314"/>
      <c r="I31" s="314"/>
      <c r="J31" s="314"/>
      <c r="K31" s="314"/>
      <c r="L31" s="314"/>
      <c r="M31" s="314"/>
      <c r="N31" s="314"/>
      <c r="O31" s="314"/>
      <c r="P31" s="314"/>
      <c r="Q31" s="314"/>
      <c r="R31" s="314"/>
      <c r="S31" s="314"/>
      <c r="T31" s="314"/>
      <c r="U31" s="314"/>
    </row>
  </sheetData>
  <mergeCells count="59">
    <mergeCell ref="M23:N24"/>
    <mergeCell ref="M25:N26"/>
    <mergeCell ref="O14:P15"/>
    <mergeCell ref="O16:P16"/>
    <mergeCell ref="O17:P18"/>
    <mergeCell ref="O19:P20"/>
    <mergeCell ref="O21:P22"/>
    <mergeCell ref="O23:P24"/>
    <mergeCell ref="O25:P26"/>
    <mergeCell ref="M14:N15"/>
    <mergeCell ref="M16:N16"/>
    <mergeCell ref="M17:N18"/>
    <mergeCell ref="M19:N20"/>
    <mergeCell ref="M21:N22"/>
    <mergeCell ref="A2:K2"/>
    <mergeCell ref="K3:K4"/>
    <mergeCell ref="A14:A16"/>
    <mergeCell ref="A17:A18"/>
    <mergeCell ref="E14:E15"/>
    <mergeCell ref="B4:B5"/>
    <mergeCell ref="C4:C5"/>
    <mergeCell ref="D4:D5"/>
    <mergeCell ref="B3:D3"/>
    <mergeCell ref="A13:K13"/>
    <mergeCell ref="I3:J3"/>
    <mergeCell ref="B14:B16"/>
    <mergeCell ref="A21:A22"/>
    <mergeCell ref="A23:A24"/>
    <mergeCell ref="J23:K24"/>
    <mergeCell ref="A19:A20"/>
    <mergeCell ref="E3:H5"/>
    <mergeCell ref="A3:A5"/>
    <mergeCell ref="H17:I17"/>
    <mergeCell ref="C14:D16"/>
    <mergeCell ref="H23:I23"/>
    <mergeCell ref="A25:A26"/>
    <mergeCell ref="J21:K22"/>
    <mergeCell ref="F14:G15"/>
    <mergeCell ref="F16:G16"/>
    <mergeCell ref="F17:G18"/>
    <mergeCell ref="F19:G20"/>
    <mergeCell ref="F21:G22"/>
    <mergeCell ref="J14:K15"/>
    <mergeCell ref="J16:K16"/>
    <mergeCell ref="J17:K18"/>
    <mergeCell ref="H14:I15"/>
    <mergeCell ref="H16:I16"/>
    <mergeCell ref="F23:G24"/>
    <mergeCell ref="H24:I24"/>
    <mergeCell ref="H25:I25"/>
    <mergeCell ref="H26:I26"/>
    <mergeCell ref="F25:G26"/>
    <mergeCell ref="H22:I22"/>
    <mergeCell ref="J25:K26"/>
    <mergeCell ref="H18:I18"/>
    <mergeCell ref="H19:I19"/>
    <mergeCell ref="H20:I20"/>
    <mergeCell ref="H21:I21"/>
    <mergeCell ref="J19:K20"/>
  </mergeCells>
  <phoneticPr fontId="45"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D4BF-CEBD-46CB-842A-98823D930FFA}">
  <dimension ref="B1:T28"/>
  <sheetViews>
    <sheetView topLeftCell="A4" workbookViewId="0">
      <selection activeCell="J17" sqref="J17"/>
    </sheetView>
  </sheetViews>
  <sheetFormatPr defaultRowHeight="15"/>
  <cols>
    <col min="3" max="3" width="10.140625" customWidth="1"/>
  </cols>
  <sheetData>
    <row r="1" spans="2:20" ht="15.75" thickBot="1">
      <c r="B1" s="299"/>
      <c r="C1" s="299"/>
      <c r="D1" s="299"/>
      <c r="E1" s="299"/>
      <c r="F1" s="299"/>
      <c r="G1" s="299"/>
      <c r="H1" s="299"/>
      <c r="I1" s="299"/>
      <c r="J1" s="299"/>
      <c r="K1" s="299"/>
      <c r="L1" s="299"/>
      <c r="M1" s="299"/>
      <c r="N1" s="299"/>
      <c r="O1" s="299"/>
      <c r="P1" s="299"/>
      <c r="Q1" s="299"/>
      <c r="R1" s="299"/>
      <c r="S1" s="299"/>
      <c r="T1" s="299"/>
    </row>
    <row r="2" spans="2:20" ht="19.5" thickBot="1">
      <c r="B2" s="720" t="s">
        <v>589</v>
      </c>
      <c r="C2" s="720"/>
      <c r="D2" s="720"/>
      <c r="E2" s="720"/>
      <c r="F2" s="720"/>
      <c r="G2" s="720"/>
      <c r="H2" s="720"/>
      <c r="I2" s="720"/>
      <c r="J2" s="720"/>
      <c r="K2" s="720"/>
      <c r="L2" s="720"/>
      <c r="M2" s="720"/>
      <c r="N2" s="720"/>
      <c r="O2" s="720"/>
      <c r="P2" s="720"/>
      <c r="Q2" s="720"/>
      <c r="R2" s="720"/>
      <c r="S2" s="299"/>
      <c r="T2" s="299"/>
    </row>
    <row r="3" spans="2:20" ht="16.5" thickBot="1">
      <c r="B3" s="724" t="s">
        <v>570</v>
      </c>
      <c r="C3" s="724" t="s">
        <v>571</v>
      </c>
      <c r="D3" s="724" t="s">
        <v>572</v>
      </c>
      <c r="E3" s="724"/>
      <c r="F3" s="724" t="s">
        <v>573</v>
      </c>
      <c r="G3" s="724" t="s">
        <v>574</v>
      </c>
      <c r="H3" s="724"/>
      <c r="I3" s="724"/>
      <c r="J3" s="724" t="s">
        <v>575</v>
      </c>
      <c r="K3" s="724"/>
      <c r="L3" s="724"/>
      <c r="M3" s="724"/>
      <c r="N3" s="724" t="s">
        <v>576</v>
      </c>
      <c r="O3" s="724"/>
      <c r="P3" s="724"/>
      <c r="Q3" s="724" t="s">
        <v>577</v>
      </c>
      <c r="R3" s="724"/>
      <c r="S3" s="299"/>
      <c r="T3" s="299"/>
    </row>
    <row r="4" spans="2:20" ht="18" thickBot="1">
      <c r="B4" s="724"/>
      <c r="C4" s="724"/>
      <c r="D4" s="724"/>
      <c r="E4" s="724"/>
      <c r="F4" s="724"/>
      <c r="G4" s="724"/>
      <c r="H4" s="724"/>
      <c r="I4" s="724"/>
      <c r="J4" s="724"/>
      <c r="K4" s="724"/>
      <c r="L4" s="724"/>
      <c r="M4" s="724"/>
      <c r="N4" s="272" t="s">
        <v>578</v>
      </c>
      <c r="O4" s="272" t="s">
        <v>579</v>
      </c>
      <c r="P4" s="272" t="s">
        <v>580</v>
      </c>
      <c r="Q4" s="272" t="s">
        <v>578</v>
      </c>
      <c r="R4" s="272" t="s">
        <v>580</v>
      </c>
      <c r="S4" s="299"/>
      <c r="T4" s="299"/>
    </row>
    <row r="5" spans="2:20" ht="15.75">
      <c r="B5" s="724"/>
      <c r="C5" s="273" t="s">
        <v>6</v>
      </c>
      <c r="D5" s="273" t="s">
        <v>581</v>
      </c>
      <c r="E5" s="273" t="s">
        <v>582</v>
      </c>
      <c r="F5" s="273" t="s">
        <v>583</v>
      </c>
      <c r="G5" s="273" t="s">
        <v>584</v>
      </c>
      <c r="H5" s="273" t="s">
        <v>585</v>
      </c>
      <c r="I5" s="273" t="s">
        <v>210</v>
      </c>
      <c r="J5" s="724"/>
      <c r="K5" s="724"/>
      <c r="L5" s="724"/>
      <c r="M5" s="724"/>
      <c r="N5" s="273" t="s">
        <v>583</v>
      </c>
      <c r="O5" s="273" t="s">
        <v>583</v>
      </c>
      <c r="P5" s="273" t="s">
        <v>586</v>
      </c>
      <c r="Q5" s="273" t="s">
        <v>583</v>
      </c>
      <c r="R5" s="273" t="s">
        <v>586</v>
      </c>
      <c r="S5" s="299"/>
      <c r="T5" s="299"/>
    </row>
    <row r="6" spans="2:20" ht="15.75">
      <c r="B6" s="283">
        <v>1</v>
      </c>
      <c r="C6" s="284">
        <v>6</v>
      </c>
      <c r="D6" s="270">
        <f>TH!$B$53/10</f>
        <v>20</v>
      </c>
      <c r="E6" s="270">
        <f>TH!$B$50/10</f>
        <v>40</v>
      </c>
      <c r="F6" s="275">
        <f t="shared" ref="F6:F28" si="0">1.1*D6*E6*2500/10000</f>
        <v>220</v>
      </c>
      <c r="G6" s="285">
        <v>100</v>
      </c>
      <c r="H6" s="271">
        <f>TH!$B$18</f>
        <v>3.6</v>
      </c>
      <c r="I6" s="276">
        <f t="shared" ref="I6:I14" si="1">IF(G6=100,180*1.1*H6,IF(G6=200,330*1.1*H6,0))</f>
        <v>712.80000000000007</v>
      </c>
      <c r="J6" s="286" t="s">
        <v>105</v>
      </c>
      <c r="K6" s="287" t="s">
        <v>588</v>
      </c>
      <c r="L6" s="286" t="s">
        <v>108</v>
      </c>
      <c r="M6" s="287" t="s">
        <v>588</v>
      </c>
      <c r="N6" s="279">
        <f>(IF(K6="HT",VLOOKUP(J6,'tải sàn'!$B$5:$L$50,11,0),IF(K6="TG",VLOOKUP(J6,'tải sàn'!$B$5:$L$50,9,0),0)))+(IF(M6="HT",VLOOKUP(L6,'tải sàn'!$B$5:$L$50,11,0),IF(M6="TG",VLOOKUP(L6,'tải sàn'!$B$5:$L$50,9,0),0)))</f>
        <v>1.2274629629629632</v>
      </c>
      <c r="O6" s="279">
        <f t="shared" ref="O6:O14" si="2">F6+I6+N6</f>
        <v>934.027462962963</v>
      </c>
      <c r="P6" s="280">
        <f t="shared" ref="P6:P14" si="3">O6*C6/2</f>
        <v>2802.082388888889</v>
      </c>
      <c r="Q6" s="279">
        <f>(IF(K6="HT",VLOOKUP(J6,'tải sàn'!$B$5:$L$50,10,0),IF(K6="TG",VLOOKUP(J6,'tải sàn'!$B$5:$L$50,8,0),0)))+(IF(M6="HT",VLOOKUP(L6,'tải sàn'!$B$5:$L$50,10,0),IF(M6="TG",VLOOKUP(L6,'tải sàn'!$B$5:$L$50,8,0),0)))</f>
        <v>1.2377777777777779</v>
      </c>
      <c r="R6" s="280">
        <f t="shared" ref="R6:R14" si="4">Q6*C6/2</f>
        <v>3.7133333333333338</v>
      </c>
    </row>
    <row r="7" spans="2:20" ht="15.75">
      <c r="B7" s="283">
        <v>2</v>
      </c>
      <c r="C7" s="284">
        <v>3</v>
      </c>
      <c r="D7" s="270">
        <f>TH!$B$53/10</f>
        <v>20</v>
      </c>
      <c r="E7" s="270">
        <f>TH!$B$50/10</f>
        <v>40</v>
      </c>
      <c r="F7" s="275">
        <f t="shared" si="0"/>
        <v>220</v>
      </c>
      <c r="G7" s="285">
        <v>100</v>
      </c>
      <c r="H7" s="271">
        <f>TH!$B$18</f>
        <v>3.6</v>
      </c>
      <c r="I7" s="276">
        <f t="shared" si="1"/>
        <v>712.80000000000007</v>
      </c>
      <c r="J7" s="286" t="s">
        <v>103</v>
      </c>
      <c r="K7" s="287" t="s">
        <v>587</v>
      </c>
      <c r="L7" s="286" t="s">
        <v>107</v>
      </c>
      <c r="M7" s="287" t="s">
        <v>588</v>
      </c>
      <c r="N7" s="279">
        <f>(IF(K7="HT",VLOOKUP(J7,'tải sàn'!$B$5:$L$50,11,0),IF(K7="TG",VLOOKUP(J7,'tải sàn'!$B$5:$L$50,9,0),0)))+(IF(M7="HT",VLOOKUP(L7,'tải sàn'!$B$5:$L$50,11,0),IF(M7="TG",VLOOKUP(L7,'tải sàn'!$B$5:$L$50,9,0),0)))</f>
        <v>0.83410185185185193</v>
      </c>
      <c r="O7" s="279">
        <f t="shared" si="2"/>
        <v>933.63410185185194</v>
      </c>
      <c r="P7" s="280">
        <f t="shared" si="3"/>
        <v>1400.4511527777779</v>
      </c>
      <c r="Q7" s="279">
        <f>(IF(K7="HT",VLOOKUP(J7,'tải sàn'!$B$5:$L$50,10,0),IF(K7="TG",VLOOKUP(J7,'tải sàn'!$B$5:$L$50,8,0),0)))+(IF(M7="HT",VLOOKUP(L7,'tải sàn'!$B$5:$L$50,10,0),IF(M7="TG",VLOOKUP(L7,'tải sàn'!$B$5:$L$50,8,0),0)))</f>
        <v>0.7286111111111111</v>
      </c>
      <c r="R7" s="280">
        <f t="shared" si="4"/>
        <v>1.0929166666666665</v>
      </c>
    </row>
    <row r="8" spans="2:20" ht="15.75">
      <c r="B8" s="283">
        <v>3</v>
      </c>
      <c r="C8" s="284">
        <v>5.5</v>
      </c>
      <c r="D8" s="270">
        <f>TH!$B$53/10</f>
        <v>20</v>
      </c>
      <c r="E8" s="270">
        <f>TH!$B$50/10</f>
        <v>40</v>
      </c>
      <c r="F8" s="275">
        <f>1.1*D8*E8*2500/10000</f>
        <v>220</v>
      </c>
      <c r="G8" s="285">
        <v>100</v>
      </c>
      <c r="H8" s="271">
        <f>TH!$B$18</f>
        <v>3.6</v>
      </c>
      <c r="I8" s="276">
        <f>IF(G8=100,180*1.1*H8,IF(G8=200,330*1.1*H8,0))</f>
        <v>712.80000000000007</v>
      </c>
      <c r="J8" s="286" t="s">
        <v>104</v>
      </c>
      <c r="K8" s="287" t="s">
        <v>588</v>
      </c>
      <c r="L8" s="286" t="s">
        <v>106</v>
      </c>
      <c r="M8" s="287" t="s">
        <v>588</v>
      </c>
      <c r="N8" s="279">
        <f>(IF(K8="HT",VLOOKUP(J8,'tải sàn'!$B$5:$L$50,11,0),IF(K8="TG",VLOOKUP(J8,'tải sàn'!$B$5:$L$50,9,0),0)))+(IF(M8="HT",VLOOKUP(L8,'tải sàn'!$B$5:$L$50,11,0),IF(M8="TG",VLOOKUP(L8,'tải sàn'!$B$5:$L$50,9,0),0)))</f>
        <v>1.397138993238167</v>
      </c>
      <c r="O8" s="279">
        <f>F8+I8+N8</f>
        <v>934.19713899323824</v>
      </c>
      <c r="P8" s="280">
        <f>O8*C8/2</f>
        <v>2569.042132231405</v>
      </c>
      <c r="Q8" s="279">
        <f>(IF(K8="HT",VLOOKUP(J8,'tải sàn'!$B$5:$L$50,10,0),IF(K8="TG",VLOOKUP(J8,'tải sàn'!$B$5:$L$50,8,0),0)))+(IF(M8="HT",VLOOKUP(L8,'tải sàn'!$B$5:$L$50,10,0),IF(M8="TG",VLOOKUP(L8,'tải sàn'!$B$5:$L$50,8,0),0)))</f>
        <v>1.0153568745304282</v>
      </c>
      <c r="R8" s="280">
        <f>Q8*C8/2</f>
        <v>2.7922314049586774</v>
      </c>
    </row>
    <row r="9" spans="2:20" ht="15.75">
      <c r="B9" s="283">
        <v>4</v>
      </c>
      <c r="C9" s="284">
        <v>4</v>
      </c>
      <c r="D9" s="270">
        <f>TH!$B$53/10</f>
        <v>20</v>
      </c>
      <c r="E9" s="270">
        <f>TH!$B$50/10</f>
        <v>40</v>
      </c>
      <c r="F9" s="275">
        <f t="shared" si="0"/>
        <v>220</v>
      </c>
      <c r="G9" s="285">
        <v>0</v>
      </c>
      <c r="H9" s="271">
        <f>TH!$B$18</f>
        <v>3.6</v>
      </c>
      <c r="I9" s="276">
        <f t="shared" si="1"/>
        <v>0</v>
      </c>
      <c r="J9" s="286" t="s">
        <v>110</v>
      </c>
      <c r="K9" s="287" t="s">
        <v>587</v>
      </c>
      <c r="L9" s="286" t="s">
        <v>109</v>
      </c>
      <c r="M9" s="287" t="s">
        <v>588</v>
      </c>
      <c r="N9" s="279">
        <f>(IF(K9="HT",VLOOKUP(J9,'tải sàn'!$B$5:$L$50,11,0),IF(K9="TG",VLOOKUP(J9,'tải sàn'!$B$5:$L$50,9,0),0)))+(IF(M9="HT",VLOOKUP(L9,'tải sàn'!$B$5:$L$50,11,0),IF(M9="TG",VLOOKUP(L9,'tải sàn'!$B$5:$L$50,9,0),0)))</f>
        <v>1.0189375000000001</v>
      </c>
      <c r="O9" s="279">
        <f t="shared" si="2"/>
        <v>221.01893749999999</v>
      </c>
      <c r="P9" s="280">
        <f t="shared" si="3"/>
        <v>442.03787499999999</v>
      </c>
      <c r="Q9" s="279">
        <f>(IF(K9="HT",VLOOKUP(J9,'tải sàn'!$B$5:$L$50,10,0),IF(K9="TG",VLOOKUP(J9,'tải sàn'!$B$5:$L$50,8,0),0)))+(IF(M9="HT",VLOOKUP(L9,'tải sàn'!$B$5:$L$50,10,0),IF(M9="TG",VLOOKUP(L9,'tải sàn'!$B$5:$L$50,8,0),0)))</f>
        <v>1.0274999999999999</v>
      </c>
      <c r="R9" s="280">
        <f t="shared" si="4"/>
        <v>2.0549999999999997</v>
      </c>
    </row>
    <row r="10" spans="2:20" ht="15.75">
      <c r="B10" s="283">
        <v>5</v>
      </c>
      <c r="C10" s="284">
        <v>5.5</v>
      </c>
      <c r="D10" s="270">
        <f>TH!$B$53/10</f>
        <v>20</v>
      </c>
      <c r="E10" s="270">
        <f>TH!$B$50/10</f>
        <v>40</v>
      </c>
      <c r="F10" s="275">
        <f>1.1*D10*E10*2500/10000</f>
        <v>220</v>
      </c>
      <c r="G10" s="285">
        <v>100</v>
      </c>
      <c r="H10" s="271">
        <f>TH!$B$18</f>
        <v>3.6</v>
      </c>
      <c r="I10" s="276">
        <f>IF(G10=100,180*1.1*H10,IF(G10=200,330*1.1*H10,0))</f>
        <v>712.80000000000007</v>
      </c>
      <c r="J10" s="286" t="s">
        <v>104</v>
      </c>
      <c r="K10" s="287" t="s">
        <v>588</v>
      </c>
      <c r="L10" s="286" t="s">
        <v>106</v>
      </c>
      <c r="M10" s="287" t="s">
        <v>588</v>
      </c>
      <c r="N10" s="279">
        <f>(IF(K10="HT",VLOOKUP(J10,'tải sàn'!$B$5:$L$50,11,0),IF(K10="TG",VLOOKUP(J10,'tải sàn'!$B$5:$L$50,9,0),0)))+(IF(M10="HT",VLOOKUP(L10,'tải sàn'!$B$5:$L$50,11,0),IF(M10="TG",VLOOKUP(L10,'tải sàn'!$B$5:$L$50,9,0),0)))</f>
        <v>1.397138993238167</v>
      </c>
      <c r="O10" s="279">
        <f>F10+I10+N10</f>
        <v>934.19713899323824</v>
      </c>
      <c r="P10" s="280">
        <f>O10*C10/2</f>
        <v>2569.042132231405</v>
      </c>
      <c r="Q10" s="279">
        <f>(IF(K10="HT",VLOOKUP(J10,'tải sàn'!$B$5:$L$50,10,0),IF(K10="TG",VLOOKUP(J10,'tải sàn'!$B$5:$L$50,8,0),0)))+(IF(M10="HT",VLOOKUP(L10,'tải sàn'!$B$5:$L$50,10,0),IF(M10="TG",VLOOKUP(L10,'tải sàn'!$B$5:$L$50,8,0),0)))</f>
        <v>1.0153568745304282</v>
      </c>
      <c r="R10" s="280">
        <f>Q10*C10/2</f>
        <v>2.7922314049586774</v>
      </c>
    </row>
    <row r="11" spans="2:20" ht="15.75">
      <c r="B11" s="283">
        <v>6</v>
      </c>
      <c r="C11" s="284">
        <v>3</v>
      </c>
      <c r="D11" s="270">
        <f>TH!$B$53/10</f>
        <v>20</v>
      </c>
      <c r="E11" s="270">
        <f>TH!$B$50/10</f>
        <v>40</v>
      </c>
      <c r="F11" s="275">
        <f t="shared" si="0"/>
        <v>220</v>
      </c>
      <c r="G11" s="285">
        <v>0</v>
      </c>
      <c r="H11" s="271">
        <f>TH!$B$18</f>
        <v>3.6</v>
      </c>
      <c r="I11" s="276">
        <f t="shared" si="1"/>
        <v>0</v>
      </c>
      <c r="J11" s="286" t="s">
        <v>103</v>
      </c>
      <c r="K11" s="287" t="s">
        <v>587</v>
      </c>
      <c r="L11" s="286" t="s">
        <v>107</v>
      </c>
      <c r="M11" s="287" t="s">
        <v>588</v>
      </c>
      <c r="N11" s="279">
        <f>(IF(K11="HT",VLOOKUP(J11,'tải sàn'!$B$5:$L$50,11,0),IF(K11="TG",VLOOKUP(J11,'tải sàn'!$B$5:$L$50,9,0),0)))+(IF(M11="HT",VLOOKUP(L11,'tải sàn'!$B$5:$L$50,11,0),IF(M11="TG",VLOOKUP(L11,'tải sàn'!$B$5:$L$50,9,0),0)))</f>
        <v>0.83410185185185193</v>
      </c>
      <c r="O11" s="279">
        <f t="shared" si="2"/>
        <v>220.83410185185184</v>
      </c>
      <c r="P11" s="280">
        <f t="shared" si="3"/>
        <v>331.25115277777775</v>
      </c>
      <c r="Q11" s="279">
        <f>(IF(K11="HT",VLOOKUP(J11,'tải sàn'!$B$5:$L$50,10,0),IF(K11="TG",VLOOKUP(J11,'tải sàn'!$B$5:$L$50,8,0),0)))+(IF(M11="HT",VLOOKUP(L11,'tải sàn'!$B$5:$L$50,10,0),IF(M11="TG",VLOOKUP(L11,'tải sàn'!$B$5:$L$50,8,0),0)))</f>
        <v>0.7286111111111111</v>
      </c>
      <c r="R11" s="280">
        <f t="shared" si="4"/>
        <v>1.0929166666666665</v>
      </c>
    </row>
    <row r="12" spans="2:20" ht="15.75">
      <c r="B12" s="283">
        <v>7</v>
      </c>
      <c r="C12" s="284">
        <v>6</v>
      </c>
      <c r="D12" s="270">
        <f>TH!$B$53/10</f>
        <v>20</v>
      </c>
      <c r="E12" s="270">
        <f>TH!$B$50/10</f>
        <v>40</v>
      </c>
      <c r="F12" s="275">
        <f t="shared" si="0"/>
        <v>220</v>
      </c>
      <c r="G12" s="285">
        <v>0</v>
      </c>
      <c r="H12" s="271">
        <f>TH!$B$18</f>
        <v>3.6</v>
      </c>
      <c r="I12" s="276">
        <f t="shared" si="1"/>
        <v>0</v>
      </c>
      <c r="J12" s="286" t="s">
        <v>105</v>
      </c>
      <c r="K12" s="287" t="s">
        <v>588</v>
      </c>
      <c r="L12" s="286" t="s">
        <v>108</v>
      </c>
      <c r="M12" s="287" t="s">
        <v>588</v>
      </c>
      <c r="N12" s="279">
        <f>(IF(K12="HT",VLOOKUP(J12,'tải sàn'!$B$5:$L$50,11,0),IF(K12="TG",VLOOKUP(J12,'tải sàn'!$B$5:$L$50,9,0),0)))+(IF(M12="HT",VLOOKUP(L12,'tải sàn'!$B$5:$L$50,11,0),IF(M12="TG",VLOOKUP(L12,'tải sàn'!$B$5:$L$50,9,0),0)))</f>
        <v>1.2274629629629632</v>
      </c>
      <c r="O12" s="279">
        <f t="shared" si="2"/>
        <v>221.22746296296296</v>
      </c>
      <c r="P12" s="280">
        <f t="shared" si="3"/>
        <v>663.68238888888891</v>
      </c>
      <c r="Q12" s="279">
        <f>(IF(K12="HT",VLOOKUP(J12,'tải sàn'!$B$5:$L$50,10,0),IF(K12="TG",VLOOKUP(J12,'tải sàn'!$B$5:$L$50,8,0),0)))+(IF(M12="HT",VLOOKUP(L12,'tải sàn'!$B$5:$L$50,10,0),IF(M12="TG",VLOOKUP(L12,'tải sàn'!$B$5:$L$50,8,0),0)))</f>
        <v>1.2377777777777779</v>
      </c>
      <c r="R12" s="280">
        <f t="shared" si="4"/>
        <v>3.7133333333333338</v>
      </c>
    </row>
    <row r="13" spans="2:20" ht="15.75">
      <c r="B13" s="283">
        <v>8</v>
      </c>
      <c r="C13" s="284">
        <v>4</v>
      </c>
      <c r="D13" s="270">
        <f>TH!$B$53/10</f>
        <v>20</v>
      </c>
      <c r="E13" s="270">
        <f>TH!$B$50/10</f>
        <v>40</v>
      </c>
      <c r="F13" s="275">
        <f t="shared" si="0"/>
        <v>220</v>
      </c>
      <c r="G13" s="285">
        <v>200</v>
      </c>
      <c r="H13" s="271">
        <f>TH!$B$18</f>
        <v>3.6</v>
      </c>
      <c r="I13" s="276">
        <f t="shared" si="1"/>
        <v>1306.8000000000002</v>
      </c>
      <c r="J13" s="286" t="s">
        <v>105</v>
      </c>
      <c r="K13" s="287" t="s">
        <v>587</v>
      </c>
      <c r="L13" s="286"/>
      <c r="M13" s="287"/>
      <c r="N13" s="279">
        <f>(IF(K13="HT",VLOOKUP(J13,'tải sàn'!$B$5:$L$50,11,0),IF(K13="TG",VLOOKUP(J13,'tải sàn'!$B$5:$L$50,9,0),0)))+(IF(M13="HT",VLOOKUP(L13,'tải sàn'!$B$5:$L$50,11,0),IF(M13="TG",VLOOKUP(L13,'tải sàn'!$B$5:$L$50,9,0),0)))</f>
        <v>0.59500000000000008</v>
      </c>
      <c r="O13" s="279">
        <f t="shared" si="2"/>
        <v>1527.3950000000002</v>
      </c>
      <c r="P13" s="280">
        <f t="shared" si="3"/>
        <v>3054.7900000000004</v>
      </c>
      <c r="Q13" s="279">
        <f>(IF(K13="HT",VLOOKUP(J13,'tải sàn'!$B$5:$L$50,10,0),IF(K13="TG",VLOOKUP(J13,'tải sàn'!$B$5:$L$50,8,0),0)))+(IF(M13="HT",VLOOKUP(L13,'tải sàn'!$B$5:$L$50,10,0),IF(M13="TG",VLOOKUP(L13,'tải sàn'!$B$5:$L$50,8,0),0)))</f>
        <v>0.6</v>
      </c>
      <c r="R13" s="280">
        <f t="shared" si="4"/>
        <v>1.2</v>
      </c>
    </row>
    <row r="14" spans="2:20" ht="15.75">
      <c r="B14" s="283">
        <v>9</v>
      </c>
      <c r="C14" s="284">
        <v>4</v>
      </c>
      <c r="D14" s="270">
        <f>TH!$B$53/10</f>
        <v>20</v>
      </c>
      <c r="E14" s="270">
        <f>TH!$B$50/10</f>
        <v>40</v>
      </c>
      <c r="F14" s="275">
        <f t="shared" si="0"/>
        <v>220</v>
      </c>
      <c r="G14" s="285">
        <v>100</v>
      </c>
      <c r="H14" s="271">
        <f>TH!$B$18</f>
        <v>3.6</v>
      </c>
      <c r="I14" s="276">
        <f t="shared" si="1"/>
        <v>712.80000000000007</v>
      </c>
      <c r="J14" s="286" t="s">
        <v>105</v>
      </c>
      <c r="K14" s="287" t="s">
        <v>587</v>
      </c>
      <c r="L14" s="286" t="s">
        <v>112</v>
      </c>
      <c r="M14" s="287" t="s">
        <v>588</v>
      </c>
      <c r="N14" s="279">
        <f>(IF(K14="HT",VLOOKUP(J14,'tải sàn'!$B$5:$L$50,11,0),IF(K14="TG",VLOOKUP(J14,'tải sàn'!$B$5:$L$50,9,0),0)))+(IF(M14="HT",VLOOKUP(L14,'tải sàn'!$B$5:$L$50,11,0),IF(M14="TG",VLOOKUP(L14,'tải sàn'!$B$5:$L$50,9,0),0)))</f>
        <v>0.96459345628207094</v>
      </c>
      <c r="O14" s="279">
        <f t="shared" si="2"/>
        <v>933.76459345628211</v>
      </c>
      <c r="P14" s="280">
        <f t="shared" si="3"/>
        <v>1867.5291869125642</v>
      </c>
      <c r="Q14" s="279">
        <f>(IF(K14="HT",VLOOKUP(J14,'tải sàn'!$B$5:$L$50,10,0),IF(K14="TG",VLOOKUP(J14,'tải sàn'!$B$5:$L$50,8,0),0)))+(IF(M14="HT",VLOOKUP(L14,'tải sàn'!$B$5:$L$50,10,0),IF(M14="TG",VLOOKUP(L14,'tải sàn'!$B$5:$L$50,8,0),0)))</f>
        <v>0.97269928364578573</v>
      </c>
      <c r="R14" s="280">
        <f t="shared" si="4"/>
        <v>1.9453985672915715</v>
      </c>
    </row>
    <row r="15" spans="2:20" ht="15.75">
      <c r="B15" s="283">
        <v>10</v>
      </c>
      <c r="C15" s="284">
        <v>4</v>
      </c>
      <c r="D15" s="270">
        <f>TH!$B$53/10</f>
        <v>20</v>
      </c>
      <c r="E15" s="270">
        <f>TH!$B$50/10</f>
        <v>40</v>
      </c>
      <c r="F15" s="275">
        <f t="shared" si="0"/>
        <v>220</v>
      </c>
      <c r="G15" s="285">
        <v>100</v>
      </c>
      <c r="H15" s="271">
        <f>TH!$B$18</f>
        <v>3.6</v>
      </c>
      <c r="I15" s="276">
        <f>IF(G15=100,180*1.1*H15,IF(G15=200,330*1.1*H15,0))</f>
        <v>712.80000000000007</v>
      </c>
      <c r="J15" s="286" t="s">
        <v>103</v>
      </c>
      <c r="K15" s="287" t="s">
        <v>588</v>
      </c>
      <c r="L15" s="286" t="s">
        <v>104</v>
      </c>
      <c r="M15" s="287" t="s">
        <v>587</v>
      </c>
      <c r="N15" s="279">
        <f>(IF(K15="HT",VLOOKUP(J15,'tải sàn'!$B$5:$L$50,11,0),IF(K15="TG",VLOOKUP(J15,'tải sàn'!$B$5:$L$50,9,0),0)))+(IF(M15="HT",VLOOKUP(L15,'tải sàn'!$B$5:$L$50,11,0),IF(M15="TG",VLOOKUP(L15,'tải sàn'!$B$5:$L$50,9,0),0)))</f>
        <v>1.3083398437500002</v>
      </c>
      <c r="O15" s="279">
        <f t="shared" ref="O15:O28" si="5">F15+I15+N15</f>
        <v>934.10833984375006</v>
      </c>
      <c r="P15" s="280">
        <f t="shared" ref="P15:P28" si="6">O15*C15/2</f>
        <v>1868.2166796875001</v>
      </c>
      <c r="Q15" s="279">
        <f>(IF(K15="HT",VLOOKUP(J15,'tải sàn'!$B$5:$L$50,10,0),IF(K15="TG",VLOOKUP(J15,'tải sàn'!$B$5:$L$50,8,0),0)))+(IF(M15="HT",VLOOKUP(L15,'tải sàn'!$B$5:$L$50,10,0),IF(M15="TG",VLOOKUP(L15,'tải sàn'!$B$5:$L$50,8,0),0)))</f>
        <v>0.86660156249999987</v>
      </c>
      <c r="R15" s="280">
        <f t="shared" ref="R15:R28" si="7">Q15*C15/2</f>
        <v>1.7332031249999997</v>
      </c>
    </row>
    <row r="16" spans="2:20" ht="15.75">
      <c r="B16" s="283">
        <v>11</v>
      </c>
      <c r="C16" s="284">
        <v>4</v>
      </c>
      <c r="D16" s="270">
        <f>TH!$B$53/10</f>
        <v>20</v>
      </c>
      <c r="E16" s="270">
        <f>TH!$B$50/10</f>
        <v>40</v>
      </c>
      <c r="F16" s="275">
        <f t="shared" si="0"/>
        <v>220</v>
      </c>
      <c r="G16" s="285">
        <v>100</v>
      </c>
      <c r="H16" s="271">
        <f>TH!$B$18</f>
        <v>3.6</v>
      </c>
      <c r="I16" s="276">
        <f>IF(G16=100,180*1.1*H16,IF(G16=200,330*1.1*H16,0))</f>
        <v>712.80000000000007</v>
      </c>
      <c r="J16" s="286" t="s">
        <v>104</v>
      </c>
      <c r="K16" s="287" t="s">
        <v>587</v>
      </c>
      <c r="L16" s="286" t="s">
        <v>110</v>
      </c>
      <c r="M16" s="287" t="s">
        <v>587</v>
      </c>
      <c r="N16" s="279">
        <f>(IF(K16="HT",VLOOKUP(J16,'tải sàn'!$B$5:$L$50,11,0),IF(K16="TG",VLOOKUP(J16,'tải sàn'!$B$5:$L$50,9,0),0)))+(IF(M16="HT",VLOOKUP(L16,'tải sàn'!$B$5:$L$50,11,0),IF(M16="TG",VLOOKUP(L16,'tải sàn'!$B$5:$L$50,9,0),0)))</f>
        <v>1.3525</v>
      </c>
      <c r="O16" s="279">
        <f t="shared" si="5"/>
        <v>934.15250000000003</v>
      </c>
      <c r="P16" s="280">
        <f t="shared" si="6"/>
        <v>1868.3050000000001</v>
      </c>
      <c r="Q16" s="279">
        <f>(IF(K16="HT",VLOOKUP(J16,'tải sàn'!$B$5:$L$50,10,0),IF(K16="TG",VLOOKUP(J16,'tải sàn'!$B$5:$L$50,8,0),0)))+(IF(M16="HT",VLOOKUP(L16,'tải sàn'!$B$5:$L$50,10,0),IF(M16="TG",VLOOKUP(L16,'tải sàn'!$B$5:$L$50,8,0),0)))</f>
        <v>1.0499999999999998</v>
      </c>
      <c r="R16" s="280">
        <f t="shared" si="7"/>
        <v>2.0999999999999996</v>
      </c>
    </row>
    <row r="17" spans="2:18" ht="15.75">
      <c r="B17" s="283">
        <v>12</v>
      </c>
      <c r="C17" s="284">
        <v>4</v>
      </c>
      <c r="D17" s="270">
        <f>TH!$B$53/10</f>
        <v>20</v>
      </c>
      <c r="E17" s="270">
        <f>TH!$B$50/10</f>
        <v>40</v>
      </c>
      <c r="F17" s="275">
        <f t="shared" si="0"/>
        <v>220</v>
      </c>
      <c r="G17" s="285">
        <v>100</v>
      </c>
      <c r="H17" s="271">
        <f>TH!$B$18</f>
        <v>3.6</v>
      </c>
      <c r="I17" s="276">
        <f>IF(G17=100,180*1.1*H17,IF(G17=200,330*1.1*H17,0))</f>
        <v>712.80000000000007</v>
      </c>
      <c r="J17" s="286" t="s">
        <v>104</v>
      </c>
      <c r="K17" s="287" t="s">
        <v>587</v>
      </c>
      <c r="L17" s="286" t="s">
        <v>110</v>
      </c>
      <c r="M17" s="287" t="s">
        <v>587</v>
      </c>
      <c r="N17" s="279">
        <f>(IF(K17="HT",VLOOKUP(J17,'tải sàn'!$B$5:$L$50,11,0),IF(K17="TG",VLOOKUP(J17,'tải sàn'!$B$5:$L$50,9,0),0)))+(IF(M17="HT",VLOOKUP(L17,'tải sàn'!$B$5:$L$50,11,0),IF(M17="TG",VLOOKUP(L17,'tải sàn'!$B$5:$L$50,9,0),0)))</f>
        <v>1.3525</v>
      </c>
      <c r="O17" s="279">
        <f t="shared" si="5"/>
        <v>934.15250000000003</v>
      </c>
      <c r="P17" s="280">
        <f t="shared" si="6"/>
        <v>1868.3050000000001</v>
      </c>
      <c r="Q17" s="279">
        <f>(IF(K17="HT",VLOOKUP(J17,'tải sàn'!$B$5:$L$50,10,0),IF(K17="TG",VLOOKUP(J17,'tải sàn'!$B$5:$L$50,8,0),0)))+(IF(M17="HT",VLOOKUP(L17,'tải sàn'!$B$5:$L$50,10,0),IF(M17="TG",VLOOKUP(L17,'tải sàn'!$B$5:$L$50,8,0),0)))</f>
        <v>1.0499999999999998</v>
      </c>
      <c r="R17" s="280">
        <f t="shared" si="7"/>
        <v>2.0999999999999996</v>
      </c>
    </row>
    <row r="18" spans="2:18" ht="15.75">
      <c r="B18" s="283">
        <v>13</v>
      </c>
      <c r="C18" s="284">
        <v>4</v>
      </c>
      <c r="D18" s="270">
        <f>TH!$B$53/10</f>
        <v>20</v>
      </c>
      <c r="E18" s="270">
        <f>TH!$B$50/10</f>
        <v>40</v>
      </c>
      <c r="F18" s="275">
        <f t="shared" si="0"/>
        <v>220</v>
      </c>
      <c r="G18" s="285">
        <v>100</v>
      </c>
      <c r="H18" s="271">
        <f>TH!$B$18</f>
        <v>3.6</v>
      </c>
      <c r="I18" s="276">
        <f>IF(G18=100,180*1.1*H18,IF(G18=200,330*1.1*H18,0))</f>
        <v>712.80000000000007</v>
      </c>
      <c r="J18" s="286" t="s">
        <v>103</v>
      </c>
      <c r="K18" s="287" t="s">
        <v>588</v>
      </c>
      <c r="L18" s="286" t="s">
        <v>104</v>
      </c>
      <c r="M18" s="287" t="s">
        <v>587</v>
      </c>
      <c r="N18" s="279">
        <f>(IF(K18="HT",VLOOKUP(J18,'tải sàn'!$B$5:$L$50,11,0),IF(K18="TG",VLOOKUP(J18,'tải sàn'!$B$5:$L$50,9,0),0)))+(IF(M18="HT",VLOOKUP(L18,'tải sàn'!$B$5:$L$50,11,0),IF(M18="TG",VLOOKUP(L18,'tải sàn'!$B$5:$L$50,9,0),0)))</f>
        <v>1.3083398437500002</v>
      </c>
      <c r="O18" s="279">
        <f t="shared" si="5"/>
        <v>934.10833984375006</v>
      </c>
      <c r="P18" s="280">
        <f t="shared" si="6"/>
        <v>1868.2166796875001</v>
      </c>
      <c r="Q18" s="279">
        <f>(IF(K18="HT",VLOOKUP(J18,'tải sàn'!$B$5:$L$50,10,0),IF(K18="TG",VLOOKUP(J18,'tải sàn'!$B$5:$L$50,8,0),0)))+(IF(M18="HT",VLOOKUP(L18,'tải sàn'!$B$5:$L$50,10,0),IF(M18="TG",VLOOKUP(L18,'tải sàn'!$B$5:$L$50,8,0),0)))</f>
        <v>0.86660156249999987</v>
      </c>
      <c r="R18" s="280">
        <f t="shared" si="7"/>
        <v>1.7332031249999997</v>
      </c>
    </row>
    <row r="19" spans="2:18" ht="15.75">
      <c r="B19" s="283">
        <v>14</v>
      </c>
      <c r="C19" s="284">
        <v>4</v>
      </c>
      <c r="D19" s="270">
        <f>TH!$B$53/10</f>
        <v>20</v>
      </c>
      <c r="E19" s="270">
        <f>TH!$B$50/10</f>
        <v>40</v>
      </c>
      <c r="F19" s="275">
        <f t="shared" si="0"/>
        <v>220</v>
      </c>
      <c r="G19" s="285">
        <v>100</v>
      </c>
      <c r="H19" s="271">
        <f>TH!$B$18</f>
        <v>3.6</v>
      </c>
      <c r="I19" s="276">
        <f t="shared" ref="I19:I28" si="8">IF(G19=100,180*1.1*H19,IF(G19=200,330*1.1*H19,0))</f>
        <v>712.80000000000007</v>
      </c>
      <c r="J19" s="286" t="s">
        <v>105</v>
      </c>
      <c r="K19" s="287" t="s">
        <v>587</v>
      </c>
      <c r="L19" s="286" t="s">
        <v>112</v>
      </c>
      <c r="M19" s="287" t="s">
        <v>588</v>
      </c>
      <c r="N19" s="279">
        <f>(IF(K19="HT",VLOOKUP(J19,'tải sàn'!$B$5:$L$50,11,0),IF(K19="TG",VLOOKUP(J19,'tải sàn'!$B$5:$L$50,9,0),0)))+(IF(M19="HT",VLOOKUP(L19,'tải sàn'!$B$5:$L$50,11,0),IF(M19="TG",VLOOKUP(L19,'tải sàn'!$B$5:$L$50,9,0),0)))</f>
        <v>0.96459345628207094</v>
      </c>
      <c r="O19" s="279">
        <f t="shared" si="5"/>
        <v>933.76459345628211</v>
      </c>
      <c r="P19" s="280">
        <f t="shared" si="6"/>
        <v>1867.5291869125642</v>
      </c>
      <c r="Q19" s="279">
        <f>(IF(K19="HT",VLOOKUP(J19,'tải sàn'!$B$5:$L$50,10,0),IF(K19="TG",VLOOKUP(J19,'tải sàn'!$B$5:$L$50,8,0),0)))+(IF(M19="HT",VLOOKUP(L19,'tải sàn'!$B$5:$L$50,10,0),IF(M19="TG",VLOOKUP(L19,'tải sàn'!$B$5:$L$50,8,0),0)))</f>
        <v>0.97269928364578573</v>
      </c>
      <c r="R19" s="280">
        <f t="shared" si="7"/>
        <v>1.9453985672915715</v>
      </c>
    </row>
    <row r="20" spans="2:18" ht="15.75">
      <c r="B20" s="283">
        <v>15</v>
      </c>
      <c r="C20" s="284">
        <v>4</v>
      </c>
      <c r="D20" s="270">
        <f>TH!$B$53/10</f>
        <v>20</v>
      </c>
      <c r="E20" s="270">
        <f>TH!$B$50/10</f>
        <v>40</v>
      </c>
      <c r="F20" s="275">
        <f t="shared" si="0"/>
        <v>220</v>
      </c>
      <c r="G20" s="285">
        <v>200</v>
      </c>
      <c r="H20" s="271">
        <f>TH!$B$18</f>
        <v>3.6</v>
      </c>
      <c r="I20" s="276">
        <f t="shared" si="8"/>
        <v>1306.8000000000002</v>
      </c>
      <c r="J20" s="286" t="s">
        <v>105</v>
      </c>
      <c r="K20" s="287" t="s">
        <v>587</v>
      </c>
      <c r="L20" s="286"/>
      <c r="M20" s="287"/>
      <c r="N20" s="279">
        <f>(IF(K20="HT",VLOOKUP(J20,'tải sàn'!$B$5:$L$50,11,0),IF(K20="TG",VLOOKUP(J20,'tải sàn'!$B$5:$L$50,9,0),0)))+(IF(M20="HT",VLOOKUP(L20,'tải sàn'!$B$5:$L$50,11,0),IF(M20="TG",VLOOKUP(L20,'tải sàn'!$B$5:$L$50,9,0),0)))</f>
        <v>0.59500000000000008</v>
      </c>
      <c r="O20" s="279">
        <f t="shared" si="5"/>
        <v>1527.3950000000002</v>
      </c>
      <c r="P20" s="280">
        <f t="shared" si="6"/>
        <v>3054.7900000000004</v>
      </c>
      <c r="Q20" s="279">
        <f>(IF(K20="HT",VLOOKUP(J20,'tải sàn'!$B$5:$L$50,10,0),IF(K20="TG",VLOOKUP(J20,'tải sàn'!$B$5:$L$50,8,0),0)))+(IF(M20="HT",VLOOKUP(L20,'tải sàn'!$B$5:$L$50,10,0),IF(M20="TG",VLOOKUP(L20,'tải sàn'!$B$5:$L$50,8,0),0)))</f>
        <v>0.6</v>
      </c>
      <c r="R20" s="280">
        <f t="shared" si="7"/>
        <v>1.2</v>
      </c>
    </row>
    <row r="21" spans="2:18" ht="15.75">
      <c r="B21" s="283">
        <v>16</v>
      </c>
      <c r="C21" s="284">
        <v>2</v>
      </c>
      <c r="D21" s="270">
        <f>TH!$B$53/10</f>
        <v>20</v>
      </c>
      <c r="E21" s="270">
        <f>TH!$B$50/10</f>
        <v>40</v>
      </c>
      <c r="F21" s="275">
        <f t="shared" si="0"/>
        <v>220</v>
      </c>
      <c r="G21" s="285">
        <v>200</v>
      </c>
      <c r="H21" s="271">
        <f>TH!$B$18</f>
        <v>3.6</v>
      </c>
      <c r="I21" s="276">
        <f t="shared" si="8"/>
        <v>1306.8000000000002</v>
      </c>
      <c r="J21" s="286" t="s">
        <v>108</v>
      </c>
      <c r="K21" s="287" t="s">
        <v>587</v>
      </c>
      <c r="L21" s="286"/>
      <c r="M21" s="287"/>
      <c r="N21" s="279">
        <f>(IF(K21="HT",VLOOKUP(J21,'tải sàn'!$B$5:$L$50,11,0),IF(K21="TG",VLOOKUP(J21,'tải sàn'!$B$5:$L$50,9,0),0)))+(IF(M21="HT",VLOOKUP(L21,'tải sàn'!$B$5:$L$50,11,0),IF(M21="TG",VLOOKUP(L21,'tải sàn'!$B$5:$L$50,9,0),0)))</f>
        <v>0.29750000000000004</v>
      </c>
      <c r="O21" s="279">
        <f t="shared" si="5"/>
        <v>1527.0975000000001</v>
      </c>
      <c r="P21" s="280">
        <f t="shared" si="6"/>
        <v>1527.0975000000001</v>
      </c>
      <c r="Q21" s="279">
        <f>(IF(K21="HT",VLOOKUP(J21,'tải sàn'!$B$5:$L$50,10,0),IF(K21="TG",VLOOKUP(J21,'tải sàn'!$B$5:$L$50,8,0),0)))+(IF(M21="HT",VLOOKUP(L21,'tải sàn'!$B$5:$L$50,10,0),IF(M21="TG",VLOOKUP(L21,'tải sàn'!$B$5:$L$50,8,0),0)))</f>
        <v>0.3</v>
      </c>
      <c r="R21" s="280">
        <f t="shared" si="7"/>
        <v>0.3</v>
      </c>
    </row>
    <row r="22" spans="2:18" ht="15.75">
      <c r="B22" s="283">
        <v>17</v>
      </c>
      <c r="C22" s="284">
        <v>2</v>
      </c>
      <c r="D22" s="270">
        <f>TH!$B$53/10</f>
        <v>20</v>
      </c>
      <c r="E22" s="270">
        <f>TH!$B$50/10</f>
        <v>40</v>
      </c>
      <c r="F22" s="275">
        <f t="shared" si="0"/>
        <v>220</v>
      </c>
      <c r="G22" s="285">
        <v>0</v>
      </c>
      <c r="H22" s="271">
        <f>TH!$B$18</f>
        <v>3.6</v>
      </c>
      <c r="I22" s="276">
        <f t="shared" si="8"/>
        <v>0</v>
      </c>
      <c r="J22" s="286" t="s">
        <v>108</v>
      </c>
      <c r="K22" s="287" t="s">
        <v>587</v>
      </c>
      <c r="L22" s="286" t="s">
        <v>107</v>
      </c>
      <c r="M22" s="287" t="s">
        <v>587</v>
      </c>
      <c r="N22" s="279">
        <f>(IF(K22="HT",VLOOKUP(J22,'tải sàn'!$B$5:$L$50,11,0),IF(K22="TG",VLOOKUP(J22,'tải sàn'!$B$5:$L$50,9,0),0)))+(IF(M22="HT",VLOOKUP(L22,'tải sàn'!$B$5:$L$50,11,0),IF(M22="TG",VLOOKUP(L22,'tải sàn'!$B$5:$L$50,9,0),0)))</f>
        <v>0.59500000000000008</v>
      </c>
      <c r="O22" s="279">
        <f t="shared" si="5"/>
        <v>220.595</v>
      </c>
      <c r="P22" s="280">
        <f t="shared" si="6"/>
        <v>220.595</v>
      </c>
      <c r="Q22" s="279">
        <f>(IF(K22="HT",VLOOKUP(J22,'tải sàn'!$B$5:$L$50,10,0),IF(K22="TG",VLOOKUP(J22,'tải sàn'!$B$5:$L$50,8,0),0)))+(IF(M22="HT",VLOOKUP(L22,'tải sàn'!$B$5:$L$50,10,0),IF(M22="TG",VLOOKUP(L22,'tải sàn'!$B$5:$L$50,8,0),0)))</f>
        <v>0.6</v>
      </c>
      <c r="R22" s="280">
        <f t="shared" si="7"/>
        <v>0.6</v>
      </c>
    </row>
    <row r="23" spans="2:18" ht="15.75">
      <c r="B23" s="283">
        <v>18</v>
      </c>
      <c r="C23" s="284">
        <v>2</v>
      </c>
      <c r="D23" s="270">
        <f>TH!$B$53/10</f>
        <v>20</v>
      </c>
      <c r="E23" s="270">
        <f>TH!$B$50/10</f>
        <v>40</v>
      </c>
      <c r="F23" s="275">
        <f t="shared" si="0"/>
        <v>220</v>
      </c>
      <c r="G23" s="285">
        <v>0</v>
      </c>
      <c r="H23" s="271">
        <f>TH!$B$18</f>
        <v>3.6</v>
      </c>
      <c r="I23" s="276">
        <f t="shared" si="8"/>
        <v>0</v>
      </c>
      <c r="J23" s="286" t="s">
        <v>107</v>
      </c>
      <c r="K23" s="287" t="s">
        <v>587</v>
      </c>
      <c r="L23" s="286" t="s">
        <v>106</v>
      </c>
      <c r="M23" s="287" t="s">
        <v>587</v>
      </c>
      <c r="N23" s="279">
        <f>(IF(K23="HT",VLOOKUP(J23,'tải sàn'!$B$5:$L$50,11,0),IF(K23="TG",VLOOKUP(J23,'tải sàn'!$B$5:$L$50,9,0),0)))+(IF(M23="HT",VLOOKUP(L23,'tải sàn'!$B$5:$L$50,11,0),IF(M23="TG",VLOOKUP(L23,'tải sàn'!$B$5:$L$50,9,0),0)))</f>
        <v>0.59500000000000008</v>
      </c>
      <c r="O23" s="279">
        <f t="shared" si="5"/>
        <v>220.595</v>
      </c>
      <c r="P23" s="280">
        <f t="shared" si="6"/>
        <v>220.595</v>
      </c>
      <c r="Q23" s="279">
        <f>(IF(K23="HT",VLOOKUP(J23,'tải sàn'!$B$5:$L$50,10,0),IF(K23="TG",VLOOKUP(J23,'tải sàn'!$B$5:$L$50,8,0),0)))+(IF(M23="HT",VLOOKUP(L23,'tải sàn'!$B$5:$L$50,10,0),IF(M23="TG",VLOOKUP(L23,'tải sàn'!$B$5:$L$50,8,0),0)))</f>
        <v>0.6</v>
      </c>
      <c r="R23" s="280">
        <f t="shared" si="7"/>
        <v>0.6</v>
      </c>
    </row>
    <row r="24" spans="2:18" ht="15.75">
      <c r="B24" s="283">
        <v>19</v>
      </c>
      <c r="C24" s="284">
        <v>2</v>
      </c>
      <c r="D24" s="270">
        <f>TH!$B$53/10</f>
        <v>20</v>
      </c>
      <c r="E24" s="270">
        <f>TH!$B$50/10</f>
        <v>40</v>
      </c>
      <c r="F24" s="275">
        <f t="shared" si="0"/>
        <v>220</v>
      </c>
      <c r="G24" s="285">
        <v>0</v>
      </c>
      <c r="H24" s="271">
        <f>TH!$B$18</f>
        <v>3.6</v>
      </c>
      <c r="I24" s="276">
        <f t="shared" si="8"/>
        <v>0</v>
      </c>
      <c r="J24" s="286" t="s">
        <v>106</v>
      </c>
      <c r="K24" s="287" t="s">
        <v>587</v>
      </c>
      <c r="L24" s="286" t="s">
        <v>109</v>
      </c>
      <c r="M24" s="287" t="s">
        <v>587</v>
      </c>
      <c r="N24" s="279">
        <f>(IF(K24="HT",VLOOKUP(J24,'tải sàn'!$B$5:$L$50,11,0),IF(K24="TG",VLOOKUP(J24,'tải sàn'!$B$5:$L$50,9,0),0)))+(IF(M24="HT",VLOOKUP(L24,'tải sàn'!$B$5:$L$50,11,0),IF(M24="TG",VLOOKUP(L24,'tải sàn'!$B$5:$L$50,9,0),0)))</f>
        <v>0.59500000000000008</v>
      </c>
      <c r="O24" s="279">
        <f t="shared" si="5"/>
        <v>220.595</v>
      </c>
      <c r="P24" s="280">
        <f t="shared" si="6"/>
        <v>220.595</v>
      </c>
      <c r="Q24" s="279">
        <f>(IF(K24="HT",VLOOKUP(J24,'tải sàn'!$B$5:$L$50,10,0),IF(K24="TG",VLOOKUP(J24,'tải sàn'!$B$5:$L$50,8,0),0)))+(IF(M24="HT",VLOOKUP(L24,'tải sàn'!$B$5:$L$50,10,0),IF(M24="TG",VLOOKUP(L24,'tải sàn'!$B$5:$L$50,8,0),0)))</f>
        <v>0.6</v>
      </c>
      <c r="R24" s="280">
        <f t="shared" si="7"/>
        <v>0.6</v>
      </c>
    </row>
    <row r="25" spans="2:18" ht="15.75">
      <c r="B25" s="283">
        <v>20</v>
      </c>
      <c r="C25" s="284">
        <v>2</v>
      </c>
      <c r="D25" s="270">
        <f>TH!$B$53/10</f>
        <v>20</v>
      </c>
      <c r="E25" s="270">
        <f>TH!$B$50/10</f>
        <v>40</v>
      </c>
      <c r="F25" s="275">
        <f t="shared" si="0"/>
        <v>220</v>
      </c>
      <c r="G25" s="285">
        <v>0</v>
      </c>
      <c r="H25" s="271">
        <f>TH!$B$18</f>
        <v>3.6</v>
      </c>
      <c r="I25" s="276">
        <f t="shared" si="8"/>
        <v>0</v>
      </c>
      <c r="J25" s="286" t="s">
        <v>106</v>
      </c>
      <c r="K25" s="287" t="s">
        <v>587</v>
      </c>
      <c r="L25" s="286" t="s">
        <v>109</v>
      </c>
      <c r="M25" s="287" t="s">
        <v>587</v>
      </c>
      <c r="N25" s="279">
        <f>(IF(K25="HT",VLOOKUP(J25,'tải sàn'!$B$5:$L$50,11,0),IF(K25="TG",VLOOKUP(J25,'tải sàn'!$B$5:$L$50,9,0),0)))+(IF(M25="HT",VLOOKUP(L25,'tải sàn'!$B$5:$L$50,11,0),IF(M25="TG",VLOOKUP(L25,'tải sàn'!$B$5:$L$50,9,0),0)))</f>
        <v>0.59500000000000008</v>
      </c>
      <c r="O25" s="279">
        <f t="shared" si="5"/>
        <v>220.595</v>
      </c>
      <c r="P25" s="280">
        <f t="shared" si="6"/>
        <v>220.595</v>
      </c>
      <c r="Q25" s="279">
        <f>(IF(K25="HT",VLOOKUP(J25,'tải sàn'!$B$5:$L$50,10,0),IF(K25="TG",VLOOKUP(J25,'tải sàn'!$B$5:$L$50,8,0),0)))+(IF(M25="HT",VLOOKUP(L25,'tải sàn'!$B$5:$L$50,10,0),IF(M25="TG",VLOOKUP(L25,'tải sàn'!$B$5:$L$50,8,0),0)))</f>
        <v>0.6</v>
      </c>
      <c r="R25" s="280">
        <f t="shared" si="7"/>
        <v>0.6</v>
      </c>
    </row>
    <row r="26" spans="2:18" ht="15.75">
      <c r="B26" s="283">
        <v>21</v>
      </c>
      <c r="C26" s="284">
        <v>2</v>
      </c>
      <c r="D26" s="270">
        <f>TH!$B$53/10</f>
        <v>20</v>
      </c>
      <c r="E26" s="270">
        <f>TH!$B$50/10</f>
        <v>40</v>
      </c>
      <c r="F26" s="275">
        <f t="shared" si="0"/>
        <v>220</v>
      </c>
      <c r="G26" s="285">
        <v>0</v>
      </c>
      <c r="H26" s="271">
        <f>TH!$B$18</f>
        <v>3.6</v>
      </c>
      <c r="I26" s="276">
        <f t="shared" si="8"/>
        <v>0</v>
      </c>
      <c r="J26" s="286" t="s">
        <v>107</v>
      </c>
      <c r="K26" s="287" t="s">
        <v>587</v>
      </c>
      <c r="L26" s="286" t="s">
        <v>106</v>
      </c>
      <c r="M26" s="287" t="s">
        <v>587</v>
      </c>
      <c r="N26" s="279">
        <f>(IF(K26="HT",VLOOKUP(J26,'tải sàn'!$B$5:$L$50,11,0),IF(K26="TG",VLOOKUP(J26,'tải sàn'!$B$5:$L$50,9,0),0)))+(IF(M26="HT",VLOOKUP(L26,'tải sàn'!$B$5:$L$50,11,0),IF(M26="TG",VLOOKUP(L26,'tải sàn'!$B$5:$L$50,9,0),0)))</f>
        <v>0.59500000000000008</v>
      </c>
      <c r="O26" s="279">
        <f t="shared" si="5"/>
        <v>220.595</v>
      </c>
      <c r="P26" s="280">
        <f t="shared" si="6"/>
        <v>220.595</v>
      </c>
      <c r="Q26" s="279">
        <f>(IF(K26="HT",VLOOKUP(J26,'tải sàn'!$B$5:$L$50,10,0),IF(K26="TG",VLOOKUP(J26,'tải sàn'!$B$5:$L$50,8,0),0)))+(IF(M26="HT",VLOOKUP(L26,'tải sàn'!$B$5:$L$50,10,0),IF(M26="TG",VLOOKUP(L26,'tải sàn'!$B$5:$L$50,8,0),0)))</f>
        <v>0.6</v>
      </c>
      <c r="R26" s="280">
        <f t="shared" si="7"/>
        <v>0.6</v>
      </c>
    </row>
    <row r="27" spans="2:18" ht="15.75">
      <c r="B27" s="283">
        <v>22</v>
      </c>
      <c r="C27" s="284">
        <v>2</v>
      </c>
      <c r="D27" s="270">
        <f>TH!$B$53/10</f>
        <v>20</v>
      </c>
      <c r="E27" s="270">
        <f>TH!$B$50/10</f>
        <v>40</v>
      </c>
      <c r="F27" s="275">
        <f t="shared" si="0"/>
        <v>220</v>
      </c>
      <c r="G27" s="285">
        <v>0</v>
      </c>
      <c r="H27" s="271">
        <f>TH!$B$18</f>
        <v>3.6</v>
      </c>
      <c r="I27" s="276">
        <f t="shared" si="8"/>
        <v>0</v>
      </c>
      <c r="J27" s="286" t="s">
        <v>108</v>
      </c>
      <c r="K27" s="287" t="s">
        <v>587</v>
      </c>
      <c r="L27" s="286" t="s">
        <v>107</v>
      </c>
      <c r="M27" s="287" t="s">
        <v>587</v>
      </c>
      <c r="N27" s="279">
        <f>(IF(K27="HT",VLOOKUP(J27,'tải sàn'!$B$5:$L$50,11,0),IF(K27="TG",VLOOKUP(J27,'tải sàn'!$B$5:$L$50,9,0),0)))+(IF(M27="HT",VLOOKUP(L27,'tải sàn'!$B$5:$L$50,11,0),IF(M27="TG",VLOOKUP(L27,'tải sàn'!$B$5:$L$50,9,0),0)))</f>
        <v>0.59500000000000008</v>
      </c>
      <c r="O27" s="279">
        <f t="shared" si="5"/>
        <v>220.595</v>
      </c>
      <c r="P27" s="280">
        <f t="shared" si="6"/>
        <v>220.595</v>
      </c>
      <c r="Q27" s="279">
        <f>(IF(K27="HT",VLOOKUP(J27,'tải sàn'!$B$5:$L$50,10,0),IF(K27="TG",VLOOKUP(J27,'tải sàn'!$B$5:$L$50,8,0),0)))+(IF(M27="HT",VLOOKUP(L27,'tải sàn'!$B$5:$L$50,10,0),IF(M27="TG",VLOOKUP(L27,'tải sàn'!$B$5:$L$50,8,0),0)))</f>
        <v>0.6</v>
      </c>
      <c r="R27" s="280">
        <f t="shared" si="7"/>
        <v>0.6</v>
      </c>
    </row>
    <row r="28" spans="2:18" ht="15.75">
      <c r="B28" s="283">
        <v>23</v>
      </c>
      <c r="C28" s="284">
        <v>2</v>
      </c>
      <c r="D28" s="270">
        <f>TH!$B$53/10</f>
        <v>20</v>
      </c>
      <c r="E28" s="270">
        <f>TH!$B$50/10</f>
        <v>40</v>
      </c>
      <c r="F28" s="275">
        <f t="shared" si="0"/>
        <v>220</v>
      </c>
      <c r="G28" s="285">
        <v>200</v>
      </c>
      <c r="H28" s="271">
        <f>TH!$B$18</f>
        <v>3.6</v>
      </c>
      <c r="I28" s="276">
        <f t="shared" si="8"/>
        <v>1306.8000000000002</v>
      </c>
      <c r="J28" s="286" t="s">
        <v>108</v>
      </c>
      <c r="K28" s="287" t="s">
        <v>587</v>
      </c>
      <c r="L28" s="286"/>
      <c r="M28" s="287"/>
      <c r="N28" s="279">
        <f>(IF(K28="HT",VLOOKUP(J28,'tải sàn'!$B$5:$L$50,11,0),IF(K28="TG",VLOOKUP(J28,'tải sàn'!$B$5:$L$50,9,0),0)))+(IF(M28="HT",VLOOKUP(L28,'tải sàn'!$B$5:$L$50,11,0),IF(M28="TG",VLOOKUP(L28,'tải sàn'!$B$5:$L$50,9,0),0)))</f>
        <v>0.29750000000000004</v>
      </c>
      <c r="O28" s="279">
        <f t="shared" si="5"/>
        <v>1527.0975000000001</v>
      </c>
      <c r="P28" s="280">
        <f t="shared" si="6"/>
        <v>1527.0975000000001</v>
      </c>
      <c r="Q28" s="279">
        <f>(IF(K28="HT",VLOOKUP(J28,'tải sàn'!$B$5:$L$50,10,0),IF(K28="TG",VLOOKUP(J28,'tải sàn'!$B$5:$L$50,8,0),0)))+(IF(M28="HT",VLOOKUP(L28,'tải sàn'!$B$5:$L$50,10,0),IF(M28="TG",VLOOKUP(L28,'tải sàn'!$B$5:$L$50,8,0),0)))</f>
        <v>0.3</v>
      </c>
      <c r="R28" s="280">
        <f t="shared" si="7"/>
        <v>0.3</v>
      </c>
    </row>
  </sheetData>
  <mergeCells count="9">
    <mergeCell ref="B2:R2"/>
    <mergeCell ref="B3:B5"/>
    <mergeCell ref="C3:C4"/>
    <mergeCell ref="D3:E4"/>
    <mergeCell ref="F3:F4"/>
    <mergeCell ref="G3:I4"/>
    <mergeCell ref="J3:M5"/>
    <mergeCell ref="N3:P3"/>
    <mergeCell ref="Q3:R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0EBB-826C-4338-AAD6-9064CEA60B6C}">
  <dimension ref="A1:X12"/>
  <sheetViews>
    <sheetView zoomScale="85" zoomScaleNormal="85" workbookViewId="0">
      <selection activeCell="A6" sqref="A6:A10"/>
    </sheetView>
  </sheetViews>
  <sheetFormatPr defaultRowHeight="15"/>
  <sheetData>
    <row r="1" spans="1:24" ht="15.75" thickBot="1">
      <c r="A1" s="299"/>
      <c r="B1" s="299"/>
      <c r="C1" s="299"/>
      <c r="D1" s="299"/>
      <c r="E1" s="299"/>
      <c r="F1" s="299"/>
      <c r="G1" s="299"/>
      <c r="H1" s="299"/>
      <c r="I1" s="299"/>
      <c r="J1" s="299"/>
      <c r="K1" s="299"/>
      <c r="L1" s="299"/>
      <c r="M1" s="299"/>
      <c r="N1" s="299"/>
      <c r="O1" s="299"/>
      <c r="P1" s="299"/>
      <c r="Q1" s="299"/>
      <c r="R1" s="299"/>
      <c r="S1" s="299"/>
      <c r="T1" s="299"/>
      <c r="U1" s="299"/>
      <c r="V1" s="299"/>
      <c r="W1" s="299"/>
      <c r="X1" s="299"/>
    </row>
    <row r="2" spans="1:24" ht="19.5" thickBot="1">
      <c r="A2" s="741" t="s">
        <v>590</v>
      </c>
      <c r="B2" s="742"/>
      <c r="C2" s="742"/>
      <c r="D2" s="742"/>
      <c r="E2" s="742"/>
      <c r="F2" s="742"/>
      <c r="G2" s="742"/>
      <c r="H2" s="742"/>
      <c r="I2" s="742"/>
      <c r="J2" s="742"/>
      <c r="K2" s="742"/>
      <c r="L2" s="742"/>
      <c r="M2" s="742"/>
      <c r="N2" s="742"/>
      <c r="O2" s="742"/>
      <c r="P2" s="742"/>
      <c r="Q2" s="742"/>
      <c r="R2" s="742"/>
      <c r="S2" s="742"/>
      <c r="T2" s="742"/>
      <c r="U2" s="742"/>
      <c r="V2" s="742"/>
      <c r="W2" s="742"/>
      <c r="X2" s="743"/>
    </row>
    <row r="3" spans="1:24" ht="15.75">
      <c r="A3" s="744" t="s">
        <v>570</v>
      </c>
      <c r="B3" s="737" t="s">
        <v>591</v>
      </c>
      <c r="C3" s="739"/>
      <c r="D3" s="753" t="s">
        <v>592</v>
      </c>
      <c r="E3" s="750"/>
      <c r="F3" s="747" t="s">
        <v>573</v>
      </c>
      <c r="G3" s="737" t="s">
        <v>574</v>
      </c>
      <c r="H3" s="738"/>
      <c r="I3" s="739"/>
      <c r="J3" s="747" t="s">
        <v>593</v>
      </c>
      <c r="K3" s="737" t="s">
        <v>575</v>
      </c>
      <c r="L3" s="738"/>
      <c r="M3" s="738"/>
      <c r="N3" s="739"/>
      <c r="O3" s="753" t="s">
        <v>594</v>
      </c>
      <c r="P3" s="749"/>
      <c r="Q3" s="749"/>
      <c r="R3" s="749"/>
      <c r="S3" s="749"/>
      <c r="T3" s="750"/>
      <c r="U3" s="748" t="s">
        <v>595</v>
      </c>
      <c r="V3" s="748"/>
      <c r="W3" s="748"/>
      <c r="X3" s="748"/>
    </row>
    <row r="4" spans="1:24" ht="33">
      <c r="A4" s="745"/>
      <c r="B4" s="751" t="s">
        <v>596</v>
      </c>
      <c r="C4" s="751" t="s">
        <v>597</v>
      </c>
      <c r="D4" s="754" t="s">
        <v>598</v>
      </c>
      <c r="E4" s="751" t="s">
        <v>599</v>
      </c>
      <c r="F4" s="748"/>
      <c r="G4" s="740" t="s">
        <v>600</v>
      </c>
      <c r="H4" s="740" t="s">
        <v>601</v>
      </c>
      <c r="I4" s="740" t="s">
        <v>602</v>
      </c>
      <c r="J4" s="747"/>
      <c r="K4" s="737"/>
      <c r="L4" s="738"/>
      <c r="M4" s="738"/>
      <c r="N4" s="739"/>
      <c r="O4" s="303" t="s">
        <v>603</v>
      </c>
      <c r="P4" s="303" t="s">
        <v>604</v>
      </c>
      <c r="Q4" s="756" t="s">
        <v>605</v>
      </c>
      <c r="R4" s="300" t="s">
        <v>606</v>
      </c>
      <c r="S4" s="300" t="s">
        <v>607</v>
      </c>
      <c r="T4" s="300" t="s">
        <v>608</v>
      </c>
      <c r="U4" s="303" t="s">
        <v>604</v>
      </c>
      <c r="V4" s="300" t="s">
        <v>606</v>
      </c>
      <c r="W4" s="300" t="s">
        <v>607</v>
      </c>
      <c r="X4" s="300" t="s">
        <v>608</v>
      </c>
    </row>
    <row r="5" spans="1:24" ht="15.75">
      <c r="A5" s="746"/>
      <c r="B5" s="752"/>
      <c r="C5" s="752"/>
      <c r="D5" s="755"/>
      <c r="E5" s="752"/>
      <c r="F5" s="301" t="s">
        <v>583</v>
      </c>
      <c r="G5" s="740"/>
      <c r="H5" s="740"/>
      <c r="I5" s="740"/>
      <c r="J5" s="748"/>
      <c r="K5" s="737"/>
      <c r="L5" s="738"/>
      <c r="M5" s="749"/>
      <c r="N5" s="750"/>
      <c r="O5" s="301" t="s">
        <v>583</v>
      </c>
      <c r="P5" s="306" t="s">
        <v>521</v>
      </c>
      <c r="Q5" s="748"/>
      <c r="R5" s="301" t="s">
        <v>586</v>
      </c>
      <c r="S5" s="301" t="s">
        <v>586</v>
      </c>
      <c r="T5" s="301" t="s">
        <v>586</v>
      </c>
      <c r="U5" s="301" t="s">
        <v>521</v>
      </c>
      <c r="V5" s="301" t="s">
        <v>586</v>
      </c>
      <c r="W5" s="301" t="s">
        <v>586</v>
      </c>
      <c r="X5" s="301" t="s">
        <v>586</v>
      </c>
    </row>
    <row r="6" spans="1:24" ht="15.75">
      <c r="A6" s="725"/>
      <c r="B6" s="727">
        <v>2.7</v>
      </c>
      <c r="C6" s="727">
        <v>2.8</v>
      </c>
      <c r="D6" s="725">
        <f>TH!$B$53/10</f>
        <v>20</v>
      </c>
      <c r="E6" s="725">
        <f>TH!$B$50/10</f>
        <v>40</v>
      </c>
      <c r="F6" s="731">
        <f>1.1*D6*E6*2500/10000</f>
        <v>220</v>
      </c>
      <c r="G6" s="304">
        <v>200</v>
      </c>
      <c r="H6" s="304">
        <f>TH!$B$18</f>
        <v>3.6</v>
      </c>
      <c r="I6" s="305">
        <f>IF(G6=100,180*1.1*H6,IF(G6=200,330*1.1*H6,0))</f>
        <v>1306.8000000000002</v>
      </c>
      <c r="J6" s="304" t="s">
        <v>520</v>
      </c>
      <c r="K6" s="307" t="s">
        <v>112</v>
      </c>
      <c r="L6" s="308" t="s">
        <v>588</v>
      </c>
      <c r="M6" s="307" t="s">
        <v>104</v>
      </c>
      <c r="N6" s="308" t="s">
        <v>588</v>
      </c>
      <c r="O6" s="302">
        <f>(IF(L6="HT",VLOOKUP(K6,'tải sàn'!$B$5:$L$50,11,0),IF(L6="TG",VLOOKUP(K6,'tải sàn'!$B$5:$L$50,9,0),0)))+(IF(N6="HT",VLOOKUP(M6,'tải sàn'!$B$5:$L$50,11,0),IF(N6="TG",VLOOKUP(M6,'tải sàn'!$B$5:$L$50,9,0),0)))</f>
        <v>1.31934251713857</v>
      </c>
      <c r="P6" s="316">
        <f>F6+I6+O6</f>
        <v>1528.1193425171386</v>
      </c>
      <c r="Q6" s="733">
        <v>10</v>
      </c>
      <c r="R6" s="735">
        <f>VLOOKUP(Q6,'dam loai 1 TD'!$B$6:$R$28,15,0)</f>
        <v>1868.2166796875001</v>
      </c>
      <c r="S6" s="729">
        <f>((P6*B6*(C6+(B6/2))/(B6+C6))+(P7*C6*(C6/2))/(B6+C6))+(R6*C6/(B6+C6))</f>
        <v>5466.7569004269262</v>
      </c>
      <c r="T6" s="729">
        <f>((P6*B6*(B6/2))/(B6+C6))+(P7*C6*(B6+(C6/2))/(B6+C6))+(R6*B6/(B6+C6))</f>
        <v>6037.0813014272462</v>
      </c>
      <c r="U6" s="302">
        <f>(IF(L6="HT",VLOOKUP(K6,'tải sàn'!$B$5:$L$50,10,0),IF(L6="TG",VLOOKUP(K6,'tải sàn'!$B$5:$L$50,8,0),0)))+(IF(N6="HT",VLOOKUP(M6,'tải sàn'!$B$5:$L$50,10,0),IF(N6="TG",VLOOKUP(M6,'tải sàn'!$B$5:$L$50,8,0),0)))</f>
        <v>0.93690664653083444</v>
      </c>
      <c r="V6" s="735">
        <f>VLOOKUP(Q6,'dam loai 1 TD'!$B$6:$R$28,17,0)</f>
        <v>1.7332031249999997</v>
      </c>
      <c r="W6" s="729">
        <f>((U6*B6*(C6+(B6/2))/(B6+C6))+(U7*C6*(C6/2))/(B6+C6))+(V6*C6/(B6+C6))</f>
        <v>3.1932182885249798</v>
      </c>
      <c r="X6" s="729">
        <f>((U6*B6*(B6/2))/(B6+C6))+(U7*C6*(B6+(C6/2))/(B6+C6))+(V6*B6/(B6+C6))</f>
        <v>2.6494133981864092</v>
      </c>
    </row>
    <row r="7" spans="1:24" ht="15.75">
      <c r="A7" s="726"/>
      <c r="B7" s="728">
        <v>2.7</v>
      </c>
      <c r="C7" s="728">
        <v>7</v>
      </c>
      <c r="D7" s="726">
        <v>20</v>
      </c>
      <c r="E7" s="726">
        <v>120</v>
      </c>
      <c r="F7" s="732">
        <v>660</v>
      </c>
      <c r="G7" s="304">
        <v>200</v>
      </c>
      <c r="H7" s="304">
        <f>TH!$B$18</f>
        <v>3.6</v>
      </c>
      <c r="I7" s="305">
        <f>IF(G7=100,180*1.1*H7,IF(G7=200,330*1.1*H7,0))</f>
        <v>1306.8000000000002</v>
      </c>
      <c r="J7" s="304" t="s">
        <v>521</v>
      </c>
      <c r="K7" s="307"/>
      <c r="L7" s="308"/>
      <c r="M7" s="307" t="s">
        <v>104</v>
      </c>
      <c r="N7" s="308" t="s">
        <v>588</v>
      </c>
      <c r="O7" s="302">
        <f>(IF(L7="HT",VLOOKUP(K7,'tải sàn'!$B$5:$L$50,11,0),IF(L7="TG",VLOOKUP(K7,'tải sàn'!$B$5:$L$50,9,0),0)))+(IF(N7="HT",VLOOKUP(M7,'tải sàn'!$B$5:$L$50,11,0),IF(N7="TG",VLOOKUP(M7,'tải sàn'!$B$5:$L$50,9,0),0)))</f>
        <v>0.94974906085649902</v>
      </c>
      <c r="P7" s="316">
        <f>F7+I7+O7</f>
        <v>1967.7497490608566</v>
      </c>
      <c r="Q7" s="734"/>
      <c r="R7" s="736"/>
      <c r="S7" s="730"/>
      <c r="T7" s="730"/>
      <c r="U7" s="302">
        <f>(IF(L7="HT",VLOOKUP(K7,'tải sàn'!$B$5:$L$50,10,0),IF(L7="TG",VLOOKUP(K7,'tải sàn'!$B$5:$L$50,8,0),0)))+(IF(N7="HT",VLOOKUP(M7,'tải sàn'!$B$5:$L$50,10,0),IF(N7="TG",VLOOKUP(M7,'tải sàn'!$B$5:$L$50,8,0),0)))</f>
        <v>0.5642073628850488</v>
      </c>
      <c r="V7" s="736"/>
      <c r="W7" s="730"/>
      <c r="X7" s="730"/>
    </row>
    <row r="8" spans="1:24" ht="15.75">
      <c r="A8" s="725"/>
      <c r="B8" s="727">
        <v>2.7</v>
      </c>
      <c r="C8" s="727">
        <v>2.8</v>
      </c>
      <c r="D8" s="725">
        <f>TH!$B$53/10</f>
        <v>20</v>
      </c>
      <c r="E8" s="725">
        <f>TH!$B$50/10</f>
        <v>40</v>
      </c>
      <c r="F8" s="731">
        <v>220</v>
      </c>
      <c r="G8" s="304">
        <v>200</v>
      </c>
      <c r="H8" s="304">
        <f>TH!$B$18</f>
        <v>3.6</v>
      </c>
      <c r="I8" s="305">
        <f>IF(G8=100,180*1.1*H8,IF(G8=200,330*1.1*H8,0))</f>
        <v>1306.8000000000002</v>
      </c>
      <c r="J8" s="304" t="s">
        <v>520</v>
      </c>
      <c r="K8" s="307" t="s">
        <v>112</v>
      </c>
      <c r="L8" s="308" t="s">
        <v>588</v>
      </c>
      <c r="M8" s="307" t="s">
        <v>104</v>
      </c>
      <c r="N8" s="308" t="s">
        <v>588</v>
      </c>
      <c r="O8" s="302">
        <f>(IF(L8="HT",VLOOKUP(K8,'tải sàn'!$B$5:$L$50,11,0),IF(L8="TG",VLOOKUP(K8,'tải sàn'!$B$5:$L$50,9,0),0)))+(IF(N8="HT",VLOOKUP(M8,'tải sàn'!$B$5:$L$50,11,0),IF(N8="TG",VLOOKUP(M8,'tải sàn'!$B$5:$L$50,9,0),0)))</f>
        <v>1.31934251713857</v>
      </c>
      <c r="P8" s="316">
        <f>F8+I8+O8</f>
        <v>1528.1193425171386</v>
      </c>
      <c r="Q8" s="733">
        <v>13</v>
      </c>
      <c r="R8" s="735">
        <f>VLOOKUP(Q8,'dam loai 1 TD'!$B$6:$R$28,15,0)</f>
        <v>1868.2166796875001</v>
      </c>
      <c r="S8" s="729">
        <f>((P8*B8*(C8+(B8/2))/(B8+C8))+(P9*C8*(C8/2))/(B8+C8))+(R8*C8/(B8+C8))</f>
        <v>5153.1569004269259</v>
      </c>
      <c r="T8" s="729">
        <f>((P8*B8*(B8/2))/(B8+C8))+(P9*C8*(B8+(C8/2))/(B8+C8))+(R8*B8/(B8+C8))</f>
        <v>5118.6813014272466</v>
      </c>
      <c r="U8" s="302">
        <f>(IF(L8="HT",VLOOKUP(K8,'tải sàn'!$B$5:$L$50,10,0),IF(L8="TG",VLOOKUP(K8,'tải sàn'!$B$5:$L$50,8,0),0)))+(IF(N8="HT",VLOOKUP(M8,'tải sàn'!$B$5:$L$50,10,0),IF(N8="TG",VLOOKUP(M8,'tải sàn'!$B$5:$L$50,8,0),0)))</f>
        <v>0.93690664653083444</v>
      </c>
      <c r="V8" s="735">
        <f>VLOOKUP(Q8,'dam loai 1 TD'!$B$6:$R$28,17,0)</f>
        <v>1.7332031249999997</v>
      </c>
      <c r="W8" s="729">
        <f>((U8*B8*(C8+(B8/2))/(B8+C8))+(U9*C8*(C8/2))/(B8+C8))+(V8*C8/(B8+C8))</f>
        <v>3.1932182885249798</v>
      </c>
      <c r="X8" s="729">
        <f>((U8*B8*(B8/2))/(B8+C8))+(U9*C8*(B8+(C8/2))/(B8+C8))+(V8*B8/(B8+C8))</f>
        <v>2.6494133981864092</v>
      </c>
    </row>
    <row r="9" spans="1:24" ht="15.75">
      <c r="A9" s="726"/>
      <c r="B9" s="728">
        <v>2.7</v>
      </c>
      <c r="C9" s="728">
        <v>7</v>
      </c>
      <c r="D9" s="726">
        <v>20</v>
      </c>
      <c r="E9" s="726">
        <v>120</v>
      </c>
      <c r="F9" s="732">
        <v>220</v>
      </c>
      <c r="G9" s="304">
        <v>200</v>
      </c>
      <c r="H9" s="304">
        <f>TH!$B$18</f>
        <v>3.6</v>
      </c>
      <c r="I9" s="305">
        <f>IF(G9=100,180*1.1*H9,IF(G9=200,330*1.1*H9,0))</f>
        <v>1306.8000000000002</v>
      </c>
      <c r="J9" s="304" t="s">
        <v>521</v>
      </c>
      <c r="K9" s="307"/>
      <c r="L9" s="308"/>
      <c r="M9" s="307" t="s">
        <v>104</v>
      </c>
      <c r="N9" s="308" t="s">
        <v>588</v>
      </c>
      <c r="O9" s="302">
        <f>(IF(L9="HT",VLOOKUP(K9,'tải sàn'!$B$5:$L$50,11,0),IF(L9="TG",VLOOKUP(K9,'tải sàn'!$B$5:$L$50,9,0),0)))+(IF(N9="HT",VLOOKUP(M9,'tải sàn'!$B$5:$L$50,11,0),IF(N9="TG",VLOOKUP(M9,'tải sàn'!$B$5:$L$50,9,0),0)))</f>
        <v>0.94974906085649902</v>
      </c>
      <c r="P9" s="316">
        <f>F9+I9+O9</f>
        <v>1527.7497490608566</v>
      </c>
      <c r="Q9" s="734"/>
      <c r="R9" s="736"/>
      <c r="S9" s="730"/>
      <c r="T9" s="730"/>
      <c r="U9" s="302">
        <f>(IF(L9="HT",VLOOKUP(K9,'tải sàn'!$B$5:$L$50,10,0),IF(L9="TG",VLOOKUP(K9,'tải sàn'!$B$5:$L$50,8,0),0)))+(IF(N9="HT",VLOOKUP(M9,'tải sàn'!$B$5:$L$50,10,0),IF(N9="TG",VLOOKUP(M9,'tải sàn'!$B$5:$L$50,8,0),0)))</f>
        <v>0.5642073628850488</v>
      </c>
      <c r="V9" s="736"/>
      <c r="W9" s="730"/>
      <c r="X9" s="730"/>
    </row>
    <row r="12" spans="1:24" ht="15.75">
      <c r="D12" s="270"/>
      <c r="E12" s="270"/>
    </row>
  </sheetData>
  <mergeCells count="44">
    <mergeCell ref="X8:X9"/>
    <mergeCell ref="Q8:Q9"/>
    <mergeCell ref="R8:R9"/>
    <mergeCell ref="S8:S9"/>
    <mergeCell ref="T8:T9"/>
    <mergeCell ref="V8:V9"/>
    <mergeCell ref="W8:W9"/>
    <mergeCell ref="A8:A9"/>
    <mergeCell ref="B8:B9"/>
    <mergeCell ref="C8:C9"/>
    <mergeCell ref="D8:D9"/>
    <mergeCell ref="E8:E9"/>
    <mergeCell ref="F8:F9"/>
    <mergeCell ref="R6:R7"/>
    <mergeCell ref="S6:S7"/>
    <mergeCell ref="T6:T7"/>
    <mergeCell ref="V6:V7"/>
    <mergeCell ref="W6:W7"/>
    <mergeCell ref="X6:X7"/>
    <mergeCell ref="I4:I5"/>
    <mergeCell ref="Q4:Q5"/>
    <mergeCell ref="A6:A7"/>
    <mergeCell ref="B6:B7"/>
    <mergeCell ref="C6:C7"/>
    <mergeCell ref="D6:D7"/>
    <mergeCell ref="E6:E7"/>
    <mergeCell ref="F6:F7"/>
    <mergeCell ref="Q6:Q7"/>
    <mergeCell ref="B4:B5"/>
    <mergeCell ref="C4:C5"/>
    <mergeCell ref="D4:D5"/>
    <mergeCell ref="E4:E5"/>
    <mergeCell ref="G4:G5"/>
    <mergeCell ref="H4:H5"/>
    <mergeCell ref="A2:X2"/>
    <mergeCell ref="A3:A5"/>
    <mergeCell ref="B3:C3"/>
    <mergeCell ref="D3:E3"/>
    <mergeCell ref="F3:F4"/>
    <mergeCell ref="G3:I3"/>
    <mergeCell ref="J3:J5"/>
    <mergeCell ref="K3:N5"/>
    <mergeCell ref="O3:T3"/>
    <mergeCell ref="U3:X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725-52DB-420B-BCCC-CCC326FB8C7D}">
  <dimension ref="A1:X19"/>
  <sheetViews>
    <sheetView workbookViewId="0">
      <selection activeCell="M20" sqref="M20"/>
    </sheetView>
  </sheetViews>
  <sheetFormatPr defaultRowHeight="15"/>
  <sheetData>
    <row r="1" spans="1:24" ht="19.5" thickBot="1">
      <c r="A1" s="741" t="s">
        <v>626</v>
      </c>
      <c r="B1" s="742"/>
      <c r="C1" s="742"/>
      <c r="D1" s="742"/>
      <c r="E1" s="742"/>
      <c r="F1" s="742"/>
      <c r="G1" s="742"/>
      <c r="H1" s="742"/>
      <c r="I1" s="742"/>
      <c r="J1" s="742"/>
      <c r="K1" s="742"/>
      <c r="L1" s="742"/>
      <c r="M1" s="742"/>
      <c r="N1" s="742"/>
      <c r="O1" s="742"/>
      <c r="P1" s="742"/>
      <c r="Q1" s="742"/>
      <c r="R1" s="742"/>
      <c r="S1" s="742"/>
      <c r="T1" s="742"/>
      <c r="U1" s="742"/>
      <c r="V1" s="742"/>
      <c r="W1" s="742"/>
      <c r="X1" s="743"/>
    </row>
    <row r="2" spans="1:24" ht="15.75">
      <c r="A2" s="744" t="s">
        <v>570</v>
      </c>
      <c r="B2" s="737" t="s">
        <v>591</v>
      </c>
      <c r="C2" s="739"/>
      <c r="D2" s="753" t="s">
        <v>592</v>
      </c>
      <c r="E2" s="750"/>
      <c r="F2" s="761" t="s">
        <v>573</v>
      </c>
      <c r="G2" s="737" t="s">
        <v>574</v>
      </c>
      <c r="H2" s="738"/>
      <c r="I2" s="739"/>
      <c r="J2" s="747" t="s">
        <v>593</v>
      </c>
      <c r="K2" s="737" t="s">
        <v>575</v>
      </c>
      <c r="L2" s="738"/>
      <c r="M2" s="738"/>
      <c r="N2" s="739"/>
      <c r="O2" s="753" t="s">
        <v>594</v>
      </c>
      <c r="P2" s="749"/>
      <c r="Q2" s="749"/>
      <c r="R2" s="749"/>
      <c r="S2" s="749"/>
      <c r="T2" s="750"/>
      <c r="U2" s="748" t="s">
        <v>595</v>
      </c>
      <c r="V2" s="748"/>
      <c r="W2" s="748"/>
      <c r="X2" s="748"/>
    </row>
    <row r="3" spans="1:24">
      <c r="A3" s="745"/>
      <c r="B3" s="751" t="s">
        <v>596</v>
      </c>
      <c r="C3" s="751" t="s">
        <v>597</v>
      </c>
      <c r="D3" s="754" t="s">
        <v>598</v>
      </c>
      <c r="E3" s="751" t="s">
        <v>599</v>
      </c>
      <c r="F3" s="747"/>
      <c r="G3" s="740" t="s">
        <v>600</v>
      </c>
      <c r="H3" s="740" t="s">
        <v>601</v>
      </c>
      <c r="I3" s="740" t="s">
        <v>602</v>
      </c>
      <c r="J3" s="747"/>
      <c r="K3" s="737"/>
      <c r="L3" s="738"/>
      <c r="M3" s="738"/>
      <c r="N3" s="739"/>
      <c r="O3" s="756" t="s">
        <v>603</v>
      </c>
      <c r="P3" s="756" t="s">
        <v>604</v>
      </c>
      <c r="Q3" s="756" t="s">
        <v>627</v>
      </c>
      <c r="R3" s="756" t="s">
        <v>606</v>
      </c>
      <c r="S3" s="756" t="s">
        <v>607</v>
      </c>
      <c r="T3" s="756" t="s">
        <v>608</v>
      </c>
      <c r="U3" s="756" t="s">
        <v>604</v>
      </c>
      <c r="V3" s="756" t="s">
        <v>606</v>
      </c>
      <c r="W3" s="756" t="s">
        <v>607</v>
      </c>
      <c r="X3" s="756" t="s">
        <v>608</v>
      </c>
    </row>
    <row r="4" spans="1:24">
      <c r="A4" s="745"/>
      <c r="B4" s="760"/>
      <c r="C4" s="760"/>
      <c r="D4" s="759"/>
      <c r="E4" s="760"/>
      <c r="F4" s="748"/>
      <c r="G4" s="740"/>
      <c r="H4" s="740"/>
      <c r="I4" s="740"/>
      <c r="J4" s="747"/>
      <c r="K4" s="737"/>
      <c r="L4" s="738"/>
      <c r="M4" s="738"/>
      <c r="N4" s="739"/>
      <c r="O4" s="748"/>
      <c r="P4" s="748"/>
      <c r="Q4" s="747"/>
      <c r="R4" s="748"/>
      <c r="S4" s="748"/>
      <c r="T4" s="748"/>
      <c r="U4" s="748"/>
      <c r="V4" s="748"/>
      <c r="W4" s="748"/>
      <c r="X4" s="748"/>
    </row>
    <row r="5" spans="1:24" ht="15.75">
      <c r="A5" s="746"/>
      <c r="B5" s="752"/>
      <c r="C5" s="752"/>
      <c r="D5" s="755"/>
      <c r="E5" s="752"/>
      <c r="F5" s="319" t="s">
        <v>583</v>
      </c>
      <c r="G5" s="740"/>
      <c r="H5" s="740"/>
      <c r="I5" s="740"/>
      <c r="J5" s="748"/>
      <c r="K5" s="737"/>
      <c r="L5" s="738"/>
      <c r="M5" s="749"/>
      <c r="N5" s="750"/>
      <c r="O5" s="319" t="s">
        <v>583</v>
      </c>
      <c r="P5" s="324" t="s">
        <v>521</v>
      </c>
      <c r="Q5" s="747"/>
      <c r="R5" s="319" t="s">
        <v>586</v>
      </c>
      <c r="S5" s="319" t="s">
        <v>586</v>
      </c>
      <c r="T5" s="319" t="s">
        <v>586</v>
      </c>
      <c r="U5" s="319" t="s">
        <v>521</v>
      </c>
      <c r="V5" s="319" t="s">
        <v>586</v>
      </c>
      <c r="W5" s="319" t="s">
        <v>586</v>
      </c>
      <c r="X5" s="319" t="s">
        <v>586</v>
      </c>
    </row>
    <row r="6" spans="1:24" ht="15.75">
      <c r="A6" s="725"/>
      <c r="B6" s="727">
        <v>2.5</v>
      </c>
      <c r="C6" s="727">
        <v>3.5</v>
      </c>
      <c r="D6" s="725">
        <v>20</v>
      </c>
      <c r="E6" s="725">
        <v>60</v>
      </c>
      <c r="F6" s="731">
        <v>330</v>
      </c>
      <c r="G6" s="322"/>
      <c r="H6" s="322">
        <v>3.2</v>
      </c>
      <c r="I6" s="323">
        <v>0</v>
      </c>
      <c r="J6" s="322" t="s">
        <v>520</v>
      </c>
      <c r="K6" s="325" t="s">
        <v>103</v>
      </c>
      <c r="L6" s="326" t="s">
        <v>588</v>
      </c>
      <c r="M6" s="325" t="s">
        <v>106</v>
      </c>
      <c r="N6" s="326" t="s">
        <v>587</v>
      </c>
      <c r="O6" s="320">
        <v>957.84247685185187</v>
      </c>
      <c r="P6" s="336">
        <v>1287.8424768518519</v>
      </c>
      <c r="Q6" s="332">
        <v>9</v>
      </c>
      <c r="R6" s="757">
        <v>4981.6097543068154</v>
      </c>
      <c r="S6" s="729">
        <v>7448.2292980232214</v>
      </c>
      <c r="T6" s="729">
        <v>7587.6222115273576</v>
      </c>
      <c r="U6" s="320">
        <v>957.88194444444446</v>
      </c>
      <c r="V6" s="735">
        <v>2012.6040288800707</v>
      </c>
      <c r="W6" s="729">
        <v>4075.8224022633749</v>
      </c>
      <c r="X6" s="729">
        <v>3780.6134718547914</v>
      </c>
    </row>
    <row r="7" spans="1:24" ht="15.75">
      <c r="A7" s="726"/>
      <c r="B7" s="728">
        <v>2.7</v>
      </c>
      <c r="C7" s="728">
        <v>7</v>
      </c>
      <c r="D7" s="726">
        <v>20</v>
      </c>
      <c r="E7" s="726">
        <v>120</v>
      </c>
      <c r="F7" s="732">
        <v>660</v>
      </c>
      <c r="G7" s="322">
        <v>100</v>
      </c>
      <c r="H7" s="322">
        <v>3.2</v>
      </c>
      <c r="I7" s="323">
        <v>633.60000000000014</v>
      </c>
      <c r="J7" s="322" t="s">
        <v>521</v>
      </c>
      <c r="K7" s="325" t="s">
        <v>103</v>
      </c>
      <c r="L7" s="326" t="s">
        <v>588</v>
      </c>
      <c r="M7" s="325" t="s">
        <v>108</v>
      </c>
      <c r="N7" s="326" t="s">
        <v>588</v>
      </c>
      <c r="O7" s="320">
        <v>989.15301803260991</v>
      </c>
      <c r="P7" s="336">
        <v>1952.75301803261</v>
      </c>
      <c r="Q7" s="333" t="s">
        <v>628</v>
      </c>
      <c r="R7" s="758"/>
      <c r="S7" s="730"/>
      <c r="T7" s="730"/>
      <c r="U7" s="320">
        <v>985.46485260770976</v>
      </c>
      <c r="V7" s="736"/>
      <c r="W7" s="730"/>
      <c r="X7" s="730"/>
    </row>
    <row r="8" spans="1:24" ht="15.75">
      <c r="A8" s="725"/>
      <c r="B8" s="727">
        <v>2.5</v>
      </c>
      <c r="C8" s="727">
        <v>3.5</v>
      </c>
      <c r="D8" s="725">
        <v>20</v>
      </c>
      <c r="E8" s="725">
        <v>60</v>
      </c>
      <c r="F8" s="731">
        <v>330</v>
      </c>
      <c r="G8" s="322">
        <v>100</v>
      </c>
      <c r="H8" s="322">
        <v>3.2</v>
      </c>
      <c r="I8" s="323">
        <v>633.60000000000014</v>
      </c>
      <c r="J8" s="322" t="s">
        <v>520</v>
      </c>
      <c r="K8" s="325" t="s">
        <v>108</v>
      </c>
      <c r="L8" s="326" t="s">
        <v>587</v>
      </c>
      <c r="M8" s="325" t="s">
        <v>106</v>
      </c>
      <c r="N8" s="326" t="s">
        <v>588</v>
      </c>
      <c r="O8" s="320">
        <v>678.94223679698212</v>
      </c>
      <c r="P8" s="336">
        <v>1642.5422367969823</v>
      </c>
      <c r="Q8" s="332">
        <v>9</v>
      </c>
      <c r="R8" s="757">
        <v>4752.5294662540946</v>
      </c>
      <c r="S8" s="729">
        <v>7763.3069849766689</v>
      </c>
      <c r="T8" s="729">
        <v>7061.7493395593192</v>
      </c>
      <c r="U8" s="320">
        <v>598.11171124828536</v>
      </c>
      <c r="V8" s="735">
        <v>1947.5928681657847</v>
      </c>
      <c r="W8" s="729">
        <v>2986.2577964248972</v>
      </c>
      <c r="X8" s="729">
        <v>2741.4115892305999</v>
      </c>
    </row>
    <row r="9" spans="1:24" ht="15.75">
      <c r="A9" s="726"/>
      <c r="B9" s="728">
        <v>2.2999999999999998</v>
      </c>
      <c r="C9" s="728">
        <v>3</v>
      </c>
      <c r="D9" s="726">
        <v>20</v>
      </c>
      <c r="E9" s="726">
        <v>40</v>
      </c>
      <c r="F9" s="732">
        <v>220</v>
      </c>
      <c r="G9" s="322">
        <v>100</v>
      </c>
      <c r="H9" s="322">
        <v>3.2</v>
      </c>
      <c r="I9" s="323">
        <v>633.60000000000014</v>
      </c>
      <c r="J9" s="322" t="s">
        <v>521</v>
      </c>
      <c r="K9" s="325" t="s">
        <v>107</v>
      </c>
      <c r="L9" s="326" t="s">
        <v>587</v>
      </c>
      <c r="M9" s="325" t="s">
        <v>106</v>
      </c>
      <c r="N9" s="326" t="s">
        <v>588</v>
      </c>
      <c r="O9" s="320">
        <v>741.02036179698212</v>
      </c>
      <c r="P9" s="336">
        <v>1704.6203617969823</v>
      </c>
      <c r="Q9" s="333" t="s">
        <v>617</v>
      </c>
      <c r="R9" s="758"/>
      <c r="S9" s="730"/>
      <c r="T9" s="730"/>
      <c r="U9" s="320">
        <v>652.79921124828536</v>
      </c>
      <c r="V9" s="736"/>
      <c r="W9" s="730"/>
      <c r="X9" s="730"/>
    </row>
    <row r="10" spans="1:24" ht="15.75">
      <c r="A10" s="725"/>
      <c r="B10" s="727"/>
      <c r="C10" s="727"/>
      <c r="D10" s="725"/>
      <c r="E10" s="725"/>
      <c r="F10" s="731">
        <v>0</v>
      </c>
      <c r="G10" s="322"/>
      <c r="H10" s="322"/>
      <c r="I10" s="323">
        <v>0</v>
      </c>
      <c r="J10" s="322"/>
      <c r="K10" s="325"/>
      <c r="L10" s="326"/>
      <c r="M10" s="325"/>
      <c r="N10" s="326"/>
      <c r="O10" s="320">
        <v>0</v>
      </c>
      <c r="P10" s="336">
        <v>0</v>
      </c>
      <c r="Q10" s="332"/>
      <c r="R10" s="757" t="s">
        <v>629</v>
      </c>
      <c r="S10" s="729" t="e">
        <v>#DIV/0!</v>
      </c>
      <c r="T10" s="729" t="e">
        <v>#DIV/0!</v>
      </c>
      <c r="U10" s="320">
        <v>0</v>
      </c>
      <c r="V10" s="735" t="s">
        <v>629</v>
      </c>
      <c r="W10" s="729" t="e">
        <v>#DIV/0!</v>
      </c>
      <c r="X10" s="729" t="e">
        <v>#DIV/0!</v>
      </c>
    </row>
    <row r="11" spans="1:24" ht="15.75">
      <c r="A11" s="726"/>
      <c r="B11" s="728"/>
      <c r="C11" s="728"/>
      <c r="D11" s="726"/>
      <c r="E11" s="726"/>
      <c r="F11" s="732">
        <v>0</v>
      </c>
      <c r="G11" s="322"/>
      <c r="H11" s="322"/>
      <c r="I11" s="323">
        <v>0</v>
      </c>
      <c r="J11" s="322"/>
      <c r="K11" s="325"/>
      <c r="L11" s="326"/>
      <c r="M11" s="325"/>
      <c r="N11" s="326"/>
      <c r="O11" s="320">
        <v>0</v>
      </c>
      <c r="P11" s="336">
        <v>0</v>
      </c>
      <c r="Q11" s="333"/>
      <c r="R11" s="758"/>
      <c r="S11" s="730"/>
      <c r="T11" s="730"/>
      <c r="U11" s="320">
        <v>0</v>
      </c>
      <c r="V11" s="736"/>
      <c r="W11" s="730"/>
      <c r="X11" s="730"/>
    </row>
    <row r="12" spans="1:24" ht="15.75">
      <c r="A12" s="725"/>
      <c r="B12" s="727"/>
      <c r="C12" s="727"/>
      <c r="D12" s="725"/>
      <c r="E12" s="725"/>
      <c r="F12" s="731">
        <v>0</v>
      </c>
      <c r="G12" s="322"/>
      <c r="H12" s="322"/>
      <c r="I12" s="323">
        <v>0</v>
      </c>
      <c r="J12" s="322"/>
      <c r="K12" s="325"/>
      <c r="L12" s="326"/>
      <c r="M12" s="325"/>
      <c r="N12" s="326"/>
      <c r="O12" s="320">
        <v>0</v>
      </c>
      <c r="P12" s="336">
        <v>0</v>
      </c>
      <c r="Q12" s="332"/>
      <c r="R12" s="757" t="s">
        <v>629</v>
      </c>
      <c r="S12" s="729" t="e">
        <v>#DIV/0!</v>
      </c>
      <c r="T12" s="729" t="e">
        <v>#DIV/0!</v>
      </c>
      <c r="U12" s="320">
        <v>0</v>
      </c>
      <c r="V12" s="735" t="s">
        <v>629</v>
      </c>
      <c r="W12" s="729" t="e">
        <v>#DIV/0!</v>
      </c>
      <c r="X12" s="729" t="e">
        <v>#DIV/0!</v>
      </c>
    </row>
    <row r="13" spans="1:24" ht="15.75">
      <c r="A13" s="726"/>
      <c r="B13" s="728"/>
      <c r="C13" s="728"/>
      <c r="D13" s="726"/>
      <c r="E13" s="726"/>
      <c r="F13" s="732">
        <v>0</v>
      </c>
      <c r="G13" s="322"/>
      <c r="H13" s="322"/>
      <c r="I13" s="323">
        <v>0</v>
      </c>
      <c r="J13" s="322"/>
      <c r="K13" s="325"/>
      <c r="L13" s="326"/>
      <c r="M13" s="325"/>
      <c r="N13" s="326"/>
      <c r="O13" s="320">
        <v>0</v>
      </c>
      <c r="P13" s="336">
        <v>0</v>
      </c>
      <c r="Q13" s="333"/>
      <c r="R13" s="758"/>
      <c r="S13" s="730"/>
      <c r="T13" s="730"/>
      <c r="U13" s="320">
        <v>0</v>
      </c>
      <c r="V13" s="736"/>
      <c r="W13" s="730"/>
      <c r="X13" s="730"/>
    </row>
    <row r="14" spans="1:24" ht="15.75">
      <c r="A14" s="725"/>
      <c r="B14" s="727"/>
      <c r="C14" s="727"/>
      <c r="D14" s="725"/>
      <c r="E14" s="725"/>
      <c r="F14" s="731">
        <v>0</v>
      </c>
      <c r="G14" s="322"/>
      <c r="H14" s="322"/>
      <c r="I14" s="323">
        <v>0</v>
      </c>
      <c r="J14" s="322"/>
      <c r="K14" s="325"/>
      <c r="L14" s="326"/>
      <c r="M14" s="325"/>
      <c r="N14" s="326"/>
      <c r="O14" s="320">
        <v>0</v>
      </c>
      <c r="P14" s="336">
        <v>0</v>
      </c>
      <c r="Q14" s="332"/>
      <c r="R14" s="757" t="s">
        <v>629</v>
      </c>
      <c r="S14" s="729" t="e">
        <v>#DIV/0!</v>
      </c>
      <c r="T14" s="729" t="e">
        <v>#DIV/0!</v>
      </c>
      <c r="U14" s="320">
        <v>0</v>
      </c>
      <c r="V14" s="735" t="s">
        <v>629</v>
      </c>
      <c r="W14" s="729" t="e">
        <v>#DIV/0!</v>
      </c>
      <c r="X14" s="729" t="e">
        <v>#DIV/0!</v>
      </c>
    </row>
    <row r="15" spans="1:24" ht="15.75">
      <c r="A15" s="726"/>
      <c r="B15" s="728"/>
      <c r="C15" s="728"/>
      <c r="D15" s="726"/>
      <c r="E15" s="726"/>
      <c r="F15" s="732">
        <v>0</v>
      </c>
      <c r="G15" s="322"/>
      <c r="H15" s="322"/>
      <c r="I15" s="323">
        <v>0</v>
      </c>
      <c r="J15" s="322"/>
      <c r="K15" s="325"/>
      <c r="L15" s="326"/>
      <c r="M15" s="325"/>
      <c r="N15" s="326"/>
      <c r="O15" s="320">
        <v>0</v>
      </c>
      <c r="P15" s="336">
        <v>0</v>
      </c>
      <c r="Q15" s="333"/>
      <c r="R15" s="758"/>
      <c r="S15" s="730"/>
      <c r="T15" s="730"/>
      <c r="U15" s="320">
        <v>0</v>
      </c>
      <c r="V15" s="736"/>
      <c r="W15" s="730"/>
      <c r="X15" s="730"/>
    </row>
    <row r="16" spans="1:24" ht="15.75">
      <c r="A16" s="725"/>
      <c r="B16" s="727"/>
      <c r="C16" s="727"/>
      <c r="D16" s="725"/>
      <c r="E16" s="725"/>
      <c r="F16" s="731">
        <v>0</v>
      </c>
      <c r="G16" s="322"/>
      <c r="H16" s="322"/>
      <c r="I16" s="323">
        <v>0</v>
      </c>
      <c r="J16" s="322"/>
      <c r="K16" s="325"/>
      <c r="L16" s="326"/>
      <c r="M16" s="325"/>
      <c r="N16" s="326"/>
      <c r="O16" s="320">
        <v>0</v>
      </c>
      <c r="P16" s="336">
        <v>0</v>
      </c>
      <c r="Q16" s="332"/>
      <c r="R16" s="757" t="s">
        <v>629</v>
      </c>
      <c r="S16" s="729" t="e">
        <v>#DIV/0!</v>
      </c>
      <c r="T16" s="729" t="e">
        <v>#DIV/0!</v>
      </c>
      <c r="U16" s="320">
        <v>0</v>
      </c>
      <c r="V16" s="735" t="s">
        <v>629</v>
      </c>
      <c r="W16" s="729" t="e">
        <v>#DIV/0!</v>
      </c>
      <c r="X16" s="729" t="e">
        <v>#DIV/0!</v>
      </c>
    </row>
    <row r="17" spans="1:24" ht="15.75">
      <c r="A17" s="726"/>
      <c r="B17" s="728"/>
      <c r="C17" s="728"/>
      <c r="D17" s="726"/>
      <c r="E17" s="726"/>
      <c r="F17" s="732">
        <v>0</v>
      </c>
      <c r="G17" s="322"/>
      <c r="H17" s="322"/>
      <c r="I17" s="323">
        <v>0</v>
      </c>
      <c r="J17" s="322"/>
      <c r="K17" s="325"/>
      <c r="L17" s="326"/>
      <c r="M17" s="325"/>
      <c r="N17" s="326"/>
      <c r="O17" s="320">
        <v>0</v>
      </c>
      <c r="P17" s="336">
        <v>0</v>
      </c>
      <c r="Q17" s="333"/>
      <c r="R17" s="758"/>
      <c r="S17" s="730"/>
      <c r="T17" s="730"/>
      <c r="U17" s="320">
        <v>0</v>
      </c>
      <c r="V17" s="736"/>
      <c r="W17" s="730"/>
      <c r="X17" s="730"/>
    </row>
    <row r="18" spans="1:24" ht="15.75">
      <c r="A18" s="725"/>
      <c r="B18" s="727"/>
      <c r="C18" s="727"/>
      <c r="D18" s="725"/>
      <c r="E18" s="725"/>
      <c r="F18" s="731">
        <v>0</v>
      </c>
      <c r="G18" s="322"/>
      <c r="H18" s="322"/>
      <c r="I18" s="323">
        <v>0</v>
      </c>
      <c r="J18" s="322"/>
      <c r="K18" s="325"/>
      <c r="L18" s="326"/>
      <c r="M18" s="325"/>
      <c r="N18" s="326"/>
      <c r="O18" s="320">
        <v>0</v>
      </c>
      <c r="P18" s="336">
        <v>0</v>
      </c>
      <c r="Q18" s="332"/>
      <c r="R18" s="757" t="s">
        <v>629</v>
      </c>
      <c r="S18" s="729" t="e">
        <v>#DIV/0!</v>
      </c>
      <c r="T18" s="729" t="e">
        <v>#DIV/0!</v>
      </c>
      <c r="U18" s="320">
        <v>0</v>
      </c>
      <c r="V18" s="735" t="s">
        <v>629</v>
      </c>
      <c r="W18" s="729" t="e">
        <v>#DIV/0!</v>
      </c>
      <c r="X18" s="729" t="e">
        <v>#DIV/0!</v>
      </c>
    </row>
    <row r="19" spans="1:24" ht="15.75">
      <c r="A19" s="726"/>
      <c r="B19" s="728"/>
      <c r="C19" s="728"/>
      <c r="D19" s="726"/>
      <c r="E19" s="726"/>
      <c r="F19" s="732">
        <v>0</v>
      </c>
      <c r="G19" s="322"/>
      <c r="H19" s="322"/>
      <c r="I19" s="323">
        <v>0</v>
      </c>
      <c r="J19" s="322"/>
      <c r="K19" s="325"/>
      <c r="L19" s="326"/>
      <c r="M19" s="325"/>
      <c r="N19" s="326"/>
      <c r="O19" s="320">
        <v>0</v>
      </c>
      <c r="P19" s="336">
        <v>0</v>
      </c>
      <c r="Q19" s="333"/>
      <c r="R19" s="758"/>
      <c r="S19" s="730"/>
      <c r="T19" s="730"/>
      <c r="U19" s="320">
        <v>0</v>
      </c>
      <c r="V19" s="736"/>
      <c r="W19" s="730"/>
      <c r="X19" s="730"/>
    </row>
  </sheetData>
  <mergeCells count="111">
    <mergeCell ref="X16:X17"/>
    <mergeCell ref="A18:A19"/>
    <mergeCell ref="B18:B19"/>
    <mergeCell ref="C18:C19"/>
    <mergeCell ref="D18:D19"/>
    <mergeCell ref="E18:E19"/>
    <mergeCell ref="V14:V15"/>
    <mergeCell ref="W14:W15"/>
    <mergeCell ref="X14:X15"/>
    <mergeCell ref="A16:A17"/>
    <mergeCell ref="B16:B17"/>
    <mergeCell ref="C16:C17"/>
    <mergeCell ref="D16:D17"/>
    <mergeCell ref="E16:E17"/>
    <mergeCell ref="F16:F17"/>
    <mergeCell ref="R16:R17"/>
    <mergeCell ref="X18:X19"/>
    <mergeCell ref="F18:F19"/>
    <mergeCell ref="R18:R19"/>
    <mergeCell ref="S18:S19"/>
    <mergeCell ref="T18:T19"/>
    <mergeCell ref="V18:V19"/>
    <mergeCell ref="R10:R11"/>
    <mergeCell ref="S10:S11"/>
    <mergeCell ref="T10:T11"/>
    <mergeCell ref="W18:W19"/>
    <mergeCell ref="S16:S17"/>
    <mergeCell ref="T16:T17"/>
    <mergeCell ref="A14:A15"/>
    <mergeCell ref="B14:B15"/>
    <mergeCell ref="C14:C15"/>
    <mergeCell ref="D14:D15"/>
    <mergeCell ref="E14:E15"/>
    <mergeCell ref="F14:F15"/>
    <mergeCell ref="R14:R15"/>
    <mergeCell ref="S14:S15"/>
    <mergeCell ref="T14:T15"/>
    <mergeCell ref="V16:V17"/>
    <mergeCell ref="W16:W17"/>
    <mergeCell ref="C6:C7"/>
    <mergeCell ref="D6:D7"/>
    <mergeCell ref="E6:E7"/>
    <mergeCell ref="V10:V11"/>
    <mergeCell ref="W10:W11"/>
    <mergeCell ref="X10:X11"/>
    <mergeCell ref="A12:A13"/>
    <mergeCell ref="B12:B13"/>
    <mergeCell ref="C12:C13"/>
    <mergeCell ref="D12:D13"/>
    <mergeCell ref="E12:E13"/>
    <mergeCell ref="X12:X13"/>
    <mergeCell ref="F12:F13"/>
    <mergeCell ref="R12:R13"/>
    <mergeCell ref="S12:S13"/>
    <mergeCell ref="T12:T13"/>
    <mergeCell ref="V12:V13"/>
    <mergeCell ref="W12:W13"/>
    <mergeCell ref="A10:A11"/>
    <mergeCell ref="B10:B11"/>
    <mergeCell ref="C10:C11"/>
    <mergeCell ref="D10:D11"/>
    <mergeCell ref="E10:E11"/>
    <mergeCell ref="F10:F11"/>
    <mergeCell ref="E3:E5"/>
    <mergeCell ref="G3:G5"/>
    <mergeCell ref="H3:H5"/>
    <mergeCell ref="X6:X7"/>
    <mergeCell ref="A8:A9"/>
    <mergeCell ref="B8:B9"/>
    <mergeCell ref="C8:C9"/>
    <mergeCell ref="D8:D9"/>
    <mergeCell ref="E8:E9"/>
    <mergeCell ref="F8:F9"/>
    <mergeCell ref="R8:R9"/>
    <mergeCell ref="S8:S9"/>
    <mergeCell ref="T8:T9"/>
    <mergeCell ref="F6:F7"/>
    <mergeCell ref="R6:R7"/>
    <mergeCell ref="S6:S7"/>
    <mergeCell ref="T6:T7"/>
    <mergeCell ref="V6:V7"/>
    <mergeCell ref="W6:W7"/>
    <mergeCell ref="V8:V9"/>
    <mergeCell ref="W8:W9"/>
    <mergeCell ref="X8:X9"/>
    <mergeCell ref="A6:A7"/>
    <mergeCell ref="B6:B7"/>
    <mergeCell ref="A1:X1"/>
    <mergeCell ref="A2:A5"/>
    <mergeCell ref="B2:C2"/>
    <mergeCell ref="D2:E2"/>
    <mergeCell ref="F2:F4"/>
    <mergeCell ref="G2:I2"/>
    <mergeCell ref="J2:J5"/>
    <mergeCell ref="K2:N5"/>
    <mergeCell ref="O2:T2"/>
    <mergeCell ref="U2:X2"/>
    <mergeCell ref="T3:T4"/>
    <mergeCell ref="U3:U4"/>
    <mergeCell ref="V3:V4"/>
    <mergeCell ref="W3:W4"/>
    <mergeCell ref="X3:X4"/>
    <mergeCell ref="R3:R4"/>
    <mergeCell ref="S3:S4"/>
    <mergeCell ref="I3:I5"/>
    <mergeCell ref="O3:O4"/>
    <mergeCell ref="P3:P4"/>
    <mergeCell ref="Q3:Q5"/>
    <mergeCell ref="B3:B5"/>
    <mergeCell ref="C3:C5"/>
    <mergeCell ref="D3:D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BDF-157A-48F2-B50F-20D2D77BB339}">
  <dimension ref="A1:N33"/>
  <sheetViews>
    <sheetView topLeftCell="A14" workbookViewId="0">
      <selection activeCell="M28" sqref="M28"/>
    </sheetView>
  </sheetViews>
  <sheetFormatPr defaultRowHeight="15"/>
  <sheetData>
    <row r="1" spans="1:11" ht="15.75" thickBot="1">
      <c r="A1" s="318"/>
      <c r="B1" s="318"/>
      <c r="C1" s="318"/>
      <c r="D1" s="318"/>
      <c r="E1" s="318"/>
      <c r="F1" s="318"/>
      <c r="G1" s="318"/>
      <c r="H1" s="318"/>
      <c r="I1" s="318"/>
      <c r="J1" s="318"/>
      <c r="K1" s="318"/>
    </row>
    <row r="2" spans="1:11" ht="19.5" thickBot="1">
      <c r="A2" s="741" t="s">
        <v>620</v>
      </c>
      <c r="B2" s="742"/>
      <c r="C2" s="742"/>
      <c r="D2" s="742"/>
      <c r="E2" s="742"/>
      <c r="F2" s="742"/>
      <c r="G2" s="742"/>
      <c r="H2" s="742"/>
      <c r="I2" s="742"/>
      <c r="J2" s="742"/>
      <c r="K2" s="743"/>
    </row>
    <row r="3" spans="1:11" ht="15.75">
      <c r="A3" s="761" t="s">
        <v>609</v>
      </c>
      <c r="B3" s="737" t="s">
        <v>574</v>
      </c>
      <c r="C3" s="738"/>
      <c r="D3" s="739"/>
      <c r="E3" s="737" t="s">
        <v>575</v>
      </c>
      <c r="F3" s="738"/>
      <c r="G3" s="738"/>
      <c r="H3" s="739"/>
      <c r="I3" s="753" t="s">
        <v>594</v>
      </c>
      <c r="J3" s="749"/>
      <c r="K3" s="761" t="s">
        <v>595</v>
      </c>
    </row>
    <row r="4" spans="1:11" ht="33">
      <c r="A4" s="747"/>
      <c r="B4" s="740" t="s">
        <v>600</v>
      </c>
      <c r="C4" s="740" t="s">
        <v>601</v>
      </c>
      <c r="D4" s="740" t="s">
        <v>602</v>
      </c>
      <c r="E4" s="737"/>
      <c r="F4" s="738"/>
      <c r="G4" s="738"/>
      <c r="H4" s="739"/>
      <c r="I4" s="321" t="s">
        <v>603</v>
      </c>
      <c r="J4" s="321" t="s">
        <v>579</v>
      </c>
      <c r="K4" s="748"/>
    </row>
    <row r="5" spans="1:11" ht="15.75">
      <c r="A5" s="748"/>
      <c r="B5" s="740"/>
      <c r="C5" s="740"/>
      <c r="D5" s="740"/>
      <c r="E5" s="737"/>
      <c r="F5" s="738"/>
      <c r="G5" s="749"/>
      <c r="H5" s="750"/>
      <c r="I5" s="319" t="s">
        <v>583</v>
      </c>
      <c r="J5" s="319" t="s">
        <v>583</v>
      </c>
      <c r="K5" s="319" t="s">
        <v>583</v>
      </c>
    </row>
    <row r="6" spans="1:11" ht="15.75">
      <c r="A6" s="338" t="s">
        <v>630</v>
      </c>
      <c r="B6" s="322">
        <v>100</v>
      </c>
      <c r="C6" s="322">
        <f>TH!$B$18</f>
        <v>3.6</v>
      </c>
      <c r="D6" s="335">
        <f>IF(B6=100,180*1.1*C6,IF(B6=200,330*1.1*C6,0))</f>
        <v>712.80000000000007</v>
      </c>
      <c r="E6" s="325" t="s">
        <v>105</v>
      </c>
      <c r="F6" s="326" t="s">
        <v>588</v>
      </c>
      <c r="G6" s="325" t="s">
        <v>108</v>
      </c>
      <c r="H6" s="326" t="s">
        <v>588</v>
      </c>
      <c r="I6" s="320">
        <f>(IF(F6="HT",VLOOKUP(E6,'tải sàn'!$B$5:$L$50,11,0),IF(F6="TG",VLOOKUP(E6,'tải sàn'!$B$5:$L$50,9,0),0)))+(IF(H6="HT",VLOOKUP(G6,'tải sàn'!$B$5:$L$50,11,0),IF(H6="TG",VLOOKUP(G6,'tải sàn'!$B$5:$L$50,9,0),0)))</f>
        <v>1.2274629629629632</v>
      </c>
      <c r="J6" s="337">
        <f>D6+I6</f>
        <v>714.027462962963</v>
      </c>
      <c r="K6" s="337">
        <f>(IF(F6="HT",VLOOKUP(E6,'tải sàn'!$B$5:$L$50,10,0),IF(F6="TG",VLOOKUP(E6,'tải sàn'!$B$5:$L$50,8,0),0)))+(IF(H6="HT",VLOOKUP(G6,'tải sàn'!$B$5:$L$50,10,0),IF(H6="TG",VLOOKUP(G6,'tải sàn'!$B$5:$L$50,8,0),0)))</f>
        <v>1.2377777777777779</v>
      </c>
    </row>
    <row r="7" spans="1:11" ht="15.75">
      <c r="A7" s="338" t="s">
        <v>631</v>
      </c>
      <c r="B7" s="322">
        <v>100</v>
      </c>
      <c r="C7" s="322">
        <f>TH!$B$18</f>
        <v>3.6</v>
      </c>
      <c r="D7" s="335">
        <f t="shared" ref="D7:D12" si="0">IF(B7=100,180*1.1*C7,IF(B7=200,330*1.1*C7,0))</f>
        <v>712.80000000000007</v>
      </c>
      <c r="E7" s="325" t="s">
        <v>103</v>
      </c>
      <c r="F7" s="326" t="s">
        <v>587</v>
      </c>
      <c r="G7" s="325" t="s">
        <v>107</v>
      </c>
      <c r="H7" s="326" t="s">
        <v>588</v>
      </c>
      <c r="I7" s="320">
        <f>(IF(F7="HT",VLOOKUP(E7,'tải sàn'!$B$5:$L$50,11,0),IF(F7="TG",VLOOKUP(E7,'tải sàn'!$B$5:$L$50,9,0),0)))+(IF(H7="HT",VLOOKUP(G7,'tải sàn'!$B$5:$L$50,11,0),IF(H7="TG",VLOOKUP(G7,'tải sàn'!$B$5:$L$50,9,0),0)))</f>
        <v>0.83410185185185193</v>
      </c>
      <c r="J7" s="337">
        <f t="shared" ref="J7:J12" si="1">D7+I7</f>
        <v>713.63410185185194</v>
      </c>
      <c r="K7" s="337">
        <f>(IF(F7="HT",VLOOKUP(E7,'tải sàn'!$B$5:$L$50,10,0),IF(F7="TG",VLOOKUP(E7,'tải sàn'!$B$5:$L$50,8,0),0)))+(IF(H7="HT",VLOOKUP(G7,'tải sàn'!$B$5:$L$50,10,0),IF(H7="TG",VLOOKUP(G7,'tải sàn'!$B$5:$L$50,8,0),0)))</f>
        <v>0.7286111111111111</v>
      </c>
    </row>
    <row r="8" spans="1:11" ht="15.75">
      <c r="A8" s="339" t="s">
        <v>632</v>
      </c>
      <c r="B8" s="322">
        <v>100</v>
      </c>
      <c r="C8" s="322">
        <f>TH!$B$18</f>
        <v>3.6</v>
      </c>
      <c r="D8" s="335">
        <f t="shared" si="0"/>
        <v>712.80000000000007</v>
      </c>
      <c r="E8" s="325" t="s">
        <v>104</v>
      </c>
      <c r="F8" s="326" t="s">
        <v>588</v>
      </c>
      <c r="G8" s="325" t="s">
        <v>106</v>
      </c>
      <c r="H8" s="326" t="s">
        <v>588</v>
      </c>
      <c r="I8" s="320">
        <f>(IF(F8="HT",VLOOKUP(E8,'tải sàn'!$B$5:$L$50,11,0),IF(F8="TG",VLOOKUP(E8,'tải sàn'!$B$5:$L$50,9,0),0)))+(IF(H8="HT",VLOOKUP(G8,'tải sàn'!$B$5:$L$50,11,0),IF(H8="TG",VLOOKUP(G8,'tải sàn'!$B$5:$L$50,9,0),0)))</f>
        <v>1.397138993238167</v>
      </c>
      <c r="J8" s="337">
        <f t="shared" si="1"/>
        <v>714.19713899323824</v>
      </c>
      <c r="K8" s="337">
        <f>(IF(F8="HT",VLOOKUP(E8,'tải sàn'!$B$5:$L$50,10,0),IF(F8="TG",VLOOKUP(E8,'tải sàn'!$B$5:$L$50,8,0),0)))+(IF(H8="HT",VLOOKUP(G8,'tải sàn'!$B$5:$L$50,10,0),IF(H8="TG",VLOOKUP(G8,'tải sàn'!$B$5:$L$50,8,0),0)))</f>
        <v>1.0153568745304282</v>
      </c>
    </row>
    <row r="9" spans="1:11" ht="15.75">
      <c r="A9" s="339" t="s">
        <v>633</v>
      </c>
      <c r="B9" s="322">
        <v>0</v>
      </c>
      <c r="C9" s="322">
        <f>TH!$B$18</f>
        <v>3.6</v>
      </c>
      <c r="D9" s="335">
        <f t="shared" si="0"/>
        <v>0</v>
      </c>
      <c r="E9" s="325" t="s">
        <v>110</v>
      </c>
      <c r="F9" s="326" t="s">
        <v>587</v>
      </c>
      <c r="G9" s="325" t="s">
        <v>109</v>
      </c>
      <c r="H9" s="326" t="s">
        <v>588</v>
      </c>
      <c r="I9" s="320">
        <f>(IF(F9="HT",VLOOKUP(E9,'tải sàn'!$B$5:$L$50,11,0),IF(F9="TG",VLOOKUP(E9,'tải sàn'!$B$5:$L$50,9,0),0)))+(IF(H9="HT",VLOOKUP(G9,'tải sàn'!$B$5:$L$50,11,0),IF(H9="TG",VLOOKUP(G9,'tải sàn'!$B$5:$L$50,9,0),0)))</f>
        <v>1.0189375000000001</v>
      </c>
      <c r="J9" s="337">
        <f t="shared" si="1"/>
        <v>1.0189375000000001</v>
      </c>
      <c r="K9" s="337">
        <f>(IF(F9="HT",VLOOKUP(E9,'tải sàn'!$B$5:$L$50,10,0),IF(F9="TG",VLOOKUP(E9,'tải sàn'!$B$5:$L$50,8,0),0)))+(IF(H9="HT",VLOOKUP(G9,'tải sàn'!$B$5:$L$50,10,0),IF(H9="TG",VLOOKUP(G9,'tải sàn'!$B$5:$L$50,8,0),0)))</f>
        <v>1.0274999999999999</v>
      </c>
    </row>
    <row r="10" spans="1:11" ht="15.75">
      <c r="A10" s="339" t="s">
        <v>634</v>
      </c>
      <c r="B10" s="322">
        <v>100</v>
      </c>
      <c r="C10" s="322">
        <f>TH!$B$18</f>
        <v>3.6</v>
      </c>
      <c r="D10" s="335">
        <f t="shared" si="0"/>
        <v>712.80000000000007</v>
      </c>
      <c r="E10" s="325" t="s">
        <v>104</v>
      </c>
      <c r="F10" s="326" t="s">
        <v>588</v>
      </c>
      <c r="G10" s="325" t="s">
        <v>106</v>
      </c>
      <c r="H10" s="326" t="s">
        <v>588</v>
      </c>
      <c r="I10" s="320">
        <f>(IF(F10="HT",VLOOKUP(E10,'tải sàn'!$B$5:$L$50,11,0),IF(F10="TG",VLOOKUP(E10,'tải sàn'!$B$5:$L$50,9,0),0)))+(IF(H10="HT",VLOOKUP(G10,'tải sàn'!$B$5:$L$50,11,0),IF(H10="TG",VLOOKUP(G10,'tải sàn'!$B$5:$L$50,9,0),0)))</f>
        <v>1.397138993238167</v>
      </c>
      <c r="J10" s="337">
        <f t="shared" si="1"/>
        <v>714.19713899323824</v>
      </c>
      <c r="K10" s="337">
        <f>(IF(F10="HT",VLOOKUP(E10,'tải sàn'!$B$5:$L$50,10,0),IF(F10="TG",VLOOKUP(E10,'tải sàn'!$B$5:$L$50,8,0),0)))+(IF(H10="HT",VLOOKUP(G10,'tải sàn'!$B$5:$L$50,10,0),IF(H10="TG",VLOOKUP(G10,'tải sàn'!$B$5:$L$50,8,0),0)))</f>
        <v>1.0153568745304282</v>
      </c>
    </row>
    <row r="11" spans="1:11" ht="15.75">
      <c r="A11" s="339" t="s">
        <v>635</v>
      </c>
      <c r="B11" s="322">
        <v>0</v>
      </c>
      <c r="C11" s="322">
        <f>TH!$B$18</f>
        <v>3.6</v>
      </c>
      <c r="D11" s="335">
        <f t="shared" si="0"/>
        <v>0</v>
      </c>
      <c r="E11" s="325" t="s">
        <v>103</v>
      </c>
      <c r="F11" s="326" t="s">
        <v>587</v>
      </c>
      <c r="G11" s="325" t="s">
        <v>107</v>
      </c>
      <c r="H11" s="326" t="s">
        <v>588</v>
      </c>
      <c r="I11" s="320">
        <f>(IF(F11="HT",VLOOKUP(E11,'tải sàn'!$B$5:$L$50,11,0),IF(F11="TG",VLOOKUP(E11,'tải sàn'!$B$5:$L$50,9,0),0)))+(IF(H11="HT",VLOOKUP(G11,'tải sàn'!$B$5:$L$50,11,0),IF(H11="TG",VLOOKUP(G11,'tải sàn'!$B$5:$L$50,9,0),0)))</f>
        <v>0.83410185185185193</v>
      </c>
      <c r="J11" s="337">
        <f>D11+I11</f>
        <v>0.83410185185185193</v>
      </c>
      <c r="K11" s="337">
        <f>(IF(F11="HT",VLOOKUP(E11,'tải sàn'!$B$5:$L$50,10,0),IF(F11="TG",VLOOKUP(E11,'tải sàn'!$B$5:$L$50,8,0),0)))+(IF(H11="HT",VLOOKUP(G11,'tải sàn'!$B$5:$L$50,10,0),IF(H11="TG",VLOOKUP(G11,'tải sàn'!$B$5:$L$50,8,0),0)))</f>
        <v>0.7286111111111111</v>
      </c>
    </row>
    <row r="12" spans="1:11" ht="15.75">
      <c r="A12" s="339" t="s">
        <v>636</v>
      </c>
      <c r="B12" s="322">
        <v>0</v>
      </c>
      <c r="C12" s="322">
        <f>TH!$B$18</f>
        <v>3.6</v>
      </c>
      <c r="D12" s="335">
        <f t="shared" si="0"/>
        <v>0</v>
      </c>
      <c r="E12" s="325" t="s">
        <v>105</v>
      </c>
      <c r="F12" s="326" t="s">
        <v>588</v>
      </c>
      <c r="G12" s="325" t="s">
        <v>108</v>
      </c>
      <c r="H12" s="326" t="s">
        <v>588</v>
      </c>
      <c r="I12" s="320">
        <f>(IF(F12="HT",VLOOKUP(E12,'tải sàn'!$B$5:$L$50,11,0),IF(F12="TG",VLOOKUP(E12,'tải sàn'!$B$5:$L$50,9,0),0)))+(IF(H12="HT",VLOOKUP(G12,'tải sàn'!$B$5:$L$50,11,0),IF(H12="TG",VLOOKUP(G12,'tải sàn'!$B$5:$L$50,9,0),0)))</f>
        <v>1.2274629629629632</v>
      </c>
      <c r="J12" s="337">
        <f t="shared" si="1"/>
        <v>1.2274629629629632</v>
      </c>
      <c r="K12" s="337">
        <f>(IF(F12="HT",VLOOKUP(E12,'tải sàn'!$B$5:$L$50,10,0),IF(F12="TG",VLOOKUP(E12,'tải sàn'!$B$5:$L$50,8,0),0)))+(IF(H12="HT",VLOOKUP(G12,'tải sàn'!$B$5:$L$50,10,0),IF(H12="TG",VLOOKUP(G12,'tải sàn'!$B$5:$L$50,8,0),0)))</f>
        <v>1.2377777777777779</v>
      </c>
    </row>
    <row r="13" spans="1:11" ht="15.75" thickBot="1">
      <c r="A13" s="340"/>
      <c r="B13" s="318"/>
      <c r="C13" s="318"/>
      <c r="D13" s="318"/>
      <c r="E13" s="318"/>
      <c r="F13" s="318"/>
      <c r="G13" s="318"/>
      <c r="H13" s="318"/>
      <c r="I13" s="318"/>
      <c r="J13" s="318"/>
      <c r="K13" s="318"/>
    </row>
    <row r="14" spans="1:11" ht="19.5" thickBot="1">
      <c r="A14" s="741" t="s">
        <v>624</v>
      </c>
      <c r="B14" s="742"/>
      <c r="C14" s="742"/>
      <c r="D14" s="742"/>
      <c r="E14" s="742"/>
      <c r="F14" s="742"/>
      <c r="G14" s="742"/>
      <c r="H14" s="742"/>
      <c r="I14" s="742"/>
      <c r="J14" s="742"/>
      <c r="K14" s="743"/>
    </row>
    <row r="15" spans="1:11">
      <c r="A15" s="747" t="s">
        <v>611</v>
      </c>
      <c r="B15" s="748" t="s">
        <v>612</v>
      </c>
      <c r="C15" s="768" t="s">
        <v>613</v>
      </c>
      <c r="D15" s="769"/>
      <c r="E15" s="773" t="s">
        <v>200</v>
      </c>
      <c r="F15" s="768" t="s">
        <v>614</v>
      </c>
      <c r="G15" s="769"/>
      <c r="H15" s="768" t="s">
        <v>199</v>
      </c>
      <c r="I15" s="769"/>
      <c r="J15" s="768" t="s">
        <v>615</v>
      </c>
      <c r="K15" s="769"/>
    </row>
    <row r="16" spans="1:11">
      <c r="A16" s="747"/>
      <c r="B16" s="774"/>
      <c r="C16" s="768"/>
      <c r="D16" s="769"/>
      <c r="E16" s="773"/>
      <c r="F16" s="768"/>
      <c r="G16" s="769"/>
      <c r="H16" s="768"/>
      <c r="I16" s="769"/>
      <c r="J16" s="768"/>
      <c r="K16" s="769"/>
    </row>
    <row r="17" spans="1:14" ht="15.75">
      <c r="A17" s="748"/>
      <c r="B17" s="774"/>
      <c r="C17" s="768"/>
      <c r="D17" s="769"/>
      <c r="E17" s="327" t="s">
        <v>586</v>
      </c>
      <c r="F17" s="770" t="s">
        <v>586</v>
      </c>
      <c r="G17" s="771"/>
      <c r="H17" s="770" t="s">
        <v>586</v>
      </c>
      <c r="I17" s="771"/>
      <c r="J17" s="770" t="s">
        <v>586</v>
      </c>
      <c r="K17" s="771"/>
    </row>
    <row r="18" spans="1:14" ht="15.75">
      <c r="A18" s="725">
        <v>1</v>
      </c>
      <c r="B18" s="328">
        <v>16</v>
      </c>
      <c r="C18" s="331">
        <v>1</v>
      </c>
      <c r="D18" s="329"/>
      <c r="E18" s="330">
        <f>IF(C18=1,VLOOKUP(B18,'dam loai 1 TD'!$B$6:$R$41,15,0),IF(C18=2,(IF(D18="Ri",VLOOKUP(B18,'dam loai 2 TD'!$A$6:$X$50,19,0),IF(D18="Rj",VLOOKUP(B18,'dam loai 2 TD'!$A$6:$X$50,20,0),0))),IF(C18=3,(IF(D18="Ri",VLOOKUP(B18,'dam loai 3 TD'!$A$6:$X$50,19,0),IF(D18="Rj",VLOOKUP(B18,'dam loai 3 TD'!$A$6:$X$50,20,0),0))))))</f>
        <v>1527.0975000000001</v>
      </c>
      <c r="F18" s="762">
        <f>E18+E19</f>
        <v>4581.8875000000007</v>
      </c>
      <c r="G18" s="763"/>
      <c r="H18" s="766">
        <f>IF(C18=1,VLOOKUP(B18,'dam loai 1 TD'!$B$6:$R$41,17,0),IF(C18=2,(IF(D18="Ri",VLOOKUP(B18,'dam loai 2 TD'!$A$6:$X$50,23,0),IF(D18="Rj",VLOOKUP(B18,'dam loai 2 TD'!$A$6:$X$50,24,0),0))),IF(C18=3,(IF(D18="Ri",VLOOKUP(B18,'dam loai 3 TD'!$A$6:$X$50,23,0),IF(D18="Rj",VLOOKUP(B18,'dam loai 3 TD'!$A$6:$X$50,24,0),0))))))</f>
        <v>0.3</v>
      </c>
      <c r="I18" s="767"/>
      <c r="J18" s="762">
        <f>H18+H19</f>
        <v>1.5</v>
      </c>
      <c r="K18" s="763"/>
      <c r="L18" s="318"/>
      <c r="M18" s="318"/>
      <c r="N18" s="318"/>
    </row>
    <row r="19" spans="1:14" ht="15.75">
      <c r="A19" s="726"/>
      <c r="B19" s="328">
        <v>8</v>
      </c>
      <c r="C19" s="331">
        <v>1</v>
      </c>
      <c r="D19" s="329"/>
      <c r="E19" s="330">
        <f>IF(C19=1,VLOOKUP(B19,'dam loai 1 TD'!$B$6:$R$41,15,0),IF(C19=2,(IF(D19="Ri",VLOOKUP(B19,'dam loai 2 TD'!$A$6:$X$50,19,0),IF(D19="Rj",VLOOKUP(B19,'dam loai 2 TD'!$A$6:$X$50,20,0),0))),IF(C19=3,(IF(D19="Ri",VLOOKUP(B19,'dam loai 3 TD'!$A$6:$X$50,19,0),IF(D19="Rj",VLOOKUP(B19,'dam loai 3 TD'!$A$6:$X$50,20,0),0))))))</f>
        <v>3054.7900000000004</v>
      </c>
      <c r="F19" s="764"/>
      <c r="G19" s="765"/>
      <c r="H19" s="766">
        <f>IF(C19=1,VLOOKUP(B19,'dam loai 1 TD'!$B$6:$R$41,17,0),IF(C19=2,(IF(D19="Ri",VLOOKUP(B19,'dam loai 2 TD'!$A$6:$X$50,23,0),IF(D19="Rj",VLOOKUP(B19,'dam loai 2 TD'!$A$6:$X$50,24,0),0))),IF(C19=3,(IF(D19="Ri",VLOOKUP(B19,'dam loai 3 TD'!$A$6:$X$50,23,0),IF(D19="Rj",VLOOKUP(B19,'dam loai 3 TD'!$A$6:$X$50,24,0),0))))))</f>
        <v>1.2</v>
      </c>
      <c r="I19" s="767"/>
      <c r="J19" s="764"/>
      <c r="K19" s="765"/>
      <c r="L19" s="318"/>
      <c r="M19" s="318"/>
      <c r="N19" s="318"/>
    </row>
    <row r="20" spans="1:14" ht="15.75">
      <c r="A20" s="725">
        <v>2</v>
      </c>
      <c r="B20" s="328">
        <v>17</v>
      </c>
      <c r="C20" s="331">
        <v>1</v>
      </c>
      <c r="D20" s="329"/>
      <c r="E20" s="330">
        <f>IF(C20=1,VLOOKUP(B20,'dam loai 1 TD'!$B$6:$R$41,15,0),IF(C20=2,(IF(D20="Ri",VLOOKUP(B20,'dam loai 2 TD'!$A$6:$X$50,19,0),IF(D20="Rj",VLOOKUP(B20,'dam loai 2 TD'!$A$6:$X$50,20,0),0))),IF(C20=3,(IF(D20="Ri",VLOOKUP(B20,'dam loai 3 TD'!$A$6:$X$50,19,0),IF(D20="Rj",VLOOKUP(B20,'dam loai 3 TD'!$A$6:$X$50,20,0),0))))))</f>
        <v>220.595</v>
      </c>
      <c r="F20" s="762">
        <f>E20+E21</f>
        <v>2088.1241869125643</v>
      </c>
      <c r="G20" s="763"/>
      <c r="H20" s="766">
        <f>IF(C20=1,VLOOKUP(B20,'dam loai 1 TD'!$B$6:$R$41,17,0),IF(C20=2,(IF(D20="Ri",VLOOKUP(B20,'dam loai 2 TD'!$A$6:$X$50,23,0),IF(D20="Rj",VLOOKUP(B20,'dam loai 2 TD'!$A$6:$X$50,24,0),0))),IF(C20=3,(IF(D20="Ri",VLOOKUP(B20,'dam loai 3 TD'!$A$6:$X$50,23,0),IF(D20="Rj",VLOOKUP(B20,'dam loai 3 TD'!$A$6:$X$50,24,0),0))))))</f>
        <v>0.6</v>
      </c>
      <c r="I20" s="767"/>
      <c r="J20" s="762">
        <f>H20+H21</f>
        <v>2.5453985672915715</v>
      </c>
      <c r="K20" s="763"/>
      <c r="L20" s="318"/>
      <c r="M20" s="318"/>
      <c r="N20" s="318"/>
    </row>
    <row r="21" spans="1:14" ht="15.75">
      <c r="A21" s="726"/>
      <c r="B21" s="328">
        <v>9</v>
      </c>
      <c r="C21" s="331">
        <v>1</v>
      </c>
      <c r="D21" s="329"/>
      <c r="E21" s="330">
        <f>IF(C21=1,VLOOKUP(B21,'dam loai 1 TD'!$B$6:$R$41,15,0),IF(C21=2,(IF(D21="Ri",VLOOKUP(B21,'dam loai 2 TD'!$A$6:$X$50,19,0),IF(D21="Rj",VLOOKUP(B21,'dam loai 2 TD'!$A$6:$X$50,20,0),0))),IF(C21=3,(IF(D21="Ri",VLOOKUP(B21,'dam loai 3 TD'!$A$6:$X$50,19,0),IF(D21="Rj",VLOOKUP(B21,'dam loai 3 TD'!$A$6:$X$50,20,0),0))))))</f>
        <v>1867.5291869125642</v>
      </c>
      <c r="F21" s="764"/>
      <c r="G21" s="765"/>
      <c r="H21" s="766">
        <f>IF(C21=1,VLOOKUP(B21,'dam loai 1 TD'!$B$6:$R$41,17,0),IF(C21=2,(IF(D21="Ri",VLOOKUP(B21,'dam loai 2 TD'!$A$6:$X$50,23,0),IF(D21="Rj",VLOOKUP(B21,'dam loai 2 TD'!$A$6:$X$50,24,0),0))),IF(C21=3,(IF(D21="Ri",VLOOKUP(B21,'dam loai 3 TD'!$A$6:$X$50,23,0),IF(D21="Rj",VLOOKUP(B21,'dam loai 3 TD'!$A$6:$X$50,24,0),0))))))</f>
        <v>1.9453985672915715</v>
      </c>
      <c r="I21" s="767"/>
      <c r="J21" s="764"/>
      <c r="K21" s="765"/>
      <c r="L21" s="318"/>
      <c r="M21" s="318"/>
      <c r="N21" s="334"/>
    </row>
    <row r="22" spans="1:14" ht="15.75">
      <c r="A22" s="725">
        <v>3</v>
      </c>
      <c r="B22" s="328">
        <v>18</v>
      </c>
      <c r="C22" s="331">
        <v>1</v>
      </c>
      <c r="D22" s="329"/>
      <c r="E22" s="330">
        <f>IF(C22=1,VLOOKUP(B22,'dam loai 1 TD'!$B$6:$R$41,15,0),IF(C22=2,(IF(D22="Ri",VLOOKUP(B22,'dam loai 2 TD'!$A$6:$X$50,19,0),IF(D22="Rj",VLOOKUP(B22,'dam loai 2 TD'!$A$6:$X$50,20,0),0))),IF(C22=3,(IF(D22="Ri",VLOOKUP(B22,'dam loai 3 TD'!$A$6:$X$50,19,0),IF(D22="Rj",VLOOKUP(B22,'dam loai 3 TD'!$A$6:$X$50,20,0),0))))))</f>
        <v>220.595</v>
      </c>
      <c r="F22" s="762">
        <f>E22+E23</f>
        <v>2088.8116796875001</v>
      </c>
      <c r="G22" s="763"/>
      <c r="H22" s="766">
        <f>IF(C22=1,VLOOKUP(B22,'dam loai 1 TD'!$B$6:$R$41,17,0),IF(C22=2,(IF(D22="Ri",VLOOKUP(B22,'dam loai 2 TD'!$A$6:$X$50,23,0),IF(D22="Rj",VLOOKUP(B22,'dam loai 2 TD'!$A$6:$X$50,24,0),0))),IF(C22=3,(IF(D22="Ri",VLOOKUP(B22,'dam loai 3 TD'!$A$6:$X$50,23,0),IF(D22="Rj",VLOOKUP(B22,'dam loai 3 TD'!$A$6:$X$50,24,0),0))))))</f>
        <v>0.6</v>
      </c>
      <c r="I22" s="767"/>
      <c r="J22" s="762">
        <f>H22+H23</f>
        <v>2.3332031249999998</v>
      </c>
      <c r="K22" s="763"/>
      <c r="L22" s="318"/>
      <c r="M22" s="318"/>
      <c r="N22" s="318"/>
    </row>
    <row r="23" spans="1:14" ht="15.75">
      <c r="A23" s="726"/>
      <c r="B23" s="328">
        <v>10</v>
      </c>
      <c r="C23" s="331">
        <v>1</v>
      </c>
      <c r="D23" s="329"/>
      <c r="E23" s="330">
        <f>IF(C23=1,VLOOKUP(B23,'dam loai 1 TD'!$B$6:$R$41,15,0),IF(C23=2,(IF(D23="Ri",VLOOKUP(B23,'dam loai 2 TD'!$A$6:$X$50,19,0),IF(D23="Rj",VLOOKUP(B23,'dam loai 2 TD'!$A$6:$X$50,20,0),0))),IF(C23=3,(IF(D23="Ri",VLOOKUP(B23,'dam loai 3 TD'!$A$6:$X$50,19,0),IF(D23="Rj",VLOOKUP(B23,'dam loai 3 TD'!$A$6:$X$50,20,0),0))))))</f>
        <v>1868.2166796875001</v>
      </c>
      <c r="F23" s="764"/>
      <c r="G23" s="765"/>
      <c r="H23" s="766">
        <f>IF(C23=1,VLOOKUP(B23,'dam loai 1 TD'!$B$6:$R$41,17,0),IF(C23=2,(IF(D23="Ri",VLOOKUP(B23,'dam loai 2 TD'!$A$6:$X$50,23,0),IF(D23="Rj",VLOOKUP(B23,'dam loai 2 TD'!$A$6:$X$50,24,0),0))),IF(C23=3,(IF(D23="Ri",VLOOKUP(B23,'dam loai 3 TD'!$A$6:$X$50,23,0),IF(D23="Rj",VLOOKUP(B23,'dam loai 3 TD'!$A$6:$X$50,24,0),0))))))</f>
        <v>1.7332031249999997</v>
      </c>
      <c r="I23" s="767"/>
      <c r="J23" s="764"/>
      <c r="K23" s="765"/>
      <c r="L23" s="318"/>
      <c r="M23" s="318"/>
      <c r="N23" s="318"/>
    </row>
    <row r="24" spans="1:14" ht="15.75">
      <c r="A24" s="725">
        <v>4</v>
      </c>
      <c r="B24" s="328">
        <v>19</v>
      </c>
      <c r="C24" s="331">
        <v>1</v>
      </c>
      <c r="D24" s="329"/>
      <c r="E24" s="330">
        <f>IF(C24=1,VLOOKUP(B24,'dam loai 1 TD'!$B$6:$R$41,15,0),IF(C24=2,(IF(D24="Ri",VLOOKUP(B24,'dam loai 2 TD'!$A$6:$X$50,19,0),IF(D24="Rj",VLOOKUP(B24,'dam loai 2 TD'!$A$6:$X$50,20,0),0))),IF(C24=3,(IF(D24="Ri",VLOOKUP(B24,'dam loai 3 TD'!$A$6:$X$50,19,0),IF(D24="Rj",VLOOKUP(B24,'dam loai 3 TD'!$A$6:$X$50,20,0),0))))))</f>
        <v>220.595</v>
      </c>
      <c r="F24" s="762">
        <f>E24+E25</f>
        <v>2088.9</v>
      </c>
      <c r="G24" s="763"/>
      <c r="H24" s="766">
        <f>IF(C24=1,VLOOKUP(B24,'dam loai 1 TD'!$B$6:$R$41,17,0),IF(C24=2,(IF(D24="Ri",VLOOKUP(B24,'dam loai 2 TD'!$A$6:$X$50,23,0),IF(D24="Rj",VLOOKUP(B24,'dam loai 2 TD'!$A$6:$X$50,24,0),0))),IF(C24=3,(IF(D24="Ri",VLOOKUP(B24,'dam loai 3 TD'!$A$6:$X$50,23,0),IF(D24="Rj",VLOOKUP(B24,'dam loai 3 TD'!$A$6:$X$50,24,0),0))))))</f>
        <v>0.6</v>
      </c>
      <c r="I24" s="767"/>
      <c r="J24" s="762">
        <f>H24+H25</f>
        <v>2.6999999999999997</v>
      </c>
      <c r="K24" s="763"/>
      <c r="L24" s="318"/>
      <c r="M24" s="318"/>
      <c r="N24" s="318"/>
    </row>
    <row r="25" spans="1:14" ht="15.75">
      <c r="A25" s="726"/>
      <c r="B25" s="328">
        <v>11</v>
      </c>
      <c r="C25" s="331">
        <v>1</v>
      </c>
      <c r="D25" s="329"/>
      <c r="E25" s="330">
        <f>IF(C25=1,VLOOKUP(B25,'dam loai 1 TD'!$B$6:$R$41,15,0),IF(C25=2,(IF(D25="Ri",VLOOKUP(B25,'dam loai 2 TD'!$A$6:$X$50,19,0),IF(D25="Rj",VLOOKUP(B25,'dam loai 2 TD'!$A$6:$X$50,20,0),0))),IF(C25=3,(IF(D25="Ri",VLOOKUP(B25,'dam loai 3 TD'!$A$6:$X$50,19,0),IF(D25="Rj",VLOOKUP(B25,'dam loai 3 TD'!$A$6:$X$50,20,0),0))))))</f>
        <v>1868.3050000000001</v>
      </c>
      <c r="F25" s="764"/>
      <c r="G25" s="765"/>
      <c r="H25" s="766">
        <f>IF(C25=1,VLOOKUP(B25,'dam loai 1 TD'!$B$6:$R$41,17,0),IF(C25=2,(IF(D25="Ri",VLOOKUP(B25,'dam loai 2 TD'!$A$6:$X$50,23,0),IF(D25="Rj",VLOOKUP(B25,'dam loai 2 TD'!$A$6:$X$50,24,0),0))),IF(C25=3,(IF(D25="Ri",VLOOKUP(B25,'dam loai 3 TD'!$A$6:$X$50,23,0),IF(D25="Rj",VLOOKUP(B25,'dam loai 3 TD'!$A$6:$X$50,24,0),0))))))</f>
        <v>2.0999999999999996</v>
      </c>
      <c r="I25" s="767"/>
      <c r="J25" s="764"/>
      <c r="K25" s="765"/>
      <c r="L25" s="318"/>
      <c r="M25" s="318"/>
      <c r="N25" s="318"/>
    </row>
    <row r="26" spans="1:14" ht="15.75">
      <c r="A26" s="725">
        <v>5</v>
      </c>
      <c r="B26" s="328">
        <v>20</v>
      </c>
      <c r="C26" s="331">
        <v>1</v>
      </c>
      <c r="D26" s="329"/>
      <c r="E26" s="330">
        <f>IF(C26=1,VLOOKUP(B26,'dam loai 1 TD'!$B$6:$R$41,15,0),IF(C26=2,(IF(D26="Ri",VLOOKUP(B26,'dam loai 2 TD'!$A$6:$X$50,19,0),IF(D26="Rj",VLOOKUP(B26,'dam loai 2 TD'!$A$6:$X$50,20,0),0))),IF(C26=3,(IF(D26="Ri",VLOOKUP(B26,'dam loai 3 TD'!$A$6:$X$50,19,0),IF(D26="Rj",VLOOKUP(B26,'dam loai 3 TD'!$A$6:$X$50,20,0),0))))))</f>
        <v>220.595</v>
      </c>
      <c r="F26" s="762">
        <f t="shared" ref="F26:F32" si="2">E26+E27</f>
        <v>2088.9</v>
      </c>
      <c r="G26" s="763"/>
      <c r="H26" s="766">
        <f>IF(C26=1,VLOOKUP(B26,'dam loai 1 TD'!$B$6:$R$41,17,0),IF(C26=2,(IF(D26="Ri",VLOOKUP(B26,'dam loai 2 TD'!$A$6:$X$50,23,0),IF(D26="Rj",VLOOKUP(B26,'dam loai 2 TD'!$A$6:$X$50,24,0),0))),IF(C26=3,(IF(D26="Ri",VLOOKUP(B26,'dam loai 3 TD'!$A$6:$X$50,23,0),IF(D26="Rj",VLOOKUP(B26,'dam loai 3 TD'!$A$6:$X$50,24,0),0))))))</f>
        <v>0.6</v>
      </c>
      <c r="I26" s="767"/>
      <c r="J26" s="762">
        <f>H26+H27</f>
        <v>2.6999999999999997</v>
      </c>
      <c r="K26" s="763"/>
      <c r="L26" s="318"/>
      <c r="M26" s="318"/>
      <c r="N26" s="318"/>
    </row>
    <row r="27" spans="1:14" ht="15.75">
      <c r="A27" s="726"/>
      <c r="B27" s="328">
        <v>12</v>
      </c>
      <c r="C27" s="331">
        <v>1</v>
      </c>
      <c r="D27" s="329"/>
      <c r="E27" s="330">
        <f>IF(C27=1,VLOOKUP(B27,'dam loai 1 TD'!$B$6:$R$41,15,0),IF(C27=2,(IF(D27="Ri",VLOOKUP(B27,'dam loai 2 TD'!$A$6:$X$50,19,0),IF(D27="Rj",VLOOKUP(B27,'dam loai 2 TD'!$A$6:$X$50,20,0),0))),IF(C27=3,(IF(D27="Ri",VLOOKUP(B27,'dam loai 3 TD'!$A$6:$X$50,19,0),IF(D27="Rj",VLOOKUP(B27,'dam loai 3 TD'!$A$6:$X$50,20,0),0))))))</f>
        <v>1868.3050000000001</v>
      </c>
      <c r="F27" s="764"/>
      <c r="G27" s="765"/>
      <c r="H27" s="766">
        <f>IF(C27=1,VLOOKUP(B27,'dam loai 1 TD'!$B$6:$R$41,17,0),IF(C27=2,(IF(D27="Ri",VLOOKUP(B27,'dam loai 2 TD'!$A$6:$X$50,23,0),IF(D27="Rj",VLOOKUP(B27,'dam loai 2 TD'!$A$6:$X$50,24,0),0))),IF(C27=3,(IF(D27="Ri",VLOOKUP(B27,'dam loai 3 TD'!$A$6:$X$50,23,0),IF(D27="Rj",VLOOKUP(B27,'dam loai 3 TD'!$A$6:$X$50,24,0),0))))))</f>
        <v>2.0999999999999996</v>
      </c>
      <c r="I27" s="767"/>
      <c r="J27" s="764"/>
      <c r="K27" s="765"/>
      <c r="L27" s="318"/>
      <c r="M27" s="318"/>
      <c r="N27" s="318"/>
    </row>
    <row r="28" spans="1:14" ht="15.75">
      <c r="A28" s="725">
        <v>6</v>
      </c>
      <c r="B28" s="328">
        <v>21</v>
      </c>
      <c r="C28" s="331">
        <v>1</v>
      </c>
      <c r="D28" s="329"/>
      <c r="E28" s="330">
        <f>IF(C28=1,VLOOKUP(B28,'dam loai 1 TD'!$B$6:$R$41,15,0),IF(C28=2,(IF(D28="Ri",VLOOKUP(B28,'dam loai 2 TD'!$A$6:$X$50,19,0),IF(D28="Rj",VLOOKUP(B28,'dam loai 2 TD'!$A$6:$X$50,20,0),0))),IF(C28=3,(IF(D28="Ri",VLOOKUP(B28,'dam loai 3 TD'!$A$6:$X$50,19,0),IF(D28="Rj",VLOOKUP(B28,'dam loai 3 TD'!$A$6:$X$50,20,0),0))))))</f>
        <v>220.595</v>
      </c>
      <c r="F28" s="762">
        <f t="shared" si="2"/>
        <v>2088.8116796875001</v>
      </c>
      <c r="G28" s="763"/>
      <c r="H28" s="766">
        <f>IF(C28=1,VLOOKUP(B28,'dam loai 1 TD'!$B$6:$R$41,17,0),IF(C28=2,(IF(D28="Ri",VLOOKUP(B28,'dam loai 2 TD'!$A$6:$X$50,23,0),IF(D28="Rj",VLOOKUP(B28,'dam loai 2 TD'!$A$6:$X$50,24,0),0))),IF(C28=3,(IF(D28="Ri",VLOOKUP(B28,'dam loai 3 TD'!$A$6:$X$50,23,0),IF(D28="Rj",VLOOKUP(B28,'dam loai 3 TD'!$A$6:$X$50,24,0),0))))))</f>
        <v>0.6</v>
      </c>
      <c r="I28" s="767"/>
      <c r="J28" s="762">
        <f>H28+H29</f>
        <v>2.3332031249999998</v>
      </c>
      <c r="K28" s="763"/>
      <c r="L28" s="318"/>
      <c r="M28" s="318"/>
      <c r="N28" s="318"/>
    </row>
    <row r="29" spans="1:14" ht="15.75">
      <c r="A29" s="726"/>
      <c r="B29" s="328">
        <v>13</v>
      </c>
      <c r="C29" s="331">
        <v>1</v>
      </c>
      <c r="D29" s="329"/>
      <c r="E29" s="330">
        <f>IF(C29=1,VLOOKUP(B29,'dam loai 1 TD'!$B$6:$R$41,15,0),IF(C29=2,(IF(D29="Ri",VLOOKUP(B29,'dam loai 2 TD'!$A$6:$X$50,19,0),IF(D29="Rj",VLOOKUP(B29,'dam loai 2 TD'!$A$6:$X$50,20,0),0))),IF(C29=3,(IF(D29="Ri",VLOOKUP(B29,'dam loai 3 TD'!$A$6:$X$50,19,0),IF(D29="Rj",VLOOKUP(B29,'dam loai 3 TD'!$A$6:$X$50,20,0),0))))))</f>
        <v>1868.2166796875001</v>
      </c>
      <c r="F29" s="764"/>
      <c r="G29" s="765"/>
      <c r="H29" s="766">
        <f>IF(C29=1,VLOOKUP(B29,'dam loai 1 TD'!$B$6:$R$41,17,0),IF(C29=2,(IF(D29="Ri",VLOOKUP(B29,'dam loai 2 TD'!$A$6:$X$50,23,0),IF(D29="Rj",VLOOKUP(B29,'dam loai 2 TD'!$A$6:$X$50,24,0),0))),IF(C29=3,(IF(D29="Ri",VLOOKUP(B29,'dam loai 3 TD'!$A$6:$X$50,23,0),IF(D29="Rj",VLOOKUP(B29,'dam loai 3 TD'!$A$6:$X$50,24,0),0))))))</f>
        <v>1.7332031249999997</v>
      </c>
      <c r="I29" s="767"/>
      <c r="J29" s="764"/>
      <c r="K29" s="765"/>
      <c r="L29" s="318"/>
      <c r="M29" s="318"/>
      <c r="N29" s="318"/>
    </row>
    <row r="30" spans="1:14" ht="15.75">
      <c r="A30" s="725">
        <v>7</v>
      </c>
      <c r="B30" s="328">
        <v>22</v>
      </c>
      <c r="C30" s="331">
        <v>1</v>
      </c>
      <c r="D30" s="329"/>
      <c r="E30" s="330">
        <f>IF(C30=1,VLOOKUP(B30,'dam loai 1 TD'!$B$6:$R$41,15,0),IF(C30=2,(IF(D30="Ri",VLOOKUP(B30,'dam loai 2 TD'!$A$6:$X$50,19,0),IF(D30="Rj",VLOOKUP(B30,'dam loai 2 TD'!$A$6:$X$50,20,0),0))),IF(C30=3,(IF(D30="Ri",VLOOKUP(B30,'dam loai 3 TD'!$A$6:$X$50,19,0),IF(D30="Rj",VLOOKUP(B30,'dam loai 3 TD'!$A$6:$X$50,20,0),0))))))</f>
        <v>220.595</v>
      </c>
      <c r="F30" s="762">
        <f t="shared" si="2"/>
        <v>2088.1241869125643</v>
      </c>
      <c r="G30" s="763"/>
      <c r="H30" s="766">
        <f>IF(C30=1,VLOOKUP(B30,'dam loai 1 TD'!$B$6:$R$41,17,0),IF(C30=2,(IF(D30="Ri",VLOOKUP(B30,'dam loai 2 TD'!$A$6:$X$50,23,0),IF(D30="Rj",VLOOKUP(B30,'dam loai 2 TD'!$A$6:$X$50,24,0),0))),IF(C30=3,(IF(D30="Ri",VLOOKUP(B30,'dam loai 3 TD'!$A$6:$X$50,23,0),IF(D30="Rj",VLOOKUP(B30,'dam loai 3 TD'!$A$6:$X$50,24,0),0))))))</f>
        <v>0.6</v>
      </c>
      <c r="I30" s="767"/>
      <c r="J30" s="762">
        <f>H30+H31</f>
        <v>2.5453985672915715</v>
      </c>
      <c r="K30" s="763"/>
      <c r="L30" s="318"/>
      <c r="M30" s="318"/>
      <c r="N30" s="318"/>
    </row>
    <row r="31" spans="1:14" ht="15.75">
      <c r="A31" s="726"/>
      <c r="B31" s="328">
        <v>14</v>
      </c>
      <c r="C31" s="331">
        <v>1</v>
      </c>
      <c r="D31" s="329"/>
      <c r="E31" s="330">
        <f>IF(C31=1,VLOOKUP(B31,'dam loai 1 TD'!$B$6:$R$41,15,0),IF(C31=2,(IF(D31="Ri",VLOOKUP(B31,'dam loai 2 TD'!$A$6:$X$50,19,0),IF(D31="Rj",VLOOKUP(B31,'dam loai 2 TD'!$A$6:$X$50,20,0),0))),IF(C31=3,(IF(D31="Ri",VLOOKUP(B31,'dam loai 3 TD'!$A$6:$X$50,19,0),IF(D31="Rj",VLOOKUP(B31,'dam loai 3 TD'!$A$6:$X$50,20,0),0))))))</f>
        <v>1867.5291869125642</v>
      </c>
      <c r="F31" s="764"/>
      <c r="G31" s="765"/>
      <c r="H31" s="766">
        <f>IF(C31=1,VLOOKUP(B31,'dam loai 1 TD'!$B$6:$R$41,17,0),IF(C31=2,(IF(D31="Ri",VLOOKUP(B31,'dam loai 2 TD'!$A$6:$X$50,23,0),IF(D31="Rj",VLOOKUP(B31,'dam loai 2 TD'!$A$6:$X$50,24,0),0))),IF(C31=3,(IF(D31="Ri",VLOOKUP(B31,'dam loai 3 TD'!$A$6:$X$50,23,0),IF(D31="Rj",VLOOKUP(B31,'dam loai 3 TD'!$A$6:$X$50,24,0),0))))))</f>
        <v>1.9453985672915715</v>
      </c>
      <c r="I31" s="767"/>
      <c r="J31" s="764"/>
      <c r="K31" s="765"/>
      <c r="L31" s="318"/>
      <c r="M31" s="318"/>
      <c r="N31" s="318"/>
    </row>
    <row r="32" spans="1:14" ht="15.75">
      <c r="A32" s="725">
        <v>8</v>
      </c>
      <c r="B32" s="328">
        <v>23</v>
      </c>
      <c r="C32" s="331">
        <v>1</v>
      </c>
      <c r="D32" s="329"/>
      <c r="E32" s="330">
        <f>IF(C32=1,VLOOKUP(B32,'dam loai 1 TD'!$B$6:$R$41,15,0),IF(C32=2,(IF(D32="Ri",VLOOKUP(B32,'dam loai 2 TD'!$A$6:$X$50,19,0),IF(D32="Rj",VLOOKUP(B32,'dam loai 2 TD'!$A$6:$X$50,20,0),0))),IF(C32=3,(IF(D32="Ri",VLOOKUP(B32,'dam loai 3 TD'!$A$6:$X$50,19,0),IF(D32="Rj",VLOOKUP(B32,'dam loai 3 TD'!$A$6:$X$50,20,0),0))))))</f>
        <v>1527.0975000000001</v>
      </c>
      <c r="F32" s="762">
        <f t="shared" si="2"/>
        <v>4581.8875000000007</v>
      </c>
      <c r="G32" s="763"/>
      <c r="H32" s="766">
        <f>IF(C32=1,VLOOKUP(B32,'dam loai 1 TD'!$B$6:$R$41,17,0),IF(C32=2,(IF(D32="Ri",VLOOKUP(B32,'dam loai 2 TD'!$A$6:$X$50,23,0),IF(D32="Rj",VLOOKUP(B32,'dam loai 2 TD'!$A$6:$X$50,24,0),0))),IF(C32=3,(IF(D32="Ri",VLOOKUP(B32,'dam loai 3 TD'!$A$6:$X$50,23,0),IF(D32="Rj",VLOOKUP(B32,'dam loai 3 TD'!$A$6:$X$50,24,0),0))))))</f>
        <v>0.3</v>
      </c>
      <c r="I32" s="767"/>
      <c r="J32" s="762">
        <f>H32+H33</f>
        <v>1.5</v>
      </c>
      <c r="K32" s="763"/>
      <c r="L32" s="318"/>
      <c r="M32" s="318"/>
      <c r="N32" s="318"/>
    </row>
    <row r="33" spans="1:14" ht="15.75">
      <c r="A33" s="726"/>
      <c r="B33" s="328">
        <v>15</v>
      </c>
      <c r="C33" s="331">
        <v>1</v>
      </c>
      <c r="D33" s="329"/>
      <c r="E33" s="330">
        <f>IF(C33=1,VLOOKUP(B33,'dam loai 1 TD'!$B$6:$R$41,15,0),IF(C33=2,(IF(D33="Ri",VLOOKUP(B33,'dam loai 2 TD'!$A$6:$X$50,19,0),IF(D33="Rj",VLOOKUP(B33,'dam loai 2 TD'!$A$6:$X$50,20,0),0))),IF(C33=3,(IF(D33="Ri",VLOOKUP(B33,'dam loai 3 TD'!$A$6:$X$50,19,0),IF(D33="Rj",VLOOKUP(B33,'dam loai 3 TD'!$A$6:$X$50,20,0),0))))))</f>
        <v>3054.7900000000004</v>
      </c>
      <c r="F33" s="764"/>
      <c r="G33" s="765"/>
      <c r="H33" s="772">
        <f>IF(C33=1,VLOOKUP(B33,'dam loai 1 TD'!$B$6:$R$41,17,0),IF(C33=2,(IF(D33="Ri",VLOOKUP(B33,'dam loai 2 TD'!$A$6:$X$50,23,0),IF(D33="Rj",VLOOKUP(B33,'dam loai 2 TD'!$A$6:$X$50,24,0),0))),IF(C33=3,(IF(D33="Ri",VLOOKUP(B33,'dam loai 3 TD'!$A$6:$X$50,23,0),IF(D33="Rj",VLOOKUP(B33,'dam loai 3 TD'!$A$6:$X$50,24,0),0))))))</f>
        <v>1.2</v>
      </c>
      <c r="I33" s="772"/>
      <c r="J33" s="764"/>
      <c r="K33" s="765"/>
      <c r="L33" s="318"/>
      <c r="M33" s="318"/>
      <c r="N33" s="318"/>
    </row>
  </sheetData>
  <mergeCells count="60">
    <mergeCell ref="A32:A33"/>
    <mergeCell ref="F32:G33"/>
    <mergeCell ref="H32:I32"/>
    <mergeCell ref="J32:K33"/>
    <mergeCell ref="H33:I33"/>
    <mergeCell ref="A28:A29"/>
    <mergeCell ref="F28:G29"/>
    <mergeCell ref="J28:K29"/>
    <mergeCell ref="A30:A31"/>
    <mergeCell ref="F30:G31"/>
    <mergeCell ref="J30:K31"/>
    <mergeCell ref="H31:I31"/>
    <mergeCell ref="H28:I28"/>
    <mergeCell ref="H29:I29"/>
    <mergeCell ref="H30:I30"/>
    <mergeCell ref="J24:K25"/>
    <mergeCell ref="H25:I25"/>
    <mergeCell ref="A26:A27"/>
    <mergeCell ref="F26:G27"/>
    <mergeCell ref="H26:I26"/>
    <mergeCell ref="J26:K27"/>
    <mergeCell ref="H27:I27"/>
    <mergeCell ref="A24:A25"/>
    <mergeCell ref="F24:G25"/>
    <mergeCell ref="H24:I24"/>
    <mergeCell ref="A20:A21"/>
    <mergeCell ref="F20:G21"/>
    <mergeCell ref="H20:I20"/>
    <mergeCell ref="J20:K21"/>
    <mergeCell ref="H21:I21"/>
    <mergeCell ref="A22:A23"/>
    <mergeCell ref="F22:G23"/>
    <mergeCell ref="H22:I22"/>
    <mergeCell ref="J22:K23"/>
    <mergeCell ref="H23:I23"/>
    <mergeCell ref="A18:A19"/>
    <mergeCell ref="F18:G19"/>
    <mergeCell ref="H18:I18"/>
    <mergeCell ref="J18:K19"/>
    <mergeCell ref="H19:I19"/>
    <mergeCell ref="A14:K14"/>
    <mergeCell ref="A15:A17"/>
    <mergeCell ref="B15:B17"/>
    <mergeCell ref="C15:D17"/>
    <mergeCell ref="E15:E16"/>
    <mergeCell ref="F15:G16"/>
    <mergeCell ref="H15:I16"/>
    <mergeCell ref="J15:K16"/>
    <mergeCell ref="F17:G17"/>
    <mergeCell ref="H17:I17"/>
    <mergeCell ref="J17:K17"/>
    <mergeCell ref="A2:K2"/>
    <mergeCell ref="A3:A5"/>
    <mergeCell ref="B3:D3"/>
    <mergeCell ref="E3:H5"/>
    <mergeCell ref="I3:J3"/>
    <mergeCell ref="K3:K4"/>
    <mergeCell ref="B4:B5"/>
    <mergeCell ref="C4:C5"/>
    <mergeCell ref="D4:D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2519-C621-4D8A-972D-7A6E2BEFAE85}">
  <dimension ref="B9:BN141"/>
  <sheetViews>
    <sheetView topLeftCell="A4" workbookViewId="0">
      <selection activeCell="D18" sqref="D18"/>
    </sheetView>
  </sheetViews>
  <sheetFormatPr defaultRowHeight="15"/>
  <sheetData>
    <row r="9" spans="3:58" ht="15.75">
      <c r="C9" s="115"/>
      <c r="D9" s="117" t="s">
        <v>323</v>
      </c>
      <c r="E9" s="116"/>
      <c r="F9" s="117"/>
      <c r="G9" s="117"/>
      <c r="H9" s="117"/>
      <c r="I9" s="118" t="s">
        <v>324</v>
      </c>
      <c r="J9" s="116"/>
      <c r="K9" s="117"/>
      <c r="L9" s="117"/>
      <c r="M9" s="117"/>
      <c r="N9" s="117" t="s">
        <v>325</v>
      </c>
      <c r="O9" s="116"/>
      <c r="P9" s="117"/>
      <c r="Q9" s="117"/>
      <c r="R9" s="117"/>
      <c r="S9" s="118" t="s">
        <v>326</v>
      </c>
      <c r="T9" s="116"/>
      <c r="U9" s="117"/>
      <c r="V9" s="117"/>
      <c r="W9" s="117"/>
      <c r="X9" s="117" t="s">
        <v>327</v>
      </c>
      <c r="Y9" s="116"/>
      <c r="Z9" s="117"/>
      <c r="AA9" s="117"/>
      <c r="AB9" s="117"/>
      <c r="AC9" s="118" t="s">
        <v>328</v>
      </c>
      <c r="AD9" s="116"/>
      <c r="AE9" s="117"/>
      <c r="AF9" s="117"/>
      <c r="AG9" s="117"/>
      <c r="AH9" s="117" t="s">
        <v>329</v>
      </c>
      <c r="AI9" s="116"/>
      <c r="AJ9" s="117"/>
      <c r="AK9" s="117"/>
      <c r="AL9" s="117"/>
      <c r="AM9" s="118" t="s">
        <v>330</v>
      </c>
      <c r="AN9" s="116"/>
      <c r="AO9" s="117"/>
      <c r="AP9" s="117"/>
      <c r="AQ9" s="117"/>
      <c r="AR9" s="115"/>
      <c r="AS9" s="117" t="s">
        <v>331</v>
      </c>
      <c r="AT9" s="117"/>
      <c r="AU9" s="115"/>
      <c r="AV9" s="115"/>
      <c r="AW9" s="118" t="s">
        <v>332</v>
      </c>
      <c r="AX9" s="116"/>
      <c r="AY9" s="117"/>
      <c r="AZ9" s="117"/>
      <c r="BA9" s="117"/>
      <c r="BB9" s="117" t="s">
        <v>333</v>
      </c>
      <c r="BC9" s="116"/>
      <c r="BD9" s="117"/>
      <c r="BE9" s="117"/>
      <c r="BF9" s="117"/>
    </row>
    <row r="10" spans="3:58" ht="15.75">
      <c r="C10" s="115"/>
      <c r="D10" s="117"/>
      <c r="E10" s="116"/>
      <c r="F10" s="117"/>
      <c r="G10" s="117"/>
      <c r="H10" s="117"/>
      <c r="I10" s="118"/>
      <c r="J10" s="116"/>
      <c r="K10" s="117"/>
      <c r="L10" s="117"/>
      <c r="M10" s="117"/>
      <c r="N10" s="117"/>
      <c r="O10" s="116"/>
      <c r="P10" s="117"/>
      <c r="Q10" s="117"/>
      <c r="R10" s="117"/>
      <c r="S10" s="118"/>
      <c r="T10" s="116"/>
      <c r="U10" s="117"/>
      <c r="V10" s="117"/>
      <c r="W10" s="117"/>
      <c r="X10" s="117"/>
      <c r="Y10" s="116"/>
      <c r="Z10" s="117"/>
      <c r="AA10" s="117"/>
      <c r="AB10" s="117"/>
      <c r="AC10" s="118"/>
      <c r="AD10" s="116"/>
      <c r="AE10" s="117"/>
      <c r="AF10" s="117"/>
      <c r="AG10" s="117"/>
      <c r="AH10" s="117"/>
      <c r="AI10" s="116"/>
      <c r="AJ10" s="117"/>
      <c r="AK10" s="117"/>
      <c r="AL10" s="117"/>
      <c r="AM10" s="118"/>
      <c r="AN10" s="116"/>
      <c r="AO10" s="117"/>
      <c r="AP10" s="117"/>
      <c r="AQ10" s="117"/>
      <c r="AR10" s="115"/>
      <c r="AS10" s="117"/>
      <c r="AT10" s="117"/>
      <c r="AU10" s="115"/>
      <c r="AV10" s="115"/>
      <c r="AW10" s="118"/>
      <c r="AX10" s="116"/>
      <c r="AY10" s="117"/>
      <c r="AZ10" s="117"/>
      <c r="BA10" s="117"/>
      <c r="BB10" s="117"/>
      <c r="BC10" s="116"/>
      <c r="BD10" s="117"/>
      <c r="BE10" s="117"/>
      <c r="BF10" s="117"/>
    </row>
    <row r="11" spans="3:58" ht="15.75" hidden="1">
      <c r="C11" s="120"/>
      <c r="D11" s="120"/>
      <c r="E11" s="120">
        <v>1</v>
      </c>
      <c r="F11" s="120"/>
      <c r="G11" s="120"/>
      <c r="H11" s="120"/>
      <c r="I11" s="121"/>
      <c r="J11" s="120">
        <v>2</v>
      </c>
      <c r="K11" s="120"/>
      <c r="L11" s="120"/>
      <c r="M11" s="120"/>
      <c r="N11" s="120"/>
      <c r="O11" s="120">
        <v>3</v>
      </c>
      <c r="P11" s="120"/>
      <c r="Q11" s="120"/>
      <c r="R11" s="120"/>
      <c r="S11" s="121"/>
      <c r="T11" s="120">
        <v>4</v>
      </c>
      <c r="U11" s="120"/>
      <c r="V11" s="120"/>
      <c r="W11" s="120"/>
      <c r="X11" s="120"/>
      <c r="Y11" s="120">
        <v>5</v>
      </c>
      <c r="Z11" s="120"/>
      <c r="AA11" s="120"/>
      <c r="AB11" s="120"/>
      <c r="AC11" s="121"/>
      <c r="AD11" s="120">
        <v>6</v>
      </c>
      <c r="AE11" s="120"/>
      <c r="AF11" s="120"/>
      <c r="AG11" s="120"/>
      <c r="AH11" s="120"/>
      <c r="AI11" s="120">
        <v>7</v>
      </c>
      <c r="AJ11" s="120"/>
      <c r="AK11" s="120"/>
      <c r="AL11" s="120"/>
      <c r="AM11" s="121"/>
      <c r="AN11" s="120">
        <v>8</v>
      </c>
      <c r="AO11" s="120"/>
      <c r="AP11" s="120"/>
      <c r="AQ11" s="120"/>
      <c r="AR11" s="120"/>
      <c r="AS11" s="120">
        <v>9</v>
      </c>
      <c r="AT11" s="120"/>
      <c r="AU11" s="120"/>
      <c r="AV11" s="120"/>
      <c r="AW11" s="121"/>
      <c r="AX11" s="120">
        <v>10</v>
      </c>
      <c r="AY11" s="120"/>
      <c r="AZ11" s="120"/>
      <c r="BA11" s="120"/>
      <c r="BB11" s="120"/>
      <c r="BC11" s="120">
        <v>11</v>
      </c>
      <c r="BD11" s="120"/>
      <c r="BE11" s="120"/>
      <c r="BF11" s="120"/>
    </row>
    <row r="12" spans="3:58" ht="15.75" hidden="1">
      <c r="C12" s="120"/>
      <c r="D12" s="120"/>
      <c r="E12" s="120"/>
      <c r="F12" s="120">
        <v>1</v>
      </c>
      <c r="G12" s="120"/>
      <c r="H12" s="120"/>
      <c r="I12" s="121"/>
      <c r="J12" s="120"/>
      <c r="K12" s="120">
        <v>2</v>
      </c>
      <c r="L12" s="120"/>
      <c r="M12" s="120"/>
      <c r="N12" s="120"/>
      <c r="O12" s="120"/>
      <c r="P12" s="120">
        <v>3</v>
      </c>
      <c r="Q12" s="120"/>
      <c r="R12" s="120"/>
      <c r="S12" s="121"/>
      <c r="T12" s="120"/>
      <c r="U12" s="120">
        <v>4</v>
      </c>
      <c r="V12" s="120"/>
      <c r="W12" s="120"/>
      <c r="X12" s="120"/>
      <c r="Y12" s="120"/>
      <c r="Z12" s="120">
        <v>5</v>
      </c>
      <c r="AA12" s="120"/>
      <c r="AB12" s="120"/>
      <c r="AC12" s="121"/>
      <c r="AD12" s="120"/>
      <c r="AE12" s="120">
        <v>6</v>
      </c>
      <c r="AF12" s="120"/>
      <c r="AG12" s="120"/>
      <c r="AH12" s="120"/>
      <c r="AI12" s="120"/>
      <c r="AJ12" s="120">
        <v>7</v>
      </c>
      <c r="AK12" s="120"/>
      <c r="AL12" s="120"/>
      <c r="AM12" s="121"/>
      <c r="AN12" s="120"/>
      <c r="AO12" s="120">
        <v>8</v>
      </c>
      <c r="AP12" s="120"/>
      <c r="AQ12" s="120"/>
      <c r="AR12" s="120"/>
      <c r="AS12" s="120"/>
      <c r="AT12" s="120">
        <v>9</v>
      </c>
      <c r="AU12" s="120"/>
      <c r="AV12" s="120"/>
      <c r="AW12" s="121"/>
      <c r="AX12" s="120"/>
      <c r="AY12" s="120">
        <v>10</v>
      </c>
      <c r="AZ12" s="120"/>
      <c r="BA12" s="120"/>
      <c r="BB12" s="120"/>
      <c r="BC12" s="120"/>
      <c r="BD12" s="120">
        <v>11</v>
      </c>
      <c r="BE12" s="120"/>
      <c r="BF12" s="120"/>
    </row>
    <row r="13" spans="3:58" ht="15.75" hidden="1">
      <c r="C13" s="120"/>
      <c r="D13" s="120"/>
      <c r="E13" s="120"/>
      <c r="F13" s="120"/>
      <c r="G13" s="120">
        <v>1</v>
      </c>
      <c r="H13" s="120"/>
      <c r="I13" s="121"/>
      <c r="J13" s="120"/>
      <c r="K13" s="120"/>
      <c r="L13" s="120">
        <v>2</v>
      </c>
      <c r="M13" s="120"/>
      <c r="N13" s="120"/>
      <c r="O13" s="120"/>
      <c r="P13" s="120"/>
      <c r="Q13" s="120">
        <v>3</v>
      </c>
      <c r="R13" s="120"/>
      <c r="S13" s="121"/>
      <c r="T13" s="120"/>
      <c r="U13" s="120"/>
      <c r="V13" s="120">
        <v>4</v>
      </c>
      <c r="W13" s="120"/>
      <c r="X13" s="120"/>
      <c r="Y13" s="120"/>
      <c r="Z13" s="120"/>
      <c r="AA13" s="120">
        <v>5</v>
      </c>
      <c r="AB13" s="120"/>
      <c r="AC13" s="121"/>
      <c r="AD13" s="120"/>
      <c r="AE13" s="120"/>
      <c r="AF13" s="120">
        <v>6</v>
      </c>
      <c r="AG13" s="120"/>
      <c r="AH13" s="120"/>
      <c r="AI13" s="120"/>
      <c r="AJ13" s="120"/>
      <c r="AK13" s="120">
        <v>7</v>
      </c>
      <c r="AL13" s="120"/>
      <c r="AM13" s="121"/>
      <c r="AN13" s="120"/>
      <c r="AO13" s="120"/>
      <c r="AP13" s="120">
        <v>8</v>
      </c>
      <c r="AQ13" s="120"/>
      <c r="AR13" s="120"/>
      <c r="AS13" s="120"/>
      <c r="AT13" s="120"/>
      <c r="AU13" s="120">
        <v>9</v>
      </c>
      <c r="AV13" s="120"/>
      <c r="AW13" s="121"/>
      <c r="AX13" s="120"/>
      <c r="AY13" s="120"/>
      <c r="AZ13" s="120">
        <v>10</v>
      </c>
      <c r="BA13" s="120"/>
      <c r="BB13" s="120"/>
      <c r="BC13" s="120"/>
      <c r="BD13" s="120"/>
      <c r="BE13" s="120">
        <v>11</v>
      </c>
      <c r="BF13" s="120"/>
    </row>
    <row r="14" spans="3:58" ht="15.75" hidden="1">
      <c r="C14" s="120"/>
      <c r="D14" s="120"/>
      <c r="E14" s="120"/>
      <c r="F14" s="120"/>
      <c r="G14" s="120"/>
      <c r="H14" s="120">
        <v>1</v>
      </c>
      <c r="I14" s="120"/>
      <c r="J14" s="120"/>
      <c r="K14" s="120"/>
      <c r="L14" s="120"/>
      <c r="M14" s="120">
        <v>2</v>
      </c>
      <c r="N14" s="120"/>
      <c r="O14" s="120"/>
      <c r="P14" s="120"/>
      <c r="Q14" s="120"/>
      <c r="R14" s="120">
        <v>3</v>
      </c>
      <c r="S14" s="120"/>
      <c r="T14" s="120"/>
      <c r="U14" s="120"/>
      <c r="V14" s="120"/>
      <c r="W14" s="120">
        <v>4</v>
      </c>
      <c r="X14" s="120"/>
      <c r="Y14" s="120"/>
      <c r="Z14" s="120"/>
      <c r="AA14" s="120"/>
      <c r="AB14" s="120">
        <v>5</v>
      </c>
      <c r="AC14" s="120"/>
      <c r="AD14" s="120"/>
      <c r="AE14" s="120"/>
      <c r="AF14" s="120"/>
      <c r="AG14" s="120">
        <v>6</v>
      </c>
      <c r="AH14" s="120"/>
      <c r="AI14" s="120"/>
      <c r="AJ14" s="120"/>
      <c r="AK14" s="120"/>
      <c r="AL14" s="120">
        <v>7</v>
      </c>
      <c r="AM14" s="120"/>
      <c r="AN14" s="120"/>
      <c r="AO14" s="120"/>
      <c r="AP14" s="120"/>
      <c r="AQ14" s="120">
        <v>8</v>
      </c>
      <c r="AR14" s="120"/>
      <c r="AS14" s="120"/>
      <c r="AT14" s="120"/>
      <c r="AU14" s="120"/>
      <c r="AV14" s="120">
        <v>9</v>
      </c>
      <c r="AW14" s="120"/>
      <c r="AX14" s="120"/>
      <c r="AY14" s="120"/>
      <c r="AZ14" s="120"/>
      <c r="BA14" s="120">
        <v>10</v>
      </c>
      <c r="BB14" s="120"/>
      <c r="BC14" s="120"/>
      <c r="BD14" s="120"/>
      <c r="BE14" s="120"/>
      <c r="BF14" s="120">
        <v>11</v>
      </c>
    </row>
    <row r="15" spans="3:58" ht="15.75">
      <c r="C15" s="120"/>
      <c r="D15" s="120">
        <v>1</v>
      </c>
      <c r="E15" s="120">
        <v>2</v>
      </c>
      <c r="F15" s="120">
        <v>3</v>
      </c>
      <c r="G15" s="120">
        <v>4</v>
      </c>
      <c r="H15" s="120">
        <v>5</v>
      </c>
      <c r="I15" s="121">
        <v>6</v>
      </c>
      <c r="J15" s="121">
        <v>7</v>
      </c>
      <c r="K15" s="121">
        <v>8</v>
      </c>
      <c r="L15" s="121">
        <v>9</v>
      </c>
      <c r="M15" s="121">
        <v>10</v>
      </c>
      <c r="N15" s="120">
        <v>11</v>
      </c>
      <c r="O15" s="120">
        <v>12</v>
      </c>
      <c r="P15" s="120">
        <v>13</v>
      </c>
      <c r="Q15" s="120">
        <v>14</v>
      </c>
      <c r="R15" s="120">
        <v>15</v>
      </c>
      <c r="S15" s="121">
        <v>16</v>
      </c>
      <c r="T15" s="121">
        <v>17</v>
      </c>
      <c r="U15" s="121">
        <v>18</v>
      </c>
      <c r="V15" s="121">
        <v>19</v>
      </c>
      <c r="W15" s="121">
        <v>20</v>
      </c>
      <c r="X15" s="120">
        <v>21</v>
      </c>
      <c r="Y15" s="120">
        <v>22</v>
      </c>
      <c r="Z15" s="120">
        <v>23</v>
      </c>
      <c r="AA15" s="120">
        <v>24</v>
      </c>
      <c r="AB15" s="120">
        <v>25</v>
      </c>
      <c r="AC15" s="121">
        <v>26</v>
      </c>
      <c r="AD15" s="121">
        <v>27</v>
      </c>
      <c r="AE15" s="121">
        <v>28</v>
      </c>
      <c r="AF15" s="121">
        <v>29</v>
      </c>
      <c r="AG15" s="121">
        <v>30</v>
      </c>
      <c r="AH15" s="120">
        <v>31</v>
      </c>
      <c r="AI15" s="120">
        <v>32</v>
      </c>
      <c r="AJ15" s="120">
        <v>33</v>
      </c>
      <c r="AK15" s="120">
        <v>34</v>
      </c>
      <c r="AL15" s="120">
        <v>35</v>
      </c>
      <c r="AM15" s="121">
        <v>36</v>
      </c>
      <c r="AN15" s="121">
        <v>37</v>
      </c>
      <c r="AO15" s="121">
        <v>38</v>
      </c>
      <c r="AP15" s="121">
        <v>39</v>
      </c>
      <c r="AQ15" s="121">
        <v>40</v>
      </c>
      <c r="AR15" s="120">
        <v>41</v>
      </c>
      <c r="AS15" s="120">
        <v>42</v>
      </c>
      <c r="AT15" s="120">
        <v>43</v>
      </c>
      <c r="AU15" s="120">
        <v>44</v>
      </c>
      <c r="AV15" s="120">
        <v>45</v>
      </c>
      <c r="AW15" s="121">
        <v>46</v>
      </c>
      <c r="AX15" s="121">
        <v>47</v>
      </c>
      <c r="AY15" s="121">
        <v>48</v>
      </c>
      <c r="AZ15" s="121">
        <v>49</v>
      </c>
      <c r="BA15" s="121">
        <v>50</v>
      </c>
      <c r="BB15" s="120">
        <v>51</v>
      </c>
      <c r="BC15" s="120">
        <v>52</v>
      </c>
      <c r="BD15" s="120">
        <v>53</v>
      </c>
      <c r="BE15" s="120">
        <v>54</v>
      </c>
      <c r="BF15" s="120">
        <v>55</v>
      </c>
    </row>
    <row r="17" spans="4:66" ht="15.75">
      <c r="D17" s="122" t="s">
        <v>334</v>
      </c>
      <c r="E17" s="123" t="s">
        <v>335</v>
      </c>
      <c r="F17" s="123" t="s">
        <v>336</v>
      </c>
      <c r="G17" s="123" t="s">
        <v>337</v>
      </c>
      <c r="H17" s="123" t="s">
        <v>338</v>
      </c>
      <c r="I17" s="124" t="s">
        <v>334</v>
      </c>
      <c r="J17" s="125" t="s">
        <v>339</v>
      </c>
      <c r="K17" s="125" t="s">
        <v>340</v>
      </c>
      <c r="L17" s="125" t="s">
        <v>341</v>
      </c>
      <c r="M17" s="125" t="s">
        <v>342</v>
      </c>
      <c r="N17" s="122" t="s">
        <v>334</v>
      </c>
      <c r="O17" s="123" t="s">
        <v>343</v>
      </c>
      <c r="P17" s="123" t="s">
        <v>344</v>
      </c>
      <c r="Q17" s="123" t="s">
        <v>345</v>
      </c>
      <c r="R17" s="123" t="s">
        <v>346</v>
      </c>
      <c r="S17" s="124" t="s">
        <v>334</v>
      </c>
      <c r="T17" s="125" t="s">
        <v>347</v>
      </c>
      <c r="U17" s="125" t="s">
        <v>348</v>
      </c>
      <c r="V17" s="125" t="s">
        <v>349</v>
      </c>
      <c r="W17" s="125" t="s">
        <v>350</v>
      </c>
      <c r="X17" s="122" t="s">
        <v>334</v>
      </c>
      <c r="Y17" s="123" t="s">
        <v>351</v>
      </c>
      <c r="Z17" s="123" t="s">
        <v>352</v>
      </c>
      <c r="AA17" s="123" t="s">
        <v>353</v>
      </c>
      <c r="AB17" s="123" t="s">
        <v>354</v>
      </c>
      <c r="AC17" s="124" t="s">
        <v>334</v>
      </c>
      <c r="AD17" s="125" t="s">
        <v>355</v>
      </c>
      <c r="AE17" s="125" t="s">
        <v>356</v>
      </c>
      <c r="AF17" s="125" t="s">
        <v>357</v>
      </c>
      <c r="AG17" s="125" t="s">
        <v>358</v>
      </c>
      <c r="AH17" s="122" t="s">
        <v>334</v>
      </c>
      <c r="AI17" s="123" t="s">
        <v>359</v>
      </c>
      <c r="AJ17" s="123" t="s">
        <v>360</v>
      </c>
      <c r="AK17" s="123" t="s">
        <v>361</v>
      </c>
      <c r="AL17" s="123" t="s">
        <v>362</v>
      </c>
      <c r="AM17" s="124" t="s">
        <v>334</v>
      </c>
      <c r="AN17" s="125" t="s">
        <v>363</v>
      </c>
      <c r="AO17" s="125" t="s">
        <v>364</v>
      </c>
      <c r="AP17" s="125" t="s">
        <v>365</v>
      </c>
      <c r="AQ17" s="125" t="s">
        <v>366</v>
      </c>
      <c r="AR17" s="122" t="s">
        <v>334</v>
      </c>
      <c r="AS17" s="123" t="s">
        <v>367</v>
      </c>
      <c r="AT17" s="123" t="s">
        <v>368</v>
      </c>
      <c r="AU17" s="123" t="s">
        <v>369</v>
      </c>
      <c r="AV17" s="123" t="s">
        <v>370</v>
      </c>
      <c r="AW17" s="124" t="s">
        <v>334</v>
      </c>
      <c r="AX17" s="125" t="s">
        <v>371</v>
      </c>
      <c r="AY17" s="125" t="s">
        <v>372</v>
      </c>
      <c r="AZ17" s="125" t="s">
        <v>373</v>
      </c>
      <c r="BA17" s="125" t="s">
        <v>374</v>
      </c>
      <c r="BB17" s="122" t="s">
        <v>334</v>
      </c>
      <c r="BC17" s="123" t="s">
        <v>375</v>
      </c>
      <c r="BD17" s="123" t="s">
        <v>376</v>
      </c>
      <c r="BE17" s="123" t="s">
        <v>377</v>
      </c>
      <c r="BF17" s="123" t="s">
        <v>378</v>
      </c>
      <c r="BG17" s="115"/>
      <c r="BH17" s="116" t="s">
        <v>379</v>
      </c>
      <c r="BI17" s="116" t="s">
        <v>380</v>
      </c>
      <c r="BJ17" s="115"/>
      <c r="BK17" s="116" t="s">
        <v>381</v>
      </c>
      <c r="BL17" s="116" t="s">
        <v>382</v>
      </c>
      <c r="BM17" s="116" t="s">
        <v>383</v>
      </c>
      <c r="BN17" s="116" t="s">
        <v>384</v>
      </c>
    </row>
    <row r="18" spans="4:66" ht="15.75">
      <c r="D18" s="126">
        <v>1</v>
      </c>
      <c r="E18" s="127">
        <v>3.6499999999999998E-2</v>
      </c>
      <c r="F18" s="127">
        <v>3.6499999999999998E-2</v>
      </c>
      <c r="G18" s="127">
        <v>0</v>
      </c>
      <c r="H18" s="127">
        <v>0</v>
      </c>
      <c r="I18" s="126">
        <v>1</v>
      </c>
      <c r="J18" s="127">
        <v>3.3399999999999999E-2</v>
      </c>
      <c r="K18" s="127">
        <v>2.7300000000000001E-2</v>
      </c>
      <c r="L18" s="127">
        <v>8.9200000000000002E-2</v>
      </c>
      <c r="M18" s="127">
        <v>0</v>
      </c>
      <c r="N18" s="126">
        <v>1</v>
      </c>
      <c r="O18" s="127">
        <v>2.7300000000000001E-2</v>
      </c>
      <c r="P18" s="127">
        <v>3.3399999999999999E-2</v>
      </c>
      <c r="Q18" s="127">
        <v>0</v>
      </c>
      <c r="R18" s="127">
        <v>8.9300000000000004E-2</v>
      </c>
      <c r="S18" s="126">
        <v>1</v>
      </c>
      <c r="T18" s="127">
        <v>2.6700000000000002E-2</v>
      </c>
      <c r="U18" s="127">
        <v>1.7999999999999999E-2</v>
      </c>
      <c r="V18" s="127">
        <v>6.9400000000000003E-2</v>
      </c>
      <c r="W18" s="127">
        <v>0</v>
      </c>
      <c r="X18" s="126">
        <v>1</v>
      </c>
      <c r="Y18" s="127">
        <v>1.7999999999999999E-2</v>
      </c>
      <c r="Z18" s="127">
        <v>2.6700000000000002E-2</v>
      </c>
      <c r="AA18" s="127">
        <v>0</v>
      </c>
      <c r="AB18" s="127">
        <v>6.9400000000000003E-2</v>
      </c>
      <c r="AC18" s="126">
        <v>1</v>
      </c>
      <c r="AD18" s="127">
        <v>2.69E-2</v>
      </c>
      <c r="AE18" s="127">
        <v>2.69E-2</v>
      </c>
      <c r="AF18" s="127">
        <v>6.25E-2</v>
      </c>
      <c r="AG18" s="127">
        <v>6.25E-2</v>
      </c>
      <c r="AH18" s="126">
        <v>1</v>
      </c>
      <c r="AI18" s="127">
        <v>2.2599999999999999E-2</v>
      </c>
      <c r="AJ18" s="127">
        <v>1.9800000000000002E-2</v>
      </c>
      <c r="AK18" s="127">
        <v>5.5599999999999997E-2</v>
      </c>
      <c r="AL18" s="127">
        <v>4.1700000000000001E-2</v>
      </c>
      <c r="AM18" s="126">
        <v>1</v>
      </c>
      <c r="AN18" s="127">
        <v>1.9800000000000002E-2</v>
      </c>
      <c r="AO18" s="127">
        <v>2.2599999999999999E-2</v>
      </c>
      <c r="AP18" s="127">
        <v>4.1700000000000001E-2</v>
      </c>
      <c r="AQ18" s="127">
        <v>5.5599999999999997E-2</v>
      </c>
      <c r="AR18" s="126">
        <v>1</v>
      </c>
      <c r="AS18" s="127">
        <v>1.7899999999999999E-2</v>
      </c>
      <c r="AT18" s="127">
        <v>1.7899999999999999E-2</v>
      </c>
      <c r="AU18" s="127">
        <v>4.1700000000000001E-2</v>
      </c>
      <c r="AV18" s="127">
        <v>4.1700000000000001E-2</v>
      </c>
      <c r="AW18" s="126">
        <v>1</v>
      </c>
      <c r="AX18" s="127">
        <v>9.9000000000000008E-3</v>
      </c>
      <c r="AY18" s="127">
        <v>4.5699999999999998E-2</v>
      </c>
      <c r="AZ18" s="127">
        <v>5.0999999999999997E-2</v>
      </c>
      <c r="BA18" s="127">
        <v>8.5300000000000001E-2</v>
      </c>
      <c r="BB18" s="126">
        <v>1</v>
      </c>
      <c r="BC18" s="127">
        <v>4.5699999999999998E-2</v>
      </c>
      <c r="BD18" s="127">
        <v>8.9999999999999993E-3</v>
      </c>
      <c r="BE18" s="127">
        <v>8.5500000000000007E-2</v>
      </c>
      <c r="BF18" s="127">
        <v>5.0999999999999997E-2</v>
      </c>
      <c r="BG18" s="115"/>
      <c r="BH18" s="116">
        <v>150</v>
      </c>
      <c r="BI18" s="116">
        <v>65</v>
      </c>
      <c r="BJ18" s="116" t="s">
        <v>385</v>
      </c>
      <c r="BK18" s="116">
        <v>2000</v>
      </c>
      <c r="BL18" s="116">
        <v>3000</v>
      </c>
      <c r="BM18" s="116">
        <v>4000</v>
      </c>
      <c r="BN18" s="116">
        <v>6000</v>
      </c>
    </row>
    <row r="19" spans="4:66" ht="15.75">
      <c r="D19" s="128">
        <v>1.01</v>
      </c>
      <c r="E19" s="129">
        <v>3.6879999999999996E-2</v>
      </c>
      <c r="F19" s="129">
        <v>3.6019999999999996E-2</v>
      </c>
      <c r="G19" s="129">
        <v>0</v>
      </c>
      <c r="H19" s="129">
        <v>0</v>
      </c>
      <c r="I19" s="128">
        <v>1.01</v>
      </c>
      <c r="J19" s="129">
        <v>3.3579999999999999E-2</v>
      </c>
      <c r="K19" s="129">
        <v>2.6880000000000001E-2</v>
      </c>
      <c r="L19" s="129">
        <v>8.9260000000000006E-2</v>
      </c>
      <c r="M19" s="129">
        <v>0</v>
      </c>
      <c r="N19" s="128">
        <v>1.01</v>
      </c>
      <c r="O19" s="129">
        <v>2.7700000000000002E-2</v>
      </c>
      <c r="P19" s="129">
        <v>3.322E-2</v>
      </c>
      <c r="Q19" s="129">
        <v>0</v>
      </c>
      <c r="R19" s="129">
        <v>8.9099999999999999E-2</v>
      </c>
      <c r="S19" s="128">
        <v>1.01</v>
      </c>
      <c r="T19" s="129">
        <v>2.6700000000000002E-2</v>
      </c>
      <c r="U19" s="129">
        <v>1.762E-2</v>
      </c>
      <c r="V19" s="129">
        <v>6.9120000000000001E-2</v>
      </c>
      <c r="W19" s="129">
        <v>0</v>
      </c>
      <c r="X19" s="128">
        <v>1.01</v>
      </c>
      <c r="Y19" s="129">
        <v>1.8380000000000001E-2</v>
      </c>
      <c r="Z19" s="129">
        <v>2.666E-2</v>
      </c>
      <c r="AA19" s="129">
        <v>0</v>
      </c>
      <c r="AB19" s="129">
        <v>6.9620000000000001E-2</v>
      </c>
      <c r="AC19" s="128">
        <v>1.01</v>
      </c>
      <c r="AD19" s="129">
        <v>2.716E-2</v>
      </c>
      <c r="AE19" s="129">
        <v>2.6620000000000001E-2</v>
      </c>
      <c r="AF19" s="129">
        <v>6.3100000000000003E-2</v>
      </c>
      <c r="AG19" s="129">
        <v>6.1800000000000001E-2</v>
      </c>
      <c r="AH19" s="128">
        <v>1.01</v>
      </c>
      <c r="AI19" s="129">
        <v>2.2699999999999998E-2</v>
      </c>
      <c r="AJ19" s="129">
        <v>1.9520000000000003E-2</v>
      </c>
      <c r="AK19" s="129">
        <v>5.568E-2</v>
      </c>
      <c r="AL19" s="129">
        <v>4.1059999999999999E-2</v>
      </c>
      <c r="AM19" s="128">
        <v>1.01</v>
      </c>
      <c r="AN19" s="129">
        <v>2.01E-2</v>
      </c>
      <c r="AO19" s="129">
        <v>2.2499999999999999E-2</v>
      </c>
      <c r="AP19" s="129">
        <v>4.2360000000000002E-2</v>
      </c>
      <c r="AQ19" s="129">
        <v>5.5379999999999999E-2</v>
      </c>
      <c r="AR19" s="128">
        <v>1.01</v>
      </c>
      <c r="AS19" s="129">
        <v>1.806E-2</v>
      </c>
      <c r="AT19" s="129">
        <v>1.7739999999999999E-2</v>
      </c>
      <c r="AU19" s="129">
        <v>4.2099999999999999E-2</v>
      </c>
      <c r="AV19" s="129">
        <v>4.1239999999999999E-2</v>
      </c>
      <c r="AW19" s="128">
        <v>1.01</v>
      </c>
      <c r="AX19" s="129">
        <v>9.9300000000000013E-3</v>
      </c>
      <c r="AY19" s="129">
        <v>4.6050000000000001E-2</v>
      </c>
      <c r="AZ19" s="129">
        <v>5.1639999999999998E-2</v>
      </c>
      <c r="BA19" s="129">
        <v>8.6070000000000008E-2</v>
      </c>
      <c r="BB19" s="128">
        <v>1.01</v>
      </c>
      <c r="BC19" s="129">
        <v>4.5339999999999998E-2</v>
      </c>
      <c r="BD19" s="129">
        <v>9.0399999999999994E-3</v>
      </c>
      <c r="BE19" s="129">
        <v>8.4720000000000004E-2</v>
      </c>
      <c r="BF19" s="129">
        <v>5.0379999999999994E-2</v>
      </c>
      <c r="BG19" s="115"/>
      <c r="BH19" s="116">
        <v>200</v>
      </c>
      <c r="BI19" s="116">
        <v>90</v>
      </c>
      <c r="BJ19" s="115"/>
      <c r="BK19" s="115"/>
      <c r="BL19" s="115"/>
      <c r="BM19" s="115"/>
      <c r="BN19" s="115"/>
    </row>
    <row r="20" spans="4:66" ht="15.75">
      <c r="D20" s="128">
        <v>1.02</v>
      </c>
      <c r="E20" s="129">
        <v>3.7259999999999995E-2</v>
      </c>
      <c r="F20" s="129">
        <v>3.5539999999999995E-2</v>
      </c>
      <c r="G20" s="129">
        <v>0</v>
      </c>
      <c r="H20" s="129">
        <v>0</v>
      </c>
      <c r="I20" s="128">
        <v>1.02</v>
      </c>
      <c r="J20" s="129">
        <v>3.3759999999999998E-2</v>
      </c>
      <c r="K20" s="129">
        <v>2.6460000000000001E-2</v>
      </c>
      <c r="L20" s="129">
        <v>8.9319999999999997E-2</v>
      </c>
      <c r="M20" s="129">
        <v>0</v>
      </c>
      <c r="N20" s="128">
        <v>1.02</v>
      </c>
      <c r="O20" s="129">
        <v>2.81E-2</v>
      </c>
      <c r="P20" s="129">
        <v>3.304E-2</v>
      </c>
      <c r="Q20" s="129">
        <v>0</v>
      </c>
      <c r="R20" s="129">
        <v>8.8900000000000007E-2</v>
      </c>
      <c r="S20" s="128">
        <v>1.02</v>
      </c>
      <c r="T20" s="129">
        <v>2.6700000000000002E-2</v>
      </c>
      <c r="U20" s="129">
        <v>1.7239999999999998E-2</v>
      </c>
      <c r="V20" s="129">
        <v>6.8839999999999998E-2</v>
      </c>
      <c r="W20" s="129">
        <v>0</v>
      </c>
      <c r="X20" s="128">
        <v>1.02</v>
      </c>
      <c r="Y20" s="129">
        <v>1.8759999999999999E-2</v>
      </c>
      <c r="Z20" s="129">
        <v>2.6620000000000001E-2</v>
      </c>
      <c r="AA20" s="129">
        <v>0</v>
      </c>
      <c r="AB20" s="129">
        <v>6.9839999999999999E-2</v>
      </c>
      <c r="AC20" s="128">
        <v>1.02</v>
      </c>
      <c r="AD20" s="129">
        <v>2.742E-2</v>
      </c>
      <c r="AE20" s="129">
        <v>2.6339999999999999E-2</v>
      </c>
      <c r="AF20" s="129">
        <v>6.3700000000000007E-2</v>
      </c>
      <c r="AG20" s="129">
        <v>6.1100000000000002E-2</v>
      </c>
      <c r="AH20" s="128">
        <v>1.02</v>
      </c>
      <c r="AI20" s="129">
        <v>2.2799999999999997E-2</v>
      </c>
      <c r="AJ20" s="129">
        <v>1.924E-2</v>
      </c>
      <c r="AK20" s="129">
        <v>5.5759999999999997E-2</v>
      </c>
      <c r="AL20" s="129">
        <v>4.0419999999999998E-2</v>
      </c>
      <c r="AM20" s="128">
        <v>1.02</v>
      </c>
      <c r="AN20" s="129">
        <v>2.0400000000000001E-2</v>
      </c>
      <c r="AO20" s="129">
        <v>2.24E-2</v>
      </c>
      <c r="AP20" s="129">
        <v>4.3020000000000003E-2</v>
      </c>
      <c r="AQ20" s="129">
        <v>5.5160000000000001E-2</v>
      </c>
      <c r="AR20" s="128">
        <v>1.02</v>
      </c>
      <c r="AS20" s="129">
        <v>1.822E-2</v>
      </c>
      <c r="AT20" s="129">
        <v>1.7579999999999998E-2</v>
      </c>
      <c r="AU20" s="129">
        <v>4.2500000000000003E-2</v>
      </c>
      <c r="AV20" s="129">
        <v>4.0779999999999997E-2</v>
      </c>
      <c r="AW20" s="128">
        <v>1.02</v>
      </c>
      <c r="AX20" s="129">
        <v>9.9600000000000001E-3</v>
      </c>
      <c r="AY20" s="129">
        <v>4.6399999999999997E-2</v>
      </c>
      <c r="AZ20" s="129">
        <v>5.228E-2</v>
      </c>
      <c r="BA20" s="129">
        <v>8.6840000000000001E-2</v>
      </c>
      <c r="BB20" s="128">
        <v>1.02</v>
      </c>
      <c r="BC20" s="129">
        <v>4.4979999999999999E-2</v>
      </c>
      <c r="BD20" s="129">
        <v>9.0799999999999995E-3</v>
      </c>
      <c r="BE20" s="129">
        <v>8.3940000000000001E-2</v>
      </c>
      <c r="BF20" s="129">
        <v>4.9759999999999999E-2</v>
      </c>
      <c r="BG20" s="115"/>
      <c r="BH20" s="116">
        <v>250</v>
      </c>
      <c r="BI20" s="116">
        <v>110</v>
      </c>
      <c r="BJ20" s="115"/>
      <c r="BK20" s="116" t="s">
        <v>386</v>
      </c>
      <c r="BL20" s="116" t="s">
        <v>387</v>
      </c>
      <c r="BM20" s="116" t="s">
        <v>388</v>
      </c>
      <c r="BN20" s="116" t="s">
        <v>389</v>
      </c>
    </row>
    <row r="21" spans="4:66" ht="15.75">
      <c r="D21" s="128">
        <v>1.03</v>
      </c>
      <c r="E21" s="129">
        <v>3.764E-2</v>
      </c>
      <c r="F21" s="129">
        <v>3.5060000000000001E-2</v>
      </c>
      <c r="G21" s="129">
        <v>0</v>
      </c>
      <c r="H21" s="129">
        <v>0</v>
      </c>
      <c r="I21" s="128">
        <v>1.03</v>
      </c>
      <c r="J21" s="129">
        <v>3.3939999999999998E-2</v>
      </c>
      <c r="K21" s="129">
        <v>2.6040000000000001E-2</v>
      </c>
      <c r="L21" s="129">
        <v>8.9380000000000001E-2</v>
      </c>
      <c r="M21" s="129">
        <v>0</v>
      </c>
      <c r="N21" s="128">
        <v>1.03</v>
      </c>
      <c r="O21" s="129">
        <v>2.8500000000000001E-2</v>
      </c>
      <c r="P21" s="129">
        <v>3.286E-2</v>
      </c>
      <c r="Q21" s="129">
        <v>0</v>
      </c>
      <c r="R21" s="129">
        <v>8.8700000000000001E-2</v>
      </c>
      <c r="S21" s="128">
        <v>1.03</v>
      </c>
      <c r="T21" s="129">
        <v>2.6700000000000002E-2</v>
      </c>
      <c r="U21" s="129">
        <v>1.686E-2</v>
      </c>
      <c r="V21" s="129">
        <v>6.856000000000001E-2</v>
      </c>
      <c r="W21" s="129">
        <v>0</v>
      </c>
      <c r="X21" s="128">
        <v>1.03</v>
      </c>
      <c r="Y21" s="129">
        <v>1.9140000000000001E-2</v>
      </c>
      <c r="Z21" s="129">
        <v>2.6579999999999999E-2</v>
      </c>
      <c r="AA21" s="129">
        <v>0</v>
      </c>
      <c r="AB21" s="129">
        <v>7.0059999999999997E-2</v>
      </c>
      <c r="AC21" s="128">
        <v>1.03</v>
      </c>
      <c r="AD21" s="129">
        <v>2.768E-2</v>
      </c>
      <c r="AE21" s="129">
        <v>2.606E-2</v>
      </c>
      <c r="AF21" s="129">
        <v>6.4299999999999996E-2</v>
      </c>
      <c r="AG21" s="129">
        <v>6.0399999999999995E-2</v>
      </c>
      <c r="AH21" s="128">
        <v>1.03</v>
      </c>
      <c r="AI21" s="129">
        <v>2.29E-2</v>
      </c>
      <c r="AJ21" s="129">
        <v>1.8960000000000001E-2</v>
      </c>
      <c r="AK21" s="129">
        <v>5.5840000000000001E-2</v>
      </c>
      <c r="AL21" s="129">
        <v>3.9780000000000003E-2</v>
      </c>
      <c r="AM21" s="128">
        <v>1.03</v>
      </c>
      <c r="AN21" s="129">
        <v>2.07E-2</v>
      </c>
      <c r="AO21" s="129">
        <v>2.23E-2</v>
      </c>
      <c r="AP21" s="129">
        <v>4.3679999999999997E-2</v>
      </c>
      <c r="AQ21" s="129">
        <v>5.4939999999999996E-2</v>
      </c>
      <c r="AR21" s="128">
        <v>1.03</v>
      </c>
      <c r="AS21" s="129">
        <v>1.8380000000000001E-2</v>
      </c>
      <c r="AT21" s="129">
        <v>1.7420000000000001E-2</v>
      </c>
      <c r="AU21" s="129">
        <v>4.2900000000000001E-2</v>
      </c>
      <c r="AV21" s="129">
        <v>4.0320000000000002E-2</v>
      </c>
      <c r="AW21" s="128">
        <v>1.03</v>
      </c>
      <c r="AX21" s="129">
        <v>9.9900000000000006E-3</v>
      </c>
      <c r="AY21" s="129">
        <v>4.675E-2</v>
      </c>
      <c r="AZ21" s="129">
        <v>5.2919999999999995E-2</v>
      </c>
      <c r="BA21" s="129">
        <v>8.7610000000000007E-2</v>
      </c>
      <c r="BB21" s="128">
        <v>1.03</v>
      </c>
      <c r="BC21" s="129">
        <v>4.4619999999999993E-2</v>
      </c>
      <c r="BD21" s="129">
        <v>9.1199999999999996E-3</v>
      </c>
      <c r="BE21" s="129">
        <v>8.3160000000000012E-2</v>
      </c>
      <c r="BF21" s="129">
        <v>4.9139999999999996E-2</v>
      </c>
      <c r="BG21" s="115"/>
      <c r="BH21" s="116">
        <v>300</v>
      </c>
      <c r="BI21" s="116">
        <v>130</v>
      </c>
      <c r="BJ21" s="116" t="s">
        <v>385</v>
      </c>
      <c r="BK21" s="116">
        <v>2300</v>
      </c>
      <c r="BL21" s="116">
        <v>2800</v>
      </c>
      <c r="BM21" s="116">
        <v>3600</v>
      </c>
      <c r="BN21" s="116">
        <v>5000</v>
      </c>
    </row>
    <row r="22" spans="4:66" ht="15.75">
      <c r="D22" s="128">
        <v>1.04</v>
      </c>
      <c r="E22" s="129">
        <v>3.8019999999999998E-2</v>
      </c>
      <c r="F22" s="129">
        <v>3.458E-2</v>
      </c>
      <c r="G22" s="129">
        <v>0</v>
      </c>
      <c r="H22" s="129">
        <v>0</v>
      </c>
      <c r="I22" s="128">
        <v>1.04</v>
      </c>
      <c r="J22" s="129">
        <v>3.4119999999999998E-2</v>
      </c>
      <c r="K22" s="129">
        <v>2.562E-2</v>
      </c>
      <c r="L22" s="129">
        <v>8.9439999999999992E-2</v>
      </c>
      <c r="M22" s="129">
        <v>0</v>
      </c>
      <c r="N22" s="128">
        <v>1.04</v>
      </c>
      <c r="O22" s="129">
        <v>2.8899999999999999E-2</v>
      </c>
      <c r="P22" s="129">
        <v>3.2680000000000001E-2</v>
      </c>
      <c r="Q22" s="129">
        <v>0</v>
      </c>
      <c r="R22" s="129">
        <v>8.8500000000000009E-2</v>
      </c>
      <c r="S22" s="128">
        <v>1.04</v>
      </c>
      <c r="T22" s="129">
        <v>2.6700000000000002E-2</v>
      </c>
      <c r="U22" s="129">
        <v>1.6479999999999998E-2</v>
      </c>
      <c r="V22" s="129">
        <v>6.8280000000000007E-2</v>
      </c>
      <c r="W22" s="129">
        <v>0</v>
      </c>
      <c r="X22" s="128">
        <v>1.04</v>
      </c>
      <c r="Y22" s="129">
        <v>1.9519999999999999E-2</v>
      </c>
      <c r="Z22" s="129">
        <v>2.6540000000000001E-2</v>
      </c>
      <c r="AA22" s="129">
        <v>0</v>
      </c>
      <c r="AB22" s="129">
        <v>7.0279999999999995E-2</v>
      </c>
      <c r="AC22" s="128">
        <v>1.04</v>
      </c>
      <c r="AD22" s="129">
        <v>2.794E-2</v>
      </c>
      <c r="AE22" s="129">
        <v>2.5779999999999997E-2</v>
      </c>
      <c r="AF22" s="129">
        <v>6.4899999999999999E-2</v>
      </c>
      <c r="AG22" s="129">
        <v>5.9699999999999996E-2</v>
      </c>
      <c r="AH22" s="128">
        <v>1.04</v>
      </c>
      <c r="AI22" s="129">
        <v>2.3E-2</v>
      </c>
      <c r="AJ22" s="129">
        <v>1.8679999999999999E-2</v>
      </c>
      <c r="AK22" s="129">
        <v>5.5919999999999997E-2</v>
      </c>
      <c r="AL22" s="129">
        <v>3.9140000000000001E-2</v>
      </c>
      <c r="AM22" s="128">
        <v>1.04</v>
      </c>
      <c r="AN22" s="129">
        <v>2.1000000000000001E-2</v>
      </c>
      <c r="AO22" s="129">
        <v>2.2200000000000001E-2</v>
      </c>
      <c r="AP22" s="129">
        <v>4.4339999999999997E-2</v>
      </c>
      <c r="AQ22" s="129">
        <v>5.4719999999999998E-2</v>
      </c>
      <c r="AR22" s="128">
        <v>1.04</v>
      </c>
      <c r="AS22" s="129">
        <v>1.8540000000000001E-2</v>
      </c>
      <c r="AT22" s="129">
        <v>1.7260000000000001E-2</v>
      </c>
      <c r="AU22" s="129">
        <v>4.3300000000000005E-2</v>
      </c>
      <c r="AV22" s="129">
        <v>3.986E-2</v>
      </c>
      <c r="AW22" s="128">
        <v>1.04</v>
      </c>
      <c r="AX22" s="129">
        <v>1.0019999999999999E-2</v>
      </c>
      <c r="AY22" s="129">
        <v>4.7099999999999996E-2</v>
      </c>
      <c r="AZ22" s="129">
        <v>5.3559999999999997E-2</v>
      </c>
      <c r="BA22" s="129">
        <v>8.838E-2</v>
      </c>
      <c r="BB22" s="128">
        <v>1.04</v>
      </c>
      <c r="BC22" s="129">
        <v>4.4259999999999994E-2</v>
      </c>
      <c r="BD22" s="129">
        <v>9.1599999999999997E-3</v>
      </c>
      <c r="BE22" s="129">
        <v>8.2380000000000009E-2</v>
      </c>
      <c r="BF22" s="129">
        <v>4.8520000000000001E-2</v>
      </c>
      <c r="BG22" s="115"/>
      <c r="BH22" s="116">
        <v>350</v>
      </c>
      <c r="BI22" s="116">
        <v>155</v>
      </c>
      <c r="BJ22" s="115"/>
      <c r="BK22" s="115"/>
      <c r="BL22" s="115"/>
      <c r="BM22" s="115"/>
      <c r="BN22" s="115"/>
    </row>
    <row r="23" spans="4:66" ht="15.75">
      <c r="D23" s="126">
        <v>1.05</v>
      </c>
      <c r="E23" s="127">
        <v>3.8399999999999997E-2</v>
      </c>
      <c r="F23" s="127">
        <v>3.4099999999999998E-2</v>
      </c>
      <c r="G23" s="129">
        <v>0</v>
      </c>
      <c r="H23" s="129">
        <v>0</v>
      </c>
      <c r="I23" s="126">
        <v>1.05</v>
      </c>
      <c r="J23" s="127">
        <v>3.4299999999999997E-2</v>
      </c>
      <c r="K23" s="127">
        <v>2.52E-2</v>
      </c>
      <c r="L23" s="127">
        <v>8.9499999999999996E-2</v>
      </c>
      <c r="M23" s="129">
        <v>0</v>
      </c>
      <c r="N23" s="126">
        <v>1.05</v>
      </c>
      <c r="O23" s="127">
        <v>2.93E-2</v>
      </c>
      <c r="P23" s="127">
        <v>3.2500000000000001E-2</v>
      </c>
      <c r="Q23" s="129">
        <v>0</v>
      </c>
      <c r="R23" s="127">
        <v>8.8300000000000003E-2</v>
      </c>
      <c r="S23" s="126">
        <v>1.05</v>
      </c>
      <c r="T23" s="127">
        <v>2.6700000000000002E-2</v>
      </c>
      <c r="U23" s="127">
        <v>1.61E-2</v>
      </c>
      <c r="V23" s="127">
        <v>6.8000000000000005E-2</v>
      </c>
      <c r="W23" s="129">
        <v>0</v>
      </c>
      <c r="X23" s="126">
        <v>1.05</v>
      </c>
      <c r="Y23" s="127">
        <v>1.9900000000000001E-2</v>
      </c>
      <c r="Z23" s="127">
        <v>2.6499999999999999E-2</v>
      </c>
      <c r="AA23" s="129">
        <v>0</v>
      </c>
      <c r="AB23" s="127">
        <v>7.0499999999999993E-2</v>
      </c>
      <c r="AC23" s="126">
        <v>1.05</v>
      </c>
      <c r="AD23" s="127">
        <v>2.8199999999999999E-2</v>
      </c>
      <c r="AE23" s="127">
        <v>2.5499999999999998E-2</v>
      </c>
      <c r="AF23" s="127">
        <v>6.5500000000000003E-2</v>
      </c>
      <c r="AG23" s="127">
        <v>5.8999999999999997E-2</v>
      </c>
      <c r="AH23" s="126">
        <v>1.05</v>
      </c>
      <c r="AI23" s="127">
        <v>2.3099999999999999E-2</v>
      </c>
      <c r="AJ23" s="127">
        <v>1.84E-2</v>
      </c>
      <c r="AK23" s="127">
        <v>5.6000000000000001E-2</v>
      </c>
      <c r="AL23" s="127">
        <v>3.85E-2</v>
      </c>
      <c r="AM23" s="126">
        <v>1.05</v>
      </c>
      <c r="AN23" s="127">
        <v>2.1299999999999999E-2</v>
      </c>
      <c r="AO23" s="127">
        <v>2.2100000000000002E-2</v>
      </c>
      <c r="AP23" s="127">
        <v>4.4999999999999998E-2</v>
      </c>
      <c r="AQ23" s="127">
        <v>5.45E-2</v>
      </c>
      <c r="AR23" s="126">
        <v>1.05</v>
      </c>
      <c r="AS23" s="127">
        <v>1.8700000000000001E-2</v>
      </c>
      <c r="AT23" s="127">
        <v>1.7100000000000001E-2</v>
      </c>
      <c r="AU23" s="127">
        <v>4.3700000000000003E-2</v>
      </c>
      <c r="AV23" s="127">
        <v>3.9399999999999998E-2</v>
      </c>
      <c r="AW23" s="126">
        <v>1.05</v>
      </c>
      <c r="AX23" s="127">
        <v>1.005E-2</v>
      </c>
      <c r="AY23" s="127">
        <v>4.7449999999999999E-2</v>
      </c>
      <c r="AZ23" s="127">
        <v>5.4199999999999998E-2</v>
      </c>
      <c r="BA23" s="127">
        <v>8.9150000000000007E-2</v>
      </c>
      <c r="BB23" s="126">
        <v>1.05</v>
      </c>
      <c r="BC23" s="127">
        <v>4.3899999999999995E-2</v>
      </c>
      <c r="BD23" s="127">
        <v>9.1999999999999998E-3</v>
      </c>
      <c r="BE23" s="127">
        <v>8.1600000000000006E-2</v>
      </c>
      <c r="BF23" s="127">
        <v>4.7899999999999998E-2</v>
      </c>
      <c r="BG23" s="115"/>
      <c r="BH23" s="116">
        <v>400</v>
      </c>
      <c r="BI23" s="116">
        <v>170</v>
      </c>
      <c r="BJ23" s="115"/>
      <c r="BK23" s="115"/>
      <c r="BL23" s="115"/>
      <c r="BM23" s="115"/>
      <c r="BN23" s="115"/>
    </row>
    <row r="24" spans="4:66" ht="15.75">
      <c r="D24" s="128">
        <v>1.06</v>
      </c>
      <c r="E24" s="129">
        <v>3.8699999999999998E-2</v>
      </c>
      <c r="F24" s="129">
        <v>3.388E-2</v>
      </c>
      <c r="G24" s="129">
        <v>0</v>
      </c>
      <c r="H24" s="129">
        <v>0</v>
      </c>
      <c r="I24" s="128">
        <v>1.06</v>
      </c>
      <c r="J24" s="129">
        <v>3.4419999999999999E-2</v>
      </c>
      <c r="K24" s="129">
        <v>2.478E-2</v>
      </c>
      <c r="L24" s="129">
        <v>8.9439999999999992E-2</v>
      </c>
      <c r="M24" s="129">
        <v>0</v>
      </c>
      <c r="N24" s="128">
        <v>1.06</v>
      </c>
      <c r="O24" s="129">
        <v>2.9700000000000001E-2</v>
      </c>
      <c r="P24" s="129">
        <v>3.2260000000000004E-2</v>
      </c>
      <c r="Q24" s="129">
        <v>0</v>
      </c>
      <c r="R24" s="129">
        <v>8.7980000000000003E-2</v>
      </c>
      <c r="S24" s="128">
        <v>1.06</v>
      </c>
      <c r="T24" s="129">
        <v>2.6680000000000002E-2</v>
      </c>
      <c r="U24" s="129">
        <v>1.5800000000000002E-2</v>
      </c>
      <c r="V24" s="129">
        <v>6.7740000000000009E-2</v>
      </c>
      <c r="W24" s="129">
        <v>0</v>
      </c>
      <c r="X24" s="128">
        <v>1.06</v>
      </c>
      <c r="Y24" s="129">
        <v>2.0279999999999999E-2</v>
      </c>
      <c r="Z24" s="129">
        <v>2.6439999999999998E-2</v>
      </c>
      <c r="AA24" s="129">
        <v>0</v>
      </c>
      <c r="AB24" s="129">
        <v>7.0559999999999998E-2</v>
      </c>
      <c r="AC24" s="128">
        <v>1.06</v>
      </c>
      <c r="AD24" s="129">
        <v>2.8399999999999998E-2</v>
      </c>
      <c r="AE24" s="129">
        <v>2.5239999999999999E-2</v>
      </c>
      <c r="AF24" s="129">
        <v>6.59E-2</v>
      </c>
      <c r="AG24" s="129">
        <v>5.8359999999999995E-2</v>
      </c>
      <c r="AH24" s="128">
        <v>1.06</v>
      </c>
      <c r="AI24" s="129">
        <v>2.316E-2</v>
      </c>
      <c r="AJ24" s="129">
        <v>1.8099999999999998E-2</v>
      </c>
      <c r="AK24" s="129">
        <v>5.6100000000000004E-2</v>
      </c>
      <c r="AL24" s="129">
        <v>3.78E-2</v>
      </c>
      <c r="AM24" s="128">
        <v>1.06</v>
      </c>
      <c r="AN24" s="129">
        <v>2.1559999999999999E-2</v>
      </c>
      <c r="AO24" s="129">
        <v>2.1920000000000002E-2</v>
      </c>
      <c r="AP24" s="129">
        <v>4.5620000000000001E-2</v>
      </c>
      <c r="AQ24" s="129">
        <v>5.4199999999999998E-2</v>
      </c>
      <c r="AR24" s="128">
        <v>1.06</v>
      </c>
      <c r="AS24" s="129">
        <v>1.8840000000000003E-2</v>
      </c>
      <c r="AT24" s="129">
        <v>1.6900000000000002E-2</v>
      </c>
      <c r="AU24" s="129">
        <v>4.3959999999999999E-2</v>
      </c>
      <c r="AV24" s="129">
        <v>3.8959999999999995E-2</v>
      </c>
      <c r="AW24" s="128">
        <v>1.06</v>
      </c>
      <c r="AX24" s="129">
        <v>1.008E-2</v>
      </c>
      <c r="AY24" s="129">
        <v>4.7800000000000002E-2</v>
      </c>
      <c r="AZ24" s="129">
        <v>5.484E-2</v>
      </c>
      <c r="BA24" s="129">
        <v>8.992E-2</v>
      </c>
      <c r="BB24" s="128">
        <v>1.06</v>
      </c>
      <c r="BC24" s="129">
        <v>4.3539999999999995E-2</v>
      </c>
      <c r="BD24" s="129">
        <v>9.2399999999999999E-3</v>
      </c>
      <c r="BE24" s="129">
        <v>8.0820000000000003E-2</v>
      </c>
      <c r="BF24" s="129">
        <v>4.7279999999999996E-2</v>
      </c>
      <c r="BG24" s="115"/>
      <c r="BH24" s="116">
        <v>500</v>
      </c>
      <c r="BI24" s="116">
        <v>215</v>
      </c>
      <c r="BJ24" s="115"/>
      <c r="BK24" s="115"/>
      <c r="BL24" s="115"/>
      <c r="BM24" s="115"/>
      <c r="BN24" s="115"/>
    </row>
    <row r="25" spans="4:66" ht="15.75">
      <c r="D25" s="128">
        <v>1.07</v>
      </c>
      <c r="E25" s="129">
        <v>3.9E-2</v>
      </c>
      <c r="F25" s="129">
        <v>3.3660000000000002E-2</v>
      </c>
      <c r="G25" s="129">
        <v>0</v>
      </c>
      <c r="H25" s="129">
        <v>0</v>
      </c>
      <c r="I25" s="128">
        <v>1.07</v>
      </c>
      <c r="J25" s="129">
        <v>3.4540000000000001E-2</v>
      </c>
      <c r="K25" s="129">
        <v>2.436E-2</v>
      </c>
      <c r="L25" s="129">
        <v>8.9380000000000001E-2</v>
      </c>
      <c r="M25" s="129">
        <v>0</v>
      </c>
      <c r="N25" s="128">
        <v>1.07</v>
      </c>
      <c r="O25" s="129">
        <v>3.0100000000000002E-2</v>
      </c>
      <c r="P25" s="129">
        <v>3.202E-2</v>
      </c>
      <c r="Q25" s="129">
        <v>0</v>
      </c>
      <c r="R25" s="129">
        <v>8.7660000000000002E-2</v>
      </c>
      <c r="S25" s="128">
        <v>1.07</v>
      </c>
      <c r="T25" s="129">
        <v>2.666E-2</v>
      </c>
      <c r="U25" s="129">
        <v>1.55E-2</v>
      </c>
      <c r="V25" s="129">
        <v>6.7479999999999998E-2</v>
      </c>
      <c r="W25" s="129">
        <v>0</v>
      </c>
      <c r="X25" s="128">
        <v>1.07</v>
      </c>
      <c r="Y25" s="129">
        <v>2.0660000000000001E-2</v>
      </c>
      <c r="Z25" s="129">
        <v>2.6380000000000001E-2</v>
      </c>
      <c r="AA25" s="129">
        <v>0</v>
      </c>
      <c r="AB25" s="129">
        <v>7.0620000000000002E-2</v>
      </c>
      <c r="AC25" s="128">
        <v>1.07</v>
      </c>
      <c r="AD25" s="129">
        <v>2.86E-2</v>
      </c>
      <c r="AE25" s="129">
        <v>2.4979999999999999E-2</v>
      </c>
      <c r="AF25" s="129">
        <v>6.6299999999999998E-2</v>
      </c>
      <c r="AG25" s="129">
        <v>5.772E-2</v>
      </c>
      <c r="AH25" s="128">
        <v>1.07</v>
      </c>
      <c r="AI25" s="129">
        <v>2.3220000000000001E-2</v>
      </c>
      <c r="AJ25" s="129">
        <v>1.78E-2</v>
      </c>
      <c r="AK25" s="129">
        <v>5.62E-2</v>
      </c>
      <c r="AL25" s="129">
        <v>3.7100000000000001E-2</v>
      </c>
      <c r="AM25" s="128">
        <v>1.07</v>
      </c>
      <c r="AN25" s="129">
        <v>2.1819999999999999E-2</v>
      </c>
      <c r="AO25" s="129">
        <v>2.1740000000000002E-2</v>
      </c>
      <c r="AP25" s="129">
        <v>4.6239999999999996E-2</v>
      </c>
      <c r="AQ25" s="129">
        <v>5.3899999999999997E-2</v>
      </c>
      <c r="AR25" s="128">
        <v>1.07</v>
      </c>
      <c r="AS25" s="129">
        <v>1.898E-2</v>
      </c>
      <c r="AT25" s="129">
        <v>1.67E-2</v>
      </c>
      <c r="AU25" s="129">
        <v>4.4220000000000002E-2</v>
      </c>
      <c r="AV25" s="129">
        <v>3.8519999999999999E-2</v>
      </c>
      <c r="AW25" s="128">
        <v>1.07</v>
      </c>
      <c r="AX25" s="129">
        <v>1.0110000000000001E-2</v>
      </c>
      <c r="AY25" s="129">
        <v>4.8149999999999998E-2</v>
      </c>
      <c r="AZ25" s="129">
        <v>5.5480000000000002E-2</v>
      </c>
      <c r="BA25" s="129">
        <v>9.0690000000000007E-2</v>
      </c>
      <c r="BB25" s="128">
        <v>1.07</v>
      </c>
      <c r="BC25" s="129">
        <v>4.3179999999999996E-2</v>
      </c>
      <c r="BD25" s="129">
        <v>9.2800000000000001E-3</v>
      </c>
      <c r="BE25" s="129">
        <v>8.004E-2</v>
      </c>
      <c r="BF25" s="129">
        <v>4.666E-2</v>
      </c>
      <c r="BG25" s="115"/>
      <c r="BH25" s="116">
        <v>600</v>
      </c>
      <c r="BI25" s="116">
        <v>250</v>
      </c>
      <c r="BJ25" s="115"/>
      <c r="BK25" s="115"/>
      <c r="BL25" s="115"/>
      <c r="BM25" s="115"/>
      <c r="BN25" s="115"/>
    </row>
    <row r="26" spans="4:66" ht="15.75">
      <c r="D26" s="128">
        <v>1.08</v>
      </c>
      <c r="E26" s="129">
        <v>3.9299999999999995E-2</v>
      </c>
      <c r="F26" s="129">
        <v>3.3439999999999998E-2</v>
      </c>
      <c r="G26" s="129">
        <v>0</v>
      </c>
      <c r="H26" s="129">
        <v>0</v>
      </c>
      <c r="I26" s="128">
        <v>1.08</v>
      </c>
      <c r="J26" s="129">
        <v>3.4659999999999996E-2</v>
      </c>
      <c r="K26" s="129">
        <v>2.3939999999999999E-2</v>
      </c>
      <c r="L26" s="129">
        <v>8.9319999999999997E-2</v>
      </c>
      <c r="M26" s="129">
        <v>0</v>
      </c>
      <c r="N26" s="128">
        <v>1.08</v>
      </c>
      <c r="O26" s="129">
        <v>3.0499999999999999E-2</v>
      </c>
      <c r="P26" s="129">
        <v>3.1780000000000003E-2</v>
      </c>
      <c r="Q26" s="129">
        <v>0</v>
      </c>
      <c r="R26" s="129">
        <v>8.7340000000000001E-2</v>
      </c>
      <c r="S26" s="128">
        <v>1.08</v>
      </c>
      <c r="T26" s="129">
        <v>2.664E-2</v>
      </c>
      <c r="U26" s="129">
        <v>1.52E-2</v>
      </c>
      <c r="V26" s="129">
        <v>6.7220000000000002E-2</v>
      </c>
      <c r="W26" s="129">
        <v>0</v>
      </c>
      <c r="X26" s="128">
        <v>1.08</v>
      </c>
      <c r="Y26" s="129">
        <v>2.104E-2</v>
      </c>
      <c r="Z26" s="129">
        <v>2.632E-2</v>
      </c>
      <c r="AA26" s="129">
        <v>0</v>
      </c>
      <c r="AB26" s="129">
        <v>7.0679999999999993E-2</v>
      </c>
      <c r="AC26" s="128">
        <v>1.08</v>
      </c>
      <c r="AD26" s="129">
        <v>2.8799999999999999E-2</v>
      </c>
      <c r="AE26" s="129">
        <v>2.4719999999999999E-2</v>
      </c>
      <c r="AF26" s="129">
        <v>6.6700000000000009E-2</v>
      </c>
      <c r="AG26" s="129">
        <v>5.7079999999999999E-2</v>
      </c>
      <c r="AH26" s="128">
        <v>1.08</v>
      </c>
      <c r="AI26" s="129">
        <v>2.3279999999999999E-2</v>
      </c>
      <c r="AJ26" s="129">
        <v>1.7499999999999998E-2</v>
      </c>
      <c r="AK26" s="129">
        <v>5.6300000000000003E-2</v>
      </c>
      <c r="AL26" s="129">
        <v>3.6400000000000002E-2</v>
      </c>
      <c r="AM26" s="128">
        <v>1.08</v>
      </c>
      <c r="AN26" s="129">
        <v>2.2079999999999999E-2</v>
      </c>
      <c r="AO26" s="129">
        <v>2.1559999999999999E-2</v>
      </c>
      <c r="AP26" s="129">
        <v>4.6859999999999999E-2</v>
      </c>
      <c r="AQ26" s="129">
        <v>5.3600000000000002E-2</v>
      </c>
      <c r="AR26" s="128">
        <v>1.08</v>
      </c>
      <c r="AS26" s="129">
        <v>1.9120000000000002E-2</v>
      </c>
      <c r="AT26" s="129">
        <v>1.6500000000000001E-2</v>
      </c>
      <c r="AU26" s="129">
        <v>4.4479999999999999E-2</v>
      </c>
      <c r="AV26" s="129">
        <v>3.8079999999999996E-2</v>
      </c>
      <c r="AW26" s="128">
        <v>1.08</v>
      </c>
      <c r="AX26" s="129">
        <v>1.014E-2</v>
      </c>
      <c r="AY26" s="129">
        <v>4.8500000000000001E-2</v>
      </c>
      <c r="AZ26" s="129">
        <v>5.6119999999999996E-2</v>
      </c>
      <c r="BA26" s="129">
        <v>9.146E-2</v>
      </c>
      <c r="BB26" s="128">
        <v>1.08</v>
      </c>
      <c r="BC26" s="129">
        <v>4.2819999999999997E-2</v>
      </c>
      <c r="BD26" s="129">
        <v>9.3200000000000002E-3</v>
      </c>
      <c r="BE26" s="129">
        <v>7.9260000000000011E-2</v>
      </c>
      <c r="BF26" s="129">
        <v>4.6039999999999998E-2</v>
      </c>
      <c r="BG26" s="115"/>
      <c r="BH26" s="115"/>
      <c r="BI26" s="115"/>
      <c r="BJ26" s="115"/>
      <c r="BK26" s="115"/>
      <c r="BL26" s="115"/>
      <c r="BM26" s="115"/>
      <c r="BN26" s="115"/>
    </row>
    <row r="27" spans="4:66" ht="15.75">
      <c r="D27" s="128">
        <v>1.0900000000000001</v>
      </c>
      <c r="E27" s="129">
        <v>3.9599999999999996E-2</v>
      </c>
      <c r="F27" s="129">
        <v>3.322E-2</v>
      </c>
      <c r="G27" s="129">
        <v>0</v>
      </c>
      <c r="H27" s="129">
        <v>0</v>
      </c>
      <c r="I27" s="128">
        <v>1.0900000000000001</v>
      </c>
      <c r="J27" s="129">
        <v>3.4779999999999998E-2</v>
      </c>
      <c r="K27" s="129">
        <v>2.3519999999999999E-2</v>
      </c>
      <c r="L27" s="129">
        <v>8.9260000000000006E-2</v>
      </c>
      <c r="M27" s="129">
        <v>0</v>
      </c>
      <c r="N27" s="128">
        <v>1.0900000000000001</v>
      </c>
      <c r="O27" s="129">
        <v>3.09E-2</v>
      </c>
      <c r="P27" s="129">
        <v>3.1539999999999999E-2</v>
      </c>
      <c r="Q27" s="129">
        <v>0</v>
      </c>
      <c r="R27" s="129">
        <v>8.702E-2</v>
      </c>
      <c r="S27" s="128">
        <v>1.0900000000000001</v>
      </c>
      <c r="T27" s="129">
        <v>2.6619999999999998E-2</v>
      </c>
      <c r="U27" s="129">
        <v>1.49E-2</v>
      </c>
      <c r="V27" s="129">
        <v>6.6959999999999992E-2</v>
      </c>
      <c r="W27" s="129">
        <v>0</v>
      </c>
      <c r="X27" s="128">
        <v>1.0900000000000001</v>
      </c>
      <c r="Y27" s="129">
        <v>2.1420000000000002E-2</v>
      </c>
      <c r="Z27" s="129">
        <v>2.6260000000000002E-2</v>
      </c>
      <c r="AA27" s="129">
        <v>0</v>
      </c>
      <c r="AB27" s="129">
        <v>7.0739999999999997E-2</v>
      </c>
      <c r="AC27" s="128">
        <v>1.0900000000000001</v>
      </c>
      <c r="AD27" s="129">
        <v>2.9000000000000001E-2</v>
      </c>
      <c r="AE27" s="129">
        <v>2.4459999999999999E-2</v>
      </c>
      <c r="AF27" s="129">
        <v>6.7100000000000007E-2</v>
      </c>
      <c r="AG27" s="129">
        <v>5.6440000000000004E-2</v>
      </c>
      <c r="AH27" s="128">
        <v>1.0900000000000001</v>
      </c>
      <c r="AI27" s="129">
        <v>2.334E-2</v>
      </c>
      <c r="AJ27" s="129">
        <v>1.72E-2</v>
      </c>
      <c r="AK27" s="129">
        <v>5.6399999999999999E-2</v>
      </c>
      <c r="AL27" s="129">
        <v>3.5700000000000003E-2</v>
      </c>
      <c r="AM27" s="128">
        <v>1.0900000000000001</v>
      </c>
      <c r="AN27" s="129">
        <v>2.2339999999999999E-2</v>
      </c>
      <c r="AO27" s="129">
        <v>2.138E-2</v>
      </c>
      <c r="AP27" s="129">
        <v>4.7479999999999994E-2</v>
      </c>
      <c r="AQ27" s="129">
        <v>5.33E-2</v>
      </c>
      <c r="AR27" s="128">
        <v>1.0900000000000001</v>
      </c>
      <c r="AS27" s="129">
        <v>1.9259999999999999E-2</v>
      </c>
      <c r="AT27" s="129">
        <v>1.6299999999999999E-2</v>
      </c>
      <c r="AU27" s="129">
        <v>4.4740000000000002E-2</v>
      </c>
      <c r="AV27" s="129">
        <v>3.764E-2</v>
      </c>
      <c r="AW27" s="128">
        <v>1.0900000000000001</v>
      </c>
      <c r="AX27" s="129">
        <v>1.017E-2</v>
      </c>
      <c r="AY27" s="129">
        <v>4.8849999999999998E-2</v>
      </c>
      <c r="AZ27" s="129">
        <v>5.6759999999999998E-2</v>
      </c>
      <c r="BA27" s="129">
        <v>9.2230000000000006E-2</v>
      </c>
      <c r="BB27" s="128">
        <v>1.0900000000000001</v>
      </c>
      <c r="BC27" s="129">
        <v>4.2459999999999998E-2</v>
      </c>
      <c r="BD27" s="129">
        <v>9.3600000000000003E-3</v>
      </c>
      <c r="BE27" s="129">
        <v>7.8480000000000008E-2</v>
      </c>
      <c r="BF27" s="129">
        <v>4.5420000000000002E-2</v>
      </c>
      <c r="BG27" s="115"/>
      <c r="BH27" s="115"/>
      <c r="BI27" s="115"/>
      <c r="BJ27" s="115"/>
      <c r="BK27" s="115"/>
      <c r="BL27" s="115"/>
      <c r="BM27" s="115"/>
      <c r="BN27" s="115"/>
    </row>
    <row r="28" spans="4:66" ht="15.75">
      <c r="D28" s="126">
        <v>1.1000000000000001</v>
      </c>
      <c r="E28" s="127">
        <v>3.9899999999999998E-2</v>
      </c>
      <c r="F28" s="127">
        <v>3.3000000000000002E-2</v>
      </c>
      <c r="G28" s="129">
        <v>0</v>
      </c>
      <c r="H28" s="129">
        <v>0</v>
      </c>
      <c r="I28" s="126">
        <v>1.1000000000000001</v>
      </c>
      <c r="J28" s="127">
        <v>3.49E-2</v>
      </c>
      <c r="K28" s="127">
        <v>2.3099999999999999E-2</v>
      </c>
      <c r="L28" s="127">
        <v>8.9200000000000002E-2</v>
      </c>
      <c r="M28" s="129">
        <v>0</v>
      </c>
      <c r="N28" s="126">
        <v>1.1000000000000001</v>
      </c>
      <c r="O28" s="127">
        <v>3.1300000000000001E-2</v>
      </c>
      <c r="P28" s="127">
        <v>3.1300000000000001E-2</v>
      </c>
      <c r="Q28" s="129">
        <v>0</v>
      </c>
      <c r="R28" s="127">
        <v>8.6699999999999999E-2</v>
      </c>
      <c r="S28" s="126">
        <v>1.1000000000000001</v>
      </c>
      <c r="T28" s="127">
        <v>2.6599999999999999E-2</v>
      </c>
      <c r="U28" s="127">
        <v>1.46E-2</v>
      </c>
      <c r="V28" s="127">
        <v>6.6699999999999995E-2</v>
      </c>
      <c r="W28" s="129">
        <v>0</v>
      </c>
      <c r="X28" s="126">
        <v>1.1000000000000001</v>
      </c>
      <c r="Y28" s="127">
        <v>2.18E-2</v>
      </c>
      <c r="Z28" s="127">
        <v>2.6200000000000001E-2</v>
      </c>
      <c r="AA28" s="129">
        <v>0</v>
      </c>
      <c r="AB28" s="127">
        <v>7.0800000000000002E-2</v>
      </c>
      <c r="AC28" s="126">
        <v>1.1000000000000001</v>
      </c>
      <c r="AD28" s="127">
        <v>2.92E-2</v>
      </c>
      <c r="AE28" s="127">
        <v>2.4199999999999999E-2</v>
      </c>
      <c r="AF28" s="127">
        <v>6.7500000000000004E-2</v>
      </c>
      <c r="AG28" s="127">
        <v>5.5800000000000002E-2</v>
      </c>
      <c r="AH28" s="126">
        <v>1.1000000000000001</v>
      </c>
      <c r="AI28" s="127">
        <v>2.3400000000000001E-2</v>
      </c>
      <c r="AJ28" s="127">
        <v>1.6899999999999998E-2</v>
      </c>
      <c r="AK28" s="127">
        <v>5.6500000000000002E-2</v>
      </c>
      <c r="AL28" s="127">
        <v>3.5000000000000003E-2</v>
      </c>
      <c r="AM28" s="126">
        <v>1.1000000000000001</v>
      </c>
      <c r="AN28" s="127">
        <v>2.2599999999999999E-2</v>
      </c>
      <c r="AO28" s="127">
        <v>2.12E-2</v>
      </c>
      <c r="AP28" s="127">
        <v>4.8099999999999997E-2</v>
      </c>
      <c r="AQ28" s="127">
        <v>5.2999999999999999E-2</v>
      </c>
      <c r="AR28" s="126">
        <v>1.1000000000000001</v>
      </c>
      <c r="AS28" s="127">
        <v>1.9400000000000001E-2</v>
      </c>
      <c r="AT28" s="127">
        <v>1.61E-2</v>
      </c>
      <c r="AU28" s="127">
        <v>4.4999999999999998E-2</v>
      </c>
      <c r="AV28" s="127">
        <v>3.7199999999999997E-2</v>
      </c>
      <c r="AW28" s="126">
        <v>1.1000000000000001</v>
      </c>
      <c r="AX28" s="127">
        <v>1.0200000000000001E-2</v>
      </c>
      <c r="AY28" s="127">
        <v>4.9200000000000001E-2</v>
      </c>
      <c r="AZ28" s="127">
        <v>5.74E-2</v>
      </c>
      <c r="BA28" s="127">
        <v>9.2999999999999999E-2</v>
      </c>
      <c r="BB28" s="126">
        <v>1.1000000000000001</v>
      </c>
      <c r="BC28" s="127">
        <v>4.2099999999999999E-2</v>
      </c>
      <c r="BD28" s="127">
        <v>9.4000000000000004E-3</v>
      </c>
      <c r="BE28" s="127">
        <v>7.7700000000000005E-2</v>
      </c>
      <c r="BF28" s="127">
        <v>4.48E-2</v>
      </c>
      <c r="BG28" s="115"/>
      <c r="BH28" s="115"/>
      <c r="BI28" s="115"/>
      <c r="BJ28" s="115"/>
      <c r="BK28" s="115"/>
      <c r="BL28" s="115"/>
      <c r="BM28" s="115"/>
      <c r="BN28" s="115"/>
    </row>
    <row r="29" spans="4:66" ht="15.75">
      <c r="D29" s="128">
        <v>1.1100000000000001</v>
      </c>
      <c r="E29" s="129">
        <v>4.02E-2</v>
      </c>
      <c r="F29" s="129">
        <v>3.2680000000000001E-2</v>
      </c>
      <c r="G29" s="129">
        <v>0</v>
      </c>
      <c r="H29" s="129">
        <v>0</v>
      </c>
      <c r="I29" s="128">
        <v>1.1100000000000001</v>
      </c>
      <c r="J29" s="129">
        <v>3.4979999999999997E-2</v>
      </c>
      <c r="K29" s="129">
        <v>2.2739999999999996E-2</v>
      </c>
      <c r="L29" s="129">
        <v>8.906E-2</v>
      </c>
      <c r="M29" s="129">
        <v>0</v>
      </c>
      <c r="N29" s="128">
        <v>1.1100000000000001</v>
      </c>
      <c r="O29" s="129">
        <v>3.168E-2</v>
      </c>
      <c r="P29" s="129">
        <v>3.108E-2</v>
      </c>
      <c r="Q29" s="129">
        <v>0</v>
      </c>
      <c r="R29" s="129">
        <v>8.6239999999999997E-2</v>
      </c>
      <c r="S29" s="128">
        <v>1.1100000000000001</v>
      </c>
      <c r="T29" s="129">
        <v>2.656E-2</v>
      </c>
      <c r="U29" s="129">
        <v>1.4299999999999998E-2</v>
      </c>
      <c r="V29" s="129">
        <v>6.6359999999999988E-2</v>
      </c>
      <c r="W29" s="129">
        <v>0</v>
      </c>
      <c r="X29" s="128">
        <v>1.1100000000000001</v>
      </c>
      <c r="Y29" s="129">
        <v>2.2160000000000003E-2</v>
      </c>
      <c r="Z29" s="129">
        <v>2.6120000000000001E-2</v>
      </c>
      <c r="AA29" s="129">
        <v>0</v>
      </c>
      <c r="AB29" s="129">
        <v>7.084E-2</v>
      </c>
      <c r="AC29" s="128">
        <v>1.1100000000000001</v>
      </c>
      <c r="AD29" s="129">
        <v>2.938E-2</v>
      </c>
      <c r="AE29" s="129">
        <v>2.3919999999999997E-2</v>
      </c>
      <c r="AF29" s="129">
        <v>6.7820000000000005E-2</v>
      </c>
      <c r="AG29" s="129">
        <v>5.5079999999999997E-2</v>
      </c>
      <c r="AH29" s="128">
        <v>1.1100000000000001</v>
      </c>
      <c r="AI29" s="129">
        <v>2.3439999999999999E-2</v>
      </c>
      <c r="AJ29" s="129">
        <v>1.6599999999999997E-2</v>
      </c>
      <c r="AK29" s="129">
        <v>5.6480000000000002E-2</v>
      </c>
      <c r="AL29" s="129">
        <v>3.4380000000000001E-2</v>
      </c>
      <c r="AM29" s="128">
        <v>1.1100000000000001</v>
      </c>
      <c r="AN29" s="129">
        <v>2.2839999999999999E-2</v>
      </c>
      <c r="AO29" s="129">
        <v>2.1079999999999998E-2</v>
      </c>
      <c r="AP29" s="129">
        <v>4.8620000000000003E-2</v>
      </c>
      <c r="AQ29" s="129">
        <v>5.262E-2</v>
      </c>
      <c r="AR29" s="128">
        <v>1.1100000000000001</v>
      </c>
      <c r="AS29" s="129">
        <v>1.9520000000000003E-2</v>
      </c>
      <c r="AT29" s="129">
        <v>1.5879999999999998E-2</v>
      </c>
      <c r="AU29" s="129">
        <v>4.5220000000000003E-2</v>
      </c>
      <c r="AV29" s="129">
        <v>3.6739999999999995E-2</v>
      </c>
      <c r="AW29" s="128">
        <v>1.1100000000000001</v>
      </c>
      <c r="AX29" s="129">
        <v>1.0200000000000001E-2</v>
      </c>
      <c r="AY29" s="129">
        <v>4.947E-2</v>
      </c>
      <c r="AZ29" s="129">
        <v>5.8020000000000002E-2</v>
      </c>
      <c r="BA29" s="129">
        <v>9.3700000000000006E-2</v>
      </c>
      <c r="BB29" s="128">
        <v>1.1100000000000001</v>
      </c>
      <c r="BC29" s="129">
        <v>4.1779999999999998E-2</v>
      </c>
      <c r="BD29" s="129">
        <v>9.3299999999999998E-3</v>
      </c>
      <c r="BE29" s="129">
        <v>7.7050000000000007E-2</v>
      </c>
      <c r="BF29" s="129">
        <v>4.3716999999999999E-2</v>
      </c>
      <c r="BG29" s="115"/>
      <c r="BH29" s="115"/>
      <c r="BI29" s="115"/>
      <c r="BJ29" s="115"/>
      <c r="BK29" s="115"/>
      <c r="BL29" s="115"/>
      <c r="BM29" s="115"/>
      <c r="BN29" s="115"/>
    </row>
    <row r="30" spans="4:66" ht="15.75">
      <c r="D30" s="128">
        <v>1.1200000000000001</v>
      </c>
      <c r="E30" s="129">
        <v>4.0500000000000001E-2</v>
      </c>
      <c r="F30" s="129">
        <v>3.236E-2</v>
      </c>
      <c r="G30" s="129">
        <v>0</v>
      </c>
      <c r="H30" s="129">
        <v>0</v>
      </c>
      <c r="I30" s="128">
        <v>1.1200000000000001</v>
      </c>
      <c r="J30" s="129">
        <v>3.5060000000000001E-2</v>
      </c>
      <c r="K30" s="129">
        <v>2.2379999999999997E-2</v>
      </c>
      <c r="L30" s="129">
        <v>8.8919999999999999E-2</v>
      </c>
      <c r="M30" s="129">
        <v>0</v>
      </c>
      <c r="N30" s="128">
        <v>1.1200000000000001</v>
      </c>
      <c r="O30" s="129">
        <v>3.2060000000000005E-2</v>
      </c>
      <c r="P30" s="129">
        <v>3.0859999999999999E-2</v>
      </c>
      <c r="Q30" s="129">
        <v>0</v>
      </c>
      <c r="R30" s="129">
        <v>8.5779999999999995E-2</v>
      </c>
      <c r="S30" s="128">
        <v>1.1200000000000001</v>
      </c>
      <c r="T30" s="129">
        <v>2.6519999999999998E-2</v>
      </c>
      <c r="U30" s="129">
        <v>1.3999999999999999E-2</v>
      </c>
      <c r="V30" s="129">
        <v>6.6019999999999995E-2</v>
      </c>
      <c r="W30" s="129">
        <v>0</v>
      </c>
      <c r="X30" s="128">
        <v>1.1200000000000001</v>
      </c>
      <c r="Y30" s="129">
        <v>2.2520000000000002E-2</v>
      </c>
      <c r="Z30" s="129">
        <v>2.6040000000000001E-2</v>
      </c>
      <c r="AA30" s="129">
        <v>0</v>
      </c>
      <c r="AB30" s="129">
        <v>7.0879999999999999E-2</v>
      </c>
      <c r="AC30" s="128">
        <v>1.1200000000000001</v>
      </c>
      <c r="AD30" s="129">
        <v>2.9559999999999999E-2</v>
      </c>
      <c r="AE30" s="129">
        <v>2.3639999999999998E-2</v>
      </c>
      <c r="AF30" s="129">
        <v>6.8140000000000006E-2</v>
      </c>
      <c r="AG30" s="129">
        <v>5.4359999999999999E-2</v>
      </c>
      <c r="AH30" s="128">
        <v>1.1200000000000001</v>
      </c>
      <c r="AI30" s="129">
        <v>2.3480000000000001E-2</v>
      </c>
      <c r="AJ30" s="129">
        <v>1.6299999999999995E-2</v>
      </c>
      <c r="AK30" s="129">
        <v>5.6460000000000003E-2</v>
      </c>
      <c r="AL30" s="129">
        <v>3.3759999999999998E-2</v>
      </c>
      <c r="AM30" s="128">
        <v>1.1200000000000001</v>
      </c>
      <c r="AN30" s="129">
        <v>2.3080000000000003E-2</v>
      </c>
      <c r="AO30" s="129">
        <v>2.0959999999999999E-2</v>
      </c>
      <c r="AP30" s="129">
        <v>4.9140000000000003E-2</v>
      </c>
      <c r="AQ30" s="129">
        <v>5.2239999999999995E-2</v>
      </c>
      <c r="AR30" s="128">
        <v>1.1200000000000001</v>
      </c>
      <c r="AS30" s="129">
        <v>1.9640000000000001E-2</v>
      </c>
      <c r="AT30" s="129">
        <v>1.5659999999999997E-2</v>
      </c>
      <c r="AU30" s="129">
        <v>4.5440000000000001E-2</v>
      </c>
      <c r="AV30" s="129">
        <v>3.6279999999999993E-2</v>
      </c>
      <c r="AW30" s="128">
        <v>1.1200000000000001</v>
      </c>
      <c r="AX30" s="129">
        <v>1.0200000000000001E-2</v>
      </c>
      <c r="AY30" s="129">
        <v>4.9739999999999999E-2</v>
      </c>
      <c r="AZ30" s="129">
        <v>5.8640000000000005E-2</v>
      </c>
      <c r="BA30" s="129">
        <v>9.4399999999999998E-2</v>
      </c>
      <c r="BB30" s="128">
        <v>1.1200000000000001</v>
      </c>
      <c r="BC30" s="129">
        <v>4.1459999999999997E-2</v>
      </c>
      <c r="BD30" s="129">
        <v>9.2599999999999991E-3</v>
      </c>
      <c r="BE30" s="129">
        <v>7.640000000000001E-2</v>
      </c>
      <c r="BF30" s="129">
        <v>4.2633999999999991E-2</v>
      </c>
      <c r="BG30" s="115"/>
      <c r="BH30" s="115"/>
      <c r="BI30" s="115"/>
      <c r="BJ30" s="115"/>
      <c r="BK30" s="115"/>
      <c r="BL30" s="115"/>
      <c r="BM30" s="115"/>
      <c r="BN30" s="115"/>
    </row>
    <row r="31" spans="4:66" ht="15.75">
      <c r="D31" s="128">
        <v>1.1299999999999999</v>
      </c>
      <c r="E31" s="129">
        <v>4.0799999999999996E-2</v>
      </c>
      <c r="F31" s="129">
        <v>3.2039999999999999E-2</v>
      </c>
      <c r="G31" s="129">
        <v>0</v>
      </c>
      <c r="H31" s="129">
        <v>0</v>
      </c>
      <c r="I31" s="128">
        <v>1.1299999999999999</v>
      </c>
      <c r="J31" s="129">
        <v>3.5139999999999998E-2</v>
      </c>
      <c r="K31" s="129">
        <v>2.2020000000000001E-2</v>
      </c>
      <c r="L31" s="129">
        <v>8.8779999999999998E-2</v>
      </c>
      <c r="M31" s="129">
        <v>0</v>
      </c>
      <c r="N31" s="128">
        <v>1.1299999999999999</v>
      </c>
      <c r="O31" s="129">
        <v>3.2439999999999997E-2</v>
      </c>
      <c r="P31" s="129">
        <v>3.0640000000000004E-2</v>
      </c>
      <c r="Q31" s="129">
        <v>0</v>
      </c>
      <c r="R31" s="129">
        <v>8.5320000000000007E-2</v>
      </c>
      <c r="S31" s="128">
        <v>1.1299999999999999</v>
      </c>
      <c r="T31" s="129">
        <v>2.648E-2</v>
      </c>
      <c r="U31" s="129">
        <v>1.3700000000000004E-2</v>
      </c>
      <c r="V31" s="129">
        <v>6.5680000000000002E-2</v>
      </c>
      <c r="W31" s="129">
        <v>0</v>
      </c>
      <c r="X31" s="128">
        <v>1.1299999999999999</v>
      </c>
      <c r="Y31" s="129">
        <v>2.2879999999999998E-2</v>
      </c>
      <c r="Z31" s="129">
        <v>2.596E-2</v>
      </c>
      <c r="AA31" s="129">
        <v>0</v>
      </c>
      <c r="AB31" s="129">
        <v>7.0919999999999997E-2</v>
      </c>
      <c r="AC31" s="128">
        <v>1.1299999999999999</v>
      </c>
      <c r="AD31" s="129">
        <v>2.9739999999999999E-2</v>
      </c>
      <c r="AE31" s="129">
        <v>2.3360000000000002E-2</v>
      </c>
      <c r="AF31" s="129">
        <v>6.8459999999999993E-2</v>
      </c>
      <c r="AG31" s="129">
        <v>5.3640000000000007E-2</v>
      </c>
      <c r="AH31" s="128">
        <v>1.1299999999999999</v>
      </c>
      <c r="AI31" s="129">
        <v>2.3519999999999999E-2</v>
      </c>
      <c r="AJ31" s="129">
        <v>1.6000000000000004E-2</v>
      </c>
      <c r="AK31" s="129">
        <v>5.6439999999999997E-2</v>
      </c>
      <c r="AL31" s="129">
        <v>3.3140000000000003E-2</v>
      </c>
      <c r="AM31" s="128">
        <v>1.1299999999999999</v>
      </c>
      <c r="AN31" s="129">
        <v>2.3319999999999997E-2</v>
      </c>
      <c r="AO31" s="129">
        <v>2.0840000000000001E-2</v>
      </c>
      <c r="AP31" s="129">
        <v>4.9659999999999996E-2</v>
      </c>
      <c r="AQ31" s="129">
        <v>5.1860000000000003E-2</v>
      </c>
      <c r="AR31" s="128">
        <v>1.1299999999999999</v>
      </c>
      <c r="AS31" s="129">
        <v>1.976E-2</v>
      </c>
      <c r="AT31" s="129">
        <v>1.5440000000000002E-2</v>
      </c>
      <c r="AU31" s="129">
        <v>4.5659999999999999E-2</v>
      </c>
      <c r="AV31" s="129">
        <v>3.5820000000000005E-2</v>
      </c>
      <c r="AW31" s="128">
        <v>1.1299999999999999</v>
      </c>
      <c r="AX31" s="129">
        <v>1.0200000000000001E-2</v>
      </c>
      <c r="AY31" s="129">
        <v>5.0009999999999999E-2</v>
      </c>
      <c r="AZ31" s="129">
        <v>5.9259999999999993E-2</v>
      </c>
      <c r="BA31" s="129">
        <v>9.509999999999999E-2</v>
      </c>
      <c r="BB31" s="128">
        <v>1.1299999999999999</v>
      </c>
      <c r="BC31" s="129">
        <v>4.1140000000000003E-2</v>
      </c>
      <c r="BD31" s="129">
        <v>9.190000000000002E-3</v>
      </c>
      <c r="BE31" s="129">
        <v>7.5750000000000012E-2</v>
      </c>
      <c r="BF31" s="129">
        <v>4.1551000000000018E-2</v>
      </c>
      <c r="BG31" s="115"/>
      <c r="BH31" s="115"/>
      <c r="BI31" s="115"/>
      <c r="BJ31" s="115"/>
      <c r="BK31" s="115"/>
      <c r="BL31" s="115"/>
      <c r="BM31" s="115"/>
      <c r="BN31" s="115"/>
    </row>
    <row r="32" spans="4:66" ht="15.75">
      <c r="D32" s="128">
        <v>1.1399999999999999</v>
      </c>
      <c r="E32" s="129">
        <v>4.1099999999999998E-2</v>
      </c>
      <c r="F32" s="129">
        <v>3.1719999999999998E-2</v>
      </c>
      <c r="G32" s="129">
        <v>0</v>
      </c>
      <c r="H32" s="129">
        <v>0</v>
      </c>
      <c r="I32" s="128">
        <v>1.1399999999999999</v>
      </c>
      <c r="J32" s="129">
        <v>3.5220000000000001E-2</v>
      </c>
      <c r="K32" s="129">
        <v>2.1660000000000002E-2</v>
      </c>
      <c r="L32" s="129">
        <v>8.8639999999999997E-2</v>
      </c>
      <c r="M32" s="129">
        <v>0</v>
      </c>
      <c r="N32" s="128">
        <v>1.1399999999999999</v>
      </c>
      <c r="O32" s="129">
        <v>3.2820000000000002E-2</v>
      </c>
      <c r="P32" s="129">
        <v>3.0420000000000003E-2</v>
      </c>
      <c r="Q32" s="129">
        <v>0</v>
      </c>
      <c r="R32" s="129">
        <v>8.4860000000000005E-2</v>
      </c>
      <c r="S32" s="128">
        <v>1.1399999999999999</v>
      </c>
      <c r="T32" s="129">
        <v>2.6439999999999998E-2</v>
      </c>
      <c r="U32" s="129">
        <v>1.3400000000000002E-2</v>
      </c>
      <c r="V32" s="129">
        <v>6.5340000000000009E-2</v>
      </c>
      <c r="W32" s="129">
        <v>0</v>
      </c>
      <c r="X32" s="128">
        <v>1.1399999999999999</v>
      </c>
      <c r="Y32" s="129">
        <v>2.3239999999999997E-2</v>
      </c>
      <c r="Z32" s="129">
        <v>2.588E-2</v>
      </c>
      <c r="AA32" s="129">
        <v>0</v>
      </c>
      <c r="AB32" s="129">
        <v>7.0959999999999995E-2</v>
      </c>
      <c r="AC32" s="128">
        <v>1.1399999999999999</v>
      </c>
      <c r="AD32" s="129">
        <v>2.9919999999999999E-2</v>
      </c>
      <c r="AE32" s="129">
        <v>2.3080000000000003E-2</v>
      </c>
      <c r="AF32" s="129">
        <v>6.8779999999999994E-2</v>
      </c>
      <c r="AG32" s="129">
        <v>5.2920000000000009E-2</v>
      </c>
      <c r="AH32" s="128">
        <v>1.1399999999999999</v>
      </c>
      <c r="AI32" s="129">
        <v>2.3560000000000001E-2</v>
      </c>
      <c r="AJ32" s="129">
        <v>1.5700000000000002E-2</v>
      </c>
      <c r="AK32" s="129">
        <v>5.6419999999999998E-2</v>
      </c>
      <c r="AL32" s="129">
        <v>3.252E-2</v>
      </c>
      <c r="AM32" s="128">
        <v>1.1399999999999999</v>
      </c>
      <c r="AN32" s="129">
        <v>2.3560000000000001E-2</v>
      </c>
      <c r="AO32" s="129">
        <v>2.0720000000000002E-2</v>
      </c>
      <c r="AP32" s="129">
        <v>5.0180000000000002E-2</v>
      </c>
      <c r="AQ32" s="129">
        <v>5.1479999999999998E-2</v>
      </c>
      <c r="AR32" s="128">
        <v>1.1399999999999999</v>
      </c>
      <c r="AS32" s="129">
        <v>1.9879999999999998E-2</v>
      </c>
      <c r="AT32" s="129">
        <v>1.5220000000000001E-2</v>
      </c>
      <c r="AU32" s="129">
        <v>4.5879999999999997E-2</v>
      </c>
      <c r="AV32" s="129">
        <v>3.5360000000000003E-2</v>
      </c>
      <c r="AW32" s="128">
        <v>1.1399999999999999</v>
      </c>
      <c r="AX32" s="129">
        <v>1.0200000000000001E-2</v>
      </c>
      <c r="AY32" s="129">
        <v>5.0279999999999998E-2</v>
      </c>
      <c r="AZ32" s="129">
        <v>5.9879999999999996E-2</v>
      </c>
      <c r="BA32" s="129">
        <v>9.5799999999999982E-2</v>
      </c>
      <c r="BB32" s="128">
        <v>1.1399999999999999</v>
      </c>
      <c r="BC32" s="129">
        <v>4.0820000000000002E-2</v>
      </c>
      <c r="BD32" s="129">
        <v>9.1200000000000014E-3</v>
      </c>
      <c r="BE32" s="129">
        <v>7.5100000000000014E-2</v>
      </c>
      <c r="BF32" s="129">
        <v>4.0468000000000011E-2</v>
      </c>
      <c r="BG32" s="115"/>
      <c r="BH32" s="115"/>
      <c r="BI32" s="115"/>
      <c r="BJ32" s="115"/>
      <c r="BK32" s="115"/>
      <c r="BL32" s="115"/>
      <c r="BM32" s="115"/>
      <c r="BN32" s="115"/>
    </row>
    <row r="33" spans="4:58" ht="15.75">
      <c r="D33" s="126">
        <v>1.1499999999999999</v>
      </c>
      <c r="E33" s="127">
        <v>4.1399999999999999E-2</v>
      </c>
      <c r="F33" s="127">
        <v>3.1399999999999997E-2</v>
      </c>
      <c r="G33" s="129">
        <v>0</v>
      </c>
      <c r="H33" s="129">
        <v>0</v>
      </c>
      <c r="I33" s="126">
        <v>1.1499999999999999</v>
      </c>
      <c r="J33" s="127">
        <v>3.5299999999999998E-2</v>
      </c>
      <c r="K33" s="127">
        <v>2.1299999999999999E-2</v>
      </c>
      <c r="L33" s="127">
        <v>8.8499999999999995E-2</v>
      </c>
      <c r="M33" s="129">
        <v>0</v>
      </c>
      <c r="N33" s="126">
        <v>1.1499999999999999</v>
      </c>
      <c r="O33" s="127">
        <v>3.32E-2</v>
      </c>
      <c r="P33" s="127">
        <v>3.0200000000000001E-2</v>
      </c>
      <c r="Q33" s="129">
        <v>0</v>
      </c>
      <c r="R33" s="127">
        <v>8.4400000000000003E-2</v>
      </c>
      <c r="S33" s="126">
        <v>1.1499999999999999</v>
      </c>
      <c r="T33" s="127">
        <v>2.64E-2</v>
      </c>
      <c r="U33" s="127">
        <v>1.3100000000000001E-2</v>
      </c>
      <c r="V33" s="127">
        <v>6.5000000000000002E-2</v>
      </c>
      <c r="W33" s="129">
        <v>0</v>
      </c>
      <c r="X33" s="126">
        <v>1.1499999999999999</v>
      </c>
      <c r="Y33" s="127">
        <v>2.3599999999999999E-2</v>
      </c>
      <c r="Z33" s="127">
        <v>2.58E-2</v>
      </c>
      <c r="AA33" s="129">
        <v>0</v>
      </c>
      <c r="AB33" s="127">
        <v>7.0999999999999994E-2</v>
      </c>
      <c r="AC33" s="126">
        <v>1.1499999999999999</v>
      </c>
      <c r="AD33" s="127">
        <v>3.0099999999999998E-2</v>
      </c>
      <c r="AE33" s="127">
        <v>2.2800000000000001E-2</v>
      </c>
      <c r="AF33" s="127">
        <v>6.9099999999999995E-2</v>
      </c>
      <c r="AG33" s="127">
        <v>5.2200000000000003E-2</v>
      </c>
      <c r="AH33" s="126">
        <v>1.1499999999999999</v>
      </c>
      <c r="AI33" s="127">
        <v>2.3599999999999999E-2</v>
      </c>
      <c r="AJ33" s="127">
        <v>1.54E-2</v>
      </c>
      <c r="AK33" s="127">
        <v>5.6399999999999999E-2</v>
      </c>
      <c r="AL33" s="127">
        <v>3.1899999999999998E-2</v>
      </c>
      <c r="AM33" s="126">
        <v>1.1499999999999999</v>
      </c>
      <c r="AN33" s="127">
        <v>2.3800000000000002E-2</v>
      </c>
      <c r="AO33" s="127">
        <v>2.06E-2</v>
      </c>
      <c r="AP33" s="127">
        <v>5.0700000000000002E-2</v>
      </c>
      <c r="AQ33" s="127">
        <v>5.11E-2</v>
      </c>
      <c r="AR33" s="126">
        <v>1.1499999999999999</v>
      </c>
      <c r="AS33" s="127">
        <v>0.02</v>
      </c>
      <c r="AT33" s="127">
        <v>1.4999999999999999E-2</v>
      </c>
      <c r="AU33" s="127">
        <v>4.6100000000000002E-2</v>
      </c>
      <c r="AV33" s="127">
        <v>3.49E-2</v>
      </c>
      <c r="AW33" s="126">
        <v>1.1499999999999999</v>
      </c>
      <c r="AX33" s="127">
        <v>1.0200000000000001E-2</v>
      </c>
      <c r="AY33" s="127">
        <v>5.0549999999999998E-2</v>
      </c>
      <c r="AZ33" s="127">
        <v>6.0499999999999998E-2</v>
      </c>
      <c r="BA33" s="127">
        <v>9.6499999999999989E-2</v>
      </c>
      <c r="BB33" s="126">
        <v>1.1499999999999999</v>
      </c>
      <c r="BC33" s="127">
        <v>4.0500000000000001E-2</v>
      </c>
      <c r="BD33" s="127">
        <v>9.0500000000000008E-3</v>
      </c>
      <c r="BE33" s="127">
        <v>7.4450000000000016E-2</v>
      </c>
      <c r="BF33" s="127">
        <v>3.938500000000001E-2</v>
      </c>
    </row>
    <row r="34" spans="4:58" ht="15.75">
      <c r="D34" s="128">
        <v>1.1599999999999999</v>
      </c>
      <c r="E34" s="129">
        <v>4.1680000000000002E-2</v>
      </c>
      <c r="F34" s="129">
        <v>3.1079999999999997E-2</v>
      </c>
      <c r="G34" s="129">
        <v>0</v>
      </c>
      <c r="H34" s="129">
        <v>0</v>
      </c>
      <c r="I34" s="128">
        <v>1.1599999999999999</v>
      </c>
      <c r="J34" s="129">
        <v>3.5380000000000002E-2</v>
      </c>
      <c r="K34" s="129">
        <v>2.0959999999999999E-2</v>
      </c>
      <c r="L34" s="129">
        <v>8.8239999999999999E-2</v>
      </c>
      <c r="M34" s="129">
        <v>0</v>
      </c>
      <c r="N34" s="128">
        <v>1.1599999999999999</v>
      </c>
      <c r="O34" s="129">
        <v>3.3520000000000001E-2</v>
      </c>
      <c r="P34" s="129">
        <v>3.0000000000000002E-2</v>
      </c>
      <c r="Q34" s="129">
        <v>0</v>
      </c>
      <c r="R34" s="129">
        <v>8.3920000000000008E-2</v>
      </c>
      <c r="S34" s="128">
        <v>1.1599999999999999</v>
      </c>
      <c r="T34" s="129">
        <v>2.6339999999999999E-2</v>
      </c>
      <c r="U34" s="129">
        <v>1.2840000000000001E-2</v>
      </c>
      <c r="V34" s="129">
        <v>6.4659999999999995E-2</v>
      </c>
      <c r="W34" s="129">
        <v>0</v>
      </c>
      <c r="X34" s="128">
        <v>1.1599999999999999</v>
      </c>
      <c r="Y34" s="129">
        <v>2.3959999999999999E-2</v>
      </c>
      <c r="Z34" s="129">
        <v>2.572E-2</v>
      </c>
      <c r="AA34" s="129">
        <v>0</v>
      </c>
      <c r="AB34" s="129">
        <v>7.0939999999999989E-2</v>
      </c>
      <c r="AC34" s="128">
        <v>1.1599999999999999</v>
      </c>
      <c r="AD34" s="129">
        <v>3.0259999999999999E-2</v>
      </c>
      <c r="AE34" s="129">
        <v>2.2520000000000002E-2</v>
      </c>
      <c r="AF34" s="129">
        <v>6.9339999999999999E-2</v>
      </c>
      <c r="AG34" s="129">
        <v>5.1520000000000003E-2</v>
      </c>
      <c r="AH34" s="128">
        <v>1.1599999999999999</v>
      </c>
      <c r="AI34" s="129">
        <v>2.3599999999999999E-2</v>
      </c>
      <c r="AJ34" s="129">
        <v>1.516E-2</v>
      </c>
      <c r="AK34" s="129">
        <v>5.6320000000000002E-2</v>
      </c>
      <c r="AL34" s="129">
        <v>3.1359999999999999E-2</v>
      </c>
      <c r="AM34" s="128">
        <v>1.1599999999999999</v>
      </c>
      <c r="AN34" s="129">
        <v>2.402E-2</v>
      </c>
      <c r="AO34" s="129">
        <v>2.044E-2</v>
      </c>
      <c r="AP34" s="129">
        <v>5.1160000000000004E-2</v>
      </c>
      <c r="AQ34" s="129">
        <v>5.0700000000000002E-2</v>
      </c>
      <c r="AR34" s="128">
        <v>1.1599999999999999</v>
      </c>
      <c r="AS34" s="129">
        <v>2.0080000000000001E-2</v>
      </c>
      <c r="AT34" s="129">
        <v>1.4839999999999999E-2</v>
      </c>
      <c r="AU34" s="129">
        <v>4.6240000000000003E-2</v>
      </c>
      <c r="AV34" s="129">
        <v>3.4419999999999999E-2</v>
      </c>
      <c r="AW34" s="128">
        <v>1.1599999999999999</v>
      </c>
      <c r="AX34" s="129">
        <v>1.0200000000000001E-2</v>
      </c>
      <c r="AY34" s="129">
        <v>5.0819999999999997E-2</v>
      </c>
      <c r="AZ34" s="129">
        <v>6.1120000000000001E-2</v>
      </c>
      <c r="BA34" s="129">
        <v>9.7199999999999995E-2</v>
      </c>
      <c r="BB34" s="128">
        <v>1.1599999999999999</v>
      </c>
      <c r="BC34" s="129">
        <v>4.018E-2</v>
      </c>
      <c r="BD34" s="129">
        <v>8.9800000000000001E-3</v>
      </c>
      <c r="BE34" s="129">
        <v>7.3800000000000018E-2</v>
      </c>
      <c r="BF34" s="129">
        <v>3.830200000000001E-2</v>
      </c>
    </row>
    <row r="35" spans="4:58" ht="15.75">
      <c r="D35" s="128">
        <v>1.17</v>
      </c>
      <c r="E35" s="129">
        <v>4.1959999999999997E-2</v>
      </c>
      <c r="F35" s="129">
        <v>3.0759999999999999E-2</v>
      </c>
      <c r="G35" s="129">
        <v>0</v>
      </c>
      <c r="H35" s="129">
        <v>0</v>
      </c>
      <c r="I35" s="128">
        <v>1.17</v>
      </c>
      <c r="J35" s="129">
        <v>3.5459999999999998E-2</v>
      </c>
      <c r="K35" s="129">
        <v>2.0619999999999999E-2</v>
      </c>
      <c r="L35" s="129">
        <v>8.7980000000000003E-2</v>
      </c>
      <c r="M35" s="129">
        <v>0</v>
      </c>
      <c r="N35" s="128">
        <v>1.17</v>
      </c>
      <c r="O35" s="129">
        <v>3.3840000000000002E-2</v>
      </c>
      <c r="P35" s="129">
        <v>2.98E-2</v>
      </c>
      <c r="Q35" s="129">
        <v>0</v>
      </c>
      <c r="R35" s="129">
        <v>8.344E-2</v>
      </c>
      <c r="S35" s="128">
        <v>1.17</v>
      </c>
      <c r="T35" s="129">
        <v>2.6280000000000001E-2</v>
      </c>
      <c r="U35" s="129">
        <v>1.2580000000000001E-2</v>
      </c>
      <c r="V35" s="129">
        <v>6.4320000000000002E-2</v>
      </c>
      <c r="W35" s="129">
        <v>0</v>
      </c>
      <c r="X35" s="128">
        <v>1.17</v>
      </c>
      <c r="Y35" s="129">
        <v>2.4319999999999998E-2</v>
      </c>
      <c r="Z35" s="129">
        <v>2.564E-2</v>
      </c>
      <c r="AA35" s="129">
        <v>0</v>
      </c>
      <c r="AB35" s="129">
        <v>7.0879999999999999E-2</v>
      </c>
      <c r="AC35" s="128">
        <v>1.17</v>
      </c>
      <c r="AD35" s="129">
        <v>3.0419999999999999E-2</v>
      </c>
      <c r="AE35" s="129">
        <v>2.2239999999999999E-2</v>
      </c>
      <c r="AF35" s="129">
        <v>6.9580000000000003E-2</v>
      </c>
      <c r="AG35" s="129">
        <v>5.0840000000000003E-2</v>
      </c>
      <c r="AH35" s="128">
        <v>1.17</v>
      </c>
      <c r="AI35" s="129">
        <v>2.3599999999999999E-2</v>
      </c>
      <c r="AJ35" s="129">
        <v>1.4920000000000001E-2</v>
      </c>
      <c r="AK35" s="129">
        <v>5.6239999999999998E-2</v>
      </c>
      <c r="AL35" s="129">
        <v>3.082E-2</v>
      </c>
      <c r="AM35" s="128">
        <v>1.17</v>
      </c>
      <c r="AN35" s="129">
        <v>2.4240000000000001E-2</v>
      </c>
      <c r="AO35" s="129">
        <v>2.0279999999999999E-2</v>
      </c>
      <c r="AP35" s="129">
        <v>5.1619999999999999E-2</v>
      </c>
      <c r="AQ35" s="129">
        <v>5.0299999999999997E-2</v>
      </c>
      <c r="AR35" s="128">
        <v>1.17</v>
      </c>
      <c r="AS35" s="129">
        <v>2.0160000000000001E-2</v>
      </c>
      <c r="AT35" s="129">
        <v>1.468E-2</v>
      </c>
      <c r="AU35" s="129">
        <v>4.6380000000000005E-2</v>
      </c>
      <c r="AV35" s="129">
        <v>3.3939999999999998E-2</v>
      </c>
      <c r="AW35" s="128">
        <v>1.17</v>
      </c>
      <c r="AX35" s="129">
        <v>1.0200000000000001E-2</v>
      </c>
      <c r="AY35" s="129">
        <v>5.1089999999999997E-2</v>
      </c>
      <c r="AZ35" s="129">
        <v>6.1740000000000003E-2</v>
      </c>
      <c r="BA35" s="129">
        <v>9.7900000000000001E-2</v>
      </c>
      <c r="BB35" s="128">
        <v>1.17</v>
      </c>
      <c r="BC35" s="129">
        <v>3.986E-2</v>
      </c>
      <c r="BD35" s="129">
        <v>8.9099999999999995E-3</v>
      </c>
      <c r="BE35" s="129">
        <v>7.3150000000000007E-2</v>
      </c>
      <c r="BF35" s="129">
        <v>3.7219000000000009E-2</v>
      </c>
    </row>
    <row r="36" spans="4:58" ht="15.75">
      <c r="D36" s="128">
        <v>1.18</v>
      </c>
      <c r="E36" s="129">
        <v>4.224E-2</v>
      </c>
      <c r="F36" s="129">
        <v>3.0439999999999998E-2</v>
      </c>
      <c r="G36" s="129">
        <v>0</v>
      </c>
      <c r="H36" s="129">
        <v>0</v>
      </c>
      <c r="I36" s="128">
        <v>1.18</v>
      </c>
      <c r="J36" s="129">
        <v>3.5540000000000002E-2</v>
      </c>
      <c r="K36" s="129">
        <v>2.0279999999999999E-2</v>
      </c>
      <c r="L36" s="129">
        <v>8.7719999999999992E-2</v>
      </c>
      <c r="M36" s="129">
        <v>0</v>
      </c>
      <c r="N36" s="128">
        <v>1.18</v>
      </c>
      <c r="O36" s="129">
        <v>3.4159999999999996E-2</v>
      </c>
      <c r="P36" s="129">
        <v>2.9600000000000001E-2</v>
      </c>
      <c r="Q36" s="129">
        <v>0</v>
      </c>
      <c r="R36" s="129">
        <v>8.2960000000000006E-2</v>
      </c>
      <c r="S36" s="128">
        <v>1.18</v>
      </c>
      <c r="T36" s="129">
        <v>2.622E-2</v>
      </c>
      <c r="U36" s="129">
        <v>1.2319999999999999E-2</v>
      </c>
      <c r="V36" s="129">
        <v>6.3979999999999995E-2</v>
      </c>
      <c r="W36" s="129">
        <v>0</v>
      </c>
      <c r="X36" s="128">
        <v>1.18</v>
      </c>
      <c r="Y36" s="129">
        <v>2.4680000000000001E-2</v>
      </c>
      <c r="Z36" s="129">
        <v>2.5559999999999999E-2</v>
      </c>
      <c r="AA36" s="129">
        <v>0</v>
      </c>
      <c r="AB36" s="129">
        <v>7.0819999999999994E-2</v>
      </c>
      <c r="AC36" s="128">
        <v>1.18</v>
      </c>
      <c r="AD36" s="129">
        <v>3.058E-2</v>
      </c>
      <c r="AE36" s="129">
        <v>2.196E-2</v>
      </c>
      <c r="AF36" s="129">
        <v>6.9819999999999993E-2</v>
      </c>
      <c r="AG36" s="129">
        <v>5.0160000000000003E-2</v>
      </c>
      <c r="AH36" s="128">
        <v>1.18</v>
      </c>
      <c r="AI36" s="129">
        <v>2.3599999999999999E-2</v>
      </c>
      <c r="AJ36" s="129">
        <v>1.468E-2</v>
      </c>
      <c r="AK36" s="129">
        <v>5.6160000000000002E-2</v>
      </c>
      <c r="AL36" s="129">
        <v>3.0279999999999998E-2</v>
      </c>
      <c r="AM36" s="128">
        <v>1.18</v>
      </c>
      <c r="AN36" s="129">
        <v>2.4459999999999999E-2</v>
      </c>
      <c r="AO36" s="129">
        <v>2.0120000000000002E-2</v>
      </c>
      <c r="AP36" s="129">
        <v>5.2080000000000001E-2</v>
      </c>
      <c r="AQ36" s="129">
        <v>4.99E-2</v>
      </c>
      <c r="AR36" s="128">
        <v>1.18</v>
      </c>
      <c r="AS36" s="129">
        <v>2.0240000000000001E-2</v>
      </c>
      <c r="AT36" s="129">
        <v>1.452E-2</v>
      </c>
      <c r="AU36" s="129">
        <v>4.6519999999999999E-2</v>
      </c>
      <c r="AV36" s="129">
        <v>3.3460000000000004E-2</v>
      </c>
      <c r="AW36" s="128">
        <v>1.18</v>
      </c>
      <c r="AX36" s="129">
        <v>1.0200000000000001E-2</v>
      </c>
      <c r="AY36" s="129">
        <v>5.1360000000000003E-2</v>
      </c>
      <c r="AZ36" s="129">
        <v>6.2359999999999999E-2</v>
      </c>
      <c r="BA36" s="129">
        <v>9.8599999999999993E-2</v>
      </c>
      <c r="BB36" s="128">
        <v>1.18</v>
      </c>
      <c r="BC36" s="129">
        <v>3.9539999999999999E-2</v>
      </c>
      <c r="BD36" s="129">
        <v>8.8400000000000006E-3</v>
      </c>
      <c r="BE36" s="129">
        <v>7.2500000000000009E-2</v>
      </c>
      <c r="BF36" s="129">
        <v>3.6136000000000001E-2</v>
      </c>
    </row>
    <row r="37" spans="4:58" ht="15.75">
      <c r="D37" s="128">
        <v>1.19</v>
      </c>
      <c r="E37" s="129">
        <v>4.2519999999999995E-2</v>
      </c>
      <c r="F37" s="129">
        <v>3.0120000000000001E-2</v>
      </c>
      <c r="G37" s="129">
        <v>0</v>
      </c>
      <c r="H37" s="129">
        <v>0</v>
      </c>
      <c r="I37" s="128">
        <v>1.19</v>
      </c>
      <c r="J37" s="129">
        <v>3.5619999999999999E-2</v>
      </c>
      <c r="K37" s="129">
        <v>1.9939999999999999E-2</v>
      </c>
      <c r="L37" s="129">
        <v>8.7459999999999996E-2</v>
      </c>
      <c r="M37" s="129">
        <v>0</v>
      </c>
      <c r="N37" s="128">
        <v>1.19</v>
      </c>
      <c r="O37" s="129">
        <v>3.4479999999999997E-2</v>
      </c>
      <c r="P37" s="129">
        <v>2.9399999999999999E-2</v>
      </c>
      <c r="Q37" s="129">
        <v>0</v>
      </c>
      <c r="R37" s="129">
        <v>8.2479999999999998E-2</v>
      </c>
      <c r="S37" s="128">
        <v>1.19</v>
      </c>
      <c r="T37" s="129">
        <v>2.6160000000000003E-2</v>
      </c>
      <c r="U37" s="129">
        <v>1.206E-2</v>
      </c>
      <c r="V37" s="129">
        <v>6.3640000000000002E-2</v>
      </c>
      <c r="W37" s="129">
        <v>0</v>
      </c>
      <c r="X37" s="128">
        <v>1.19</v>
      </c>
      <c r="Y37" s="129">
        <v>2.504E-2</v>
      </c>
      <c r="Z37" s="129">
        <v>2.5479999999999999E-2</v>
      </c>
      <c r="AA37" s="129">
        <v>0</v>
      </c>
      <c r="AB37" s="129">
        <v>7.0760000000000003E-2</v>
      </c>
      <c r="AC37" s="128">
        <v>1.19</v>
      </c>
      <c r="AD37" s="129">
        <v>3.074E-2</v>
      </c>
      <c r="AE37" s="129">
        <v>2.1679999999999998E-2</v>
      </c>
      <c r="AF37" s="129">
        <v>7.0059999999999997E-2</v>
      </c>
      <c r="AG37" s="129">
        <v>4.9480000000000003E-2</v>
      </c>
      <c r="AH37" s="128">
        <v>1.19</v>
      </c>
      <c r="AI37" s="129">
        <v>2.3599999999999999E-2</v>
      </c>
      <c r="AJ37" s="129">
        <v>1.4440000000000001E-2</v>
      </c>
      <c r="AK37" s="129">
        <v>5.6079999999999998E-2</v>
      </c>
      <c r="AL37" s="129">
        <v>2.9739999999999999E-2</v>
      </c>
      <c r="AM37" s="128">
        <v>1.19</v>
      </c>
      <c r="AN37" s="129">
        <v>2.4680000000000001E-2</v>
      </c>
      <c r="AO37" s="129">
        <v>1.9960000000000002E-2</v>
      </c>
      <c r="AP37" s="129">
        <v>5.2539999999999996E-2</v>
      </c>
      <c r="AQ37" s="129">
        <v>4.9499999999999995E-2</v>
      </c>
      <c r="AR37" s="128">
        <v>1.19</v>
      </c>
      <c r="AS37" s="129">
        <v>2.0320000000000001E-2</v>
      </c>
      <c r="AT37" s="129">
        <v>1.4360000000000001E-2</v>
      </c>
      <c r="AU37" s="129">
        <v>4.666E-2</v>
      </c>
      <c r="AV37" s="129">
        <v>3.2980000000000002E-2</v>
      </c>
      <c r="AW37" s="128">
        <v>1.19</v>
      </c>
      <c r="AX37" s="129">
        <v>1.0200000000000001E-2</v>
      </c>
      <c r="AY37" s="129">
        <v>5.1630000000000002E-2</v>
      </c>
      <c r="AZ37" s="129">
        <v>6.2980000000000008E-2</v>
      </c>
      <c r="BA37" s="129">
        <v>9.9299999999999999E-2</v>
      </c>
      <c r="BB37" s="128">
        <v>1.19</v>
      </c>
      <c r="BC37" s="129">
        <v>3.9219999999999998E-2</v>
      </c>
      <c r="BD37" s="129">
        <v>8.77E-3</v>
      </c>
      <c r="BE37" s="129">
        <v>7.1849999999999997E-2</v>
      </c>
      <c r="BF37" s="129">
        <v>3.5053000000000001E-2</v>
      </c>
    </row>
    <row r="38" spans="4:58" ht="15.75">
      <c r="D38" s="126">
        <v>1.2</v>
      </c>
      <c r="E38" s="127">
        <v>4.2799999999999998E-2</v>
      </c>
      <c r="F38" s="127">
        <v>2.98E-2</v>
      </c>
      <c r="G38" s="129">
        <v>0</v>
      </c>
      <c r="H38" s="129">
        <v>0</v>
      </c>
      <c r="I38" s="126">
        <v>1.2</v>
      </c>
      <c r="J38" s="127">
        <v>3.5700000000000003E-2</v>
      </c>
      <c r="K38" s="127">
        <v>1.9599999999999999E-2</v>
      </c>
      <c r="L38" s="127">
        <v>8.72E-2</v>
      </c>
      <c r="M38" s="129">
        <v>0</v>
      </c>
      <c r="N38" s="126">
        <v>1.2</v>
      </c>
      <c r="O38" s="127">
        <v>3.4799999999999998E-2</v>
      </c>
      <c r="P38" s="127">
        <v>2.92E-2</v>
      </c>
      <c r="Q38" s="129">
        <v>0</v>
      </c>
      <c r="R38" s="127">
        <v>8.2000000000000003E-2</v>
      </c>
      <c r="S38" s="126">
        <v>1.2</v>
      </c>
      <c r="T38" s="127">
        <v>2.6100000000000002E-2</v>
      </c>
      <c r="U38" s="127">
        <v>1.18E-2</v>
      </c>
      <c r="V38" s="127">
        <v>6.3299999999999995E-2</v>
      </c>
      <c r="W38" s="129">
        <v>0</v>
      </c>
      <c r="X38" s="126">
        <v>1.2</v>
      </c>
      <c r="Y38" s="127">
        <v>2.5399999999999999E-2</v>
      </c>
      <c r="Z38" s="127">
        <v>2.5399999999999999E-2</v>
      </c>
      <c r="AA38" s="129">
        <v>0</v>
      </c>
      <c r="AB38" s="127">
        <v>7.0699999999999999E-2</v>
      </c>
      <c r="AC38" s="126">
        <v>1.2</v>
      </c>
      <c r="AD38" s="127">
        <v>3.09E-2</v>
      </c>
      <c r="AE38" s="127">
        <v>2.1399999999999999E-2</v>
      </c>
      <c r="AF38" s="127">
        <v>7.0300000000000001E-2</v>
      </c>
      <c r="AG38" s="127">
        <v>4.8800000000000003E-2</v>
      </c>
      <c r="AH38" s="126">
        <v>1.2</v>
      </c>
      <c r="AI38" s="127">
        <v>2.3599999999999999E-2</v>
      </c>
      <c r="AJ38" s="127">
        <v>1.4200000000000001E-2</v>
      </c>
      <c r="AK38" s="127">
        <v>5.6000000000000001E-2</v>
      </c>
      <c r="AL38" s="127">
        <v>2.92E-2</v>
      </c>
      <c r="AM38" s="126">
        <v>1.2</v>
      </c>
      <c r="AN38" s="127">
        <v>2.4899999999999999E-2</v>
      </c>
      <c r="AO38" s="127">
        <v>1.9800000000000002E-2</v>
      </c>
      <c r="AP38" s="127">
        <v>5.2999999999999999E-2</v>
      </c>
      <c r="AQ38" s="127">
        <v>4.9099999999999998E-2</v>
      </c>
      <c r="AR38" s="126">
        <v>1.2</v>
      </c>
      <c r="AS38" s="127">
        <v>2.0400000000000001E-2</v>
      </c>
      <c r="AT38" s="127">
        <v>1.4200000000000001E-2</v>
      </c>
      <c r="AU38" s="127">
        <v>4.6800000000000001E-2</v>
      </c>
      <c r="AV38" s="127">
        <v>3.2500000000000001E-2</v>
      </c>
      <c r="AW38" s="126">
        <v>1.2</v>
      </c>
      <c r="AX38" s="127">
        <v>1.0200000000000001E-2</v>
      </c>
      <c r="AY38" s="127">
        <v>5.1900000000000002E-2</v>
      </c>
      <c r="AZ38" s="127">
        <v>6.3600000000000004E-2</v>
      </c>
      <c r="BA38" s="127">
        <v>0.1</v>
      </c>
      <c r="BB38" s="126">
        <v>1.2</v>
      </c>
      <c r="BC38" s="127">
        <v>3.8899999999999997E-2</v>
      </c>
      <c r="BD38" s="127">
        <v>8.6999999999999994E-3</v>
      </c>
      <c r="BE38" s="127">
        <v>7.1199999999999999E-2</v>
      </c>
      <c r="BF38" s="127">
        <v>3.397E-2</v>
      </c>
    </row>
    <row r="39" spans="4:58" ht="15.75">
      <c r="D39" s="128">
        <v>1.21</v>
      </c>
      <c r="E39" s="129">
        <v>4.3039999999999995E-2</v>
      </c>
      <c r="F39" s="129">
        <v>2.9479999999999999E-2</v>
      </c>
      <c r="G39" s="129">
        <v>0</v>
      </c>
      <c r="H39" s="129">
        <v>0</v>
      </c>
      <c r="I39" s="128">
        <v>1.21</v>
      </c>
      <c r="J39" s="129">
        <v>3.5740000000000001E-2</v>
      </c>
      <c r="K39" s="129">
        <v>1.9259999999999999E-2</v>
      </c>
      <c r="L39" s="129">
        <v>8.6940000000000003E-2</v>
      </c>
      <c r="M39" s="129">
        <v>0</v>
      </c>
      <c r="N39" s="128">
        <v>1.21</v>
      </c>
      <c r="O39" s="129">
        <v>3.5099999999999999E-2</v>
      </c>
      <c r="P39" s="129">
        <v>2.896E-2</v>
      </c>
      <c r="Q39" s="129">
        <v>0</v>
      </c>
      <c r="R39" s="129">
        <v>8.1420000000000006E-2</v>
      </c>
      <c r="S39" s="128">
        <v>1.21</v>
      </c>
      <c r="T39" s="129">
        <v>2.6020000000000001E-2</v>
      </c>
      <c r="U39" s="129">
        <v>1.1559999999999999E-2</v>
      </c>
      <c r="V39" s="129">
        <v>6.2960000000000002E-2</v>
      </c>
      <c r="W39" s="129">
        <v>0</v>
      </c>
      <c r="X39" s="128">
        <v>1.21</v>
      </c>
      <c r="Y39" s="129">
        <v>2.5739999999999999E-2</v>
      </c>
      <c r="Z39" s="129">
        <v>2.528E-2</v>
      </c>
      <c r="AA39" s="129">
        <v>0</v>
      </c>
      <c r="AB39" s="129">
        <v>7.0559999999999998E-2</v>
      </c>
      <c r="AC39" s="128">
        <v>1.21</v>
      </c>
      <c r="AD39" s="129">
        <v>3.1E-2</v>
      </c>
      <c r="AE39" s="129">
        <v>2.1159999999999998E-2</v>
      </c>
      <c r="AF39" s="129">
        <v>7.0440000000000003E-2</v>
      </c>
      <c r="AG39" s="129">
        <v>4.8120000000000003E-2</v>
      </c>
      <c r="AH39" s="128">
        <v>1.21</v>
      </c>
      <c r="AI39" s="129">
        <v>2.3599999999999999E-2</v>
      </c>
      <c r="AJ39" s="129">
        <v>1.4E-2</v>
      </c>
      <c r="AK39" s="129">
        <v>5.5840000000000001E-2</v>
      </c>
      <c r="AL39" s="129">
        <v>2.87E-2</v>
      </c>
      <c r="AM39" s="128">
        <v>1.21</v>
      </c>
      <c r="AN39" s="129">
        <v>2.5079999999999998E-2</v>
      </c>
      <c r="AO39" s="129">
        <v>1.9620000000000002E-2</v>
      </c>
      <c r="AP39" s="129">
        <v>5.3379999999999997E-2</v>
      </c>
      <c r="AQ39" s="129">
        <v>4.8680000000000001E-2</v>
      </c>
      <c r="AR39" s="128">
        <v>1.21</v>
      </c>
      <c r="AS39" s="129">
        <v>2.0460000000000002E-2</v>
      </c>
      <c r="AT39" s="129">
        <v>1.4020000000000001E-2</v>
      </c>
      <c r="AU39" s="129">
        <v>4.6900000000000004E-2</v>
      </c>
      <c r="AV39" s="129">
        <v>3.2059999999999998E-2</v>
      </c>
      <c r="AW39" s="128">
        <v>1.21</v>
      </c>
      <c r="AX39" s="129">
        <v>1.0180000000000002E-2</v>
      </c>
      <c r="AY39" s="129">
        <v>5.2110000000000004E-2</v>
      </c>
      <c r="AZ39" s="129">
        <v>6.4240000000000005E-2</v>
      </c>
      <c r="BA39" s="129">
        <v>0.10062</v>
      </c>
      <c r="BB39" s="128">
        <v>1.21</v>
      </c>
      <c r="BC39" s="129">
        <v>3.8629999999999998E-2</v>
      </c>
      <c r="BD39" s="129">
        <v>8.6199999999999992E-3</v>
      </c>
      <c r="BE39" s="129">
        <v>7.0660000000000001E-2</v>
      </c>
      <c r="BF39" s="129">
        <v>3.4112999999999997E-2</v>
      </c>
    </row>
    <row r="40" spans="4:58" ht="15.75">
      <c r="D40" s="128">
        <v>1.22</v>
      </c>
      <c r="E40" s="129">
        <v>4.3279999999999999E-2</v>
      </c>
      <c r="F40" s="129">
        <v>2.9159999999999998E-2</v>
      </c>
      <c r="G40" s="129">
        <v>0</v>
      </c>
      <c r="H40" s="129">
        <v>0</v>
      </c>
      <c r="I40" s="128">
        <v>1.22</v>
      </c>
      <c r="J40" s="129">
        <v>3.5779999999999999E-2</v>
      </c>
      <c r="K40" s="129">
        <v>1.8919999999999999E-2</v>
      </c>
      <c r="L40" s="129">
        <v>8.6680000000000007E-2</v>
      </c>
      <c r="M40" s="129">
        <v>0</v>
      </c>
      <c r="N40" s="128">
        <v>1.22</v>
      </c>
      <c r="O40" s="129">
        <v>3.5400000000000001E-2</v>
      </c>
      <c r="P40" s="129">
        <v>2.8719999999999999E-2</v>
      </c>
      <c r="Q40" s="129">
        <v>0</v>
      </c>
      <c r="R40" s="129">
        <v>8.0840000000000009E-2</v>
      </c>
      <c r="S40" s="128">
        <v>1.22</v>
      </c>
      <c r="T40" s="129">
        <v>2.5940000000000001E-2</v>
      </c>
      <c r="U40" s="129">
        <v>1.132E-2</v>
      </c>
      <c r="V40" s="129">
        <v>6.2619999999999995E-2</v>
      </c>
      <c r="W40" s="129">
        <v>0</v>
      </c>
      <c r="X40" s="128">
        <v>1.22</v>
      </c>
      <c r="Y40" s="129">
        <v>2.6079999999999999E-2</v>
      </c>
      <c r="Z40" s="129">
        <v>2.5159999999999998E-2</v>
      </c>
      <c r="AA40" s="129">
        <v>0</v>
      </c>
      <c r="AB40" s="129">
        <v>7.0419999999999996E-2</v>
      </c>
      <c r="AC40" s="128">
        <v>1.22</v>
      </c>
      <c r="AD40" s="129">
        <v>3.1099999999999999E-2</v>
      </c>
      <c r="AE40" s="129">
        <v>2.0919999999999998E-2</v>
      </c>
      <c r="AF40" s="129">
        <v>7.0580000000000004E-2</v>
      </c>
      <c r="AG40" s="129">
        <v>4.7440000000000003E-2</v>
      </c>
      <c r="AH40" s="128">
        <v>1.22</v>
      </c>
      <c r="AI40" s="129">
        <v>2.3599999999999999E-2</v>
      </c>
      <c r="AJ40" s="129">
        <v>1.38E-2</v>
      </c>
      <c r="AK40" s="129">
        <v>5.568E-2</v>
      </c>
      <c r="AL40" s="129">
        <v>2.8199999999999999E-2</v>
      </c>
      <c r="AM40" s="128">
        <v>1.22</v>
      </c>
      <c r="AN40" s="129">
        <v>2.5259999999999998E-2</v>
      </c>
      <c r="AO40" s="129">
        <v>1.9440000000000002E-2</v>
      </c>
      <c r="AP40" s="129">
        <v>5.3759999999999995E-2</v>
      </c>
      <c r="AQ40" s="129">
        <v>4.8259999999999997E-2</v>
      </c>
      <c r="AR40" s="128">
        <v>1.22</v>
      </c>
      <c r="AS40" s="129">
        <v>2.052E-2</v>
      </c>
      <c r="AT40" s="129">
        <v>1.384E-2</v>
      </c>
      <c r="AU40" s="129">
        <v>4.7E-2</v>
      </c>
      <c r="AV40" s="129">
        <v>3.1620000000000002E-2</v>
      </c>
      <c r="AW40" s="128">
        <v>1.22</v>
      </c>
      <c r="AX40" s="129">
        <v>1.0160000000000001E-2</v>
      </c>
      <c r="AY40" s="129">
        <v>5.2319999999999998E-2</v>
      </c>
      <c r="AZ40" s="129">
        <v>6.4880000000000007E-2</v>
      </c>
      <c r="BA40" s="129">
        <v>0.10124</v>
      </c>
      <c r="BB40" s="128">
        <v>1.22</v>
      </c>
      <c r="BC40" s="129">
        <v>3.8359999999999998E-2</v>
      </c>
      <c r="BD40" s="129">
        <v>8.539999999999999E-3</v>
      </c>
      <c r="BE40" s="129">
        <v>7.0120000000000002E-2</v>
      </c>
      <c r="BF40" s="129">
        <v>3.4256000000000002E-2</v>
      </c>
    </row>
    <row r="41" spans="4:58" ht="15.75">
      <c r="D41" s="128">
        <v>1.23</v>
      </c>
      <c r="E41" s="129">
        <v>4.3519999999999996E-2</v>
      </c>
      <c r="F41" s="129">
        <v>2.8840000000000001E-2</v>
      </c>
      <c r="G41" s="129">
        <v>0</v>
      </c>
      <c r="H41" s="129">
        <v>0</v>
      </c>
      <c r="I41" s="128">
        <v>1.23</v>
      </c>
      <c r="J41" s="129">
        <v>3.5820000000000005E-2</v>
      </c>
      <c r="K41" s="129">
        <v>1.8579999999999999E-2</v>
      </c>
      <c r="L41" s="129">
        <v>8.6419999999999997E-2</v>
      </c>
      <c r="M41" s="129">
        <v>0</v>
      </c>
      <c r="N41" s="128">
        <v>1.23</v>
      </c>
      <c r="O41" s="129">
        <v>3.5699999999999996E-2</v>
      </c>
      <c r="P41" s="129">
        <v>2.8480000000000002E-2</v>
      </c>
      <c r="Q41" s="129">
        <v>0</v>
      </c>
      <c r="R41" s="129">
        <v>8.0259999999999998E-2</v>
      </c>
      <c r="S41" s="128">
        <v>1.23</v>
      </c>
      <c r="T41" s="129">
        <v>2.5860000000000001E-2</v>
      </c>
      <c r="U41" s="129">
        <v>1.108E-2</v>
      </c>
      <c r="V41" s="129">
        <v>6.2280000000000002E-2</v>
      </c>
      <c r="W41" s="129">
        <v>0</v>
      </c>
      <c r="X41" s="128">
        <v>1.23</v>
      </c>
      <c r="Y41" s="129">
        <v>2.6419999999999999E-2</v>
      </c>
      <c r="Z41" s="129">
        <v>2.504E-2</v>
      </c>
      <c r="AA41" s="129">
        <v>0</v>
      </c>
      <c r="AB41" s="129">
        <v>7.0280000000000009E-2</v>
      </c>
      <c r="AC41" s="128">
        <v>1.23</v>
      </c>
      <c r="AD41" s="129">
        <v>3.1199999999999999E-2</v>
      </c>
      <c r="AE41" s="129">
        <v>2.068E-2</v>
      </c>
      <c r="AF41" s="129">
        <v>7.0719999999999991E-2</v>
      </c>
      <c r="AG41" s="129">
        <v>4.6760000000000003E-2</v>
      </c>
      <c r="AH41" s="128">
        <v>1.23</v>
      </c>
      <c r="AI41" s="129">
        <v>2.3599999999999999E-2</v>
      </c>
      <c r="AJ41" s="129">
        <v>1.3600000000000001E-2</v>
      </c>
      <c r="AK41" s="129">
        <v>5.552E-2</v>
      </c>
      <c r="AL41" s="129">
        <v>2.7700000000000002E-2</v>
      </c>
      <c r="AM41" s="128">
        <v>1.23</v>
      </c>
      <c r="AN41" s="129">
        <v>2.5440000000000001E-2</v>
      </c>
      <c r="AO41" s="129">
        <v>1.9259999999999999E-2</v>
      </c>
      <c r="AP41" s="129">
        <v>5.4140000000000001E-2</v>
      </c>
      <c r="AQ41" s="129">
        <v>4.7840000000000001E-2</v>
      </c>
      <c r="AR41" s="128">
        <v>1.23</v>
      </c>
      <c r="AS41" s="129">
        <v>2.0580000000000001E-2</v>
      </c>
      <c r="AT41" s="129">
        <v>1.366E-2</v>
      </c>
      <c r="AU41" s="129">
        <v>4.7100000000000003E-2</v>
      </c>
      <c r="AV41" s="129">
        <v>3.1179999999999999E-2</v>
      </c>
      <c r="AW41" s="128">
        <v>1.23</v>
      </c>
      <c r="AX41" s="129">
        <v>1.0140000000000001E-2</v>
      </c>
      <c r="AY41" s="129">
        <v>5.253E-2</v>
      </c>
      <c r="AZ41" s="129">
        <v>6.5519999999999995E-2</v>
      </c>
      <c r="BA41" s="129">
        <v>0.10186000000000001</v>
      </c>
      <c r="BB41" s="128">
        <v>1.23</v>
      </c>
      <c r="BC41" s="129">
        <v>3.8089999999999999E-2</v>
      </c>
      <c r="BD41" s="129">
        <v>8.4600000000000005E-3</v>
      </c>
      <c r="BE41" s="129">
        <v>6.9580000000000003E-2</v>
      </c>
      <c r="BF41" s="129">
        <v>3.4398999999999999E-2</v>
      </c>
    </row>
    <row r="42" spans="4:58" ht="15.75">
      <c r="D42" s="128">
        <v>1.24</v>
      </c>
      <c r="E42" s="129">
        <v>4.376E-2</v>
      </c>
      <c r="F42" s="129">
        <v>2.852E-2</v>
      </c>
      <c r="G42" s="129">
        <v>0</v>
      </c>
      <c r="H42" s="129">
        <v>0</v>
      </c>
      <c r="I42" s="128">
        <v>1.24</v>
      </c>
      <c r="J42" s="129">
        <v>3.5860000000000003E-2</v>
      </c>
      <c r="K42" s="129">
        <v>1.8239999999999999E-2</v>
      </c>
      <c r="L42" s="129">
        <v>8.616E-2</v>
      </c>
      <c r="M42" s="129">
        <v>0</v>
      </c>
      <c r="N42" s="128">
        <v>1.24</v>
      </c>
      <c r="O42" s="129">
        <v>3.5999999999999997E-2</v>
      </c>
      <c r="P42" s="129">
        <v>2.8240000000000001E-2</v>
      </c>
      <c r="Q42" s="129">
        <v>0</v>
      </c>
      <c r="R42" s="129">
        <v>7.9680000000000001E-2</v>
      </c>
      <c r="S42" s="128">
        <v>1.24</v>
      </c>
      <c r="T42" s="129">
        <v>2.5780000000000001E-2</v>
      </c>
      <c r="U42" s="129">
        <v>1.0840000000000001E-2</v>
      </c>
      <c r="V42" s="129">
        <v>6.1940000000000002E-2</v>
      </c>
      <c r="W42" s="129">
        <v>0</v>
      </c>
      <c r="X42" s="128">
        <v>1.24</v>
      </c>
      <c r="Y42" s="129">
        <v>2.6759999999999999E-2</v>
      </c>
      <c r="Z42" s="129">
        <v>2.4919999999999998E-2</v>
      </c>
      <c r="AA42" s="129">
        <v>0</v>
      </c>
      <c r="AB42" s="129">
        <v>7.0140000000000008E-2</v>
      </c>
      <c r="AC42" s="128">
        <v>1.24</v>
      </c>
      <c r="AD42" s="129">
        <v>3.1299999999999994E-2</v>
      </c>
      <c r="AE42" s="129">
        <v>2.044E-2</v>
      </c>
      <c r="AF42" s="129">
        <v>7.0859999999999992E-2</v>
      </c>
      <c r="AG42" s="129">
        <v>4.6080000000000003E-2</v>
      </c>
      <c r="AH42" s="128">
        <v>1.24</v>
      </c>
      <c r="AI42" s="129">
        <v>2.3599999999999999E-2</v>
      </c>
      <c r="AJ42" s="129">
        <v>1.34E-2</v>
      </c>
      <c r="AK42" s="129">
        <v>5.5359999999999999E-2</v>
      </c>
      <c r="AL42" s="129">
        <v>2.7200000000000002E-2</v>
      </c>
      <c r="AM42" s="128">
        <v>1.24</v>
      </c>
      <c r="AN42" s="129">
        <v>2.562E-2</v>
      </c>
      <c r="AO42" s="129">
        <v>1.908E-2</v>
      </c>
      <c r="AP42" s="129">
        <v>5.4519999999999999E-2</v>
      </c>
      <c r="AQ42" s="129">
        <v>4.7419999999999997E-2</v>
      </c>
      <c r="AR42" s="128">
        <v>1.24</v>
      </c>
      <c r="AS42" s="129">
        <v>2.0639999999999999E-2</v>
      </c>
      <c r="AT42" s="129">
        <v>1.3479999999999999E-2</v>
      </c>
      <c r="AU42" s="129">
        <v>4.7199999999999999E-2</v>
      </c>
      <c r="AV42" s="129">
        <v>3.074E-2</v>
      </c>
      <c r="AW42" s="128">
        <v>1.24</v>
      </c>
      <c r="AX42" s="129">
        <v>1.0120000000000001E-2</v>
      </c>
      <c r="AY42" s="129">
        <v>5.2739999999999995E-2</v>
      </c>
      <c r="AZ42" s="129">
        <v>6.6159999999999997E-2</v>
      </c>
      <c r="BA42" s="129">
        <v>0.10248</v>
      </c>
      <c r="BB42" s="128">
        <v>1.24</v>
      </c>
      <c r="BC42" s="129">
        <v>3.7819999999999999E-2</v>
      </c>
      <c r="BD42" s="129">
        <v>8.3800000000000003E-3</v>
      </c>
      <c r="BE42" s="129">
        <v>6.9040000000000004E-2</v>
      </c>
      <c r="BF42" s="129">
        <v>3.4542000000000003E-2</v>
      </c>
    </row>
    <row r="43" spans="4:58" ht="15.75">
      <c r="D43" s="126">
        <v>1.25</v>
      </c>
      <c r="E43" s="127">
        <v>4.3999999999999997E-2</v>
      </c>
      <c r="F43" s="127">
        <v>2.8199999999999999E-2</v>
      </c>
      <c r="G43" s="129">
        <v>0</v>
      </c>
      <c r="H43" s="129">
        <v>0</v>
      </c>
      <c r="I43" s="126">
        <v>1.25</v>
      </c>
      <c r="J43" s="127">
        <v>3.5900000000000001E-2</v>
      </c>
      <c r="K43" s="127">
        <v>1.7899999999999999E-2</v>
      </c>
      <c r="L43" s="127">
        <v>8.5900000000000004E-2</v>
      </c>
      <c r="M43" s="129">
        <v>0</v>
      </c>
      <c r="N43" s="126">
        <v>1.25</v>
      </c>
      <c r="O43" s="127">
        <v>3.6299999999999999E-2</v>
      </c>
      <c r="P43" s="127">
        <v>2.8000000000000001E-2</v>
      </c>
      <c r="Q43" s="129">
        <v>0</v>
      </c>
      <c r="R43" s="127">
        <v>7.9100000000000004E-2</v>
      </c>
      <c r="S43" s="126">
        <v>1.25</v>
      </c>
      <c r="T43" s="127">
        <v>2.5700000000000001E-2</v>
      </c>
      <c r="U43" s="127">
        <v>1.06E-2</v>
      </c>
      <c r="V43" s="127">
        <v>6.1600000000000002E-2</v>
      </c>
      <c r="W43" s="129">
        <v>0</v>
      </c>
      <c r="X43" s="126">
        <v>1.25</v>
      </c>
      <c r="Y43" s="127">
        <v>2.7099999999999999E-2</v>
      </c>
      <c r="Z43" s="127">
        <v>2.4799999999999999E-2</v>
      </c>
      <c r="AA43" s="129">
        <v>0</v>
      </c>
      <c r="AB43" s="127">
        <v>7.0000000000000007E-2</v>
      </c>
      <c r="AC43" s="126">
        <v>1.25</v>
      </c>
      <c r="AD43" s="127">
        <v>3.1399999999999997E-2</v>
      </c>
      <c r="AE43" s="127">
        <v>2.0199999999999999E-2</v>
      </c>
      <c r="AF43" s="127">
        <v>7.0999999999999994E-2</v>
      </c>
      <c r="AG43" s="127">
        <v>4.5400000000000003E-2</v>
      </c>
      <c r="AH43" s="126">
        <v>1.25</v>
      </c>
      <c r="AI43" s="127">
        <v>2.3599999999999999E-2</v>
      </c>
      <c r="AJ43" s="127">
        <v>1.32E-2</v>
      </c>
      <c r="AK43" s="127">
        <v>5.5199999999999999E-2</v>
      </c>
      <c r="AL43" s="127">
        <v>2.6700000000000002E-2</v>
      </c>
      <c r="AM43" s="126">
        <v>1.25</v>
      </c>
      <c r="AN43" s="127">
        <v>2.58E-2</v>
      </c>
      <c r="AO43" s="127">
        <v>1.89E-2</v>
      </c>
      <c r="AP43" s="127">
        <v>5.4899999999999997E-2</v>
      </c>
      <c r="AQ43" s="127">
        <v>4.7E-2</v>
      </c>
      <c r="AR43" s="126">
        <v>1.25</v>
      </c>
      <c r="AS43" s="127">
        <v>2.07E-2</v>
      </c>
      <c r="AT43" s="127">
        <v>1.3299999999999999E-2</v>
      </c>
      <c r="AU43" s="127">
        <v>4.7300000000000002E-2</v>
      </c>
      <c r="AV43" s="127">
        <v>3.0300000000000001E-2</v>
      </c>
      <c r="AW43" s="126">
        <v>1.25</v>
      </c>
      <c r="AX43" s="127">
        <v>1.0100000000000001E-2</v>
      </c>
      <c r="AY43" s="127">
        <v>5.2949999999999997E-2</v>
      </c>
      <c r="AZ43" s="127">
        <v>6.6799999999999998E-2</v>
      </c>
      <c r="BA43" s="127">
        <v>0.1031</v>
      </c>
      <c r="BB43" s="126">
        <v>1.25</v>
      </c>
      <c r="BC43" s="127">
        <v>3.755E-2</v>
      </c>
      <c r="BD43" s="127">
        <v>8.3000000000000001E-3</v>
      </c>
      <c r="BE43" s="127">
        <v>6.8500000000000005E-2</v>
      </c>
      <c r="BF43" s="127">
        <v>3.4685000000000001E-2</v>
      </c>
    </row>
    <row r="44" spans="4:58" ht="15.75">
      <c r="D44" s="128">
        <v>1.26</v>
      </c>
      <c r="E44" s="129">
        <v>4.4239999999999995E-2</v>
      </c>
      <c r="F44" s="129">
        <v>2.792E-2</v>
      </c>
      <c r="G44" s="129">
        <v>0</v>
      </c>
      <c r="H44" s="129">
        <v>0</v>
      </c>
      <c r="I44" s="128">
        <v>1.26</v>
      </c>
      <c r="J44" s="129">
        <v>3.5900000000000001E-2</v>
      </c>
      <c r="K44" s="129">
        <v>1.762E-2</v>
      </c>
      <c r="L44" s="129">
        <v>8.5580000000000003E-2</v>
      </c>
      <c r="M44" s="129">
        <v>0</v>
      </c>
      <c r="N44" s="128">
        <v>1.26</v>
      </c>
      <c r="O44" s="129">
        <v>3.6600000000000001E-2</v>
      </c>
      <c r="P44" s="129">
        <v>2.7779999999999999E-2</v>
      </c>
      <c r="Q44" s="129">
        <v>0</v>
      </c>
      <c r="R44" s="129">
        <v>7.8480000000000008E-2</v>
      </c>
      <c r="S44" s="128">
        <v>1.26</v>
      </c>
      <c r="T44" s="129">
        <v>2.564E-2</v>
      </c>
      <c r="U44" s="129">
        <v>1.042E-2</v>
      </c>
      <c r="V44" s="129">
        <v>6.1260000000000002E-2</v>
      </c>
      <c r="W44" s="129">
        <v>0</v>
      </c>
      <c r="X44" s="128">
        <v>1.26</v>
      </c>
      <c r="Y44" s="129">
        <v>2.742E-2</v>
      </c>
      <c r="Z44" s="129">
        <v>2.4680000000000001E-2</v>
      </c>
      <c r="AA44" s="129">
        <v>0</v>
      </c>
      <c r="AB44" s="129">
        <v>6.9780000000000009E-2</v>
      </c>
      <c r="AC44" s="128">
        <v>1.26</v>
      </c>
      <c r="AD44" s="129">
        <v>3.15E-2</v>
      </c>
      <c r="AE44" s="129">
        <v>1.992E-2</v>
      </c>
      <c r="AF44" s="129">
        <v>7.102E-2</v>
      </c>
      <c r="AG44" s="129">
        <v>4.4740000000000002E-2</v>
      </c>
      <c r="AH44" s="128">
        <v>1.26</v>
      </c>
      <c r="AI44" s="129">
        <v>2.358E-2</v>
      </c>
      <c r="AJ44" s="129">
        <v>1.2959999999999999E-2</v>
      </c>
      <c r="AK44" s="129">
        <v>5.5059999999999998E-2</v>
      </c>
      <c r="AL44" s="129">
        <v>2.6200000000000001E-2</v>
      </c>
      <c r="AM44" s="128">
        <v>1.26</v>
      </c>
      <c r="AN44" s="129">
        <v>2.596E-2</v>
      </c>
      <c r="AO44" s="129">
        <v>1.874E-2</v>
      </c>
      <c r="AP44" s="129">
        <v>5.5219999999999998E-2</v>
      </c>
      <c r="AQ44" s="129">
        <v>4.6539999999999998E-2</v>
      </c>
      <c r="AR44" s="128">
        <v>1.26</v>
      </c>
      <c r="AS44" s="129">
        <v>2.0719999999999999E-2</v>
      </c>
      <c r="AT44" s="129">
        <v>1.3099999999999999E-2</v>
      </c>
      <c r="AU44" s="129">
        <v>4.734E-2</v>
      </c>
      <c r="AV44" s="129">
        <v>2.9860000000000001E-2</v>
      </c>
      <c r="AW44" s="128">
        <v>1.26</v>
      </c>
      <c r="AX44" s="129">
        <v>1.008E-2</v>
      </c>
      <c r="AY44" s="129">
        <v>5.3159999999999999E-2</v>
      </c>
      <c r="AZ44" s="129">
        <v>6.744E-2</v>
      </c>
      <c r="BA44" s="129">
        <v>0.10371999999999999</v>
      </c>
      <c r="BB44" s="128">
        <v>1.26</v>
      </c>
      <c r="BC44" s="129">
        <v>3.7280000000000001E-2</v>
      </c>
      <c r="BD44" s="129">
        <v>8.2199999999999999E-3</v>
      </c>
      <c r="BE44" s="129">
        <v>6.7960000000000007E-2</v>
      </c>
      <c r="BF44" s="129">
        <v>3.4827999999999998E-2</v>
      </c>
    </row>
    <row r="45" spans="4:58" ht="15.75">
      <c r="D45" s="128">
        <v>1.27</v>
      </c>
      <c r="E45" s="129">
        <v>4.4479999999999999E-2</v>
      </c>
      <c r="F45" s="129">
        <v>2.7640000000000001E-2</v>
      </c>
      <c r="G45" s="129">
        <v>0</v>
      </c>
      <c r="H45" s="129">
        <v>0</v>
      </c>
      <c r="I45" s="128">
        <v>1.27</v>
      </c>
      <c r="J45" s="129">
        <v>3.5900000000000001E-2</v>
      </c>
      <c r="K45" s="129">
        <v>1.7340000000000001E-2</v>
      </c>
      <c r="L45" s="129">
        <v>8.5260000000000002E-2</v>
      </c>
      <c r="M45" s="129">
        <v>0</v>
      </c>
      <c r="N45" s="128">
        <v>1.27</v>
      </c>
      <c r="O45" s="129">
        <v>3.6900000000000002E-2</v>
      </c>
      <c r="P45" s="129">
        <v>2.7560000000000001E-2</v>
      </c>
      <c r="Q45" s="129">
        <v>0</v>
      </c>
      <c r="R45" s="129">
        <v>7.7859999999999999E-2</v>
      </c>
      <c r="S45" s="128">
        <v>1.27</v>
      </c>
      <c r="T45" s="129">
        <v>2.5579999999999999E-2</v>
      </c>
      <c r="U45" s="129">
        <v>1.0240000000000001E-2</v>
      </c>
      <c r="V45" s="129">
        <v>6.0920000000000002E-2</v>
      </c>
      <c r="W45" s="129">
        <v>0</v>
      </c>
      <c r="X45" s="128">
        <v>1.27</v>
      </c>
      <c r="Y45" s="129">
        <v>2.7740000000000001E-2</v>
      </c>
      <c r="Z45" s="129">
        <v>2.4559999999999998E-2</v>
      </c>
      <c r="AA45" s="129">
        <v>0</v>
      </c>
      <c r="AB45" s="129">
        <v>6.9560000000000011E-2</v>
      </c>
      <c r="AC45" s="128">
        <v>1.27</v>
      </c>
      <c r="AD45" s="129">
        <v>3.1599999999999996E-2</v>
      </c>
      <c r="AE45" s="129">
        <v>1.9640000000000001E-2</v>
      </c>
      <c r="AF45" s="129">
        <v>7.1039999999999992E-2</v>
      </c>
      <c r="AG45" s="129">
        <v>4.4080000000000001E-2</v>
      </c>
      <c r="AH45" s="128">
        <v>1.27</v>
      </c>
      <c r="AI45" s="129">
        <v>2.3560000000000001E-2</v>
      </c>
      <c r="AJ45" s="129">
        <v>1.272E-2</v>
      </c>
      <c r="AK45" s="129">
        <v>5.4919999999999997E-2</v>
      </c>
      <c r="AL45" s="129">
        <v>2.5700000000000001E-2</v>
      </c>
      <c r="AM45" s="128">
        <v>1.27</v>
      </c>
      <c r="AN45" s="129">
        <v>2.6120000000000001E-2</v>
      </c>
      <c r="AO45" s="129">
        <v>1.8579999999999999E-2</v>
      </c>
      <c r="AP45" s="129">
        <v>5.5539999999999999E-2</v>
      </c>
      <c r="AQ45" s="129">
        <v>4.6079999999999996E-2</v>
      </c>
      <c r="AR45" s="128">
        <v>1.27</v>
      </c>
      <c r="AS45" s="129">
        <v>2.0739999999999998E-2</v>
      </c>
      <c r="AT45" s="129">
        <v>1.29E-2</v>
      </c>
      <c r="AU45" s="129">
        <v>4.7379999999999999E-2</v>
      </c>
      <c r="AV45" s="129">
        <v>2.9420000000000002E-2</v>
      </c>
      <c r="AW45" s="128">
        <v>1.27</v>
      </c>
      <c r="AX45" s="129">
        <v>1.0060000000000001E-2</v>
      </c>
      <c r="AY45" s="129">
        <v>5.3370000000000001E-2</v>
      </c>
      <c r="AZ45" s="129">
        <v>6.8080000000000002E-2</v>
      </c>
      <c r="BA45" s="129">
        <v>0.10434</v>
      </c>
      <c r="BB45" s="128">
        <v>1.27</v>
      </c>
      <c r="BC45" s="129">
        <v>3.7010000000000001E-2</v>
      </c>
      <c r="BD45" s="129">
        <v>8.1399999999999997E-3</v>
      </c>
      <c r="BE45" s="129">
        <v>6.7420000000000008E-2</v>
      </c>
      <c r="BF45" s="129">
        <v>3.4971000000000002E-2</v>
      </c>
    </row>
    <row r="46" spans="4:58" ht="15.75">
      <c r="D46" s="128">
        <v>1.28</v>
      </c>
      <c r="E46" s="129">
        <v>4.4719999999999996E-2</v>
      </c>
      <c r="F46" s="129">
        <v>2.7359999999999999E-2</v>
      </c>
      <c r="G46" s="129">
        <v>0</v>
      </c>
      <c r="H46" s="129">
        <v>0</v>
      </c>
      <c r="I46" s="128">
        <v>1.28</v>
      </c>
      <c r="J46" s="129">
        <v>3.5900000000000001E-2</v>
      </c>
      <c r="K46" s="129">
        <v>1.7059999999999999E-2</v>
      </c>
      <c r="L46" s="129">
        <v>8.4940000000000002E-2</v>
      </c>
      <c r="M46" s="129">
        <v>0</v>
      </c>
      <c r="N46" s="128">
        <v>1.28</v>
      </c>
      <c r="O46" s="129">
        <v>3.7199999999999997E-2</v>
      </c>
      <c r="P46" s="129">
        <v>2.734E-2</v>
      </c>
      <c r="Q46" s="129">
        <v>0</v>
      </c>
      <c r="R46" s="129">
        <v>7.7240000000000003E-2</v>
      </c>
      <c r="S46" s="128">
        <v>1.28</v>
      </c>
      <c r="T46" s="129">
        <v>2.5520000000000001E-2</v>
      </c>
      <c r="U46" s="129">
        <v>1.0059999999999999E-2</v>
      </c>
      <c r="V46" s="129">
        <v>6.0580000000000002E-2</v>
      </c>
      <c r="W46" s="129">
        <v>0</v>
      </c>
      <c r="X46" s="128">
        <v>1.28</v>
      </c>
      <c r="Y46" s="129">
        <v>2.8059999999999998E-2</v>
      </c>
      <c r="Z46" s="129">
        <v>2.444E-2</v>
      </c>
      <c r="AA46" s="129">
        <v>0</v>
      </c>
      <c r="AB46" s="129">
        <v>6.9339999999999999E-2</v>
      </c>
      <c r="AC46" s="128">
        <v>1.28</v>
      </c>
      <c r="AD46" s="129">
        <v>3.1699999999999999E-2</v>
      </c>
      <c r="AE46" s="129">
        <v>1.9359999999999999E-2</v>
      </c>
      <c r="AF46" s="129">
        <v>7.1059999999999998E-2</v>
      </c>
      <c r="AG46" s="129">
        <v>4.342E-2</v>
      </c>
      <c r="AH46" s="128">
        <v>1.28</v>
      </c>
      <c r="AI46" s="129">
        <v>2.3539999999999998E-2</v>
      </c>
      <c r="AJ46" s="129">
        <v>1.248E-2</v>
      </c>
      <c r="AK46" s="129">
        <v>5.4780000000000002E-2</v>
      </c>
      <c r="AL46" s="129">
        <v>2.52E-2</v>
      </c>
      <c r="AM46" s="128">
        <v>1.28</v>
      </c>
      <c r="AN46" s="129">
        <v>2.6279999999999998E-2</v>
      </c>
      <c r="AO46" s="129">
        <v>1.8420000000000002E-2</v>
      </c>
      <c r="AP46" s="129">
        <v>5.586E-2</v>
      </c>
      <c r="AQ46" s="129">
        <v>4.5620000000000001E-2</v>
      </c>
      <c r="AR46" s="128">
        <v>1.28</v>
      </c>
      <c r="AS46" s="129">
        <v>2.0760000000000001E-2</v>
      </c>
      <c r="AT46" s="129">
        <v>1.2699999999999999E-2</v>
      </c>
      <c r="AU46" s="129">
        <v>4.7420000000000004E-2</v>
      </c>
      <c r="AV46" s="129">
        <v>2.8979999999999999E-2</v>
      </c>
      <c r="AW46" s="128">
        <v>1.28</v>
      </c>
      <c r="AX46" s="129">
        <v>1.004E-2</v>
      </c>
      <c r="AY46" s="129">
        <v>5.3579999999999996E-2</v>
      </c>
      <c r="AZ46" s="129">
        <v>6.8720000000000003E-2</v>
      </c>
      <c r="BA46" s="129">
        <v>0.10496</v>
      </c>
      <c r="BB46" s="128">
        <v>1.28</v>
      </c>
      <c r="BC46" s="129">
        <v>3.6740000000000002E-2</v>
      </c>
      <c r="BD46" s="129">
        <v>8.0600000000000012E-3</v>
      </c>
      <c r="BE46" s="129">
        <v>6.6879999999999995E-2</v>
      </c>
      <c r="BF46" s="129">
        <v>3.5113999999999999E-2</v>
      </c>
    </row>
    <row r="47" spans="4:58" ht="15.75">
      <c r="D47" s="128">
        <v>1.29</v>
      </c>
      <c r="E47" s="129">
        <v>4.496E-2</v>
      </c>
      <c r="F47" s="129">
        <v>2.708E-2</v>
      </c>
      <c r="G47" s="129">
        <v>0</v>
      </c>
      <c r="H47" s="129">
        <v>0</v>
      </c>
      <c r="I47" s="128">
        <v>1.29</v>
      </c>
      <c r="J47" s="129">
        <v>3.5900000000000001E-2</v>
      </c>
      <c r="K47" s="129">
        <v>1.678E-2</v>
      </c>
      <c r="L47" s="129">
        <v>8.4620000000000001E-2</v>
      </c>
      <c r="M47" s="129">
        <v>0</v>
      </c>
      <c r="N47" s="128">
        <v>1.29</v>
      </c>
      <c r="O47" s="129">
        <v>3.7499999999999999E-2</v>
      </c>
      <c r="P47" s="129">
        <v>2.7120000000000002E-2</v>
      </c>
      <c r="Q47" s="129">
        <v>0</v>
      </c>
      <c r="R47" s="129">
        <v>7.6619999999999994E-2</v>
      </c>
      <c r="S47" s="128">
        <v>1.29</v>
      </c>
      <c r="T47" s="129">
        <v>2.546E-2</v>
      </c>
      <c r="U47" s="129">
        <v>9.8799999999999999E-3</v>
      </c>
      <c r="V47" s="129">
        <v>6.0240000000000002E-2</v>
      </c>
      <c r="W47" s="129">
        <v>0</v>
      </c>
      <c r="X47" s="128">
        <v>1.29</v>
      </c>
      <c r="Y47" s="129">
        <v>2.8379999999999999E-2</v>
      </c>
      <c r="Z47" s="129">
        <v>2.4319999999999998E-2</v>
      </c>
      <c r="AA47" s="129">
        <v>0</v>
      </c>
      <c r="AB47" s="129">
        <v>6.9120000000000001E-2</v>
      </c>
      <c r="AC47" s="128">
        <v>1.29</v>
      </c>
      <c r="AD47" s="129">
        <v>3.1799999999999995E-2</v>
      </c>
      <c r="AE47" s="129">
        <v>1.908E-2</v>
      </c>
      <c r="AF47" s="129">
        <v>7.107999999999999E-2</v>
      </c>
      <c r="AG47" s="129">
        <v>4.2759999999999999E-2</v>
      </c>
      <c r="AH47" s="128">
        <v>1.29</v>
      </c>
      <c r="AI47" s="129">
        <v>2.3519999999999999E-2</v>
      </c>
      <c r="AJ47" s="129">
        <v>1.2240000000000001E-2</v>
      </c>
      <c r="AK47" s="129">
        <v>5.4640000000000001E-2</v>
      </c>
      <c r="AL47" s="129">
        <v>2.47E-2</v>
      </c>
      <c r="AM47" s="128">
        <v>1.29</v>
      </c>
      <c r="AN47" s="129">
        <v>2.6439999999999998E-2</v>
      </c>
      <c r="AO47" s="129">
        <v>1.8260000000000002E-2</v>
      </c>
      <c r="AP47" s="129">
        <v>5.6180000000000001E-2</v>
      </c>
      <c r="AQ47" s="129">
        <v>4.5159999999999999E-2</v>
      </c>
      <c r="AR47" s="128">
        <v>1.29</v>
      </c>
      <c r="AS47" s="129">
        <v>2.078E-2</v>
      </c>
      <c r="AT47" s="129">
        <v>1.2500000000000001E-2</v>
      </c>
      <c r="AU47" s="129">
        <v>4.7460000000000002E-2</v>
      </c>
      <c r="AV47" s="129">
        <v>2.8539999999999999E-2</v>
      </c>
      <c r="AW47" s="128">
        <v>1.29</v>
      </c>
      <c r="AX47" s="129">
        <v>1.0020000000000001E-2</v>
      </c>
      <c r="AY47" s="129">
        <v>5.3789999999999998E-2</v>
      </c>
      <c r="AZ47" s="129">
        <v>6.9360000000000005E-2</v>
      </c>
      <c r="BA47" s="129">
        <v>0.10558000000000001</v>
      </c>
      <c r="BB47" s="128">
        <v>1.29</v>
      </c>
      <c r="BC47" s="129">
        <v>3.6470000000000002E-2</v>
      </c>
      <c r="BD47" s="129">
        <v>7.980000000000001E-3</v>
      </c>
      <c r="BE47" s="129">
        <v>6.6339999999999996E-2</v>
      </c>
      <c r="BF47" s="129">
        <v>3.5257000000000004E-2</v>
      </c>
    </row>
    <row r="48" spans="4:58" ht="15.75">
      <c r="D48" s="126">
        <v>1.3</v>
      </c>
      <c r="E48" s="127">
        <v>4.5199999999999997E-2</v>
      </c>
      <c r="F48" s="127">
        <v>2.6800000000000001E-2</v>
      </c>
      <c r="G48" s="129">
        <v>0</v>
      </c>
      <c r="H48" s="129">
        <v>0</v>
      </c>
      <c r="I48" s="126">
        <v>1.3</v>
      </c>
      <c r="J48" s="127">
        <v>3.5900000000000001E-2</v>
      </c>
      <c r="K48" s="127">
        <v>1.6500000000000001E-2</v>
      </c>
      <c r="L48" s="127">
        <v>8.43E-2</v>
      </c>
      <c r="M48" s="129">
        <v>0</v>
      </c>
      <c r="N48" s="126">
        <v>1.3</v>
      </c>
      <c r="O48" s="127">
        <v>3.78E-2</v>
      </c>
      <c r="P48" s="127">
        <v>2.69E-2</v>
      </c>
      <c r="Q48" s="129">
        <v>0</v>
      </c>
      <c r="R48" s="127">
        <v>7.5999999999999998E-2</v>
      </c>
      <c r="S48" s="126">
        <v>1.3</v>
      </c>
      <c r="T48" s="127">
        <v>2.5399999999999999E-2</v>
      </c>
      <c r="U48" s="127">
        <v>9.7000000000000003E-3</v>
      </c>
      <c r="V48" s="127">
        <v>5.9900000000000002E-2</v>
      </c>
      <c r="W48" s="129">
        <v>0</v>
      </c>
      <c r="X48" s="126">
        <v>1.3</v>
      </c>
      <c r="Y48" s="127">
        <v>2.87E-2</v>
      </c>
      <c r="Z48" s="127">
        <v>2.4199999999999999E-2</v>
      </c>
      <c r="AA48" s="129">
        <v>0</v>
      </c>
      <c r="AB48" s="127">
        <v>6.8900000000000003E-2</v>
      </c>
      <c r="AC48" s="126">
        <v>1.3</v>
      </c>
      <c r="AD48" s="127">
        <v>3.1899999999999998E-2</v>
      </c>
      <c r="AE48" s="127">
        <v>1.8800000000000001E-2</v>
      </c>
      <c r="AF48" s="127">
        <v>7.1099999999999997E-2</v>
      </c>
      <c r="AG48" s="127">
        <v>4.2099999999999999E-2</v>
      </c>
      <c r="AH48" s="126">
        <v>1.3</v>
      </c>
      <c r="AI48" s="127">
        <v>2.35E-2</v>
      </c>
      <c r="AJ48" s="127">
        <v>1.2E-2</v>
      </c>
      <c r="AK48" s="127">
        <v>5.45E-2</v>
      </c>
      <c r="AL48" s="127">
        <v>2.4199999999999999E-2</v>
      </c>
      <c r="AM48" s="126">
        <v>1.3</v>
      </c>
      <c r="AN48" s="127">
        <v>2.6599999999999999E-2</v>
      </c>
      <c r="AO48" s="127">
        <v>1.8100000000000002E-2</v>
      </c>
      <c r="AP48" s="127">
        <v>5.6500000000000002E-2</v>
      </c>
      <c r="AQ48" s="127">
        <v>4.4699999999999997E-2</v>
      </c>
      <c r="AR48" s="126">
        <v>1.3</v>
      </c>
      <c r="AS48" s="127">
        <v>2.0799999999999999E-2</v>
      </c>
      <c r="AT48" s="127">
        <v>1.23E-2</v>
      </c>
      <c r="AU48" s="127">
        <v>4.7500000000000001E-2</v>
      </c>
      <c r="AV48" s="127">
        <v>2.81E-2</v>
      </c>
      <c r="AW48" s="126">
        <v>1.3</v>
      </c>
      <c r="AX48" s="127">
        <v>0.01</v>
      </c>
      <c r="AY48" s="127">
        <v>5.3999999999999999E-2</v>
      </c>
      <c r="AZ48" s="127">
        <v>7.0000000000000007E-2</v>
      </c>
      <c r="BA48" s="127">
        <v>0.1062</v>
      </c>
      <c r="BB48" s="126">
        <v>1.3</v>
      </c>
      <c r="BC48" s="127">
        <v>3.6200000000000003E-2</v>
      </c>
      <c r="BD48" s="127">
        <v>7.9000000000000008E-3</v>
      </c>
      <c r="BE48" s="127">
        <v>6.5799999999999997E-2</v>
      </c>
      <c r="BF48" s="127">
        <v>3.5400000000000001E-2</v>
      </c>
    </row>
    <row r="49" spans="4:58" ht="15.75">
      <c r="D49" s="128">
        <v>1.31</v>
      </c>
      <c r="E49" s="129">
        <v>4.5379999999999997E-2</v>
      </c>
      <c r="F49" s="129">
        <v>2.6499999999999999E-2</v>
      </c>
      <c r="G49" s="129">
        <v>0</v>
      </c>
      <c r="H49" s="129">
        <v>0</v>
      </c>
      <c r="I49" s="128">
        <v>1.31</v>
      </c>
      <c r="J49" s="129">
        <v>3.5880000000000002E-2</v>
      </c>
      <c r="K49" s="129">
        <v>1.6240000000000001E-2</v>
      </c>
      <c r="L49" s="129">
        <v>8.3979999999999999E-2</v>
      </c>
      <c r="M49" s="129">
        <v>0</v>
      </c>
      <c r="N49" s="128">
        <v>1.31</v>
      </c>
      <c r="O49" s="129">
        <v>3.8060000000000004E-2</v>
      </c>
      <c r="P49" s="129">
        <v>2.6679999999999999E-2</v>
      </c>
      <c r="Q49" s="129">
        <v>0</v>
      </c>
      <c r="R49" s="129">
        <v>7.5319999999999998E-2</v>
      </c>
      <c r="S49" s="128">
        <v>1.31</v>
      </c>
      <c r="T49" s="129">
        <v>2.5319999999999999E-2</v>
      </c>
      <c r="U49" s="129">
        <v>9.5200000000000007E-3</v>
      </c>
      <c r="V49" s="129">
        <v>5.9560000000000002E-2</v>
      </c>
      <c r="W49" s="129">
        <v>0</v>
      </c>
      <c r="X49" s="128">
        <v>1.31</v>
      </c>
      <c r="Y49" s="129">
        <v>2.9000000000000001E-2</v>
      </c>
      <c r="Z49" s="129">
        <v>2.4059999999999998E-2</v>
      </c>
      <c r="AA49" s="129">
        <v>0</v>
      </c>
      <c r="AB49" s="129">
        <v>6.8640000000000007E-2</v>
      </c>
      <c r="AC49" s="128">
        <v>1.31</v>
      </c>
      <c r="AD49" s="129">
        <v>3.1919999999999997E-2</v>
      </c>
      <c r="AE49" s="129">
        <v>1.856E-2</v>
      </c>
      <c r="AF49" s="129">
        <v>7.1099999999999997E-2</v>
      </c>
      <c r="AG49" s="129">
        <v>4.1500000000000002E-2</v>
      </c>
      <c r="AH49" s="128">
        <v>1.31</v>
      </c>
      <c r="AI49" s="129">
        <v>2.3460000000000002E-2</v>
      </c>
      <c r="AJ49" s="129">
        <v>1.18E-2</v>
      </c>
      <c r="AK49" s="129">
        <v>5.432E-2</v>
      </c>
      <c r="AL49" s="129">
        <v>2.3799999999999998E-2</v>
      </c>
      <c r="AM49" s="128">
        <v>1.31</v>
      </c>
      <c r="AN49" s="129">
        <v>2.6719999999999997E-2</v>
      </c>
      <c r="AO49" s="129">
        <v>1.7920000000000002E-2</v>
      </c>
      <c r="AP49" s="129">
        <v>5.6739999999999999E-2</v>
      </c>
      <c r="AQ49" s="129">
        <v>4.4239999999999995E-2</v>
      </c>
      <c r="AR49" s="128">
        <v>1.31</v>
      </c>
      <c r="AS49" s="129">
        <v>2.0840000000000001E-2</v>
      </c>
      <c r="AT49" s="129">
        <v>1.214E-2</v>
      </c>
      <c r="AU49" s="129">
        <v>4.7480000000000001E-2</v>
      </c>
      <c r="AV49" s="129">
        <v>2.7720000000000002E-2</v>
      </c>
      <c r="AW49" s="128">
        <v>1.31</v>
      </c>
      <c r="AX49" s="129">
        <v>9.9699999999999997E-3</v>
      </c>
      <c r="AY49" s="129">
        <v>5.4120000000000001E-2</v>
      </c>
      <c r="AZ49" s="129">
        <v>7.0610000000000006E-2</v>
      </c>
      <c r="BA49" s="129">
        <v>0.10673000000000001</v>
      </c>
      <c r="BB49" s="128">
        <v>1.31</v>
      </c>
      <c r="BC49" s="129">
        <v>3.594E-2</v>
      </c>
      <c r="BD49" s="129">
        <v>7.8100000000000001E-3</v>
      </c>
      <c r="BE49" s="129">
        <v>6.5309999999999993E-2</v>
      </c>
      <c r="BF49" s="129">
        <v>3.5009999999999999E-2</v>
      </c>
    </row>
    <row r="50" spans="4:58" ht="15.75">
      <c r="D50" s="128">
        <v>1.32</v>
      </c>
      <c r="E50" s="129">
        <v>4.5559999999999996E-2</v>
      </c>
      <c r="F50" s="129">
        <v>2.6200000000000001E-2</v>
      </c>
      <c r="G50" s="129">
        <v>0</v>
      </c>
      <c r="H50" s="129">
        <v>0</v>
      </c>
      <c r="I50" s="128">
        <v>1.32</v>
      </c>
      <c r="J50" s="129">
        <v>3.5860000000000003E-2</v>
      </c>
      <c r="K50" s="129">
        <v>1.5980000000000001E-2</v>
      </c>
      <c r="L50" s="129">
        <v>8.3659999999999998E-2</v>
      </c>
      <c r="M50" s="129">
        <v>0</v>
      </c>
      <c r="N50" s="128">
        <v>1.32</v>
      </c>
      <c r="O50" s="129">
        <v>3.832E-2</v>
      </c>
      <c r="P50" s="129">
        <v>2.6460000000000001E-2</v>
      </c>
      <c r="Q50" s="129">
        <v>0</v>
      </c>
      <c r="R50" s="129">
        <v>7.4639999999999998E-2</v>
      </c>
      <c r="S50" s="128">
        <v>1.32</v>
      </c>
      <c r="T50" s="129">
        <v>2.5239999999999999E-2</v>
      </c>
      <c r="U50" s="129">
        <v>9.3400000000000011E-3</v>
      </c>
      <c r="V50" s="129">
        <v>5.9220000000000002E-2</v>
      </c>
      <c r="W50" s="129">
        <v>0</v>
      </c>
      <c r="X50" s="128">
        <v>1.32</v>
      </c>
      <c r="Y50" s="129">
        <v>2.93E-2</v>
      </c>
      <c r="Z50" s="129">
        <v>2.392E-2</v>
      </c>
      <c r="AA50" s="129">
        <v>0</v>
      </c>
      <c r="AB50" s="129">
        <v>6.8379999999999996E-2</v>
      </c>
      <c r="AC50" s="128">
        <v>1.32</v>
      </c>
      <c r="AD50" s="129">
        <v>3.1939999999999996E-2</v>
      </c>
      <c r="AE50" s="129">
        <v>1.8319999999999999E-2</v>
      </c>
      <c r="AF50" s="129">
        <v>7.1099999999999997E-2</v>
      </c>
      <c r="AG50" s="129">
        <v>4.0899999999999999E-2</v>
      </c>
      <c r="AH50" s="128">
        <v>1.32</v>
      </c>
      <c r="AI50" s="129">
        <v>2.342E-2</v>
      </c>
      <c r="AJ50" s="129">
        <v>1.1599999999999999E-2</v>
      </c>
      <c r="AK50" s="129">
        <v>5.4140000000000001E-2</v>
      </c>
      <c r="AL50" s="129">
        <v>2.3400000000000001E-2</v>
      </c>
      <c r="AM50" s="128">
        <v>1.32</v>
      </c>
      <c r="AN50" s="129">
        <v>2.6839999999999999E-2</v>
      </c>
      <c r="AO50" s="129">
        <v>1.7740000000000002E-2</v>
      </c>
      <c r="AP50" s="129">
        <v>5.6980000000000003E-2</v>
      </c>
      <c r="AQ50" s="129">
        <v>4.3779999999999999E-2</v>
      </c>
      <c r="AR50" s="128">
        <v>1.32</v>
      </c>
      <c r="AS50" s="129">
        <v>2.0879999999999999E-2</v>
      </c>
      <c r="AT50" s="129">
        <v>1.1979999999999999E-2</v>
      </c>
      <c r="AU50" s="129">
        <v>4.7460000000000002E-2</v>
      </c>
      <c r="AV50" s="129">
        <v>2.734E-2</v>
      </c>
      <c r="AW50" s="128">
        <v>1.32</v>
      </c>
      <c r="AX50" s="129">
        <v>9.9399999999999992E-3</v>
      </c>
      <c r="AY50" s="129">
        <v>5.4240000000000003E-2</v>
      </c>
      <c r="AZ50" s="129">
        <v>7.1220000000000006E-2</v>
      </c>
      <c r="BA50" s="129">
        <v>0.10726000000000001</v>
      </c>
      <c r="BB50" s="128">
        <v>1.32</v>
      </c>
      <c r="BC50" s="129">
        <v>3.5680000000000003E-2</v>
      </c>
      <c r="BD50" s="129">
        <v>7.7200000000000003E-3</v>
      </c>
      <c r="BE50" s="129">
        <v>6.4819999999999989E-2</v>
      </c>
      <c r="BF50" s="129">
        <v>3.4619999999999998E-2</v>
      </c>
    </row>
    <row r="51" spans="4:58" ht="15.75">
      <c r="D51" s="128">
        <v>1.33</v>
      </c>
      <c r="E51" s="129">
        <v>4.5740000000000003E-2</v>
      </c>
      <c r="F51" s="129">
        <v>2.5899999999999999E-2</v>
      </c>
      <c r="G51" s="129">
        <v>0</v>
      </c>
      <c r="H51" s="129">
        <v>0</v>
      </c>
      <c r="I51" s="128">
        <v>1.33</v>
      </c>
      <c r="J51" s="129">
        <v>3.5839999999999997E-2</v>
      </c>
      <c r="K51" s="129">
        <v>1.5720000000000001E-2</v>
      </c>
      <c r="L51" s="129">
        <v>8.3339999999999997E-2</v>
      </c>
      <c r="M51" s="129">
        <v>0</v>
      </c>
      <c r="N51" s="128">
        <v>1.33</v>
      </c>
      <c r="O51" s="129">
        <v>3.8580000000000003E-2</v>
      </c>
      <c r="P51" s="129">
        <v>2.6239999999999999E-2</v>
      </c>
      <c r="Q51" s="129">
        <v>0</v>
      </c>
      <c r="R51" s="129">
        <v>7.3959999999999998E-2</v>
      </c>
      <c r="S51" s="128">
        <v>1.33</v>
      </c>
      <c r="T51" s="129">
        <v>2.5160000000000002E-2</v>
      </c>
      <c r="U51" s="129">
        <v>9.1599999999999997E-3</v>
      </c>
      <c r="V51" s="129">
        <v>5.8880000000000002E-2</v>
      </c>
      <c r="W51" s="129">
        <v>0</v>
      </c>
      <c r="X51" s="128">
        <v>1.33</v>
      </c>
      <c r="Y51" s="129">
        <v>2.9600000000000001E-2</v>
      </c>
      <c r="Z51" s="129">
        <v>2.3779999999999999E-2</v>
      </c>
      <c r="AA51" s="129">
        <v>0</v>
      </c>
      <c r="AB51" s="129">
        <v>6.812E-2</v>
      </c>
      <c r="AC51" s="128">
        <v>1.33</v>
      </c>
      <c r="AD51" s="129">
        <v>3.1960000000000002E-2</v>
      </c>
      <c r="AE51" s="129">
        <v>1.8080000000000002E-2</v>
      </c>
      <c r="AF51" s="129">
        <v>7.1099999999999997E-2</v>
      </c>
      <c r="AG51" s="129">
        <v>4.0300000000000002E-2</v>
      </c>
      <c r="AH51" s="128">
        <v>1.33</v>
      </c>
      <c r="AI51" s="129">
        <v>2.3380000000000001E-2</v>
      </c>
      <c r="AJ51" s="129">
        <v>1.14E-2</v>
      </c>
      <c r="AK51" s="129">
        <v>5.3960000000000001E-2</v>
      </c>
      <c r="AL51" s="129">
        <v>2.3E-2</v>
      </c>
      <c r="AM51" s="128">
        <v>1.33</v>
      </c>
      <c r="AN51" s="129">
        <v>2.6959999999999998E-2</v>
      </c>
      <c r="AO51" s="129">
        <v>1.7559999999999999E-2</v>
      </c>
      <c r="AP51" s="129">
        <v>5.722E-2</v>
      </c>
      <c r="AQ51" s="129">
        <v>4.3319999999999997E-2</v>
      </c>
      <c r="AR51" s="128">
        <v>1.33</v>
      </c>
      <c r="AS51" s="129">
        <v>2.0920000000000001E-2</v>
      </c>
      <c r="AT51" s="129">
        <v>1.1820000000000001E-2</v>
      </c>
      <c r="AU51" s="129">
        <v>4.7439999999999996E-2</v>
      </c>
      <c r="AV51" s="129">
        <v>2.6960000000000001E-2</v>
      </c>
      <c r="AW51" s="128">
        <v>1.33</v>
      </c>
      <c r="AX51" s="129">
        <v>9.9100000000000004E-3</v>
      </c>
      <c r="AY51" s="129">
        <v>5.4359999999999999E-2</v>
      </c>
      <c r="AZ51" s="129">
        <v>7.1830000000000005E-2</v>
      </c>
      <c r="BA51" s="129">
        <v>0.10779</v>
      </c>
      <c r="BB51" s="128">
        <v>1.33</v>
      </c>
      <c r="BC51" s="129">
        <v>3.542E-2</v>
      </c>
      <c r="BD51" s="129">
        <v>7.6299999999999996E-3</v>
      </c>
      <c r="BE51" s="129">
        <v>6.4329999999999998E-2</v>
      </c>
      <c r="BF51" s="129">
        <v>3.4229999999999997E-2</v>
      </c>
    </row>
    <row r="52" spans="4:58" ht="15.75">
      <c r="D52" s="128">
        <v>1.34</v>
      </c>
      <c r="E52" s="129">
        <v>4.5920000000000002E-2</v>
      </c>
      <c r="F52" s="129">
        <v>2.5600000000000001E-2</v>
      </c>
      <c r="G52" s="129">
        <v>0</v>
      </c>
      <c r="H52" s="129">
        <v>0</v>
      </c>
      <c r="I52" s="128">
        <v>1.34</v>
      </c>
      <c r="J52" s="129">
        <v>3.5819999999999998E-2</v>
      </c>
      <c r="K52" s="129">
        <v>1.546E-2</v>
      </c>
      <c r="L52" s="129">
        <v>8.3019999999999997E-2</v>
      </c>
      <c r="M52" s="129">
        <v>0</v>
      </c>
      <c r="N52" s="128">
        <v>1.34</v>
      </c>
      <c r="O52" s="129">
        <v>3.884E-2</v>
      </c>
      <c r="P52" s="129">
        <v>2.6020000000000001E-2</v>
      </c>
      <c r="Q52" s="129">
        <v>0</v>
      </c>
      <c r="R52" s="129">
        <v>7.3279999999999998E-2</v>
      </c>
      <c r="S52" s="128">
        <v>1.34</v>
      </c>
      <c r="T52" s="129">
        <v>2.5080000000000002E-2</v>
      </c>
      <c r="U52" s="129">
        <v>8.9800000000000001E-3</v>
      </c>
      <c r="V52" s="129">
        <v>5.8540000000000002E-2</v>
      </c>
      <c r="W52" s="129">
        <v>0</v>
      </c>
      <c r="X52" s="128">
        <v>1.34</v>
      </c>
      <c r="Y52" s="129">
        <v>2.9899999999999999E-2</v>
      </c>
      <c r="Z52" s="129">
        <v>2.3640000000000001E-2</v>
      </c>
      <c r="AA52" s="129">
        <v>0</v>
      </c>
      <c r="AB52" s="129">
        <v>6.785999999999999E-2</v>
      </c>
      <c r="AC52" s="128">
        <v>1.34</v>
      </c>
      <c r="AD52" s="129">
        <v>3.1980000000000001E-2</v>
      </c>
      <c r="AE52" s="129">
        <v>1.7840000000000002E-2</v>
      </c>
      <c r="AF52" s="129">
        <v>7.1099999999999997E-2</v>
      </c>
      <c r="AG52" s="129">
        <v>3.9699999999999999E-2</v>
      </c>
      <c r="AH52" s="128">
        <v>1.34</v>
      </c>
      <c r="AI52" s="129">
        <v>2.334E-2</v>
      </c>
      <c r="AJ52" s="129">
        <v>1.12E-2</v>
      </c>
      <c r="AK52" s="129">
        <v>5.3780000000000001E-2</v>
      </c>
      <c r="AL52" s="129">
        <v>2.2600000000000002E-2</v>
      </c>
      <c r="AM52" s="128">
        <v>1.34</v>
      </c>
      <c r="AN52" s="129">
        <v>2.708E-2</v>
      </c>
      <c r="AO52" s="129">
        <v>1.738E-2</v>
      </c>
      <c r="AP52" s="129">
        <v>5.7460000000000004E-2</v>
      </c>
      <c r="AQ52" s="129">
        <v>4.2860000000000002E-2</v>
      </c>
      <c r="AR52" s="128">
        <v>1.34</v>
      </c>
      <c r="AS52" s="129">
        <v>2.0959999999999999E-2</v>
      </c>
      <c r="AT52" s="129">
        <v>1.166E-2</v>
      </c>
      <c r="AU52" s="129">
        <v>4.7419999999999997E-2</v>
      </c>
      <c r="AV52" s="129">
        <v>2.6579999999999999E-2</v>
      </c>
      <c r="AW52" s="128">
        <v>1.34</v>
      </c>
      <c r="AX52" s="129">
        <v>9.8799999999999999E-3</v>
      </c>
      <c r="AY52" s="129">
        <v>5.4480000000000001E-2</v>
      </c>
      <c r="AZ52" s="129">
        <v>7.2440000000000004E-2</v>
      </c>
      <c r="BA52" s="129">
        <v>0.10832</v>
      </c>
      <c r="BB52" s="128">
        <v>1.34</v>
      </c>
      <c r="BC52" s="129">
        <v>3.5160000000000004E-2</v>
      </c>
      <c r="BD52" s="129">
        <v>7.5399999999999998E-3</v>
      </c>
      <c r="BE52" s="129">
        <v>6.3839999999999994E-2</v>
      </c>
      <c r="BF52" s="129">
        <v>3.3839999999999995E-2</v>
      </c>
    </row>
    <row r="53" spans="4:58" ht="15.75">
      <c r="D53" s="126">
        <v>1.35</v>
      </c>
      <c r="E53" s="127">
        <v>4.6100000000000002E-2</v>
      </c>
      <c r="F53" s="127">
        <v>2.53E-2</v>
      </c>
      <c r="G53" s="129">
        <v>0</v>
      </c>
      <c r="H53" s="129">
        <v>0</v>
      </c>
      <c r="I53" s="126">
        <v>1.35</v>
      </c>
      <c r="J53" s="127">
        <v>3.5799999999999998E-2</v>
      </c>
      <c r="K53" s="127">
        <v>1.52E-2</v>
      </c>
      <c r="L53" s="127">
        <v>8.2699999999999996E-2</v>
      </c>
      <c r="M53" s="129">
        <v>0</v>
      </c>
      <c r="N53" s="126">
        <v>1.35</v>
      </c>
      <c r="O53" s="127">
        <v>3.9100000000000003E-2</v>
      </c>
      <c r="P53" s="127">
        <v>2.58E-2</v>
      </c>
      <c r="Q53" s="129">
        <v>0</v>
      </c>
      <c r="R53" s="127">
        <v>7.2599999999999998E-2</v>
      </c>
      <c r="S53" s="126">
        <v>1.35</v>
      </c>
      <c r="T53" s="127">
        <v>2.5000000000000001E-2</v>
      </c>
      <c r="U53" s="127">
        <v>8.8000000000000005E-3</v>
      </c>
      <c r="V53" s="127">
        <v>5.8200000000000002E-2</v>
      </c>
      <c r="W53" s="129">
        <v>0</v>
      </c>
      <c r="X53" s="126">
        <v>1.35</v>
      </c>
      <c r="Y53" s="127">
        <v>3.0200000000000001E-2</v>
      </c>
      <c r="Z53" s="127">
        <v>2.35E-2</v>
      </c>
      <c r="AA53" s="129">
        <v>0</v>
      </c>
      <c r="AB53" s="127">
        <v>6.7599999999999993E-2</v>
      </c>
      <c r="AC53" s="126">
        <v>1.35</v>
      </c>
      <c r="AD53" s="127">
        <v>3.2000000000000001E-2</v>
      </c>
      <c r="AE53" s="127">
        <v>1.7600000000000001E-2</v>
      </c>
      <c r="AF53" s="127">
        <v>7.1099999999999997E-2</v>
      </c>
      <c r="AG53" s="127">
        <v>3.9100000000000003E-2</v>
      </c>
      <c r="AH53" s="126">
        <v>1.35</v>
      </c>
      <c r="AI53" s="127">
        <v>2.3300000000000001E-2</v>
      </c>
      <c r="AJ53" s="127">
        <v>1.0999999999999999E-2</v>
      </c>
      <c r="AK53" s="127">
        <v>5.3600000000000002E-2</v>
      </c>
      <c r="AL53" s="127">
        <v>2.2200000000000001E-2</v>
      </c>
      <c r="AM53" s="126">
        <v>1.35</v>
      </c>
      <c r="AN53" s="127">
        <v>2.7199999999999998E-2</v>
      </c>
      <c r="AO53" s="127">
        <v>1.72E-2</v>
      </c>
      <c r="AP53" s="127">
        <v>5.7700000000000001E-2</v>
      </c>
      <c r="AQ53" s="127">
        <v>4.24E-2</v>
      </c>
      <c r="AR53" s="126">
        <v>1.35</v>
      </c>
      <c r="AS53" s="127">
        <v>2.1000000000000001E-2</v>
      </c>
      <c r="AT53" s="127">
        <v>1.15E-2</v>
      </c>
      <c r="AU53" s="127">
        <v>4.7399999999999998E-2</v>
      </c>
      <c r="AV53" s="127">
        <v>2.6200000000000001E-2</v>
      </c>
      <c r="AW53" s="126">
        <v>1.35</v>
      </c>
      <c r="AX53" s="127">
        <v>9.8499999999999994E-3</v>
      </c>
      <c r="AY53" s="127">
        <v>5.4600000000000003E-2</v>
      </c>
      <c r="AZ53" s="127">
        <v>7.3050000000000004E-2</v>
      </c>
      <c r="BA53" s="127">
        <v>0.10885</v>
      </c>
      <c r="BB53" s="126">
        <v>1.35</v>
      </c>
      <c r="BC53" s="127">
        <v>3.49E-2</v>
      </c>
      <c r="BD53" s="127">
        <v>7.4499999999999992E-3</v>
      </c>
      <c r="BE53" s="127">
        <v>6.334999999999999E-2</v>
      </c>
      <c r="BF53" s="127">
        <v>3.3449999999999994E-2</v>
      </c>
    </row>
    <row r="54" spans="4:58" ht="15.75">
      <c r="D54" s="128">
        <v>1.36</v>
      </c>
      <c r="E54" s="129">
        <v>4.6260000000000003E-2</v>
      </c>
      <c r="F54" s="129">
        <v>2.504E-2</v>
      </c>
      <c r="G54" s="129">
        <v>0</v>
      </c>
      <c r="H54" s="129">
        <v>0</v>
      </c>
      <c r="I54" s="128">
        <v>1.36</v>
      </c>
      <c r="J54" s="129">
        <v>3.5779999999999999E-2</v>
      </c>
      <c r="K54" s="129">
        <v>1.4959999999999999E-2</v>
      </c>
      <c r="L54" s="129">
        <v>8.231999999999999E-2</v>
      </c>
      <c r="M54" s="129">
        <v>0</v>
      </c>
      <c r="N54" s="128">
        <v>1.36</v>
      </c>
      <c r="O54" s="129">
        <v>3.9300000000000002E-2</v>
      </c>
      <c r="P54" s="129">
        <v>2.5599999999999998E-2</v>
      </c>
      <c r="Q54" s="129">
        <v>0</v>
      </c>
      <c r="R54" s="129">
        <v>7.1840000000000001E-2</v>
      </c>
      <c r="S54" s="128">
        <v>1.36</v>
      </c>
      <c r="T54" s="129">
        <v>2.4900000000000002E-2</v>
      </c>
      <c r="U54" s="129">
        <v>8.6400000000000001E-3</v>
      </c>
      <c r="V54" s="129">
        <v>5.7860000000000002E-2</v>
      </c>
      <c r="W54" s="129">
        <v>0</v>
      </c>
      <c r="X54" s="128">
        <v>1.36</v>
      </c>
      <c r="Y54" s="129">
        <v>3.0480000000000004E-2</v>
      </c>
      <c r="Z54" s="129">
        <v>2.3379999999999998E-2</v>
      </c>
      <c r="AA54" s="129">
        <v>0</v>
      </c>
      <c r="AB54" s="129">
        <v>6.7279999999999993E-2</v>
      </c>
      <c r="AC54" s="128">
        <v>1.36</v>
      </c>
      <c r="AD54" s="129">
        <v>3.2059999999999998E-2</v>
      </c>
      <c r="AE54" s="129">
        <v>1.738E-2</v>
      </c>
      <c r="AF54" s="129">
        <v>7.1059999999999998E-2</v>
      </c>
      <c r="AG54" s="129">
        <v>3.85E-2</v>
      </c>
      <c r="AH54" s="128">
        <v>1.36</v>
      </c>
      <c r="AI54" s="129">
        <v>2.324E-2</v>
      </c>
      <c r="AJ54" s="129">
        <v>1.0839999999999999E-2</v>
      </c>
      <c r="AK54" s="129">
        <v>5.3400000000000003E-2</v>
      </c>
      <c r="AL54" s="129">
        <v>2.18E-2</v>
      </c>
      <c r="AM54" s="128">
        <v>1.36</v>
      </c>
      <c r="AN54" s="129">
        <v>2.734E-2</v>
      </c>
      <c r="AO54" s="129">
        <v>1.6999999999999998E-2</v>
      </c>
      <c r="AP54" s="129">
        <v>5.7919999999999999E-2</v>
      </c>
      <c r="AQ54" s="129">
        <v>4.1919999999999999E-2</v>
      </c>
      <c r="AR54" s="128">
        <v>1.36</v>
      </c>
      <c r="AS54" s="129">
        <v>2.1000000000000001E-2</v>
      </c>
      <c r="AT54" s="129">
        <v>1.1339999999999999E-2</v>
      </c>
      <c r="AU54" s="129">
        <v>4.537999999999999E-2</v>
      </c>
      <c r="AV54" s="129">
        <v>2.5759999999999998E-2</v>
      </c>
      <c r="AW54" s="128">
        <v>1.36</v>
      </c>
      <c r="AX54" s="129">
        <v>9.8199999999999989E-3</v>
      </c>
      <c r="AY54" s="129">
        <v>5.4720000000000005E-2</v>
      </c>
      <c r="AZ54" s="129">
        <v>7.3660000000000003E-2</v>
      </c>
      <c r="BA54" s="129">
        <v>0.10938000000000001</v>
      </c>
      <c r="BB54" s="128">
        <v>1.36</v>
      </c>
      <c r="BC54" s="129">
        <v>3.4639999999999997E-2</v>
      </c>
      <c r="BD54" s="129">
        <v>7.3599999999999994E-3</v>
      </c>
      <c r="BE54" s="129">
        <v>6.2859999999999985E-2</v>
      </c>
      <c r="BF54" s="129">
        <v>3.3059999999999992E-2</v>
      </c>
    </row>
    <row r="55" spans="4:58" ht="15.75">
      <c r="D55" s="128">
        <v>1.37</v>
      </c>
      <c r="E55" s="129">
        <v>4.6420000000000003E-2</v>
      </c>
      <c r="F55" s="129">
        <v>2.4779999999999996E-2</v>
      </c>
      <c r="G55" s="129">
        <v>0</v>
      </c>
      <c r="H55" s="129">
        <v>0</v>
      </c>
      <c r="I55" s="128">
        <v>1.37</v>
      </c>
      <c r="J55" s="129">
        <v>3.576E-2</v>
      </c>
      <c r="K55" s="129">
        <v>1.4719999999999999E-2</v>
      </c>
      <c r="L55" s="129">
        <v>8.1939999999999999E-2</v>
      </c>
      <c r="M55" s="129">
        <v>0</v>
      </c>
      <c r="N55" s="128">
        <v>1.37</v>
      </c>
      <c r="O55" s="129">
        <v>3.95E-2</v>
      </c>
      <c r="P55" s="129">
        <v>2.5399999999999999E-2</v>
      </c>
      <c r="Q55" s="129">
        <v>0</v>
      </c>
      <c r="R55" s="129">
        <v>7.107999999999999E-2</v>
      </c>
      <c r="S55" s="128">
        <v>1.37</v>
      </c>
      <c r="T55" s="129">
        <v>2.4799999999999999E-2</v>
      </c>
      <c r="U55" s="129">
        <v>8.4799999999999997E-3</v>
      </c>
      <c r="V55" s="129">
        <v>5.7520000000000002E-2</v>
      </c>
      <c r="W55" s="129">
        <v>0</v>
      </c>
      <c r="X55" s="128">
        <v>1.37</v>
      </c>
      <c r="Y55" s="129">
        <v>3.0760000000000006E-2</v>
      </c>
      <c r="Z55" s="129">
        <v>2.3259999999999999E-2</v>
      </c>
      <c r="AA55" s="129">
        <v>0</v>
      </c>
      <c r="AB55" s="129">
        <v>6.6959999999999992E-2</v>
      </c>
      <c r="AC55" s="128">
        <v>1.37</v>
      </c>
      <c r="AD55" s="129">
        <v>3.2120000000000003E-2</v>
      </c>
      <c r="AE55" s="129">
        <v>1.7159999999999998E-2</v>
      </c>
      <c r="AF55" s="129">
        <v>7.102E-2</v>
      </c>
      <c r="AG55" s="129">
        <v>3.7899999999999996E-2</v>
      </c>
      <c r="AH55" s="128">
        <v>1.37</v>
      </c>
      <c r="AI55" s="129">
        <v>2.3179999999999999E-2</v>
      </c>
      <c r="AJ55" s="129">
        <v>1.0679999999999999E-2</v>
      </c>
      <c r="AK55" s="129">
        <v>5.3199999999999997E-2</v>
      </c>
      <c r="AL55" s="129">
        <v>2.1399999999999995E-2</v>
      </c>
      <c r="AM55" s="128">
        <v>1.37</v>
      </c>
      <c r="AN55" s="129">
        <v>2.7480000000000001E-2</v>
      </c>
      <c r="AO55" s="129">
        <v>1.6799999999999999E-2</v>
      </c>
      <c r="AP55" s="129">
        <v>5.8140000000000004E-2</v>
      </c>
      <c r="AQ55" s="129">
        <v>4.1439999999999998E-2</v>
      </c>
      <c r="AR55" s="128">
        <v>1.37</v>
      </c>
      <c r="AS55" s="129">
        <v>2.1000000000000001E-2</v>
      </c>
      <c r="AT55" s="129">
        <v>1.1179999999999999E-2</v>
      </c>
      <c r="AU55" s="129">
        <v>4.3359999999999982E-2</v>
      </c>
      <c r="AV55" s="129">
        <v>2.5319999999999995E-2</v>
      </c>
      <c r="AW55" s="128">
        <v>1.37</v>
      </c>
      <c r="AX55" s="129">
        <v>9.7900000000000001E-3</v>
      </c>
      <c r="AY55" s="129">
        <v>5.484E-2</v>
      </c>
      <c r="AZ55" s="129">
        <v>7.4270000000000003E-2</v>
      </c>
      <c r="BA55" s="129">
        <v>0.10991000000000001</v>
      </c>
      <c r="BB55" s="128">
        <v>1.37</v>
      </c>
      <c r="BC55" s="129">
        <v>3.4379999999999994E-2</v>
      </c>
      <c r="BD55" s="129">
        <v>7.2699999999999987E-3</v>
      </c>
      <c r="BE55" s="129">
        <v>6.2369999999999988E-2</v>
      </c>
      <c r="BF55" s="129">
        <v>3.2669999999999991E-2</v>
      </c>
    </row>
    <row r="56" spans="4:58" ht="15.75">
      <c r="D56" s="128">
        <v>1.38</v>
      </c>
      <c r="E56" s="129">
        <v>4.6579999999999996E-2</v>
      </c>
      <c r="F56" s="129">
        <v>2.4520000000000004E-2</v>
      </c>
      <c r="G56" s="129">
        <v>0</v>
      </c>
      <c r="H56" s="129">
        <v>0</v>
      </c>
      <c r="I56" s="128">
        <v>1.38</v>
      </c>
      <c r="J56" s="129">
        <v>3.5740000000000001E-2</v>
      </c>
      <c r="K56" s="129">
        <v>1.4480000000000002E-2</v>
      </c>
      <c r="L56" s="129">
        <v>8.1559999999999994E-2</v>
      </c>
      <c r="M56" s="129">
        <v>0</v>
      </c>
      <c r="N56" s="128">
        <v>1.38</v>
      </c>
      <c r="O56" s="129">
        <v>3.9699999999999999E-2</v>
      </c>
      <c r="P56" s="129">
        <v>2.52E-2</v>
      </c>
      <c r="Q56" s="129">
        <v>0</v>
      </c>
      <c r="R56" s="129">
        <v>7.0320000000000008E-2</v>
      </c>
      <c r="S56" s="128">
        <v>1.38</v>
      </c>
      <c r="T56" s="129">
        <v>2.4700000000000003E-2</v>
      </c>
      <c r="U56" s="129">
        <v>8.320000000000001E-3</v>
      </c>
      <c r="V56" s="129">
        <v>5.7180000000000002E-2</v>
      </c>
      <c r="W56" s="129">
        <v>0</v>
      </c>
      <c r="X56" s="128">
        <v>1.38</v>
      </c>
      <c r="Y56" s="129">
        <v>3.1039999999999998E-2</v>
      </c>
      <c r="Z56" s="129">
        <v>2.3140000000000001E-2</v>
      </c>
      <c r="AA56" s="129">
        <v>0</v>
      </c>
      <c r="AB56" s="129">
        <v>6.6640000000000005E-2</v>
      </c>
      <c r="AC56" s="128">
        <v>1.38</v>
      </c>
      <c r="AD56" s="129">
        <v>3.218E-2</v>
      </c>
      <c r="AE56" s="129">
        <v>1.6940000000000004E-2</v>
      </c>
      <c r="AF56" s="129">
        <v>7.0980000000000001E-2</v>
      </c>
      <c r="AG56" s="129">
        <v>3.7300000000000007E-2</v>
      </c>
      <c r="AH56" s="128">
        <v>1.38</v>
      </c>
      <c r="AI56" s="129">
        <v>2.3120000000000002E-2</v>
      </c>
      <c r="AJ56" s="129">
        <v>1.0520000000000002E-2</v>
      </c>
      <c r="AK56" s="129">
        <v>5.3000000000000005E-2</v>
      </c>
      <c r="AL56" s="129">
        <v>2.1000000000000005E-2</v>
      </c>
      <c r="AM56" s="128">
        <v>1.38</v>
      </c>
      <c r="AN56" s="129">
        <v>2.7619999999999999E-2</v>
      </c>
      <c r="AO56" s="129">
        <v>1.66E-2</v>
      </c>
      <c r="AP56" s="129">
        <v>5.8359999999999995E-2</v>
      </c>
      <c r="AQ56" s="129">
        <v>4.0960000000000003E-2</v>
      </c>
      <c r="AR56" s="128">
        <v>1.38</v>
      </c>
      <c r="AS56" s="129">
        <v>2.1000000000000001E-2</v>
      </c>
      <c r="AT56" s="129">
        <v>1.102E-2</v>
      </c>
      <c r="AU56" s="129">
        <v>4.1340000000000016E-2</v>
      </c>
      <c r="AV56" s="129">
        <v>2.4880000000000006E-2</v>
      </c>
      <c r="AW56" s="128">
        <v>1.38</v>
      </c>
      <c r="AX56" s="129">
        <v>9.7599999999999996E-3</v>
      </c>
      <c r="AY56" s="129">
        <v>5.4960000000000002E-2</v>
      </c>
      <c r="AZ56" s="129">
        <v>7.4880000000000002E-2</v>
      </c>
      <c r="BA56" s="129">
        <v>0.11044</v>
      </c>
      <c r="BB56" s="128">
        <v>1.38</v>
      </c>
      <c r="BC56" s="129">
        <v>3.4120000000000004E-2</v>
      </c>
      <c r="BD56" s="129">
        <v>7.1800000000000006E-3</v>
      </c>
      <c r="BE56" s="129">
        <v>6.1880000000000004E-2</v>
      </c>
      <c r="BF56" s="129">
        <v>3.2280000000000003E-2</v>
      </c>
    </row>
    <row r="57" spans="4:58" ht="15.75">
      <c r="D57" s="128">
        <v>1.39</v>
      </c>
      <c r="E57" s="129">
        <v>4.6739999999999997E-2</v>
      </c>
      <c r="F57" s="129">
        <v>2.426E-2</v>
      </c>
      <c r="G57" s="129">
        <v>0</v>
      </c>
      <c r="H57" s="129">
        <v>0</v>
      </c>
      <c r="I57" s="128">
        <v>1.39</v>
      </c>
      <c r="J57" s="129">
        <v>3.5720000000000002E-2</v>
      </c>
      <c r="K57" s="129">
        <v>1.4240000000000001E-2</v>
      </c>
      <c r="L57" s="129">
        <v>8.1180000000000002E-2</v>
      </c>
      <c r="M57" s="129">
        <v>0</v>
      </c>
      <c r="N57" s="128">
        <v>1.39</v>
      </c>
      <c r="O57" s="129">
        <v>3.9899999999999998E-2</v>
      </c>
      <c r="P57" s="129">
        <v>2.5000000000000001E-2</v>
      </c>
      <c r="Q57" s="129">
        <v>0</v>
      </c>
      <c r="R57" s="129">
        <v>6.9559999999999997E-2</v>
      </c>
      <c r="S57" s="128">
        <v>1.39</v>
      </c>
      <c r="T57" s="129">
        <v>2.46E-2</v>
      </c>
      <c r="U57" s="129">
        <v>8.1600000000000006E-3</v>
      </c>
      <c r="V57" s="129">
        <v>5.6840000000000002E-2</v>
      </c>
      <c r="W57" s="129">
        <v>0</v>
      </c>
      <c r="X57" s="128">
        <v>1.39</v>
      </c>
      <c r="Y57" s="129">
        <v>3.1320000000000001E-2</v>
      </c>
      <c r="Z57" s="129">
        <v>2.3020000000000002E-2</v>
      </c>
      <c r="AA57" s="129">
        <v>0</v>
      </c>
      <c r="AB57" s="129">
        <v>6.6320000000000004E-2</v>
      </c>
      <c r="AC57" s="128">
        <v>1.39</v>
      </c>
      <c r="AD57" s="129">
        <v>3.2240000000000005E-2</v>
      </c>
      <c r="AE57" s="129">
        <v>1.6720000000000002E-2</v>
      </c>
      <c r="AF57" s="129">
        <v>7.0940000000000003E-2</v>
      </c>
      <c r="AG57" s="129">
        <v>3.6700000000000003E-2</v>
      </c>
      <c r="AH57" s="128">
        <v>1.39</v>
      </c>
      <c r="AI57" s="129">
        <v>2.3060000000000001E-2</v>
      </c>
      <c r="AJ57" s="129">
        <v>1.0360000000000001E-2</v>
      </c>
      <c r="AK57" s="129">
        <v>5.28E-2</v>
      </c>
      <c r="AL57" s="129">
        <v>2.06E-2</v>
      </c>
      <c r="AM57" s="128">
        <v>1.39</v>
      </c>
      <c r="AN57" s="129">
        <v>2.776E-2</v>
      </c>
      <c r="AO57" s="129">
        <v>1.6400000000000001E-2</v>
      </c>
      <c r="AP57" s="129">
        <v>5.858E-2</v>
      </c>
      <c r="AQ57" s="129">
        <v>4.0480000000000002E-2</v>
      </c>
      <c r="AR57" s="128">
        <v>1.39</v>
      </c>
      <c r="AS57" s="129">
        <v>2.1000000000000001E-2</v>
      </c>
      <c r="AT57" s="129">
        <v>1.086E-2</v>
      </c>
      <c r="AU57" s="129">
        <v>3.9320000000000008E-2</v>
      </c>
      <c r="AV57" s="129">
        <v>2.4440000000000003E-2</v>
      </c>
      <c r="AW57" s="128">
        <v>1.39</v>
      </c>
      <c r="AX57" s="129">
        <v>9.7300000000000008E-3</v>
      </c>
      <c r="AY57" s="129">
        <v>5.5079999999999997E-2</v>
      </c>
      <c r="AZ57" s="129">
        <v>7.5490000000000002E-2</v>
      </c>
      <c r="BA57" s="129">
        <v>0.11097</v>
      </c>
      <c r="BB57" s="128">
        <v>1.39</v>
      </c>
      <c r="BC57" s="129">
        <v>3.3860000000000001E-2</v>
      </c>
      <c r="BD57" s="129">
        <v>7.0900000000000008E-3</v>
      </c>
      <c r="BE57" s="129">
        <v>6.139E-2</v>
      </c>
      <c r="BF57" s="129">
        <v>3.1890000000000002E-2</v>
      </c>
    </row>
    <row r="58" spans="4:58" ht="15.75">
      <c r="D58" s="126">
        <v>1.4</v>
      </c>
      <c r="E58" s="127">
        <v>4.6899999999999997E-2</v>
      </c>
      <c r="F58" s="127">
        <v>2.4E-2</v>
      </c>
      <c r="G58" s="129">
        <v>0</v>
      </c>
      <c r="H58" s="129">
        <v>0</v>
      </c>
      <c r="I58" s="126">
        <v>1.4</v>
      </c>
      <c r="J58" s="127">
        <v>3.5700000000000003E-2</v>
      </c>
      <c r="K58" s="127">
        <v>1.4E-2</v>
      </c>
      <c r="L58" s="127">
        <v>8.0799999999999997E-2</v>
      </c>
      <c r="M58" s="129">
        <v>0</v>
      </c>
      <c r="N58" s="126">
        <v>1.4</v>
      </c>
      <c r="O58" s="127">
        <v>4.0099999999999997E-2</v>
      </c>
      <c r="P58" s="127">
        <v>2.4799999999999999E-2</v>
      </c>
      <c r="Q58" s="129">
        <v>0</v>
      </c>
      <c r="R58" s="127">
        <v>6.88E-2</v>
      </c>
      <c r="S58" s="126">
        <v>1.4</v>
      </c>
      <c r="T58" s="127">
        <v>2.4500000000000001E-2</v>
      </c>
      <c r="U58" s="127">
        <v>8.0000000000000002E-3</v>
      </c>
      <c r="V58" s="127">
        <v>5.6500000000000002E-2</v>
      </c>
      <c r="W58" s="129">
        <v>0</v>
      </c>
      <c r="X58" s="126">
        <v>1.4</v>
      </c>
      <c r="Y58" s="127">
        <v>3.1600000000000003E-2</v>
      </c>
      <c r="Z58" s="127">
        <v>2.29E-2</v>
      </c>
      <c r="AA58" s="129">
        <v>0</v>
      </c>
      <c r="AB58" s="127">
        <v>6.6000000000000003E-2</v>
      </c>
      <c r="AC58" s="126">
        <v>1.4</v>
      </c>
      <c r="AD58" s="127">
        <v>3.2300000000000002E-2</v>
      </c>
      <c r="AE58" s="127">
        <v>1.6500000000000001E-2</v>
      </c>
      <c r="AF58" s="127">
        <v>7.0900000000000005E-2</v>
      </c>
      <c r="AG58" s="127">
        <v>3.61E-2</v>
      </c>
      <c r="AH58" s="126">
        <v>1.4</v>
      </c>
      <c r="AI58" s="127">
        <v>2.3E-2</v>
      </c>
      <c r="AJ58" s="127">
        <v>1.0200000000000001E-2</v>
      </c>
      <c r="AK58" s="127">
        <v>5.2600000000000001E-2</v>
      </c>
      <c r="AL58" s="127">
        <v>2.0199999999999999E-2</v>
      </c>
      <c r="AM58" s="126">
        <v>1.4</v>
      </c>
      <c r="AN58" s="127">
        <v>2.7900000000000001E-2</v>
      </c>
      <c r="AO58" s="127">
        <v>1.6199999999999999E-2</v>
      </c>
      <c r="AP58" s="127">
        <v>5.8799999999999998E-2</v>
      </c>
      <c r="AQ58" s="127">
        <v>0.04</v>
      </c>
      <c r="AR58" s="126">
        <v>1.4</v>
      </c>
      <c r="AS58" s="127">
        <v>2.1000000000000001E-2</v>
      </c>
      <c r="AT58" s="127">
        <v>1.0699999999999999E-2</v>
      </c>
      <c r="AU58" s="127">
        <v>3.73E-2</v>
      </c>
      <c r="AV58" s="127">
        <v>2.4E-2</v>
      </c>
      <c r="AW58" s="126">
        <v>1.4</v>
      </c>
      <c r="AX58" s="127">
        <v>9.7000000000000003E-3</v>
      </c>
      <c r="AY58" s="127">
        <v>5.5199999999999999E-2</v>
      </c>
      <c r="AZ58" s="127">
        <v>7.6100000000000001E-2</v>
      </c>
      <c r="BA58" s="127">
        <v>0.1115</v>
      </c>
      <c r="BB58" s="126">
        <v>1.4</v>
      </c>
      <c r="BC58" s="127">
        <v>3.3599999999999998E-2</v>
      </c>
      <c r="BD58" s="127">
        <v>7.0000000000000001E-3</v>
      </c>
      <c r="BE58" s="127">
        <v>6.0900000000000003E-2</v>
      </c>
      <c r="BF58" s="127">
        <v>3.15E-2</v>
      </c>
    </row>
    <row r="59" spans="4:58" ht="15.75">
      <c r="D59" s="128">
        <v>1.41</v>
      </c>
      <c r="E59" s="129">
        <v>4.7019999999999999E-2</v>
      </c>
      <c r="F59" s="129">
        <v>2.3699999999999999E-2</v>
      </c>
      <c r="G59" s="129">
        <v>0</v>
      </c>
      <c r="H59" s="129">
        <v>0</v>
      </c>
      <c r="I59" s="128">
        <v>1.41</v>
      </c>
      <c r="J59" s="129">
        <v>3.5619999999999999E-2</v>
      </c>
      <c r="K59" s="129">
        <v>1.376E-2</v>
      </c>
      <c r="L59" s="129">
        <v>8.0439999999999998E-2</v>
      </c>
      <c r="M59" s="129">
        <v>0</v>
      </c>
      <c r="N59" s="128">
        <v>1.41</v>
      </c>
      <c r="O59" s="129">
        <v>4.0299999999999996E-2</v>
      </c>
      <c r="P59" s="129">
        <v>2.4579999999999998E-2</v>
      </c>
      <c r="Q59" s="129">
        <v>0</v>
      </c>
      <c r="R59" s="129">
        <v>6.812E-2</v>
      </c>
      <c r="S59" s="128">
        <v>1.41</v>
      </c>
      <c r="T59" s="129">
        <v>2.4400000000000002E-2</v>
      </c>
      <c r="U59" s="129">
        <v>7.8399999999999997E-3</v>
      </c>
      <c r="V59" s="129">
        <v>5.62E-2</v>
      </c>
      <c r="W59" s="129">
        <v>0</v>
      </c>
      <c r="X59" s="128">
        <v>1.41</v>
      </c>
      <c r="Y59" s="129">
        <v>3.1859999999999999E-2</v>
      </c>
      <c r="Z59" s="129">
        <v>2.2759999999999999E-2</v>
      </c>
      <c r="AA59" s="129">
        <v>0</v>
      </c>
      <c r="AB59" s="129">
        <v>6.5619999999999998E-2</v>
      </c>
      <c r="AC59" s="128">
        <v>1.41</v>
      </c>
      <c r="AD59" s="129">
        <v>3.2320000000000002E-2</v>
      </c>
      <c r="AE59" s="129">
        <v>1.6279999999999999E-2</v>
      </c>
      <c r="AF59" s="129">
        <v>7.078000000000001E-2</v>
      </c>
      <c r="AG59" s="129">
        <v>3.5560000000000001E-2</v>
      </c>
      <c r="AH59" s="128">
        <v>1.41</v>
      </c>
      <c r="AI59" s="129">
        <v>2.2960000000000001E-2</v>
      </c>
      <c r="AJ59" s="129">
        <v>1.004E-2</v>
      </c>
      <c r="AK59" s="129">
        <v>5.2400000000000002E-2</v>
      </c>
      <c r="AL59" s="129">
        <v>1.9859999999999999E-2</v>
      </c>
      <c r="AM59" s="128">
        <v>1.41</v>
      </c>
      <c r="AN59" s="129">
        <v>2.7960000000000002E-2</v>
      </c>
      <c r="AO59" s="129">
        <v>1.6039999999999999E-2</v>
      </c>
      <c r="AP59" s="129">
        <v>5.8900000000000001E-2</v>
      </c>
      <c r="AQ59" s="129">
        <v>3.9539999999999999E-2</v>
      </c>
      <c r="AR59" s="128">
        <v>1.41</v>
      </c>
      <c r="AS59" s="129">
        <v>2.0980000000000002E-2</v>
      </c>
      <c r="AT59" s="129">
        <v>1.056E-2</v>
      </c>
      <c r="AU59" s="129">
        <v>3.9219999999999998E-2</v>
      </c>
      <c r="AV59" s="129">
        <v>2.366E-2</v>
      </c>
      <c r="AW59" s="128">
        <v>1.41</v>
      </c>
      <c r="AX59" s="129">
        <v>9.6800000000000011E-3</v>
      </c>
      <c r="AY59" s="129">
        <v>5.5239999999999997E-2</v>
      </c>
      <c r="AZ59" s="129">
        <v>7.6700000000000004E-2</v>
      </c>
      <c r="BA59" s="129">
        <v>0.1119</v>
      </c>
      <c r="BB59" s="128">
        <v>1.41</v>
      </c>
      <c r="BC59" s="129">
        <v>3.3349999999999998E-2</v>
      </c>
      <c r="BD59" s="129">
        <v>6.8900000000000003E-3</v>
      </c>
      <c r="BE59" s="129">
        <v>6.0430000000000005E-2</v>
      </c>
      <c r="BF59" s="129">
        <v>3.1140000000000001E-2</v>
      </c>
    </row>
    <row r="60" spans="4:58" ht="15.75">
      <c r="D60" s="128">
        <v>1.42</v>
      </c>
      <c r="E60" s="129">
        <v>4.7140000000000001E-2</v>
      </c>
      <c r="F60" s="129">
        <v>2.3400000000000001E-2</v>
      </c>
      <c r="G60" s="129">
        <v>0</v>
      </c>
      <c r="H60" s="129">
        <v>0</v>
      </c>
      <c r="I60" s="128">
        <v>1.42</v>
      </c>
      <c r="J60" s="129">
        <v>3.5540000000000002E-2</v>
      </c>
      <c r="K60" s="129">
        <v>1.3520000000000001E-2</v>
      </c>
      <c r="L60" s="129">
        <v>8.0079999999999998E-2</v>
      </c>
      <c r="M60" s="129">
        <v>0</v>
      </c>
      <c r="N60" s="128">
        <v>1.42</v>
      </c>
      <c r="O60" s="129">
        <v>4.0499999999999994E-2</v>
      </c>
      <c r="P60" s="129">
        <v>2.436E-2</v>
      </c>
      <c r="Q60" s="129">
        <v>0</v>
      </c>
      <c r="R60" s="129">
        <v>6.744E-2</v>
      </c>
      <c r="S60" s="128">
        <v>1.42</v>
      </c>
      <c r="T60" s="129">
        <v>2.4300000000000002E-2</v>
      </c>
      <c r="U60" s="129">
        <v>7.6800000000000002E-3</v>
      </c>
      <c r="V60" s="129">
        <v>5.5899999999999998E-2</v>
      </c>
      <c r="W60" s="129">
        <v>0</v>
      </c>
      <c r="X60" s="128">
        <v>1.42</v>
      </c>
      <c r="Y60" s="129">
        <v>3.2120000000000003E-2</v>
      </c>
      <c r="Z60" s="129">
        <v>2.2620000000000001E-2</v>
      </c>
      <c r="AA60" s="129">
        <v>0</v>
      </c>
      <c r="AB60" s="129">
        <v>6.5240000000000006E-2</v>
      </c>
      <c r="AC60" s="128">
        <v>1.42</v>
      </c>
      <c r="AD60" s="129">
        <v>3.2340000000000001E-2</v>
      </c>
      <c r="AE60" s="129">
        <v>1.6060000000000001E-2</v>
      </c>
      <c r="AF60" s="129">
        <v>7.0660000000000001E-2</v>
      </c>
      <c r="AG60" s="129">
        <v>3.5020000000000003E-2</v>
      </c>
      <c r="AH60" s="128">
        <v>1.42</v>
      </c>
      <c r="AI60" s="129">
        <v>2.2919999999999999E-2</v>
      </c>
      <c r="AJ60" s="129">
        <v>9.8799999999999999E-3</v>
      </c>
      <c r="AK60" s="129">
        <v>5.2200000000000003E-2</v>
      </c>
      <c r="AL60" s="129">
        <v>1.9519999999999999E-2</v>
      </c>
      <c r="AM60" s="128">
        <v>1.42</v>
      </c>
      <c r="AN60" s="129">
        <v>2.802E-2</v>
      </c>
      <c r="AO60" s="129">
        <v>1.5879999999999998E-2</v>
      </c>
      <c r="AP60" s="129">
        <v>5.8999999999999997E-2</v>
      </c>
      <c r="AQ60" s="129">
        <v>3.9079999999999997E-2</v>
      </c>
      <c r="AR60" s="128">
        <v>1.42</v>
      </c>
      <c r="AS60" s="129">
        <v>2.0959999999999999E-2</v>
      </c>
      <c r="AT60" s="129">
        <v>1.042E-2</v>
      </c>
      <c r="AU60" s="129">
        <v>4.1139999999999996E-2</v>
      </c>
      <c r="AV60" s="129">
        <v>2.332E-2</v>
      </c>
      <c r="AW60" s="128">
        <v>1.42</v>
      </c>
      <c r="AX60" s="129">
        <v>9.6600000000000002E-3</v>
      </c>
      <c r="AY60" s="129">
        <v>5.5279999999999996E-2</v>
      </c>
      <c r="AZ60" s="129">
        <v>7.7300000000000008E-2</v>
      </c>
      <c r="BA60" s="129">
        <v>0.1123</v>
      </c>
      <c r="BB60" s="128">
        <v>1.42</v>
      </c>
      <c r="BC60" s="129">
        <v>3.3099999999999997E-2</v>
      </c>
      <c r="BD60" s="129">
        <v>6.7800000000000004E-3</v>
      </c>
      <c r="BE60" s="129">
        <v>5.9960000000000006E-2</v>
      </c>
      <c r="BF60" s="129">
        <v>3.0780000000000002E-2</v>
      </c>
    </row>
    <row r="61" spans="4:58" ht="15.75">
      <c r="D61" s="128">
        <v>1.43</v>
      </c>
      <c r="E61" s="129">
        <v>4.7259999999999996E-2</v>
      </c>
      <c r="F61" s="129">
        <v>2.3099999999999999E-2</v>
      </c>
      <c r="G61" s="129">
        <v>0</v>
      </c>
      <c r="H61" s="129">
        <v>0</v>
      </c>
      <c r="I61" s="128">
        <v>1.43</v>
      </c>
      <c r="J61" s="129">
        <v>3.5459999999999998E-2</v>
      </c>
      <c r="K61" s="129">
        <v>1.328E-2</v>
      </c>
      <c r="L61" s="129">
        <v>7.9719999999999999E-2</v>
      </c>
      <c r="M61" s="129">
        <v>0</v>
      </c>
      <c r="N61" s="128">
        <v>1.43</v>
      </c>
      <c r="O61" s="129">
        <v>4.07E-2</v>
      </c>
      <c r="P61" s="129">
        <v>2.4139999999999998E-2</v>
      </c>
      <c r="Q61" s="129">
        <v>0</v>
      </c>
      <c r="R61" s="129">
        <v>6.676E-2</v>
      </c>
      <c r="S61" s="128">
        <v>1.43</v>
      </c>
      <c r="T61" s="129">
        <v>2.4199999999999999E-2</v>
      </c>
      <c r="U61" s="129">
        <v>7.5199999999999998E-3</v>
      </c>
      <c r="V61" s="129">
        <v>5.5600000000000004E-2</v>
      </c>
      <c r="W61" s="129">
        <v>0</v>
      </c>
      <c r="X61" s="128">
        <v>1.43</v>
      </c>
      <c r="Y61" s="129">
        <v>3.2379999999999999E-2</v>
      </c>
      <c r="Z61" s="129">
        <v>2.248E-2</v>
      </c>
      <c r="AA61" s="129">
        <v>0</v>
      </c>
      <c r="AB61" s="129">
        <v>6.4860000000000001E-2</v>
      </c>
      <c r="AC61" s="128">
        <v>1.43</v>
      </c>
      <c r="AD61" s="129">
        <v>3.236E-2</v>
      </c>
      <c r="AE61" s="129">
        <v>1.584E-2</v>
      </c>
      <c r="AF61" s="129">
        <v>7.0540000000000005E-2</v>
      </c>
      <c r="AG61" s="129">
        <v>3.4479999999999997E-2</v>
      </c>
      <c r="AH61" s="128">
        <v>1.43</v>
      </c>
      <c r="AI61" s="129">
        <v>2.2880000000000001E-2</v>
      </c>
      <c r="AJ61" s="129">
        <v>9.7200000000000012E-3</v>
      </c>
      <c r="AK61" s="129">
        <v>5.1999999999999998E-2</v>
      </c>
      <c r="AL61" s="129">
        <v>1.9179999999999999E-2</v>
      </c>
      <c r="AM61" s="128">
        <v>1.43</v>
      </c>
      <c r="AN61" s="129">
        <v>2.8080000000000001E-2</v>
      </c>
      <c r="AO61" s="129">
        <v>1.5720000000000001E-2</v>
      </c>
      <c r="AP61" s="129">
        <v>5.91E-2</v>
      </c>
      <c r="AQ61" s="129">
        <v>3.8620000000000002E-2</v>
      </c>
      <c r="AR61" s="128">
        <v>1.43</v>
      </c>
      <c r="AS61" s="129">
        <v>2.094E-2</v>
      </c>
      <c r="AT61" s="129">
        <v>1.0279999999999999E-2</v>
      </c>
      <c r="AU61" s="129">
        <v>4.3060000000000001E-2</v>
      </c>
      <c r="AV61" s="129">
        <v>2.298E-2</v>
      </c>
      <c r="AW61" s="128">
        <v>1.43</v>
      </c>
      <c r="AX61" s="129">
        <v>9.640000000000001E-3</v>
      </c>
      <c r="AY61" s="129">
        <v>5.5320000000000001E-2</v>
      </c>
      <c r="AZ61" s="129">
        <v>7.7899999999999997E-2</v>
      </c>
      <c r="BA61" s="129">
        <v>0.11270000000000001</v>
      </c>
      <c r="BB61" s="128">
        <v>1.43</v>
      </c>
      <c r="BC61" s="129">
        <v>3.2849999999999997E-2</v>
      </c>
      <c r="BD61" s="129">
        <v>6.6699999999999997E-3</v>
      </c>
      <c r="BE61" s="129">
        <v>5.9490000000000001E-2</v>
      </c>
      <c r="BF61" s="129">
        <v>3.0419999999999999E-2</v>
      </c>
    </row>
    <row r="62" spans="4:58" ht="15.75">
      <c r="D62" s="128">
        <v>1.44</v>
      </c>
      <c r="E62" s="129">
        <v>4.7379999999999999E-2</v>
      </c>
      <c r="F62" s="129">
        <v>2.2800000000000001E-2</v>
      </c>
      <c r="G62" s="129">
        <v>0</v>
      </c>
      <c r="H62" s="129">
        <v>0</v>
      </c>
      <c r="I62" s="128">
        <v>1.44</v>
      </c>
      <c r="J62" s="129">
        <v>3.5380000000000002E-2</v>
      </c>
      <c r="K62" s="129">
        <v>1.3040000000000001E-2</v>
      </c>
      <c r="L62" s="129">
        <v>7.936E-2</v>
      </c>
      <c r="M62" s="129">
        <v>0</v>
      </c>
      <c r="N62" s="128">
        <v>1.44</v>
      </c>
      <c r="O62" s="129">
        <v>4.0899999999999999E-2</v>
      </c>
      <c r="P62" s="129">
        <v>2.392E-2</v>
      </c>
      <c r="Q62" s="129">
        <v>0</v>
      </c>
      <c r="R62" s="129">
        <v>6.608E-2</v>
      </c>
      <c r="S62" s="128">
        <v>1.44</v>
      </c>
      <c r="T62" s="129">
        <v>2.41E-2</v>
      </c>
      <c r="U62" s="129">
        <v>7.3600000000000002E-3</v>
      </c>
      <c r="V62" s="129">
        <v>5.5300000000000002E-2</v>
      </c>
      <c r="W62" s="129">
        <v>0</v>
      </c>
      <c r="X62" s="128">
        <v>1.44</v>
      </c>
      <c r="Y62" s="129">
        <v>3.2640000000000002E-2</v>
      </c>
      <c r="Z62" s="129">
        <v>2.2340000000000002E-2</v>
      </c>
      <c r="AA62" s="129">
        <v>0</v>
      </c>
      <c r="AB62" s="129">
        <v>6.448000000000001E-2</v>
      </c>
      <c r="AC62" s="128">
        <v>1.44</v>
      </c>
      <c r="AD62" s="129">
        <v>3.2379999999999999E-2</v>
      </c>
      <c r="AE62" s="129">
        <v>1.562E-2</v>
      </c>
      <c r="AF62" s="129">
        <v>7.0419999999999996E-2</v>
      </c>
      <c r="AG62" s="129">
        <v>3.3939999999999998E-2</v>
      </c>
      <c r="AH62" s="128">
        <v>1.44</v>
      </c>
      <c r="AI62" s="129">
        <v>2.2839999999999999E-2</v>
      </c>
      <c r="AJ62" s="129">
        <v>9.5600000000000008E-3</v>
      </c>
      <c r="AK62" s="129">
        <v>5.1799999999999999E-2</v>
      </c>
      <c r="AL62" s="129">
        <v>1.8839999999999999E-2</v>
      </c>
      <c r="AM62" s="128">
        <v>1.44</v>
      </c>
      <c r="AN62" s="129">
        <v>2.8139999999999998E-2</v>
      </c>
      <c r="AO62" s="129">
        <v>1.5560000000000001E-2</v>
      </c>
      <c r="AP62" s="129">
        <v>5.9199999999999996E-2</v>
      </c>
      <c r="AQ62" s="129">
        <v>3.8159999999999999E-2</v>
      </c>
      <c r="AR62" s="128">
        <v>1.44</v>
      </c>
      <c r="AS62" s="129">
        <v>2.0919999999999998E-2</v>
      </c>
      <c r="AT62" s="129">
        <v>1.014E-2</v>
      </c>
      <c r="AU62" s="129">
        <v>4.4979999999999999E-2</v>
      </c>
      <c r="AV62" s="129">
        <v>2.264E-2</v>
      </c>
      <c r="AW62" s="128">
        <v>1.44</v>
      </c>
      <c r="AX62" s="129">
        <v>9.6200000000000001E-3</v>
      </c>
      <c r="AY62" s="129">
        <v>5.5359999999999999E-2</v>
      </c>
      <c r="AZ62" s="129">
        <v>7.85E-2</v>
      </c>
      <c r="BA62" s="129">
        <v>0.11310000000000001</v>
      </c>
      <c r="BB62" s="128">
        <v>1.44</v>
      </c>
      <c r="BC62" s="129">
        <v>3.2599999999999997E-2</v>
      </c>
      <c r="BD62" s="129">
        <v>6.5599999999999999E-3</v>
      </c>
      <c r="BE62" s="129">
        <v>5.9020000000000003E-2</v>
      </c>
      <c r="BF62" s="129">
        <v>3.006E-2</v>
      </c>
    </row>
    <row r="63" spans="4:58" ht="15.75">
      <c r="D63" s="126">
        <v>1.45</v>
      </c>
      <c r="E63" s="127">
        <v>4.7500000000000001E-2</v>
      </c>
      <c r="F63" s="127">
        <v>2.2499999999999999E-2</v>
      </c>
      <c r="G63" s="129">
        <v>0</v>
      </c>
      <c r="H63" s="129">
        <v>0</v>
      </c>
      <c r="I63" s="126">
        <v>1.45</v>
      </c>
      <c r="J63" s="127">
        <v>3.5299999999999998E-2</v>
      </c>
      <c r="K63" s="127">
        <v>1.2800000000000001E-2</v>
      </c>
      <c r="L63" s="127">
        <v>7.9000000000000001E-2</v>
      </c>
      <c r="M63" s="129">
        <v>0</v>
      </c>
      <c r="N63" s="126">
        <v>1.45</v>
      </c>
      <c r="O63" s="127">
        <v>4.1099999999999998E-2</v>
      </c>
      <c r="P63" s="127">
        <v>2.3699999999999999E-2</v>
      </c>
      <c r="Q63" s="129">
        <v>0</v>
      </c>
      <c r="R63" s="127">
        <v>6.54E-2</v>
      </c>
      <c r="S63" s="126">
        <v>1.45</v>
      </c>
      <c r="T63" s="127">
        <v>2.4E-2</v>
      </c>
      <c r="U63" s="127">
        <v>7.1999999999999998E-3</v>
      </c>
      <c r="V63" s="127">
        <v>5.5E-2</v>
      </c>
      <c r="W63" s="129">
        <v>0</v>
      </c>
      <c r="X63" s="126">
        <v>1.45</v>
      </c>
      <c r="Y63" s="127">
        <v>3.2899999999999999E-2</v>
      </c>
      <c r="Z63" s="127">
        <v>2.2200000000000001E-2</v>
      </c>
      <c r="AA63" s="129">
        <v>0</v>
      </c>
      <c r="AB63" s="127">
        <v>6.4100000000000004E-2</v>
      </c>
      <c r="AC63" s="126">
        <v>1.45</v>
      </c>
      <c r="AD63" s="127">
        <v>3.2399999999999998E-2</v>
      </c>
      <c r="AE63" s="127">
        <v>1.54E-2</v>
      </c>
      <c r="AF63" s="127">
        <v>7.0300000000000001E-2</v>
      </c>
      <c r="AG63" s="127">
        <v>3.3399999999999999E-2</v>
      </c>
      <c r="AH63" s="126">
        <v>1.45</v>
      </c>
      <c r="AI63" s="127">
        <v>2.2800000000000001E-2</v>
      </c>
      <c r="AJ63" s="127">
        <v>9.4000000000000004E-3</v>
      </c>
      <c r="AK63" s="127">
        <v>5.16E-2</v>
      </c>
      <c r="AL63" s="127">
        <v>1.8499999999999999E-2</v>
      </c>
      <c r="AM63" s="126">
        <v>1.45</v>
      </c>
      <c r="AN63" s="127">
        <v>2.8199999999999999E-2</v>
      </c>
      <c r="AO63" s="127">
        <v>1.54E-2</v>
      </c>
      <c r="AP63" s="127">
        <v>5.9299999999999999E-2</v>
      </c>
      <c r="AQ63" s="127">
        <v>3.7699999999999997E-2</v>
      </c>
      <c r="AR63" s="126">
        <v>1.45</v>
      </c>
      <c r="AS63" s="127">
        <v>2.0899999999999998E-2</v>
      </c>
      <c r="AT63" s="127">
        <v>0.01</v>
      </c>
      <c r="AU63" s="127">
        <v>4.6899999999999997E-2</v>
      </c>
      <c r="AV63" s="127">
        <v>2.23E-2</v>
      </c>
      <c r="AW63" s="126">
        <v>1.45</v>
      </c>
      <c r="AX63" s="127">
        <v>9.6000000000000009E-3</v>
      </c>
      <c r="AY63" s="127">
        <v>5.5399999999999998E-2</v>
      </c>
      <c r="AZ63" s="127">
        <v>7.9100000000000004E-2</v>
      </c>
      <c r="BA63" s="127">
        <v>0.1135</v>
      </c>
      <c r="BB63" s="126">
        <v>1.45</v>
      </c>
      <c r="BC63" s="127">
        <v>3.2349999999999997E-2</v>
      </c>
      <c r="BD63" s="127">
        <v>6.45E-3</v>
      </c>
      <c r="BE63" s="127">
        <v>5.8550000000000005E-2</v>
      </c>
      <c r="BF63" s="127">
        <v>2.9700000000000001E-2</v>
      </c>
    </row>
    <row r="64" spans="4:58" ht="15.75">
      <c r="D64" s="128">
        <v>1.46</v>
      </c>
      <c r="E64" s="129">
        <v>4.7600000000000003E-2</v>
      </c>
      <c r="F64" s="129">
        <v>2.2279999999999998E-2</v>
      </c>
      <c r="G64" s="129">
        <v>0</v>
      </c>
      <c r="H64" s="129">
        <v>0</v>
      </c>
      <c r="I64" s="128">
        <v>1.46</v>
      </c>
      <c r="J64" s="129">
        <v>3.524E-2</v>
      </c>
      <c r="K64" s="129">
        <v>1.2620000000000001E-2</v>
      </c>
      <c r="L64" s="129">
        <v>7.8640000000000002E-2</v>
      </c>
      <c r="M64" s="129">
        <v>0</v>
      </c>
      <c r="N64" s="128">
        <v>1.46</v>
      </c>
      <c r="O64" s="129">
        <v>4.1279999999999997E-2</v>
      </c>
      <c r="P64" s="129">
        <v>2.3519999999999999E-2</v>
      </c>
      <c r="Q64" s="129">
        <v>0</v>
      </c>
      <c r="R64" s="129">
        <v>6.472E-2</v>
      </c>
      <c r="S64" s="128">
        <v>1.46</v>
      </c>
      <c r="T64" s="129">
        <v>2.3900000000000001E-2</v>
      </c>
      <c r="U64" s="129">
        <v>7.0799999999999995E-3</v>
      </c>
      <c r="V64" s="129">
        <v>5.466E-2</v>
      </c>
      <c r="W64" s="129">
        <v>0</v>
      </c>
      <c r="X64" s="128">
        <v>1.46</v>
      </c>
      <c r="Y64" s="129">
        <v>3.3139999999999996E-2</v>
      </c>
      <c r="Z64" s="129">
        <v>2.2040000000000001E-2</v>
      </c>
      <c r="AA64" s="129">
        <v>0</v>
      </c>
      <c r="AB64" s="129">
        <v>6.3700000000000007E-2</v>
      </c>
      <c r="AC64" s="128">
        <v>1.46</v>
      </c>
      <c r="AD64" s="129">
        <v>3.2399999999999998E-2</v>
      </c>
      <c r="AE64" s="129">
        <v>1.52E-2</v>
      </c>
      <c r="AF64" s="129">
        <v>7.0140000000000008E-2</v>
      </c>
      <c r="AG64" s="129">
        <v>3.2919999999999998E-2</v>
      </c>
      <c r="AH64" s="128">
        <v>1.46</v>
      </c>
      <c r="AI64" s="129">
        <v>2.274E-2</v>
      </c>
      <c r="AJ64" s="129">
        <v>9.2399999999999999E-3</v>
      </c>
      <c r="AK64" s="129">
        <v>5.1400000000000001E-2</v>
      </c>
      <c r="AL64" s="129">
        <v>1.8179999999999998E-2</v>
      </c>
      <c r="AM64" s="128">
        <v>1.46</v>
      </c>
      <c r="AN64" s="129">
        <v>2.826E-2</v>
      </c>
      <c r="AO64" s="129">
        <v>1.524E-2</v>
      </c>
      <c r="AP64" s="129">
        <v>5.9380000000000002E-2</v>
      </c>
      <c r="AQ64" s="129">
        <v>3.7239999999999995E-2</v>
      </c>
      <c r="AR64" s="128">
        <v>1.46</v>
      </c>
      <c r="AS64" s="129">
        <v>2.0879999999999999E-2</v>
      </c>
      <c r="AT64" s="129">
        <v>9.8600000000000007E-3</v>
      </c>
      <c r="AU64" s="129">
        <v>4.6799999999999994E-2</v>
      </c>
      <c r="AV64" s="129">
        <v>2.196E-2</v>
      </c>
      <c r="AW64" s="128">
        <v>1.46</v>
      </c>
      <c r="AX64" s="129">
        <v>9.58E-3</v>
      </c>
      <c r="AY64" s="129">
        <v>5.5439999999999996E-2</v>
      </c>
      <c r="AZ64" s="129">
        <v>7.9700000000000007E-2</v>
      </c>
      <c r="BA64" s="129">
        <v>0.1139</v>
      </c>
      <c r="BB64" s="128">
        <v>1.46</v>
      </c>
      <c r="BC64" s="129">
        <v>3.2099999999999997E-2</v>
      </c>
      <c r="BD64" s="129">
        <v>6.3400000000000001E-3</v>
      </c>
      <c r="BE64" s="129">
        <v>5.8080000000000007E-2</v>
      </c>
      <c r="BF64" s="129">
        <v>2.9340000000000001E-2</v>
      </c>
    </row>
    <row r="65" spans="4:58" ht="15.75">
      <c r="D65" s="128">
        <v>1.47</v>
      </c>
      <c r="E65" s="129">
        <v>4.7699999999999999E-2</v>
      </c>
      <c r="F65" s="129">
        <v>2.206E-2</v>
      </c>
      <c r="G65" s="129">
        <v>0</v>
      </c>
      <c r="H65" s="129">
        <v>0</v>
      </c>
      <c r="I65" s="128">
        <v>1.47</v>
      </c>
      <c r="J65" s="129">
        <v>3.5180000000000003E-2</v>
      </c>
      <c r="K65" s="129">
        <v>1.2440000000000001E-2</v>
      </c>
      <c r="L65" s="129">
        <v>7.8280000000000002E-2</v>
      </c>
      <c r="M65" s="129">
        <v>0</v>
      </c>
      <c r="N65" s="128">
        <v>1.47</v>
      </c>
      <c r="O65" s="129">
        <v>4.1459999999999997E-2</v>
      </c>
      <c r="P65" s="129">
        <v>2.334E-2</v>
      </c>
      <c r="Q65" s="129">
        <v>0</v>
      </c>
      <c r="R65" s="129">
        <v>6.404E-2</v>
      </c>
      <c r="S65" s="128">
        <v>1.47</v>
      </c>
      <c r="T65" s="129">
        <v>2.3800000000000002E-2</v>
      </c>
      <c r="U65" s="129">
        <v>6.96E-3</v>
      </c>
      <c r="V65" s="129">
        <v>5.432E-2</v>
      </c>
      <c r="W65" s="129">
        <v>0</v>
      </c>
      <c r="X65" s="128">
        <v>1.47</v>
      </c>
      <c r="Y65" s="129">
        <v>3.338E-2</v>
      </c>
      <c r="Z65" s="129">
        <v>2.188E-2</v>
      </c>
      <c r="AA65" s="129">
        <v>0</v>
      </c>
      <c r="AB65" s="129">
        <v>6.3300000000000009E-2</v>
      </c>
      <c r="AC65" s="128">
        <v>1.47</v>
      </c>
      <c r="AD65" s="129">
        <v>3.2399999999999998E-2</v>
      </c>
      <c r="AE65" s="129">
        <v>1.4999999999999999E-2</v>
      </c>
      <c r="AF65" s="129">
        <v>6.9980000000000001E-2</v>
      </c>
      <c r="AG65" s="129">
        <v>3.2439999999999997E-2</v>
      </c>
      <c r="AH65" s="128">
        <v>1.47</v>
      </c>
      <c r="AI65" s="129">
        <v>2.2679999999999999E-2</v>
      </c>
      <c r="AJ65" s="129">
        <v>9.0799999999999995E-3</v>
      </c>
      <c r="AK65" s="129">
        <v>5.1200000000000002E-2</v>
      </c>
      <c r="AL65" s="129">
        <v>1.7859999999999997E-2</v>
      </c>
      <c r="AM65" s="128">
        <v>1.47</v>
      </c>
      <c r="AN65" s="129">
        <v>2.8320000000000001E-2</v>
      </c>
      <c r="AO65" s="129">
        <v>1.508E-2</v>
      </c>
      <c r="AP65" s="129">
        <v>5.9459999999999999E-2</v>
      </c>
      <c r="AQ65" s="129">
        <v>3.678E-2</v>
      </c>
      <c r="AR65" s="128">
        <v>1.47</v>
      </c>
      <c r="AS65" s="129">
        <v>2.086E-2</v>
      </c>
      <c r="AT65" s="129">
        <v>9.7199999999999995E-3</v>
      </c>
      <c r="AU65" s="129">
        <v>4.6699999999999998E-2</v>
      </c>
      <c r="AV65" s="129">
        <v>2.162E-2</v>
      </c>
      <c r="AW65" s="128">
        <v>1.47</v>
      </c>
      <c r="AX65" s="129">
        <v>9.5600000000000008E-3</v>
      </c>
      <c r="AY65" s="129">
        <v>5.5479999999999995E-2</v>
      </c>
      <c r="AZ65" s="129">
        <v>8.030000000000001E-2</v>
      </c>
      <c r="BA65" s="129">
        <v>0.1143</v>
      </c>
      <c r="BB65" s="128">
        <v>1.47</v>
      </c>
      <c r="BC65" s="129">
        <v>3.1849999999999996E-2</v>
      </c>
      <c r="BD65" s="129">
        <v>6.2300000000000003E-3</v>
      </c>
      <c r="BE65" s="129">
        <v>5.7610000000000001E-2</v>
      </c>
      <c r="BF65" s="129">
        <v>2.8980000000000002E-2</v>
      </c>
    </row>
    <row r="66" spans="4:58" ht="15.75">
      <c r="D66" s="128">
        <v>1.48</v>
      </c>
      <c r="E66" s="129">
        <v>4.7800000000000002E-2</v>
      </c>
      <c r="F66" s="129">
        <v>2.1839999999999998E-2</v>
      </c>
      <c r="G66" s="129">
        <v>0</v>
      </c>
      <c r="H66" s="129">
        <v>0</v>
      </c>
      <c r="I66" s="128">
        <v>1.48</v>
      </c>
      <c r="J66" s="129">
        <v>3.5119999999999998E-2</v>
      </c>
      <c r="K66" s="129">
        <v>1.226E-2</v>
      </c>
      <c r="L66" s="129">
        <v>7.7920000000000003E-2</v>
      </c>
      <c r="M66" s="129">
        <v>0</v>
      </c>
      <c r="N66" s="128">
        <v>1.48</v>
      </c>
      <c r="O66" s="129">
        <v>4.1640000000000003E-2</v>
      </c>
      <c r="P66" s="129">
        <v>2.316E-2</v>
      </c>
      <c r="Q66" s="129">
        <v>0</v>
      </c>
      <c r="R66" s="129">
        <v>6.336E-2</v>
      </c>
      <c r="S66" s="128">
        <v>1.48</v>
      </c>
      <c r="T66" s="129">
        <v>2.3699999999999999E-2</v>
      </c>
      <c r="U66" s="129">
        <v>6.8399999999999997E-3</v>
      </c>
      <c r="V66" s="129">
        <v>5.398E-2</v>
      </c>
      <c r="W66" s="129">
        <v>0</v>
      </c>
      <c r="X66" s="128">
        <v>1.48</v>
      </c>
      <c r="Y66" s="129">
        <v>3.3619999999999997E-2</v>
      </c>
      <c r="Z66" s="129">
        <v>2.172E-2</v>
      </c>
      <c r="AA66" s="129">
        <v>0</v>
      </c>
      <c r="AB66" s="129">
        <v>6.2899999999999998E-2</v>
      </c>
      <c r="AC66" s="128">
        <v>1.48</v>
      </c>
      <c r="AD66" s="129">
        <v>3.2399999999999998E-2</v>
      </c>
      <c r="AE66" s="129">
        <v>1.4800000000000001E-2</v>
      </c>
      <c r="AF66" s="129">
        <v>6.9820000000000007E-2</v>
      </c>
      <c r="AG66" s="129">
        <v>3.1960000000000002E-2</v>
      </c>
      <c r="AH66" s="128">
        <v>1.48</v>
      </c>
      <c r="AI66" s="129">
        <v>2.2620000000000001E-2</v>
      </c>
      <c r="AJ66" s="129">
        <v>8.9200000000000008E-3</v>
      </c>
      <c r="AK66" s="129">
        <v>5.0999999999999997E-2</v>
      </c>
      <c r="AL66" s="129">
        <v>1.754E-2</v>
      </c>
      <c r="AM66" s="128">
        <v>1.48</v>
      </c>
      <c r="AN66" s="129">
        <v>2.8379999999999999E-2</v>
      </c>
      <c r="AO66" s="129">
        <v>1.4920000000000001E-2</v>
      </c>
      <c r="AP66" s="129">
        <v>5.9540000000000003E-2</v>
      </c>
      <c r="AQ66" s="129">
        <v>3.6319999999999998E-2</v>
      </c>
      <c r="AR66" s="128">
        <v>1.48</v>
      </c>
      <c r="AS66" s="129">
        <v>2.0839999999999997E-2</v>
      </c>
      <c r="AT66" s="129">
        <v>9.58E-3</v>
      </c>
      <c r="AU66" s="129">
        <v>4.6599999999999996E-2</v>
      </c>
      <c r="AV66" s="129">
        <v>2.128E-2</v>
      </c>
      <c r="AW66" s="128">
        <v>1.48</v>
      </c>
      <c r="AX66" s="129">
        <v>9.5399999999999999E-3</v>
      </c>
      <c r="AY66" s="129">
        <v>5.552E-2</v>
      </c>
      <c r="AZ66" s="129">
        <v>8.09E-2</v>
      </c>
      <c r="BA66" s="129">
        <v>0.11470000000000001</v>
      </c>
      <c r="BB66" s="128">
        <v>1.48</v>
      </c>
      <c r="BC66" s="129">
        <v>3.1599999999999996E-2</v>
      </c>
      <c r="BD66" s="129">
        <v>6.1199999999999996E-3</v>
      </c>
      <c r="BE66" s="129">
        <v>5.7140000000000003E-2</v>
      </c>
      <c r="BF66" s="129">
        <v>2.862E-2</v>
      </c>
    </row>
    <row r="67" spans="4:58" ht="15.75">
      <c r="D67" s="128">
        <v>1.49</v>
      </c>
      <c r="E67" s="129">
        <v>4.7899999999999998E-2</v>
      </c>
      <c r="F67" s="129">
        <v>2.162E-2</v>
      </c>
      <c r="G67" s="129">
        <v>0</v>
      </c>
      <c r="H67" s="129">
        <v>0</v>
      </c>
      <c r="I67" s="128">
        <v>1.49</v>
      </c>
      <c r="J67" s="129">
        <v>3.5060000000000001E-2</v>
      </c>
      <c r="K67" s="129">
        <v>1.208E-2</v>
      </c>
      <c r="L67" s="129">
        <v>7.7560000000000004E-2</v>
      </c>
      <c r="M67" s="129">
        <v>0</v>
      </c>
      <c r="N67" s="128">
        <v>1.49</v>
      </c>
      <c r="O67" s="129">
        <v>4.1820000000000003E-2</v>
      </c>
      <c r="P67" s="129">
        <v>2.298E-2</v>
      </c>
      <c r="Q67" s="129">
        <v>0</v>
      </c>
      <c r="R67" s="129">
        <v>6.268E-2</v>
      </c>
      <c r="S67" s="128">
        <v>1.49</v>
      </c>
      <c r="T67" s="129">
        <v>2.3599999999999999E-2</v>
      </c>
      <c r="U67" s="129">
        <v>6.7200000000000003E-3</v>
      </c>
      <c r="V67" s="129">
        <v>5.364E-2</v>
      </c>
      <c r="W67" s="129">
        <v>0</v>
      </c>
      <c r="X67" s="128">
        <v>1.49</v>
      </c>
      <c r="Y67" s="129">
        <v>3.3860000000000001E-2</v>
      </c>
      <c r="Z67" s="129">
        <v>2.1559999999999999E-2</v>
      </c>
      <c r="AA67" s="129">
        <v>0</v>
      </c>
      <c r="AB67" s="129">
        <v>6.25E-2</v>
      </c>
      <c r="AC67" s="128">
        <v>1.49</v>
      </c>
      <c r="AD67" s="129">
        <v>3.2399999999999998E-2</v>
      </c>
      <c r="AE67" s="129">
        <v>1.46E-2</v>
      </c>
      <c r="AF67" s="129">
        <v>6.966E-2</v>
      </c>
      <c r="AG67" s="129">
        <v>3.1480000000000001E-2</v>
      </c>
      <c r="AH67" s="128">
        <v>1.49</v>
      </c>
      <c r="AI67" s="129">
        <v>2.256E-2</v>
      </c>
      <c r="AJ67" s="129">
        <v>8.7600000000000004E-3</v>
      </c>
      <c r="AK67" s="129">
        <v>5.0799999999999998E-2</v>
      </c>
      <c r="AL67" s="129">
        <v>1.7219999999999999E-2</v>
      </c>
      <c r="AM67" s="128">
        <v>1.49</v>
      </c>
      <c r="AN67" s="129">
        <v>2.844E-2</v>
      </c>
      <c r="AO67" s="129">
        <v>1.4760000000000001E-2</v>
      </c>
      <c r="AP67" s="129">
        <v>5.9619999999999999E-2</v>
      </c>
      <c r="AQ67" s="129">
        <v>3.5860000000000003E-2</v>
      </c>
      <c r="AR67" s="128">
        <v>1.49</v>
      </c>
      <c r="AS67" s="129">
        <v>2.0819999999999998E-2</v>
      </c>
      <c r="AT67" s="129">
        <v>9.4399999999999987E-3</v>
      </c>
      <c r="AU67" s="129">
        <v>4.65E-2</v>
      </c>
      <c r="AV67" s="129">
        <v>2.094E-2</v>
      </c>
      <c r="AW67" s="128">
        <v>1.49</v>
      </c>
      <c r="AX67" s="129">
        <v>9.5200000000000007E-3</v>
      </c>
      <c r="AY67" s="129">
        <v>5.5559999999999998E-2</v>
      </c>
      <c r="AZ67" s="129">
        <v>8.1500000000000003E-2</v>
      </c>
      <c r="BA67" s="129">
        <v>0.11510000000000001</v>
      </c>
      <c r="BB67" s="128">
        <v>1.49</v>
      </c>
      <c r="BC67" s="129">
        <v>3.1349999999999996E-2</v>
      </c>
      <c r="BD67" s="129">
        <v>6.0099999999999997E-3</v>
      </c>
      <c r="BE67" s="129">
        <v>5.6669999999999998E-2</v>
      </c>
      <c r="BF67" s="129">
        <v>2.826E-2</v>
      </c>
    </row>
    <row r="68" spans="4:58" ht="15.75">
      <c r="D68" s="126">
        <v>1.5</v>
      </c>
      <c r="E68" s="127">
        <v>4.8000000000000001E-2</v>
      </c>
      <c r="F68" s="127">
        <v>2.1399999999999999E-2</v>
      </c>
      <c r="G68" s="129">
        <v>0</v>
      </c>
      <c r="H68" s="129">
        <v>0</v>
      </c>
      <c r="I68" s="126">
        <v>1.5</v>
      </c>
      <c r="J68" s="127">
        <v>3.5000000000000003E-2</v>
      </c>
      <c r="K68" s="127">
        <v>1.1900000000000001E-2</v>
      </c>
      <c r="L68" s="127">
        <v>7.7200000000000005E-2</v>
      </c>
      <c r="M68" s="129">
        <v>0</v>
      </c>
      <c r="N68" s="126">
        <v>1.5</v>
      </c>
      <c r="O68" s="127">
        <v>4.2000000000000003E-2</v>
      </c>
      <c r="P68" s="127">
        <v>2.2800000000000001E-2</v>
      </c>
      <c r="Q68" s="129">
        <v>0</v>
      </c>
      <c r="R68" s="127">
        <v>6.2E-2</v>
      </c>
      <c r="S68" s="126">
        <v>1.5</v>
      </c>
      <c r="T68" s="127">
        <v>2.35E-2</v>
      </c>
      <c r="U68" s="127">
        <v>6.6E-3</v>
      </c>
      <c r="V68" s="127">
        <v>5.33E-2</v>
      </c>
      <c r="W68" s="129">
        <v>0</v>
      </c>
      <c r="X68" s="126">
        <v>1.5</v>
      </c>
      <c r="Y68" s="127">
        <v>3.4099999999999998E-2</v>
      </c>
      <c r="Z68" s="127">
        <v>2.1399999999999999E-2</v>
      </c>
      <c r="AA68" s="129">
        <v>0</v>
      </c>
      <c r="AB68" s="127">
        <v>6.2100000000000002E-2</v>
      </c>
      <c r="AC68" s="126">
        <v>1.5</v>
      </c>
      <c r="AD68" s="127">
        <v>3.2399999999999998E-2</v>
      </c>
      <c r="AE68" s="127">
        <v>1.44E-2</v>
      </c>
      <c r="AF68" s="127">
        <v>6.9500000000000006E-2</v>
      </c>
      <c r="AG68" s="127">
        <v>3.1E-2</v>
      </c>
      <c r="AH68" s="126">
        <v>1.5</v>
      </c>
      <c r="AI68" s="127">
        <v>2.2499999999999999E-2</v>
      </c>
      <c r="AJ68" s="127">
        <v>8.6E-3</v>
      </c>
      <c r="AK68" s="127">
        <v>5.0599999999999999E-2</v>
      </c>
      <c r="AL68" s="127">
        <v>1.6899999999999998E-2</v>
      </c>
      <c r="AM68" s="126">
        <v>1.5</v>
      </c>
      <c r="AN68" s="127">
        <v>2.8500000000000001E-2</v>
      </c>
      <c r="AO68" s="127">
        <v>1.46E-2</v>
      </c>
      <c r="AP68" s="127">
        <v>5.9700000000000003E-2</v>
      </c>
      <c r="AQ68" s="127">
        <v>3.5400000000000001E-2</v>
      </c>
      <c r="AR68" s="126">
        <v>1.5</v>
      </c>
      <c r="AS68" s="127">
        <v>2.0799999999999999E-2</v>
      </c>
      <c r="AT68" s="127">
        <v>9.2999999999999992E-3</v>
      </c>
      <c r="AU68" s="127">
        <v>4.6399999999999997E-2</v>
      </c>
      <c r="AV68" s="127">
        <v>2.06E-2</v>
      </c>
      <c r="AW68" s="126">
        <v>1.5</v>
      </c>
      <c r="AX68" s="127">
        <v>9.4999999999999998E-3</v>
      </c>
      <c r="AY68" s="127">
        <v>5.5599999999999997E-2</v>
      </c>
      <c r="AZ68" s="127">
        <v>8.2100000000000006E-2</v>
      </c>
      <c r="BA68" s="127">
        <v>0.11550000000000001</v>
      </c>
      <c r="BB68" s="126">
        <v>1.5</v>
      </c>
      <c r="BC68" s="127">
        <v>3.1099999999999999E-2</v>
      </c>
      <c r="BD68" s="127">
        <v>5.8999999999999999E-3</v>
      </c>
      <c r="BE68" s="127">
        <v>5.62E-2</v>
      </c>
      <c r="BF68" s="127">
        <v>2.7900000000000001E-2</v>
      </c>
    </row>
    <row r="69" spans="4:58" ht="15.75">
      <c r="D69" s="128">
        <v>1.51</v>
      </c>
      <c r="E69" s="129">
        <v>4.8079999999999998E-2</v>
      </c>
      <c r="F69" s="129">
        <v>2.1139999999999999E-2</v>
      </c>
      <c r="G69" s="129">
        <v>0</v>
      </c>
      <c r="H69" s="129">
        <v>0</v>
      </c>
      <c r="I69" s="128">
        <v>1.51</v>
      </c>
      <c r="J69" s="129">
        <v>3.492E-2</v>
      </c>
      <c r="K69" s="129">
        <v>1.17E-2</v>
      </c>
      <c r="L69" s="129">
        <v>7.6840000000000006E-2</v>
      </c>
      <c r="M69" s="129">
        <v>0</v>
      </c>
      <c r="N69" s="128">
        <v>1.51</v>
      </c>
      <c r="O69" s="129">
        <v>4.2140000000000004E-2</v>
      </c>
      <c r="P69" s="129">
        <v>2.2620000000000001E-2</v>
      </c>
      <c r="Q69" s="129">
        <v>0</v>
      </c>
      <c r="R69" s="129">
        <v>6.13E-2</v>
      </c>
      <c r="S69" s="128">
        <v>1.51</v>
      </c>
      <c r="T69" s="129">
        <v>2.3400000000000001E-2</v>
      </c>
      <c r="U69" s="129">
        <v>6.4799999999999996E-3</v>
      </c>
      <c r="V69" s="129">
        <v>5.3019999999999998E-2</v>
      </c>
      <c r="W69" s="129">
        <v>0</v>
      </c>
      <c r="X69" s="128">
        <v>1.51</v>
      </c>
      <c r="Y69" s="129">
        <v>3.4319999999999996E-2</v>
      </c>
      <c r="Z69" s="129">
        <v>2.1259999999999998E-2</v>
      </c>
      <c r="AA69" s="129">
        <v>0</v>
      </c>
      <c r="AB69" s="129">
        <v>6.166E-2</v>
      </c>
      <c r="AC69" s="128">
        <v>1.51</v>
      </c>
      <c r="AD69" s="129">
        <v>3.2379999999999999E-2</v>
      </c>
      <c r="AE69" s="129">
        <v>1.4199999999999999E-2</v>
      </c>
      <c r="AF69" s="129">
        <v>6.9320000000000007E-2</v>
      </c>
      <c r="AG69" s="129">
        <v>3.0519999999999999E-2</v>
      </c>
      <c r="AH69" s="128">
        <v>1.51</v>
      </c>
      <c r="AI69" s="129">
        <v>2.2419999999999999E-2</v>
      </c>
      <c r="AJ69" s="129">
        <v>8.4600000000000005E-3</v>
      </c>
      <c r="AK69" s="129">
        <v>5.0380000000000001E-2</v>
      </c>
      <c r="AL69" s="129">
        <v>1.6619999999999999E-2</v>
      </c>
      <c r="AM69" s="128">
        <v>1.51</v>
      </c>
      <c r="AN69" s="129">
        <v>2.8580000000000001E-2</v>
      </c>
      <c r="AO69" s="129">
        <v>1.444E-2</v>
      </c>
      <c r="AP69" s="129">
        <v>5.9740000000000001E-2</v>
      </c>
      <c r="AQ69" s="129">
        <v>3.4959999999999998E-2</v>
      </c>
      <c r="AR69" s="128">
        <v>1.51</v>
      </c>
      <c r="AS69" s="129">
        <v>2.0760000000000001E-2</v>
      </c>
      <c r="AT69" s="129">
        <v>9.1599999999999997E-3</v>
      </c>
      <c r="AU69" s="129">
        <v>4.6300000000000001E-2</v>
      </c>
      <c r="AV69" s="129">
        <v>2.0299999999999999E-2</v>
      </c>
      <c r="AW69" s="128"/>
      <c r="AX69" s="129"/>
      <c r="AY69" s="129"/>
      <c r="AZ69" s="129"/>
      <c r="BA69" s="129"/>
      <c r="BB69" s="128"/>
      <c r="BC69" s="129"/>
      <c r="BD69" s="129"/>
      <c r="BE69" s="129"/>
      <c r="BF69" s="129"/>
    </row>
    <row r="70" spans="4:58" ht="15.75">
      <c r="D70" s="128">
        <v>1.52</v>
      </c>
      <c r="E70" s="129">
        <v>4.8160000000000001E-2</v>
      </c>
      <c r="F70" s="129">
        <v>2.0879999999999999E-2</v>
      </c>
      <c r="G70" s="129">
        <v>0</v>
      </c>
      <c r="H70" s="129">
        <v>0</v>
      </c>
      <c r="I70" s="128">
        <v>1.52</v>
      </c>
      <c r="J70" s="129">
        <v>3.4840000000000003E-2</v>
      </c>
      <c r="K70" s="129">
        <v>1.15E-2</v>
      </c>
      <c r="L70" s="129">
        <v>7.6480000000000006E-2</v>
      </c>
      <c r="M70" s="129">
        <v>0</v>
      </c>
      <c r="N70" s="128">
        <v>1.52</v>
      </c>
      <c r="O70" s="129">
        <v>4.2280000000000005E-2</v>
      </c>
      <c r="P70" s="129">
        <v>2.2440000000000002E-2</v>
      </c>
      <c r="Q70" s="129">
        <v>0</v>
      </c>
      <c r="R70" s="129">
        <v>6.0600000000000001E-2</v>
      </c>
      <c r="S70" s="128">
        <v>1.52</v>
      </c>
      <c r="T70" s="129">
        <v>2.3300000000000001E-2</v>
      </c>
      <c r="U70" s="129">
        <v>6.3600000000000002E-3</v>
      </c>
      <c r="V70" s="129">
        <v>5.2740000000000002E-2</v>
      </c>
      <c r="W70" s="129">
        <v>0</v>
      </c>
      <c r="X70" s="128">
        <v>1.52</v>
      </c>
      <c r="Y70" s="129">
        <v>3.4540000000000001E-2</v>
      </c>
      <c r="Z70" s="129">
        <v>2.112E-2</v>
      </c>
      <c r="AA70" s="129">
        <v>0</v>
      </c>
      <c r="AB70" s="129">
        <v>6.1220000000000004E-2</v>
      </c>
      <c r="AC70" s="128">
        <v>1.52</v>
      </c>
      <c r="AD70" s="129">
        <v>3.236E-2</v>
      </c>
      <c r="AE70" s="129">
        <v>1.4E-2</v>
      </c>
      <c r="AF70" s="129">
        <v>6.9140000000000007E-2</v>
      </c>
      <c r="AG70" s="129">
        <v>3.0040000000000001E-2</v>
      </c>
      <c r="AH70" s="128">
        <v>1.52</v>
      </c>
      <c r="AI70" s="129">
        <v>2.2339999999999999E-2</v>
      </c>
      <c r="AJ70" s="129">
        <v>8.320000000000001E-3</v>
      </c>
      <c r="AK70" s="129">
        <v>5.0160000000000003E-2</v>
      </c>
      <c r="AL70" s="129">
        <v>1.634E-2</v>
      </c>
      <c r="AM70" s="128">
        <v>1.52</v>
      </c>
      <c r="AN70" s="129">
        <v>2.8660000000000001E-2</v>
      </c>
      <c r="AO70" s="129">
        <v>1.4279999999999999E-2</v>
      </c>
      <c r="AP70" s="129">
        <v>5.978E-2</v>
      </c>
      <c r="AQ70" s="129">
        <v>3.4520000000000002E-2</v>
      </c>
      <c r="AR70" s="128">
        <v>1.52</v>
      </c>
      <c r="AS70" s="129">
        <v>2.0719999999999999E-2</v>
      </c>
      <c r="AT70" s="129">
        <v>9.0200000000000002E-3</v>
      </c>
      <c r="AU70" s="129">
        <v>4.6199999999999998E-2</v>
      </c>
      <c r="AV70" s="129">
        <v>0.02</v>
      </c>
      <c r="AW70" s="128"/>
      <c r="AX70" s="129"/>
      <c r="AY70" s="129"/>
      <c r="AZ70" s="129"/>
      <c r="BA70" s="129"/>
      <c r="BB70" s="128"/>
      <c r="BC70" s="129"/>
      <c r="BD70" s="129"/>
      <c r="BE70" s="129"/>
      <c r="BF70" s="129"/>
    </row>
    <row r="71" spans="4:58" ht="15.75">
      <c r="D71" s="128">
        <v>1.53</v>
      </c>
      <c r="E71" s="129">
        <v>4.8239999999999998E-2</v>
      </c>
      <c r="F71" s="129">
        <v>2.0619999999999999E-2</v>
      </c>
      <c r="G71" s="129">
        <v>0</v>
      </c>
      <c r="H71" s="129">
        <v>0</v>
      </c>
      <c r="I71" s="128">
        <v>1.53</v>
      </c>
      <c r="J71" s="129">
        <v>3.4759999999999999E-2</v>
      </c>
      <c r="K71" s="129">
        <v>1.1300000000000001E-2</v>
      </c>
      <c r="L71" s="129">
        <v>7.6119999999999993E-2</v>
      </c>
      <c r="M71" s="129">
        <v>0</v>
      </c>
      <c r="N71" s="128">
        <v>1.53</v>
      </c>
      <c r="O71" s="129">
        <v>4.2419999999999999E-2</v>
      </c>
      <c r="P71" s="129">
        <v>2.2259999999999999E-2</v>
      </c>
      <c r="Q71" s="129">
        <v>0</v>
      </c>
      <c r="R71" s="129">
        <v>5.9900000000000002E-2</v>
      </c>
      <c r="S71" s="128">
        <v>1.53</v>
      </c>
      <c r="T71" s="129">
        <v>2.3199999999999998E-2</v>
      </c>
      <c r="U71" s="129">
        <v>6.2399999999999999E-3</v>
      </c>
      <c r="V71" s="129">
        <v>5.246E-2</v>
      </c>
      <c r="W71" s="129">
        <v>0</v>
      </c>
      <c r="X71" s="128">
        <v>1.53</v>
      </c>
      <c r="Y71" s="129">
        <v>3.4759999999999999E-2</v>
      </c>
      <c r="Z71" s="129">
        <v>2.0979999999999999E-2</v>
      </c>
      <c r="AA71" s="129">
        <v>0</v>
      </c>
      <c r="AB71" s="129">
        <v>6.0780000000000001E-2</v>
      </c>
      <c r="AC71" s="128">
        <v>1.53</v>
      </c>
      <c r="AD71" s="129">
        <v>3.2340000000000001E-2</v>
      </c>
      <c r="AE71" s="129">
        <v>1.38E-2</v>
      </c>
      <c r="AF71" s="129">
        <v>6.8959999999999994E-2</v>
      </c>
      <c r="AG71" s="129">
        <v>2.9559999999999999E-2</v>
      </c>
      <c r="AH71" s="128">
        <v>1.53</v>
      </c>
      <c r="AI71" s="129">
        <v>2.2260000000000002E-2</v>
      </c>
      <c r="AJ71" s="129">
        <v>8.1799999999999998E-3</v>
      </c>
      <c r="AK71" s="129">
        <v>4.9939999999999998E-2</v>
      </c>
      <c r="AL71" s="129">
        <v>1.6059999999999998E-2</v>
      </c>
      <c r="AM71" s="128">
        <v>1.53</v>
      </c>
      <c r="AN71" s="129">
        <v>2.8739999999999998E-2</v>
      </c>
      <c r="AO71" s="129">
        <v>1.4120000000000001E-2</v>
      </c>
      <c r="AP71" s="129">
        <v>5.9820000000000005E-2</v>
      </c>
      <c r="AQ71" s="129">
        <v>3.4079999999999999E-2</v>
      </c>
      <c r="AR71" s="128">
        <v>1.53</v>
      </c>
      <c r="AS71" s="129">
        <v>2.068E-2</v>
      </c>
      <c r="AT71" s="129">
        <v>8.879999999999999E-3</v>
      </c>
      <c r="AU71" s="129">
        <v>4.6100000000000002E-2</v>
      </c>
      <c r="AV71" s="129">
        <v>1.9699999999999999E-2</v>
      </c>
      <c r="AW71" s="128"/>
      <c r="AX71" s="129"/>
      <c r="AY71" s="129"/>
      <c r="AZ71" s="129"/>
      <c r="BA71" s="129"/>
      <c r="BB71" s="128"/>
      <c r="BC71" s="129"/>
      <c r="BD71" s="129"/>
      <c r="BE71" s="129"/>
      <c r="BF71" s="129"/>
    </row>
    <row r="72" spans="4:58" ht="15.75">
      <c r="D72" s="128">
        <v>1.54</v>
      </c>
      <c r="E72" s="129">
        <v>4.8320000000000002E-2</v>
      </c>
      <c r="F72" s="129">
        <v>2.036E-2</v>
      </c>
      <c r="G72" s="129">
        <v>0</v>
      </c>
      <c r="H72" s="129">
        <v>0</v>
      </c>
      <c r="I72" s="128">
        <v>1.54</v>
      </c>
      <c r="J72" s="129">
        <v>3.4680000000000002E-2</v>
      </c>
      <c r="K72" s="129">
        <v>1.11E-2</v>
      </c>
      <c r="L72" s="129">
        <v>7.5759999999999994E-2</v>
      </c>
      <c r="M72" s="129">
        <v>0</v>
      </c>
      <c r="N72" s="128">
        <v>1.54</v>
      </c>
      <c r="O72" s="129">
        <v>4.2560000000000001E-2</v>
      </c>
      <c r="P72" s="129">
        <v>2.2079999999999999E-2</v>
      </c>
      <c r="Q72" s="129">
        <v>0</v>
      </c>
      <c r="R72" s="129">
        <v>5.9200000000000003E-2</v>
      </c>
      <c r="S72" s="128">
        <v>1.54</v>
      </c>
      <c r="T72" s="129">
        <v>2.3099999999999999E-2</v>
      </c>
      <c r="U72" s="129">
        <v>6.1200000000000004E-3</v>
      </c>
      <c r="V72" s="129">
        <v>5.2180000000000004E-2</v>
      </c>
      <c r="W72" s="129">
        <v>0</v>
      </c>
      <c r="X72" s="128">
        <v>1.54</v>
      </c>
      <c r="Y72" s="129">
        <v>3.4980000000000004E-2</v>
      </c>
      <c r="Z72" s="129">
        <v>2.0840000000000001E-2</v>
      </c>
      <c r="AA72" s="129">
        <v>0</v>
      </c>
      <c r="AB72" s="129">
        <v>6.0340000000000005E-2</v>
      </c>
      <c r="AC72" s="128">
        <v>1.54</v>
      </c>
      <c r="AD72" s="129">
        <v>3.2320000000000002E-2</v>
      </c>
      <c r="AE72" s="129">
        <v>1.3600000000000001E-2</v>
      </c>
      <c r="AF72" s="129">
        <v>6.8779999999999994E-2</v>
      </c>
      <c r="AG72" s="129">
        <v>2.9080000000000002E-2</v>
      </c>
      <c r="AH72" s="128">
        <v>1.54</v>
      </c>
      <c r="AI72" s="129">
        <v>2.2180000000000002E-2</v>
      </c>
      <c r="AJ72" s="129">
        <v>8.0400000000000003E-3</v>
      </c>
      <c r="AK72" s="129">
        <v>4.972E-2</v>
      </c>
      <c r="AL72" s="129">
        <v>1.5779999999999999E-2</v>
      </c>
      <c r="AM72" s="128">
        <v>1.54</v>
      </c>
      <c r="AN72" s="129">
        <v>2.8819999999999998E-2</v>
      </c>
      <c r="AO72" s="129">
        <v>1.396E-2</v>
      </c>
      <c r="AP72" s="129">
        <v>5.9860000000000003E-2</v>
      </c>
      <c r="AQ72" s="129">
        <v>3.3640000000000003E-2</v>
      </c>
      <c r="AR72" s="128">
        <v>1.54</v>
      </c>
      <c r="AS72" s="129">
        <v>2.0639999999999999E-2</v>
      </c>
      <c r="AT72" s="129">
        <v>8.7399999999999995E-3</v>
      </c>
      <c r="AU72" s="129">
        <v>4.5999999999999999E-2</v>
      </c>
      <c r="AV72" s="129">
        <v>1.9400000000000001E-2</v>
      </c>
      <c r="AW72" s="128"/>
      <c r="AX72" s="129"/>
      <c r="AY72" s="129"/>
      <c r="AZ72" s="129"/>
      <c r="BA72" s="129"/>
      <c r="BB72" s="128"/>
      <c r="BC72" s="129"/>
      <c r="BD72" s="129"/>
      <c r="BE72" s="129"/>
      <c r="BF72" s="129"/>
    </row>
    <row r="73" spans="4:58" ht="15.75">
      <c r="D73" s="126">
        <v>1.55</v>
      </c>
      <c r="E73" s="127">
        <v>4.8399999999999999E-2</v>
      </c>
      <c r="F73" s="127">
        <v>2.01E-2</v>
      </c>
      <c r="G73" s="129">
        <v>0</v>
      </c>
      <c r="H73" s="129">
        <v>0</v>
      </c>
      <c r="I73" s="126">
        <v>1.55</v>
      </c>
      <c r="J73" s="127">
        <v>3.4599999999999999E-2</v>
      </c>
      <c r="K73" s="127">
        <v>1.09E-2</v>
      </c>
      <c r="L73" s="127">
        <v>7.5399999999999995E-2</v>
      </c>
      <c r="M73" s="129">
        <v>0</v>
      </c>
      <c r="N73" s="126">
        <v>1.55</v>
      </c>
      <c r="O73" s="127">
        <v>4.2700000000000002E-2</v>
      </c>
      <c r="P73" s="127">
        <v>2.1899999999999999E-2</v>
      </c>
      <c r="Q73" s="129">
        <v>0</v>
      </c>
      <c r="R73" s="127">
        <v>5.8500000000000003E-2</v>
      </c>
      <c r="S73" s="126">
        <v>1.55</v>
      </c>
      <c r="T73" s="127">
        <v>2.3E-2</v>
      </c>
      <c r="U73" s="127">
        <v>6.0000000000000001E-3</v>
      </c>
      <c r="V73" s="127">
        <v>5.1900000000000002E-2</v>
      </c>
      <c r="W73" s="129">
        <v>0</v>
      </c>
      <c r="X73" s="126">
        <v>1.55</v>
      </c>
      <c r="Y73" s="127">
        <v>3.5200000000000002E-2</v>
      </c>
      <c r="Z73" s="127">
        <v>2.07E-2</v>
      </c>
      <c r="AA73" s="129">
        <v>0</v>
      </c>
      <c r="AB73" s="127">
        <v>5.9900000000000002E-2</v>
      </c>
      <c r="AC73" s="126">
        <v>1.55</v>
      </c>
      <c r="AD73" s="127">
        <v>3.2300000000000002E-2</v>
      </c>
      <c r="AE73" s="127">
        <v>1.34E-2</v>
      </c>
      <c r="AF73" s="127">
        <v>6.8599999999999994E-2</v>
      </c>
      <c r="AG73" s="127">
        <v>2.86E-2</v>
      </c>
      <c r="AH73" s="126">
        <v>1.55</v>
      </c>
      <c r="AI73" s="127">
        <v>2.2100000000000002E-2</v>
      </c>
      <c r="AJ73" s="127">
        <v>7.9000000000000008E-3</v>
      </c>
      <c r="AK73" s="127">
        <v>4.9500000000000002E-2</v>
      </c>
      <c r="AL73" s="127">
        <v>1.55E-2</v>
      </c>
      <c r="AM73" s="126">
        <v>1.55</v>
      </c>
      <c r="AN73" s="127">
        <v>2.8899999999999999E-2</v>
      </c>
      <c r="AO73" s="127">
        <v>1.38E-2</v>
      </c>
      <c r="AP73" s="127">
        <v>5.9900000000000002E-2</v>
      </c>
      <c r="AQ73" s="127">
        <v>3.32E-2</v>
      </c>
      <c r="AR73" s="126">
        <v>1.55</v>
      </c>
      <c r="AS73" s="127">
        <v>2.06E-2</v>
      </c>
      <c r="AT73" s="127">
        <v>8.6E-3</v>
      </c>
      <c r="AU73" s="127">
        <v>4.5900000000000003E-2</v>
      </c>
      <c r="AV73" s="127">
        <v>1.9099999999999999E-2</v>
      </c>
      <c r="AW73" s="126"/>
      <c r="AX73" s="127"/>
      <c r="AY73" s="127"/>
      <c r="AZ73" s="127"/>
      <c r="BA73" s="127"/>
      <c r="BB73" s="126"/>
      <c r="BC73" s="127"/>
      <c r="BD73" s="127"/>
      <c r="BE73" s="127"/>
      <c r="BF73" s="127"/>
    </row>
    <row r="74" spans="4:58" ht="15.75">
      <c r="D74" s="128">
        <v>1.56</v>
      </c>
      <c r="E74" s="129">
        <v>4.8419999999999998E-2</v>
      </c>
      <c r="F74" s="129">
        <v>1.9859999999999999E-2</v>
      </c>
      <c r="G74" s="129">
        <v>0</v>
      </c>
      <c r="H74" s="129">
        <v>0</v>
      </c>
      <c r="I74" s="128">
        <v>1.56</v>
      </c>
      <c r="J74" s="129">
        <v>3.4499999999999996E-2</v>
      </c>
      <c r="K74" s="129">
        <v>1.074E-2</v>
      </c>
      <c r="L74" s="129">
        <v>7.5019999999999989E-2</v>
      </c>
      <c r="M74" s="129">
        <v>0</v>
      </c>
      <c r="N74" s="128">
        <v>1.56</v>
      </c>
      <c r="O74" s="129">
        <v>4.2820000000000004E-2</v>
      </c>
      <c r="P74" s="129">
        <v>2.1679999999999998E-2</v>
      </c>
      <c r="Q74" s="129">
        <v>0</v>
      </c>
      <c r="R74" s="129">
        <v>5.7860000000000002E-2</v>
      </c>
      <c r="S74" s="128">
        <v>1.56</v>
      </c>
      <c r="T74" s="129">
        <v>2.2919999999999999E-2</v>
      </c>
      <c r="U74" s="129">
        <v>5.9199999999999999E-3</v>
      </c>
      <c r="V74" s="129">
        <v>5.1639999999999998E-2</v>
      </c>
      <c r="W74" s="129">
        <v>0</v>
      </c>
      <c r="X74" s="128">
        <v>1.56</v>
      </c>
      <c r="Y74" s="129">
        <v>3.5400000000000001E-2</v>
      </c>
      <c r="Z74" s="129">
        <v>2.0559999999999998E-2</v>
      </c>
      <c r="AA74" s="129">
        <v>0</v>
      </c>
      <c r="AB74" s="129">
        <v>5.9459999999999999E-2</v>
      </c>
      <c r="AC74" s="128">
        <v>1.56</v>
      </c>
      <c r="AD74" s="129">
        <v>3.2260000000000004E-2</v>
      </c>
      <c r="AE74" s="129">
        <v>1.3220000000000001E-2</v>
      </c>
      <c r="AF74" s="129">
        <v>6.8440000000000001E-2</v>
      </c>
      <c r="AG74" s="129">
        <v>2.818E-2</v>
      </c>
      <c r="AH74" s="128">
        <v>1.56</v>
      </c>
      <c r="AI74" s="129">
        <v>2.2040000000000001E-2</v>
      </c>
      <c r="AJ74" s="129">
        <v>7.7800000000000005E-3</v>
      </c>
      <c r="AK74" s="129">
        <v>4.9280000000000004E-2</v>
      </c>
      <c r="AL74" s="129">
        <v>1.524E-2</v>
      </c>
      <c r="AM74" s="128">
        <v>1.56</v>
      </c>
      <c r="AN74" s="129">
        <v>2.8899999999999999E-2</v>
      </c>
      <c r="AO74" s="129">
        <v>1.3639999999999999E-2</v>
      </c>
      <c r="AP74" s="129">
        <v>5.9900000000000002E-2</v>
      </c>
      <c r="AQ74" s="129">
        <v>3.2800000000000003E-2</v>
      </c>
      <c r="AR74" s="128">
        <v>1.56</v>
      </c>
      <c r="AS74" s="129">
        <v>2.0580000000000001E-2</v>
      </c>
      <c r="AT74" s="129">
        <v>8.4799999999999997E-3</v>
      </c>
      <c r="AU74" s="129">
        <v>4.5760000000000002E-2</v>
      </c>
      <c r="AV74" s="129">
        <v>1.882E-2</v>
      </c>
      <c r="AW74" s="128"/>
      <c r="AX74" s="129"/>
      <c r="AY74" s="129"/>
      <c r="AZ74" s="129"/>
      <c r="BA74" s="129"/>
      <c r="BB74" s="128"/>
      <c r="BC74" s="129"/>
      <c r="BD74" s="129"/>
      <c r="BE74" s="129"/>
      <c r="BF74" s="129"/>
    </row>
    <row r="75" spans="4:58" ht="15.75">
      <c r="D75" s="128">
        <v>1.57</v>
      </c>
      <c r="E75" s="129">
        <v>4.8439999999999997E-2</v>
      </c>
      <c r="F75" s="129">
        <v>1.9619999999999999E-2</v>
      </c>
      <c r="G75" s="129">
        <v>0</v>
      </c>
      <c r="H75" s="129">
        <v>0</v>
      </c>
      <c r="I75" s="128">
        <v>1.57</v>
      </c>
      <c r="J75" s="129">
        <v>3.44E-2</v>
      </c>
      <c r="K75" s="129">
        <v>1.0579999999999999E-2</v>
      </c>
      <c r="L75" s="129">
        <v>7.4639999999999998E-2</v>
      </c>
      <c r="M75" s="129">
        <v>0</v>
      </c>
      <c r="N75" s="128">
        <v>1.57</v>
      </c>
      <c r="O75" s="129">
        <v>4.2939999999999999E-2</v>
      </c>
      <c r="P75" s="129">
        <v>2.146E-2</v>
      </c>
      <c r="Q75" s="129">
        <v>0</v>
      </c>
      <c r="R75" s="129">
        <v>5.722E-2</v>
      </c>
      <c r="S75" s="128">
        <v>1.57</v>
      </c>
      <c r="T75" s="129">
        <v>2.2839999999999999E-2</v>
      </c>
      <c r="U75" s="129">
        <v>5.8399999999999997E-3</v>
      </c>
      <c r="V75" s="129">
        <v>5.1380000000000002E-2</v>
      </c>
      <c r="W75" s="129">
        <v>0</v>
      </c>
      <c r="X75" s="128">
        <v>1.57</v>
      </c>
      <c r="Y75" s="129">
        <v>3.56E-2</v>
      </c>
      <c r="Z75" s="129">
        <v>2.0420000000000001E-2</v>
      </c>
      <c r="AA75" s="129">
        <v>0</v>
      </c>
      <c r="AB75" s="129">
        <v>5.9020000000000003E-2</v>
      </c>
      <c r="AC75" s="128">
        <v>1.57</v>
      </c>
      <c r="AD75" s="129">
        <v>3.2219999999999999E-2</v>
      </c>
      <c r="AE75" s="129">
        <v>1.3040000000000001E-2</v>
      </c>
      <c r="AF75" s="129">
        <v>6.8279999999999993E-2</v>
      </c>
      <c r="AG75" s="129">
        <v>2.776E-2</v>
      </c>
      <c r="AH75" s="128">
        <v>1.57</v>
      </c>
      <c r="AI75" s="129">
        <v>2.198E-2</v>
      </c>
      <c r="AJ75" s="129">
        <v>7.6600000000000001E-3</v>
      </c>
      <c r="AK75" s="129">
        <v>4.9059999999999999E-2</v>
      </c>
      <c r="AL75" s="129">
        <v>1.498E-2</v>
      </c>
      <c r="AM75" s="128">
        <v>1.57</v>
      </c>
      <c r="AN75" s="129">
        <v>2.8899999999999999E-2</v>
      </c>
      <c r="AO75" s="129">
        <v>1.3479999999999999E-2</v>
      </c>
      <c r="AP75" s="129">
        <v>5.9900000000000002E-2</v>
      </c>
      <c r="AQ75" s="129">
        <v>3.2399999999999998E-2</v>
      </c>
      <c r="AR75" s="128">
        <v>1.57</v>
      </c>
      <c r="AS75" s="129">
        <v>2.0560000000000002E-2</v>
      </c>
      <c r="AT75" s="129">
        <v>8.3599999999999994E-3</v>
      </c>
      <c r="AU75" s="129">
        <v>4.5620000000000001E-2</v>
      </c>
      <c r="AV75" s="129">
        <v>1.8540000000000001E-2</v>
      </c>
      <c r="AW75" s="128"/>
      <c r="AX75" s="129"/>
      <c r="AY75" s="129"/>
      <c r="AZ75" s="129"/>
      <c r="BA75" s="129"/>
      <c r="BB75" s="128"/>
      <c r="BC75" s="129"/>
      <c r="BD75" s="129"/>
      <c r="BE75" s="129"/>
      <c r="BF75" s="129"/>
    </row>
    <row r="76" spans="4:58" ht="15.75">
      <c r="D76" s="128">
        <v>1.58</v>
      </c>
      <c r="E76" s="129">
        <v>4.8460000000000003E-2</v>
      </c>
      <c r="F76" s="129">
        <v>1.9380000000000001E-2</v>
      </c>
      <c r="G76" s="129">
        <v>0</v>
      </c>
      <c r="H76" s="129">
        <v>0</v>
      </c>
      <c r="I76" s="128">
        <v>1.58</v>
      </c>
      <c r="J76" s="129">
        <v>3.4299999999999997E-2</v>
      </c>
      <c r="K76" s="129">
        <v>1.042E-2</v>
      </c>
      <c r="L76" s="129">
        <v>7.4259999999999993E-2</v>
      </c>
      <c r="M76" s="129">
        <v>0</v>
      </c>
      <c r="N76" s="128">
        <v>1.58</v>
      </c>
      <c r="O76" s="129">
        <v>4.3060000000000001E-2</v>
      </c>
      <c r="P76" s="129">
        <v>2.1239999999999998E-2</v>
      </c>
      <c r="Q76" s="129">
        <v>0</v>
      </c>
      <c r="R76" s="129">
        <v>5.6580000000000005E-2</v>
      </c>
      <c r="S76" s="128">
        <v>1.58</v>
      </c>
      <c r="T76" s="129">
        <v>2.2759999999999999E-2</v>
      </c>
      <c r="U76" s="129">
        <v>5.7600000000000004E-3</v>
      </c>
      <c r="V76" s="129">
        <v>5.1119999999999999E-2</v>
      </c>
      <c r="W76" s="129">
        <v>0</v>
      </c>
      <c r="X76" s="128">
        <v>1.58</v>
      </c>
      <c r="Y76" s="129">
        <v>3.5800000000000005E-2</v>
      </c>
      <c r="Z76" s="129">
        <v>2.0279999999999999E-2</v>
      </c>
      <c r="AA76" s="129">
        <v>0</v>
      </c>
      <c r="AB76" s="129">
        <v>5.858E-2</v>
      </c>
      <c r="AC76" s="128">
        <v>1.58</v>
      </c>
      <c r="AD76" s="129">
        <v>3.218E-2</v>
      </c>
      <c r="AE76" s="129">
        <v>1.286E-2</v>
      </c>
      <c r="AF76" s="129">
        <v>6.812E-2</v>
      </c>
      <c r="AG76" s="129">
        <v>2.734E-2</v>
      </c>
      <c r="AH76" s="128">
        <v>1.58</v>
      </c>
      <c r="AI76" s="129">
        <v>2.1920000000000002E-2</v>
      </c>
      <c r="AJ76" s="129">
        <v>7.5400000000000007E-3</v>
      </c>
      <c r="AK76" s="129">
        <v>4.8840000000000001E-2</v>
      </c>
      <c r="AL76" s="129">
        <v>1.472E-2</v>
      </c>
      <c r="AM76" s="128">
        <v>1.58</v>
      </c>
      <c r="AN76" s="129">
        <v>2.8899999999999999E-2</v>
      </c>
      <c r="AO76" s="129">
        <v>1.332E-2</v>
      </c>
      <c r="AP76" s="129">
        <v>5.9900000000000002E-2</v>
      </c>
      <c r="AQ76" s="129">
        <v>3.2000000000000001E-2</v>
      </c>
      <c r="AR76" s="128">
        <v>1.58</v>
      </c>
      <c r="AS76" s="129">
        <v>2.0539999999999999E-2</v>
      </c>
      <c r="AT76" s="129">
        <v>8.2400000000000008E-3</v>
      </c>
      <c r="AU76" s="129">
        <v>4.548E-2</v>
      </c>
      <c r="AV76" s="129">
        <v>1.8259999999999998E-2</v>
      </c>
      <c r="AW76" s="128"/>
      <c r="AX76" s="129"/>
      <c r="AY76" s="129"/>
      <c r="AZ76" s="129"/>
      <c r="BA76" s="129"/>
      <c r="BB76" s="128"/>
      <c r="BC76" s="129"/>
      <c r="BD76" s="129"/>
      <c r="BE76" s="129"/>
      <c r="BF76" s="129"/>
    </row>
    <row r="77" spans="4:58" ht="15.75">
      <c r="D77" s="128">
        <v>1.59</v>
      </c>
      <c r="E77" s="129">
        <v>4.8480000000000002E-2</v>
      </c>
      <c r="F77" s="129">
        <v>1.9140000000000001E-2</v>
      </c>
      <c r="G77" s="129">
        <v>0</v>
      </c>
      <c r="H77" s="129">
        <v>0</v>
      </c>
      <c r="I77" s="128">
        <v>1.59</v>
      </c>
      <c r="J77" s="129">
        <v>3.4200000000000001E-2</v>
      </c>
      <c r="K77" s="129">
        <v>1.026E-2</v>
      </c>
      <c r="L77" s="129">
        <v>7.3880000000000001E-2</v>
      </c>
      <c r="M77" s="129">
        <v>0</v>
      </c>
      <c r="N77" s="128">
        <v>1.59</v>
      </c>
      <c r="O77" s="129">
        <v>4.3179999999999996E-2</v>
      </c>
      <c r="P77" s="129">
        <v>2.102E-2</v>
      </c>
      <c r="Q77" s="129">
        <v>0</v>
      </c>
      <c r="R77" s="129">
        <v>5.5940000000000004E-2</v>
      </c>
      <c r="S77" s="128">
        <v>1.59</v>
      </c>
      <c r="T77" s="129">
        <v>2.2679999999999999E-2</v>
      </c>
      <c r="U77" s="129">
        <v>5.6800000000000002E-3</v>
      </c>
      <c r="V77" s="129">
        <v>5.0860000000000002E-2</v>
      </c>
      <c r="W77" s="129">
        <v>0</v>
      </c>
      <c r="X77" s="128">
        <v>1.59</v>
      </c>
      <c r="Y77" s="129">
        <v>3.6000000000000004E-2</v>
      </c>
      <c r="Z77" s="129">
        <v>2.0140000000000002E-2</v>
      </c>
      <c r="AA77" s="129">
        <v>0</v>
      </c>
      <c r="AB77" s="129">
        <v>5.8140000000000004E-2</v>
      </c>
      <c r="AC77" s="128">
        <v>1.59</v>
      </c>
      <c r="AD77" s="129">
        <v>3.2139999999999995E-2</v>
      </c>
      <c r="AE77" s="129">
        <v>1.268E-2</v>
      </c>
      <c r="AF77" s="129">
        <v>6.7959999999999993E-2</v>
      </c>
      <c r="AG77" s="129">
        <v>2.6919999999999999E-2</v>
      </c>
      <c r="AH77" s="128">
        <v>1.59</v>
      </c>
      <c r="AI77" s="129">
        <v>2.1860000000000001E-2</v>
      </c>
      <c r="AJ77" s="129">
        <v>7.4200000000000004E-3</v>
      </c>
      <c r="AK77" s="129">
        <v>4.8619999999999997E-2</v>
      </c>
      <c r="AL77" s="129">
        <v>1.4460000000000001E-2</v>
      </c>
      <c r="AM77" s="128">
        <v>1.59</v>
      </c>
      <c r="AN77" s="129">
        <v>2.8899999999999999E-2</v>
      </c>
      <c r="AO77" s="129">
        <v>1.316E-2</v>
      </c>
      <c r="AP77" s="129">
        <v>5.9900000000000002E-2</v>
      </c>
      <c r="AQ77" s="129">
        <v>3.1599999999999996E-2</v>
      </c>
      <c r="AR77" s="128">
        <v>1.59</v>
      </c>
      <c r="AS77" s="129">
        <v>2.052E-2</v>
      </c>
      <c r="AT77" s="129">
        <v>8.1200000000000005E-3</v>
      </c>
      <c r="AU77" s="129">
        <v>4.5339999999999998E-2</v>
      </c>
      <c r="AV77" s="129">
        <v>1.7979999999999999E-2</v>
      </c>
      <c r="AW77" s="128"/>
      <c r="AX77" s="129"/>
      <c r="AY77" s="129"/>
      <c r="AZ77" s="129"/>
      <c r="BA77" s="129"/>
      <c r="BB77" s="128"/>
      <c r="BC77" s="129"/>
      <c r="BD77" s="129"/>
      <c r="BE77" s="129"/>
      <c r="BF77" s="129"/>
    </row>
    <row r="78" spans="4:58" ht="15.75">
      <c r="D78" s="126">
        <v>1.6</v>
      </c>
      <c r="E78" s="127">
        <v>4.8500000000000001E-2</v>
      </c>
      <c r="F78" s="127">
        <v>1.89E-2</v>
      </c>
      <c r="G78" s="129">
        <v>0</v>
      </c>
      <c r="H78" s="129">
        <v>0</v>
      </c>
      <c r="I78" s="126">
        <v>1.6</v>
      </c>
      <c r="J78" s="127">
        <v>3.4099999999999998E-2</v>
      </c>
      <c r="K78" s="127">
        <v>1.01E-2</v>
      </c>
      <c r="L78" s="127">
        <v>7.3499999999999996E-2</v>
      </c>
      <c r="M78" s="129">
        <v>0</v>
      </c>
      <c r="N78" s="126">
        <v>1.6</v>
      </c>
      <c r="O78" s="127">
        <v>4.3299999999999998E-2</v>
      </c>
      <c r="P78" s="127">
        <v>2.0799999999999999E-2</v>
      </c>
      <c r="Q78" s="129">
        <v>0</v>
      </c>
      <c r="R78" s="127">
        <v>5.5300000000000002E-2</v>
      </c>
      <c r="S78" s="126">
        <v>1.6</v>
      </c>
      <c r="T78" s="127">
        <v>2.2599999999999999E-2</v>
      </c>
      <c r="U78" s="127">
        <v>5.5999999999999999E-3</v>
      </c>
      <c r="V78" s="127">
        <v>5.0599999999999999E-2</v>
      </c>
      <c r="W78" s="129">
        <v>0</v>
      </c>
      <c r="X78" s="126">
        <v>1.6</v>
      </c>
      <c r="Y78" s="127">
        <v>3.6200000000000003E-2</v>
      </c>
      <c r="Z78" s="127">
        <v>0.02</v>
      </c>
      <c r="AA78" s="129">
        <v>0</v>
      </c>
      <c r="AB78" s="127">
        <v>5.7700000000000001E-2</v>
      </c>
      <c r="AC78" s="126">
        <v>1.6</v>
      </c>
      <c r="AD78" s="127">
        <v>3.2099999999999997E-2</v>
      </c>
      <c r="AE78" s="127">
        <v>1.2500000000000001E-2</v>
      </c>
      <c r="AF78" s="127">
        <v>6.7799999999999999E-2</v>
      </c>
      <c r="AG78" s="127">
        <v>2.6499999999999999E-2</v>
      </c>
      <c r="AH78" s="126">
        <v>1.6</v>
      </c>
      <c r="AI78" s="127">
        <v>2.18E-2</v>
      </c>
      <c r="AJ78" s="127">
        <v>7.3000000000000001E-3</v>
      </c>
      <c r="AK78" s="127">
        <v>4.8399999999999999E-2</v>
      </c>
      <c r="AL78" s="127">
        <v>1.4200000000000001E-2</v>
      </c>
      <c r="AM78" s="126">
        <v>1.6</v>
      </c>
      <c r="AN78" s="127">
        <v>2.8899999999999999E-2</v>
      </c>
      <c r="AO78" s="127">
        <v>1.2999999999999999E-2</v>
      </c>
      <c r="AP78" s="127">
        <v>5.9900000000000002E-2</v>
      </c>
      <c r="AQ78" s="127">
        <v>3.1199999999999999E-2</v>
      </c>
      <c r="AR78" s="126">
        <v>1.6</v>
      </c>
      <c r="AS78" s="127">
        <v>2.0500000000000001E-2</v>
      </c>
      <c r="AT78" s="127">
        <v>8.0000000000000002E-3</v>
      </c>
      <c r="AU78" s="127">
        <v>4.5199999999999997E-2</v>
      </c>
      <c r="AV78" s="127">
        <v>1.77E-2</v>
      </c>
      <c r="AW78" s="126"/>
      <c r="AX78" s="127"/>
      <c r="AY78" s="127"/>
      <c r="AZ78" s="127"/>
      <c r="BA78" s="127"/>
      <c r="BB78" s="126"/>
      <c r="BC78" s="127"/>
      <c r="BD78" s="127"/>
      <c r="BE78" s="127"/>
      <c r="BF78" s="127"/>
    </row>
    <row r="79" spans="4:58" ht="15.75">
      <c r="D79" s="128">
        <v>1.61</v>
      </c>
      <c r="E79" s="129">
        <v>4.8520000000000001E-2</v>
      </c>
      <c r="F79" s="129">
        <v>1.8699999999999998E-2</v>
      </c>
      <c r="G79" s="129">
        <v>0</v>
      </c>
      <c r="H79" s="129">
        <v>0</v>
      </c>
      <c r="I79" s="128">
        <v>1.61</v>
      </c>
      <c r="J79" s="129">
        <v>3.4040000000000001E-2</v>
      </c>
      <c r="K79" s="129">
        <v>9.9399999999999992E-3</v>
      </c>
      <c r="L79" s="129">
        <v>7.3159999999999989E-2</v>
      </c>
      <c r="M79" s="129">
        <v>0</v>
      </c>
      <c r="N79" s="128">
        <v>1.61</v>
      </c>
      <c r="O79" s="129">
        <v>4.3380000000000002E-2</v>
      </c>
      <c r="P79" s="129">
        <v>2.06E-2</v>
      </c>
      <c r="Q79" s="129">
        <v>0</v>
      </c>
      <c r="R79" s="129">
        <v>5.4620000000000002E-2</v>
      </c>
      <c r="S79" s="128">
        <v>1.61</v>
      </c>
      <c r="T79" s="129">
        <v>2.2499999999999999E-2</v>
      </c>
      <c r="U79" s="129">
        <v>5.4999999999999997E-3</v>
      </c>
      <c r="V79" s="129">
        <v>5.0339999999999996E-2</v>
      </c>
      <c r="W79" s="129">
        <v>0</v>
      </c>
      <c r="X79" s="128">
        <v>1.61</v>
      </c>
      <c r="Y79" s="129">
        <v>3.6340000000000004E-2</v>
      </c>
      <c r="Z79" s="129">
        <v>1.9859999999999999E-2</v>
      </c>
      <c r="AA79" s="129">
        <v>0</v>
      </c>
      <c r="AB79" s="129">
        <v>5.7259999999999998E-2</v>
      </c>
      <c r="AC79" s="128">
        <v>1.61</v>
      </c>
      <c r="AD79" s="129">
        <v>3.2059999999999998E-2</v>
      </c>
      <c r="AE79" s="129">
        <v>1.234E-2</v>
      </c>
      <c r="AF79" s="129">
        <v>6.7599999999999993E-2</v>
      </c>
      <c r="AG79" s="129">
        <v>2.6099999999999998E-2</v>
      </c>
      <c r="AH79" s="128">
        <v>1.61</v>
      </c>
      <c r="AI79" s="129">
        <v>2.172E-2</v>
      </c>
      <c r="AJ79" s="129">
        <v>7.1799999999999998E-3</v>
      </c>
      <c r="AK79" s="129">
        <v>4.8180000000000001E-2</v>
      </c>
      <c r="AL79" s="129">
        <v>1.3979999999999999E-2</v>
      </c>
      <c r="AM79" s="128">
        <v>1.61</v>
      </c>
      <c r="AN79" s="129">
        <v>2.8919999999999998E-2</v>
      </c>
      <c r="AO79" s="129">
        <v>1.2859999999999998E-2</v>
      </c>
      <c r="AP79" s="129">
        <v>5.9860000000000003E-2</v>
      </c>
      <c r="AQ79" s="129">
        <v>3.0819999999999997E-2</v>
      </c>
      <c r="AR79" s="128">
        <v>1.61</v>
      </c>
      <c r="AS79" s="129">
        <v>2.044E-2</v>
      </c>
      <c r="AT79" s="129">
        <v>7.8799999999999999E-3</v>
      </c>
      <c r="AU79" s="129">
        <v>4.5079999999999995E-2</v>
      </c>
      <c r="AV79" s="129">
        <v>1.7440000000000001E-2</v>
      </c>
      <c r="AW79" s="128"/>
      <c r="AX79" s="129"/>
      <c r="AY79" s="129"/>
      <c r="AZ79" s="129"/>
      <c r="BA79" s="129"/>
      <c r="BB79" s="128"/>
      <c r="BC79" s="129"/>
      <c r="BD79" s="129"/>
      <c r="BE79" s="129"/>
      <c r="BF79" s="129"/>
    </row>
    <row r="80" spans="4:58" ht="15.75">
      <c r="D80" s="128">
        <v>1.62</v>
      </c>
      <c r="E80" s="129">
        <v>4.854E-2</v>
      </c>
      <c r="F80" s="129">
        <v>1.8499999999999999E-2</v>
      </c>
      <c r="G80" s="129">
        <v>0</v>
      </c>
      <c r="H80" s="129">
        <v>0</v>
      </c>
      <c r="I80" s="128">
        <v>1.62</v>
      </c>
      <c r="J80" s="129">
        <v>3.3979999999999996E-2</v>
      </c>
      <c r="K80" s="129">
        <v>9.7799999999999988E-3</v>
      </c>
      <c r="L80" s="129">
        <v>7.2819999999999996E-2</v>
      </c>
      <c r="M80" s="129">
        <v>0</v>
      </c>
      <c r="N80" s="128">
        <v>1.62</v>
      </c>
      <c r="O80" s="129">
        <v>4.3459999999999999E-2</v>
      </c>
      <c r="P80" s="129">
        <v>2.0399999999999998E-2</v>
      </c>
      <c r="Q80" s="129">
        <v>0</v>
      </c>
      <c r="R80" s="129">
        <v>5.3939999999999995E-2</v>
      </c>
      <c r="S80" s="128">
        <v>1.62</v>
      </c>
      <c r="T80" s="129">
        <v>2.24E-2</v>
      </c>
      <c r="U80" s="129">
        <v>5.3999999999999994E-3</v>
      </c>
      <c r="V80" s="129">
        <v>5.0079999999999993E-2</v>
      </c>
      <c r="W80" s="129">
        <v>0</v>
      </c>
      <c r="X80" s="128">
        <v>1.62</v>
      </c>
      <c r="Y80" s="129">
        <v>3.6480000000000005E-2</v>
      </c>
      <c r="Z80" s="129">
        <v>1.9719999999999998E-2</v>
      </c>
      <c r="AA80" s="129">
        <v>0</v>
      </c>
      <c r="AB80" s="129">
        <v>5.6819999999999996E-2</v>
      </c>
      <c r="AC80" s="128">
        <v>1.62</v>
      </c>
      <c r="AD80" s="129">
        <v>3.202E-2</v>
      </c>
      <c r="AE80" s="129">
        <v>1.218E-2</v>
      </c>
      <c r="AF80" s="129">
        <v>6.7400000000000002E-2</v>
      </c>
      <c r="AG80" s="129">
        <v>2.5699999999999997E-2</v>
      </c>
      <c r="AH80" s="128">
        <v>1.62</v>
      </c>
      <c r="AI80" s="129">
        <v>2.164E-2</v>
      </c>
      <c r="AJ80" s="129">
        <v>7.0599999999999994E-3</v>
      </c>
      <c r="AK80" s="129">
        <v>4.7959999999999996E-2</v>
      </c>
      <c r="AL80" s="129">
        <v>1.3759999999999998E-2</v>
      </c>
      <c r="AM80" s="128">
        <v>1.62</v>
      </c>
      <c r="AN80" s="129">
        <v>2.894E-2</v>
      </c>
      <c r="AO80" s="129">
        <v>1.2719999999999999E-2</v>
      </c>
      <c r="AP80" s="129">
        <v>5.9820000000000005E-2</v>
      </c>
      <c r="AQ80" s="129">
        <v>3.0439999999999995E-2</v>
      </c>
      <c r="AR80" s="128">
        <v>1.62</v>
      </c>
      <c r="AS80" s="129">
        <v>2.0379999999999999E-2</v>
      </c>
      <c r="AT80" s="129">
        <v>7.7599999999999995E-3</v>
      </c>
      <c r="AU80" s="129">
        <v>4.496E-2</v>
      </c>
      <c r="AV80" s="129">
        <v>1.7179999999999997E-2</v>
      </c>
      <c r="AW80" s="128"/>
      <c r="AX80" s="129"/>
      <c r="AY80" s="129"/>
      <c r="AZ80" s="129"/>
      <c r="BA80" s="129"/>
      <c r="BB80" s="128"/>
      <c r="BC80" s="129"/>
      <c r="BD80" s="129"/>
      <c r="BE80" s="129"/>
      <c r="BF80" s="129"/>
    </row>
    <row r="81" spans="4:58" ht="15.75">
      <c r="D81" s="128">
        <v>1.63</v>
      </c>
      <c r="E81" s="129">
        <v>4.8559999999999999E-2</v>
      </c>
      <c r="F81" s="129">
        <v>1.83E-2</v>
      </c>
      <c r="G81" s="129">
        <v>0</v>
      </c>
      <c r="H81" s="129">
        <v>0</v>
      </c>
      <c r="I81" s="128">
        <v>1.63</v>
      </c>
      <c r="J81" s="129">
        <v>3.3919999999999999E-2</v>
      </c>
      <c r="K81" s="129">
        <v>9.6200000000000001E-3</v>
      </c>
      <c r="L81" s="129">
        <v>7.2480000000000003E-2</v>
      </c>
      <c r="M81" s="129">
        <v>0</v>
      </c>
      <c r="N81" s="128">
        <v>1.63</v>
      </c>
      <c r="O81" s="129">
        <v>4.3540000000000002E-2</v>
      </c>
      <c r="P81" s="129">
        <v>2.0200000000000003E-2</v>
      </c>
      <c r="Q81" s="129">
        <v>0</v>
      </c>
      <c r="R81" s="129">
        <v>5.3260000000000009E-2</v>
      </c>
      <c r="S81" s="128">
        <v>1.63</v>
      </c>
      <c r="T81" s="129">
        <v>2.23E-2</v>
      </c>
      <c r="U81" s="129">
        <v>5.3000000000000009E-3</v>
      </c>
      <c r="V81" s="129">
        <v>4.9820000000000003E-2</v>
      </c>
      <c r="W81" s="129">
        <v>0</v>
      </c>
      <c r="X81" s="128">
        <v>1.63</v>
      </c>
      <c r="Y81" s="129">
        <v>3.662E-2</v>
      </c>
      <c r="Z81" s="129">
        <v>1.9580000000000004E-2</v>
      </c>
      <c r="AA81" s="129">
        <v>0</v>
      </c>
      <c r="AB81" s="129">
        <v>5.6380000000000006E-2</v>
      </c>
      <c r="AC81" s="128">
        <v>1.63</v>
      </c>
      <c r="AD81" s="129">
        <v>3.1979999999999995E-2</v>
      </c>
      <c r="AE81" s="129">
        <v>1.2020000000000001E-2</v>
      </c>
      <c r="AF81" s="129">
        <v>6.7199999999999996E-2</v>
      </c>
      <c r="AG81" s="129">
        <v>2.5300000000000003E-2</v>
      </c>
      <c r="AH81" s="128">
        <v>1.63</v>
      </c>
      <c r="AI81" s="129">
        <v>2.1559999999999999E-2</v>
      </c>
      <c r="AJ81" s="129">
        <v>6.9400000000000009E-3</v>
      </c>
      <c r="AK81" s="129">
        <v>4.7740000000000005E-2</v>
      </c>
      <c r="AL81" s="129">
        <v>1.3540000000000003E-2</v>
      </c>
      <c r="AM81" s="128">
        <v>1.63</v>
      </c>
      <c r="AN81" s="129">
        <v>2.896E-2</v>
      </c>
      <c r="AO81" s="129">
        <v>1.2580000000000001E-2</v>
      </c>
      <c r="AP81" s="129">
        <v>5.978E-2</v>
      </c>
      <c r="AQ81" s="129">
        <v>3.0060000000000003E-2</v>
      </c>
      <c r="AR81" s="128">
        <v>1.63</v>
      </c>
      <c r="AS81" s="129">
        <v>2.0320000000000001E-2</v>
      </c>
      <c r="AT81" s="129">
        <v>7.640000000000001E-3</v>
      </c>
      <c r="AU81" s="129">
        <v>4.4839999999999998E-2</v>
      </c>
      <c r="AV81" s="129">
        <v>1.6920000000000004E-2</v>
      </c>
      <c r="AW81" s="128"/>
      <c r="AX81" s="129"/>
      <c r="AY81" s="129"/>
      <c r="AZ81" s="129"/>
      <c r="BA81" s="129"/>
      <c r="BB81" s="128"/>
      <c r="BC81" s="129"/>
      <c r="BD81" s="129"/>
      <c r="BE81" s="129"/>
      <c r="BF81" s="129"/>
    </row>
    <row r="82" spans="4:58" ht="15.75">
      <c r="D82" s="128">
        <v>1.64</v>
      </c>
      <c r="E82" s="129">
        <v>4.8579999999999998E-2</v>
      </c>
      <c r="F82" s="129">
        <v>1.8100000000000002E-2</v>
      </c>
      <c r="G82" s="129">
        <v>0</v>
      </c>
      <c r="H82" s="129">
        <v>0</v>
      </c>
      <c r="I82" s="128">
        <v>1.64</v>
      </c>
      <c r="J82" s="129">
        <v>3.3859999999999994E-2</v>
      </c>
      <c r="K82" s="129">
        <v>9.4599999999999997E-3</v>
      </c>
      <c r="L82" s="129">
        <v>7.214000000000001E-2</v>
      </c>
      <c r="M82" s="129">
        <v>0</v>
      </c>
      <c r="N82" s="128">
        <v>1.64</v>
      </c>
      <c r="O82" s="129">
        <v>4.3619999999999999E-2</v>
      </c>
      <c r="P82" s="129">
        <v>0.02</v>
      </c>
      <c r="Q82" s="129">
        <v>0</v>
      </c>
      <c r="R82" s="129">
        <v>5.2580000000000002E-2</v>
      </c>
      <c r="S82" s="128">
        <v>1.64</v>
      </c>
      <c r="T82" s="129">
        <v>2.2200000000000001E-2</v>
      </c>
      <c r="U82" s="129">
        <v>5.2000000000000006E-3</v>
      </c>
      <c r="V82" s="129">
        <v>4.956E-2</v>
      </c>
      <c r="W82" s="129">
        <v>0</v>
      </c>
      <c r="X82" s="128">
        <v>1.64</v>
      </c>
      <c r="Y82" s="129">
        <v>3.6760000000000001E-2</v>
      </c>
      <c r="Z82" s="129">
        <v>1.9440000000000002E-2</v>
      </c>
      <c r="AA82" s="129">
        <v>0</v>
      </c>
      <c r="AB82" s="129">
        <v>5.5940000000000004E-2</v>
      </c>
      <c r="AC82" s="128">
        <v>1.64</v>
      </c>
      <c r="AD82" s="129">
        <v>3.1939999999999996E-2</v>
      </c>
      <c r="AE82" s="129">
        <v>1.1860000000000001E-2</v>
      </c>
      <c r="AF82" s="129">
        <v>6.7000000000000004E-2</v>
      </c>
      <c r="AG82" s="129">
        <v>2.4900000000000002E-2</v>
      </c>
      <c r="AH82" s="128">
        <v>1.64</v>
      </c>
      <c r="AI82" s="129">
        <v>2.1479999999999999E-2</v>
      </c>
      <c r="AJ82" s="129">
        <v>6.8200000000000005E-3</v>
      </c>
      <c r="AK82" s="129">
        <v>4.752E-2</v>
      </c>
      <c r="AL82" s="129">
        <v>1.3320000000000002E-2</v>
      </c>
      <c r="AM82" s="128">
        <v>1.64</v>
      </c>
      <c r="AN82" s="129">
        <v>2.8980000000000002E-2</v>
      </c>
      <c r="AO82" s="129">
        <v>1.2440000000000001E-2</v>
      </c>
      <c r="AP82" s="129">
        <v>5.9740000000000001E-2</v>
      </c>
      <c r="AQ82" s="129">
        <v>2.9680000000000002E-2</v>
      </c>
      <c r="AR82" s="128">
        <v>1.64</v>
      </c>
      <c r="AS82" s="129">
        <v>2.026E-2</v>
      </c>
      <c r="AT82" s="129">
        <v>7.5200000000000006E-3</v>
      </c>
      <c r="AU82" s="129">
        <v>4.4720000000000003E-2</v>
      </c>
      <c r="AV82" s="129">
        <v>1.6660000000000001E-2</v>
      </c>
      <c r="AW82" s="128"/>
      <c r="AX82" s="129"/>
      <c r="AY82" s="129"/>
      <c r="AZ82" s="129"/>
      <c r="BA82" s="129"/>
      <c r="BB82" s="128"/>
      <c r="BC82" s="129"/>
      <c r="BD82" s="129"/>
      <c r="BE82" s="129"/>
      <c r="BF82" s="129"/>
    </row>
    <row r="83" spans="4:58" ht="15.75">
      <c r="D83" s="126">
        <v>1.65</v>
      </c>
      <c r="E83" s="127">
        <v>4.8599999999999997E-2</v>
      </c>
      <c r="F83" s="127">
        <v>1.7899999999999999E-2</v>
      </c>
      <c r="G83" s="129">
        <v>0</v>
      </c>
      <c r="H83" s="129">
        <v>0</v>
      </c>
      <c r="I83" s="126">
        <v>1.65</v>
      </c>
      <c r="J83" s="127">
        <v>3.3799999999999997E-2</v>
      </c>
      <c r="K83" s="127">
        <v>9.2999999999999992E-3</v>
      </c>
      <c r="L83" s="127">
        <v>7.1800000000000003E-2</v>
      </c>
      <c r="M83" s="129">
        <v>0</v>
      </c>
      <c r="N83" s="126">
        <v>1.65</v>
      </c>
      <c r="O83" s="127">
        <v>4.3700000000000003E-2</v>
      </c>
      <c r="P83" s="127">
        <v>1.9800000000000002E-2</v>
      </c>
      <c r="Q83" s="129">
        <v>0</v>
      </c>
      <c r="R83" s="127">
        <v>5.1900000000000002E-2</v>
      </c>
      <c r="S83" s="126">
        <v>1.65</v>
      </c>
      <c r="T83" s="127">
        <v>2.2100000000000002E-2</v>
      </c>
      <c r="U83" s="127">
        <v>5.1000000000000004E-3</v>
      </c>
      <c r="V83" s="127">
        <v>4.9299999999999997E-2</v>
      </c>
      <c r="W83" s="129">
        <v>0</v>
      </c>
      <c r="X83" s="126">
        <v>1.65</v>
      </c>
      <c r="Y83" s="127">
        <v>3.6900000000000002E-2</v>
      </c>
      <c r="Z83" s="127">
        <v>1.9300000000000001E-2</v>
      </c>
      <c r="AA83" s="129">
        <v>0</v>
      </c>
      <c r="AB83" s="127">
        <v>5.5500000000000001E-2</v>
      </c>
      <c r="AC83" s="126">
        <v>1.65</v>
      </c>
      <c r="AD83" s="127">
        <v>3.1899999999999998E-2</v>
      </c>
      <c r="AE83" s="127">
        <v>1.17E-2</v>
      </c>
      <c r="AF83" s="127">
        <v>6.6799999999999998E-2</v>
      </c>
      <c r="AG83" s="127">
        <v>2.4500000000000001E-2</v>
      </c>
      <c r="AH83" s="126">
        <v>1.65</v>
      </c>
      <c r="AI83" s="127">
        <v>2.1399999999999999E-2</v>
      </c>
      <c r="AJ83" s="127">
        <v>6.7000000000000002E-3</v>
      </c>
      <c r="AK83" s="127">
        <v>4.7300000000000002E-2</v>
      </c>
      <c r="AL83" s="127">
        <v>1.3100000000000001E-2</v>
      </c>
      <c r="AM83" s="126">
        <v>1.65</v>
      </c>
      <c r="AN83" s="127">
        <v>2.9000000000000001E-2</v>
      </c>
      <c r="AO83" s="127">
        <v>1.23E-2</v>
      </c>
      <c r="AP83" s="127">
        <v>5.9700000000000003E-2</v>
      </c>
      <c r="AQ83" s="127">
        <v>2.93E-2</v>
      </c>
      <c r="AR83" s="126">
        <v>1.65</v>
      </c>
      <c r="AS83" s="127">
        <v>2.0199999999999999E-2</v>
      </c>
      <c r="AT83" s="127">
        <v>7.4000000000000003E-3</v>
      </c>
      <c r="AU83" s="127">
        <v>4.4600000000000001E-2</v>
      </c>
      <c r="AV83" s="127">
        <v>1.6400000000000001E-2</v>
      </c>
      <c r="AW83" s="126"/>
      <c r="AX83" s="127"/>
      <c r="AY83" s="127"/>
      <c r="AZ83" s="127"/>
      <c r="BA83" s="127"/>
      <c r="BB83" s="126"/>
      <c r="BC83" s="127"/>
      <c r="BD83" s="127"/>
      <c r="BE83" s="127"/>
      <c r="BF83" s="127"/>
    </row>
    <row r="84" spans="4:58" ht="15.75">
      <c r="D84" s="128">
        <v>1.66</v>
      </c>
      <c r="E84" s="129">
        <v>4.8639999999999996E-2</v>
      </c>
      <c r="F84" s="129">
        <v>1.77E-2</v>
      </c>
      <c r="G84" s="129">
        <v>0</v>
      </c>
      <c r="H84" s="129">
        <v>0</v>
      </c>
      <c r="I84" s="128">
        <v>1.66</v>
      </c>
      <c r="J84" s="129">
        <v>3.3700000000000001E-2</v>
      </c>
      <c r="K84" s="129">
        <v>9.1599999999999997E-3</v>
      </c>
      <c r="L84" s="129">
        <v>7.1459999999999996E-2</v>
      </c>
      <c r="M84" s="129">
        <v>0</v>
      </c>
      <c r="N84" s="128">
        <v>1.66</v>
      </c>
      <c r="O84" s="129">
        <v>4.3779999999999999E-2</v>
      </c>
      <c r="P84" s="129">
        <v>1.9640000000000001E-2</v>
      </c>
      <c r="Q84" s="129">
        <v>0</v>
      </c>
      <c r="R84" s="129">
        <v>5.1299999999999998E-2</v>
      </c>
      <c r="S84" s="128">
        <v>1.66</v>
      </c>
      <c r="T84" s="129">
        <v>2.2020000000000001E-2</v>
      </c>
      <c r="U84" s="129">
        <v>5.0200000000000002E-3</v>
      </c>
      <c r="V84" s="129">
        <v>4.8959999999999997E-2</v>
      </c>
      <c r="W84" s="129">
        <v>0</v>
      </c>
      <c r="X84" s="128">
        <v>1.66</v>
      </c>
      <c r="Y84" s="129">
        <v>3.7040000000000003E-2</v>
      </c>
      <c r="Z84" s="129">
        <v>1.916E-2</v>
      </c>
      <c r="AA84" s="129">
        <v>0</v>
      </c>
      <c r="AB84" s="129">
        <v>5.5019999999999999E-2</v>
      </c>
      <c r="AC84" s="128">
        <v>1.66</v>
      </c>
      <c r="AD84" s="129">
        <v>3.184E-2</v>
      </c>
      <c r="AE84" s="129">
        <v>1.154E-2</v>
      </c>
      <c r="AF84" s="129">
        <v>6.658E-2</v>
      </c>
      <c r="AG84" s="129">
        <v>2.4160000000000001E-2</v>
      </c>
      <c r="AH84" s="128">
        <v>1.66</v>
      </c>
      <c r="AI84" s="129">
        <v>2.1319999999999999E-2</v>
      </c>
      <c r="AJ84" s="129">
        <v>6.6E-3</v>
      </c>
      <c r="AK84" s="129">
        <v>4.7080000000000004E-2</v>
      </c>
      <c r="AL84" s="129">
        <v>1.2880000000000001E-2</v>
      </c>
      <c r="AM84" s="128">
        <v>1.66</v>
      </c>
      <c r="AN84" s="129">
        <v>2.9000000000000001E-2</v>
      </c>
      <c r="AO84" s="129">
        <v>1.2160000000000001E-2</v>
      </c>
      <c r="AP84" s="129">
        <v>5.9640000000000006E-2</v>
      </c>
      <c r="AQ84" s="129">
        <v>2.8920000000000001E-2</v>
      </c>
      <c r="AR84" s="128">
        <v>1.66</v>
      </c>
      <c r="AS84" s="129">
        <v>2.0160000000000001E-2</v>
      </c>
      <c r="AT84" s="129">
        <v>7.3000000000000001E-3</v>
      </c>
      <c r="AU84" s="129">
        <v>4.444E-2</v>
      </c>
      <c r="AV84" s="129">
        <v>1.6160000000000001E-2</v>
      </c>
      <c r="AW84" s="128"/>
      <c r="AX84" s="129"/>
      <c r="AY84" s="129"/>
      <c r="AZ84" s="129"/>
      <c r="BA84" s="129"/>
      <c r="BB84" s="128"/>
      <c r="BC84" s="129"/>
      <c r="BD84" s="129"/>
      <c r="BE84" s="129"/>
      <c r="BF84" s="129"/>
    </row>
    <row r="85" spans="4:58" ht="15.75">
      <c r="D85" s="128">
        <v>1.67</v>
      </c>
      <c r="E85" s="129">
        <v>4.8680000000000001E-2</v>
      </c>
      <c r="F85" s="129">
        <v>1.7499999999999998E-2</v>
      </c>
      <c r="G85" s="129">
        <v>0</v>
      </c>
      <c r="H85" s="129">
        <v>0</v>
      </c>
      <c r="I85" s="128">
        <v>1.67</v>
      </c>
      <c r="J85" s="129">
        <v>3.3599999999999998E-2</v>
      </c>
      <c r="K85" s="129">
        <v>9.0200000000000002E-3</v>
      </c>
      <c r="L85" s="129">
        <v>7.1120000000000003E-2</v>
      </c>
      <c r="M85" s="129">
        <v>0</v>
      </c>
      <c r="N85" s="128">
        <v>1.67</v>
      </c>
      <c r="O85" s="129">
        <v>4.3860000000000003E-2</v>
      </c>
      <c r="P85" s="129">
        <v>1.9480000000000001E-2</v>
      </c>
      <c r="Q85" s="129">
        <v>0</v>
      </c>
      <c r="R85" s="129">
        <v>5.0700000000000002E-2</v>
      </c>
      <c r="S85" s="128">
        <v>1.67</v>
      </c>
      <c r="T85" s="129">
        <v>2.1940000000000001E-2</v>
      </c>
      <c r="U85" s="129">
        <v>4.9399999999999999E-3</v>
      </c>
      <c r="V85" s="129">
        <v>4.8619999999999997E-2</v>
      </c>
      <c r="W85" s="129">
        <v>0</v>
      </c>
      <c r="X85" s="128">
        <v>1.67</v>
      </c>
      <c r="Y85" s="129">
        <v>3.7180000000000005E-2</v>
      </c>
      <c r="Z85" s="129">
        <v>1.9019999999999999E-2</v>
      </c>
      <c r="AA85" s="129">
        <v>0</v>
      </c>
      <c r="AB85" s="129">
        <v>5.4539999999999998E-2</v>
      </c>
      <c r="AC85" s="128">
        <v>1.67</v>
      </c>
      <c r="AD85" s="129">
        <v>3.1780000000000003E-2</v>
      </c>
      <c r="AE85" s="129">
        <v>1.1379999999999999E-2</v>
      </c>
      <c r="AF85" s="129">
        <v>6.6360000000000002E-2</v>
      </c>
      <c r="AG85" s="129">
        <v>2.3820000000000001E-2</v>
      </c>
      <c r="AH85" s="128">
        <v>1.67</v>
      </c>
      <c r="AI85" s="129">
        <v>2.1239999999999998E-2</v>
      </c>
      <c r="AJ85" s="129">
        <v>6.4999999999999997E-3</v>
      </c>
      <c r="AK85" s="129">
        <v>4.6859999999999999E-2</v>
      </c>
      <c r="AL85" s="129">
        <v>1.2660000000000001E-2</v>
      </c>
      <c r="AM85" s="128">
        <v>1.67</v>
      </c>
      <c r="AN85" s="129">
        <v>2.9000000000000001E-2</v>
      </c>
      <c r="AO85" s="129">
        <v>1.2019999999999999E-2</v>
      </c>
      <c r="AP85" s="129">
        <v>5.9580000000000001E-2</v>
      </c>
      <c r="AQ85" s="129">
        <v>2.8539999999999999E-2</v>
      </c>
      <c r="AR85" s="128">
        <v>1.67</v>
      </c>
      <c r="AS85" s="129">
        <v>2.0119999999999999E-2</v>
      </c>
      <c r="AT85" s="129">
        <v>7.1999999999999998E-3</v>
      </c>
      <c r="AU85" s="129">
        <v>4.428E-2</v>
      </c>
      <c r="AV85" s="129">
        <v>1.592E-2</v>
      </c>
      <c r="AW85" s="128"/>
      <c r="AX85" s="129"/>
      <c r="AY85" s="129"/>
      <c r="AZ85" s="129"/>
      <c r="BA85" s="129"/>
      <c r="BB85" s="128"/>
      <c r="BC85" s="129"/>
      <c r="BD85" s="129"/>
      <c r="BE85" s="129"/>
      <c r="BF85" s="129"/>
    </row>
    <row r="86" spans="4:58" ht="15.75">
      <c r="D86" s="128">
        <v>1.68</v>
      </c>
      <c r="E86" s="129">
        <v>4.8719999999999999E-2</v>
      </c>
      <c r="F86" s="129">
        <v>1.7299999999999999E-2</v>
      </c>
      <c r="G86" s="129">
        <v>0</v>
      </c>
      <c r="H86" s="129">
        <v>0</v>
      </c>
      <c r="I86" s="128">
        <v>1.68</v>
      </c>
      <c r="J86" s="129">
        <v>3.3500000000000002E-2</v>
      </c>
      <c r="K86" s="129">
        <v>8.879999999999999E-3</v>
      </c>
      <c r="L86" s="129">
        <v>7.0779999999999996E-2</v>
      </c>
      <c r="M86" s="129">
        <v>0</v>
      </c>
      <c r="N86" s="128">
        <v>1.68</v>
      </c>
      <c r="O86" s="129">
        <v>4.394E-2</v>
      </c>
      <c r="P86" s="129">
        <v>1.932E-2</v>
      </c>
      <c r="Q86" s="129">
        <v>0</v>
      </c>
      <c r="R86" s="129">
        <v>5.0099999999999999E-2</v>
      </c>
      <c r="S86" s="128">
        <v>1.68</v>
      </c>
      <c r="T86" s="129">
        <v>2.1860000000000001E-2</v>
      </c>
      <c r="U86" s="129">
        <v>4.8600000000000006E-3</v>
      </c>
      <c r="V86" s="129">
        <v>4.8280000000000003E-2</v>
      </c>
      <c r="W86" s="129">
        <v>0</v>
      </c>
      <c r="X86" s="128">
        <v>1.68</v>
      </c>
      <c r="Y86" s="129">
        <v>3.7319999999999999E-2</v>
      </c>
      <c r="Z86" s="129">
        <v>1.8880000000000001E-2</v>
      </c>
      <c r="AA86" s="129">
        <v>0</v>
      </c>
      <c r="AB86" s="129">
        <v>5.4060000000000004E-2</v>
      </c>
      <c r="AC86" s="128">
        <v>1.68</v>
      </c>
      <c r="AD86" s="129">
        <v>3.1719999999999998E-2</v>
      </c>
      <c r="AE86" s="129">
        <v>1.1220000000000001E-2</v>
      </c>
      <c r="AF86" s="129">
        <v>6.613999999999999E-2</v>
      </c>
      <c r="AG86" s="129">
        <v>2.3480000000000001E-2</v>
      </c>
      <c r="AH86" s="128">
        <v>1.68</v>
      </c>
      <c r="AI86" s="129">
        <v>2.1160000000000002E-2</v>
      </c>
      <c r="AJ86" s="129">
        <v>6.4000000000000003E-3</v>
      </c>
      <c r="AK86" s="129">
        <v>4.6640000000000001E-2</v>
      </c>
      <c r="AL86" s="129">
        <v>1.244E-2</v>
      </c>
      <c r="AM86" s="128">
        <v>1.68</v>
      </c>
      <c r="AN86" s="129">
        <v>2.9000000000000001E-2</v>
      </c>
      <c r="AO86" s="129">
        <v>1.188E-2</v>
      </c>
      <c r="AP86" s="129">
        <v>5.9520000000000003E-2</v>
      </c>
      <c r="AQ86" s="129">
        <v>2.8160000000000001E-2</v>
      </c>
      <c r="AR86" s="128">
        <v>1.68</v>
      </c>
      <c r="AS86" s="129">
        <v>2.0080000000000001E-2</v>
      </c>
      <c r="AT86" s="129">
        <v>7.1000000000000004E-3</v>
      </c>
      <c r="AU86" s="129">
        <v>4.4119999999999999E-2</v>
      </c>
      <c r="AV86" s="129">
        <v>1.5679999999999999E-2</v>
      </c>
      <c r="AW86" s="128"/>
      <c r="AX86" s="129"/>
      <c r="AY86" s="129"/>
      <c r="AZ86" s="129"/>
      <c r="BA86" s="129"/>
      <c r="BB86" s="128"/>
      <c r="BC86" s="129"/>
      <c r="BD86" s="129"/>
      <c r="BE86" s="129"/>
      <c r="BF86" s="129"/>
    </row>
    <row r="87" spans="4:58" ht="15.75">
      <c r="D87" s="128">
        <v>1.69</v>
      </c>
      <c r="E87" s="129">
        <v>4.8760000000000005E-2</v>
      </c>
      <c r="F87" s="129">
        <v>1.7099999999999997E-2</v>
      </c>
      <c r="G87" s="129">
        <v>0</v>
      </c>
      <c r="H87" s="129">
        <v>0</v>
      </c>
      <c r="I87" s="128">
        <v>1.69</v>
      </c>
      <c r="J87" s="129">
        <v>3.3399999999999999E-2</v>
      </c>
      <c r="K87" s="129">
        <v>8.7399999999999995E-3</v>
      </c>
      <c r="L87" s="129">
        <v>7.0440000000000003E-2</v>
      </c>
      <c r="M87" s="129">
        <v>0</v>
      </c>
      <c r="N87" s="128">
        <v>1.69</v>
      </c>
      <c r="O87" s="129">
        <v>4.4020000000000004E-2</v>
      </c>
      <c r="P87" s="129">
        <v>1.916E-2</v>
      </c>
      <c r="Q87" s="129">
        <v>0</v>
      </c>
      <c r="R87" s="129">
        <v>4.9500000000000002E-2</v>
      </c>
      <c r="S87" s="128">
        <v>1.69</v>
      </c>
      <c r="T87" s="129">
        <v>2.1780000000000001E-2</v>
      </c>
      <c r="U87" s="129">
        <v>4.7800000000000004E-3</v>
      </c>
      <c r="V87" s="129">
        <v>4.7940000000000003E-2</v>
      </c>
      <c r="W87" s="129">
        <v>0</v>
      </c>
      <c r="X87" s="128">
        <v>1.69</v>
      </c>
      <c r="Y87" s="129">
        <v>3.746E-2</v>
      </c>
      <c r="Z87" s="129">
        <v>1.874E-2</v>
      </c>
      <c r="AA87" s="129">
        <v>0</v>
      </c>
      <c r="AB87" s="129">
        <v>5.3580000000000003E-2</v>
      </c>
      <c r="AC87" s="128">
        <v>1.69</v>
      </c>
      <c r="AD87" s="129">
        <v>3.1660000000000001E-2</v>
      </c>
      <c r="AE87" s="129">
        <v>1.106E-2</v>
      </c>
      <c r="AF87" s="129">
        <v>6.5919999999999992E-2</v>
      </c>
      <c r="AG87" s="129">
        <v>2.3140000000000001E-2</v>
      </c>
      <c r="AH87" s="128">
        <v>1.69</v>
      </c>
      <c r="AI87" s="129">
        <v>2.1080000000000002E-2</v>
      </c>
      <c r="AJ87" s="129">
        <v>6.3E-3</v>
      </c>
      <c r="AK87" s="129">
        <v>4.6419999999999996E-2</v>
      </c>
      <c r="AL87" s="129">
        <v>1.222E-2</v>
      </c>
      <c r="AM87" s="128">
        <v>1.69</v>
      </c>
      <c r="AN87" s="129">
        <v>2.9000000000000001E-2</v>
      </c>
      <c r="AO87" s="129">
        <v>1.1739999999999999E-2</v>
      </c>
      <c r="AP87" s="129">
        <v>5.9459999999999999E-2</v>
      </c>
      <c r="AQ87" s="129">
        <v>2.7779999999999999E-2</v>
      </c>
      <c r="AR87" s="128">
        <v>1.69</v>
      </c>
      <c r="AS87" s="129">
        <v>2.0039999999999999E-2</v>
      </c>
      <c r="AT87" s="129">
        <v>7.0000000000000001E-3</v>
      </c>
      <c r="AU87" s="129">
        <v>4.3959999999999999E-2</v>
      </c>
      <c r="AV87" s="129">
        <v>1.5440000000000001E-2</v>
      </c>
      <c r="AW87" s="128"/>
      <c r="AX87" s="129"/>
      <c r="AY87" s="129"/>
      <c r="AZ87" s="129"/>
      <c r="BA87" s="129"/>
      <c r="BB87" s="128"/>
      <c r="BC87" s="129"/>
      <c r="BD87" s="129"/>
      <c r="BE87" s="129"/>
      <c r="BF87" s="129"/>
    </row>
    <row r="88" spans="4:58" ht="15.75">
      <c r="D88" s="126">
        <v>1.7</v>
      </c>
      <c r="E88" s="127">
        <v>4.8800000000000003E-2</v>
      </c>
      <c r="F88" s="127">
        <v>1.6899999999999998E-2</v>
      </c>
      <c r="G88" s="129">
        <v>0</v>
      </c>
      <c r="H88" s="129">
        <v>0</v>
      </c>
      <c r="I88" s="126">
        <v>1.7</v>
      </c>
      <c r="J88" s="127">
        <v>3.3300000000000003E-2</v>
      </c>
      <c r="K88" s="127">
        <v>8.6E-3</v>
      </c>
      <c r="L88" s="127">
        <v>7.0099999999999996E-2</v>
      </c>
      <c r="M88" s="129">
        <v>0</v>
      </c>
      <c r="N88" s="126">
        <v>1.7</v>
      </c>
      <c r="O88" s="127">
        <v>4.41E-2</v>
      </c>
      <c r="P88" s="127">
        <v>1.9E-2</v>
      </c>
      <c r="Q88" s="129">
        <v>0</v>
      </c>
      <c r="R88" s="127">
        <v>4.8899999999999999E-2</v>
      </c>
      <c r="S88" s="126">
        <v>1.7</v>
      </c>
      <c r="T88" s="127">
        <v>2.1700000000000001E-2</v>
      </c>
      <c r="U88" s="127">
        <v>4.7000000000000002E-3</v>
      </c>
      <c r="V88" s="127">
        <v>4.7600000000000003E-2</v>
      </c>
      <c r="W88" s="129">
        <v>0</v>
      </c>
      <c r="X88" s="126">
        <v>1.7</v>
      </c>
      <c r="Y88" s="127">
        <v>3.7600000000000001E-2</v>
      </c>
      <c r="Z88" s="127">
        <v>1.8599999999999998E-2</v>
      </c>
      <c r="AA88" s="129">
        <v>0</v>
      </c>
      <c r="AB88" s="127">
        <v>5.3100000000000001E-2</v>
      </c>
      <c r="AC88" s="126">
        <v>1.7</v>
      </c>
      <c r="AD88" s="127">
        <v>3.1600000000000003E-2</v>
      </c>
      <c r="AE88" s="127">
        <v>1.09E-2</v>
      </c>
      <c r="AF88" s="127">
        <v>6.5699999999999995E-2</v>
      </c>
      <c r="AG88" s="127">
        <v>2.2800000000000001E-2</v>
      </c>
      <c r="AH88" s="126">
        <v>1.7</v>
      </c>
      <c r="AI88" s="127">
        <v>2.1000000000000001E-2</v>
      </c>
      <c r="AJ88" s="127">
        <v>6.1999999999999998E-3</v>
      </c>
      <c r="AK88" s="127">
        <v>4.6199999999999998E-2</v>
      </c>
      <c r="AL88" s="127">
        <v>1.2E-2</v>
      </c>
      <c r="AM88" s="126">
        <v>1.7</v>
      </c>
      <c r="AN88" s="127">
        <v>2.9000000000000001E-2</v>
      </c>
      <c r="AO88" s="127">
        <v>1.1599999999999999E-2</v>
      </c>
      <c r="AP88" s="127">
        <v>5.9400000000000001E-2</v>
      </c>
      <c r="AQ88" s="127">
        <v>2.7400000000000001E-2</v>
      </c>
      <c r="AR88" s="126">
        <v>1.7</v>
      </c>
      <c r="AS88" s="127">
        <v>0.02</v>
      </c>
      <c r="AT88" s="127">
        <v>6.8999999999999999E-3</v>
      </c>
      <c r="AU88" s="127">
        <v>4.3799999999999999E-2</v>
      </c>
      <c r="AV88" s="127">
        <v>1.52E-2</v>
      </c>
      <c r="AW88" s="126"/>
      <c r="AX88" s="127"/>
      <c r="AY88" s="127"/>
      <c r="AZ88" s="127"/>
      <c r="BA88" s="127"/>
      <c r="BB88" s="126"/>
      <c r="BC88" s="127"/>
      <c r="BD88" s="127"/>
      <c r="BE88" s="127"/>
      <c r="BF88" s="127"/>
    </row>
    <row r="89" spans="4:58" ht="15.75">
      <c r="D89" s="128">
        <v>1.71</v>
      </c>
      <c r="E89" s="129">
        <v>4.8760000000000005E-2</v>
      </c>
      <c r="F89" s="129">
        <v>1.668E-2</v>
      </c>
      <c r="G89" s="129">
        <v>0</v>
      </c>
      <c r="H89" s="129">
        <v>0</v>
      </c>
      <c r="I89" s="128">
        <v>1.71</v>
      </c>
      <c r="J89" s="129">
        <v>3.322E-2</v>
      </c>
      <c r="K89" s="129">
        <v>8.4799999999999997E-3</v>
      </c>
      <c r="L89" s="129">
        <v>6.9779999999999995E-2</v>
      </c>
      <c r="M89" s="129">
        <v>0</v>
      </c>
      <c r="N89" s="128">
        <v>1.71</v>
      </c>
      <c r="O89" s="129">
        <v>4.4139999999999999E-2</v>
      </c>
      <c r="P89" s="129">
        <v>1.882E-2</v>
      </c>
      <c r="Q89" s="129">
        <v>0</v>
      </c>
      <c r="R89" s="129">
        <v>4.8320000000000002E-2</v>
      </c>
      <c r="S89" s="128">
        <v>1.71</v>
      </c>
      <c r="T89" s="129">
        <v>2.1600000000000001E-2</v>
      </c>
      <c r="U89" s="129">
        <v>4.62E-3</v>
      </c>
      <c r="V89" s="129">
        <v>4.7400000000000005E-2</v>
      </c>
      <c r="W89" s="129">
        <v>0</v>
      </c>
      <c r="X89" s="128">
        <v>1.71</v>
      </c>
      <c r="Y89" s="129">
        <v>3.7740000000000003E-2</v>
      </c>
      <c r="Z89" s="129">
        <v>1.8459999999999997E-2</v>
      </c>
      <c r="AA89" s="129">
        <v>0</v>
      </c>
      <c r="AB89" s="129">
        <v>5.262E-2</v>
      </c>
      <c r="AC89" s="128">
        <v>1.71</v>
      </c>
      <c r="AD89" s="129">
        <v>3.1540000000000006E-2</v>
      </c>
      <c r="AE89" s="129">
        <v>1.0659999999999999E-2</v>
      </c>
      <c r="AF89" s="129">
        <v>6.545999999999999E-2</v>
      </c>
      <c r="AG89" s="129">
        <v>2.2460000000000001E-2</v>
      </c>
      <c r="AH89" s="128">
        <v>1.71</v>
      </c>
      <c r="AI89" s="129">
        <v>2.0920000000000001E-2</v>
      </c>
      <c r="AJ89" s="129">
        <v>6.1199999999999996E-3</v>
      </c>
      <c r="AK89" s="129">
        <v>4.5999999999999999E-2</v>
      </c>
      <c r="AL89" s="129">
        <v>1.184E-2</v>
      </c>
      <c r="AM89" s="128">
        <v>1.71</v>
      </c>
      <c r="AN89" s="129">
        <v>2.9000000000000001E-2</v>
      </c>
      <c r="AO89" s="129">
        <v>1.146E-2</v>
      </c>
      <c r="AP89" s="129">
        <v>5.9299999999999999E-2</v>
      </c>
      <c r="AQ89" s="129">
        <v>2.7040000000000002E-2</v>
      </c>
      <c r="AR89" s="128">
        <v>1.71</v>
      </c>
      <c r="AS89" s="129">
        <v>1.9939999999999999E-2</v>
      </c>
      <c r="AT89" s="129">
        <v>6.7999999999999996E-3</v>
      </c>
      <c r="AU89" s="129">
        <v>4.3659999999999997E-2</v>
      </c>
      <c r="AV89" s="129">
        <v>1.498E-2</v>
      </c>
      <c r="AW89" s="128"/>
      <c r="AX89" s="129"/>
      <c r="AY89" s="129"/>
      <c r="AZ89" s="129"/>
      <c r="BA89" s="129"/>
      <c r="BB89" s="128"/>
      <c r="BC89" s="129"/>
      <c r="BD89" s="129"/>
      <c r="BE89" s="129"/>
      <c r="BF89" s="129"/>
    </row>
    <row r="90" spans="4:58" ht="15.75">
      <c r="D90" s="128">
        <v>1.72</v>
      </c>
      <c r="E90" s="129">
        <v>4.8719999999999999E-2</v>
      </c>
      <c r="F90" s="129">
        <v>1.6459999999999999E-2</v>
      </c>
      <c r="G90" s="129">
        <v>0</v>
      </c>
      <c r="H90" s="129">
        <v>0</v>
      </c>
      <c r="I90" s="128">
        <v>1.72</v>
      </c>
      <c r="J90" s="129">
        <v>3.3140000000000003E-2</v>
      </c>
      <c r="K90" s="129">
        <v>8.3599999999999994E-3</v>
      </c>
      <c r="L90" s="129">
        <v>6.9459999999999994E-2</v>
      </c>
      <c r="M90" s="129">
        <v>0</v>
      </c>
      <c r="N90" s="128">
        <v>1.72</v>
      </c>
      <c r="O90" s="129">
        <v>4.4179999999999997E-2</v>
      </c>
      <c r="P90" s="129">
        <v>1.864E-2</v>
      </c>
      <c r="Q90" s="129">
        <v>0</v>
      </c>
      <c r="R90" s="129">
        <v>4.7739999999999998E-2</v>
      </c>
      <c r="S90" s="128">
        <v>1.72</v>
      </c>
      <c r="T90" s="129">
        <v>2.1500000000000002E-2</v>
      </c>
      <c r="U90" s="129">
        <v>4.5399999999999998E-3</v>
      </c>
      <c r="V90" s="129">
        <v>4.7200000000000006E-2</v>
      </c>
      <c r="W90" s="129">
        <v>0</v>
      </c>
      <c r="X90" s="128">
        <v>1.72</v>
      </c>
      <c r="Y90" s="129">
        <v>3.7880000000000004E-2</v>
      </c>
      <c r="Z90" s="129">
        <v>1.8319999999999999E-2</v>
      </c>
      <c r="AA90" s="129">
        <v>0</v>
      </c>
      <c r="AB90" s="129">
        <v>5.2139999999999999E-2</v>
      </c>
      <c r="AC90" s="128">
        <v>1.72</v>
      </c>
      <c r="AD90" s="129">
        <v>3.1480000000000001E-2</v>
      </c>
      <c r="AE90" s="129">
        <v>1.042E-2</v>
      </c>
      <c r="AF90" s="129">
        <v>6.522E-2</v>
      </c>
      <c r="AG90" s="129">
        <v>2.2120000000000001E-2</v>
      </c>
      <c r="AH90" s="128">
        <v>1.72</v>
      </c>
      <c r="AI90" s="129">
        <v>2.0840000000000001E-2</v>
      </c>
      <c r="AJ90" s="129">
        <v>6.0399999999999994E-3</v>
      </c>
      <c r="AK90" s="129">
        <v>4.58E-2</v>
      </c>
      <c r="AL90" s="129">
        <v>1.1679999999999999E-2</v>
      </c>
      <c r="AM90" s="128">
        <v>1.72</v>
      </c>
      <c r="AN90" s="129">
        <v>2.9000000000000001E-2</v>
      </c>
      <c r="AO90" s="129">
        <v>1.132E-2</v>
      </c>
      <c r="AP90" s="129">
        <v>5.9200000000000003E-2</v>
      </c>
      <c r="AQ90" s="129">
        <v>2.6680000000000002E-2</v>
      </c>
      <c r="AR90" s="128">
        <v>1.72</v>
      </c>
      <c r="AS90" s="129">
        <v>1.9879999999999998E-2</v>
      </c>
      <c r="AT90" s="129">
        <v>6.7000000000000002E-3</v>
      </c>
      <c r="AU90" s="129">
        <v>4.3519999999999996E-2</v>
      </c>
      <c r="AV90" s="129">
        <v>1.4760000000000001E-2</v>
      </c>
      <c r="AW90" s="128"/>
      <c r="AX90" s="129"/>
      <c r="AY90" s="129"/>
      <c r="AZ90" s="129"/>
      <c r="BA90" s="129"/>
      <c r="BB90" s="128"/>
      <c r="BC90" s="129"/>
      <c r="BD90" s="129"/>
      <c r="BE90" s="129"/>
      <c r="BF90" s="129"/>
    </row>
    <row r="91" spans="4:58" ht="15.75">
      <c r="D91" s="128">
        <v>1.73</v>
      </c>
      <c r="E91" s="129">
        <v>4.8680000000000001E-2</v>
      </c>
      <c r="F91" s="129">
        <v>1.6240000000000001E-2</v>
      </c>
      <c r="G91" s="129">
        <v>0</v>
      </c>
      <c r="H91" s="129">
        <v>0</v>
      </c>
      <c r="I91" s="128">
        <v>1.73</v>
      </c>
      <c r="J91" s="129">
        <v>3.3059999999999999E-2</v>
      </c>
      <c r="K91" s="129">
        <v>8.2400000000000008E-3</v>
      </c>
      <c r="L91" s="129">
        <v>6.9140000000000007E-2</v>
      </c>
      <c r="M91" s="129">
        <v>0</v>
      </c>
      <c r="N91" s="128">
        <v>1.73</v>
      </c>
      <c r="O91" s="129">
        <v>4.4220000000000002E-2</v>
      </c>
      <c r="P91" s="129">
        <v>1.8460000000000001E-2</v>
      </c>
      <c r="Q91" s="129">
        <v>0</v>
      </c>
      <c r="R91" s="129">
        <v>4.7160000000000001E-2</v>
      </c>
      <c r="S91" s="128">
        <v>1.73</v>
      </c>
      <c r="T91" s="129">
        <v>2.1399999999999999E-2</v>
      </c>
      <c r="U91" s="129">
        <v>4.4600000000000004E-3</v>
      </c>
      <c r="V91" s="129">
        <v>4.7E-2</v>
      </c>
      <c r="W91" s="129">
        <v>0</v>
      </c>
      <c r="X91" s="128">
        <v>1.73</v>
      </c>
      <c r="Y91" s="129">
        <v>3.8019999999999998E-2</v>
      </c>
      <c r="Z91" s="129">
        <v>1.8179999999999998E-2</v>
      </c>
      <c r="AA91" s="129">
        <v>0</v>
      </c>
      <c r="AB91" s="129">
        <v>5.1660000000000005E-2</v>
      </c>
      <c r="AC91" s="128">
        <v>1.73</v>
      </c>
      <c r="AD91" s="129">
        <v>3.1420000000000003E-2</v>
      </c>
      <c r="AE91" s="129">
        <v>1.018E-2</v>
      </c>
      <c r="AF91" s="129">
        <v>6.4979999999999996E-2</v>
      </c>
      <c r="AG91" s="129">
        <v>2.1780000000000001E-2</v>
      </c>
      <c r="AH91" s="128">
        <v>1.73</v>
      </c>
      <c r="AI91" s="129">
        <v>2.0760000000000001E-2</v>
      </c>
      <c r="AJ91" s="129">
        <v>5.96E-3</v>
      </c>
      <c r="AK91" s="129">
        <v>4.5599999999999995E-2</v>
      </c>
      <c r="AL91" s="129">
        <v>1.1520000000000001E-2</v>
      </c>
      <c r="AM91" s="128">
        <v>1.73</v>
      </c>
      <c r="AN91" s="129">
        <v>2.9000000000000001E-2</v>
      </c>
      <c r="AO91" s="129">
        <v>1.1179999999999999E-2</v>
      </c>
      <c r="AP91" s="129">
        <v>5.91E-2</v>
      </c>
      <c r="AQ91" s="129">
        <v>2.632E-2</v>
      </c>
      <c r="AR91" s="128">
        <v>1.73</v>
      </c>
      <c r="AS91" s="129">
        <v>1.9820000000000001E-2</v>
      </c>
      <c r="AT91" s="129">
        <v>6.6E-3</v>
      </c>
      <c r="AU91" s="129">
        <v>4.3380000000000002E-2</v>
      </c>
      <c r="AV91" s="129">
        <v>1.4539999999999999E-2</v>
      </c>
      <c r="AW91" s="128"/>
      <c r="AX91" s="129"/>
      <c r="AY91" s="129"/>
      <c r="AZ91" s="129"/>
      <c r="BA91" s="129"/>
      <c r="BB91" s="128"/>
      <c r="BC91" s="129"/>
      <c r="BD91" s="129"/>
      <c r="BE91" s="129"/>
      <c r="BF91" s="129"/>
    </row>
    <row r="92" spans="4:58" ht="15.75">
      <c r="D92" s="128">
        <v>1.74</v>
      </c>
      <c r="E92" s="129">
        <v>4.8639999999999996E-2</v>
      </c>
      <c r="F92" s="129">
        <v>1.602E-2</v>
      </c>
      <c r="G92" s="129">
        <v>0</v>
      </c>
      <c r="H92" s="129">
        <v>0</v>
      </c>
      <c r="I92" s="128">
        <v>1.74</v>
      </c>
      <c r="J92" s="129">
        <v>3.2980000000000002E-2</v>
      </c>
      <c r="K92" s="129">
        <v>8.1200000000000005E-3</v>
      </c>
      <c r="L92" s="129">
        <v>6.8820000000000006E-2</v>
      </c>
      <c r="M92" s="129">
        <v>0</v>
      </c>
      <c r="N92" s="128">
        <v>1.74</v>
      </c>
      <c r="O92" s="129">
        <v>4.4260000000000001E-2</v>
      </c>
      <c r="P92" s="129">
        <v>1.8280000000000001E-2</v>
      </c>
      <c r="Q92" s="129">
        <v>0</v>
      </c>
      <c r="R92" s="129">
        <v>4.6579999999999996E-2</v>
      </c>
      <c r="S92" s="128">
        <v>1.74</v>
      </c>
      <c r="T92" s="129">
        <v>2.1299999999999999E-2</v>
      </c>
      <c r="U92" s="129">
        <v>4.3800000000000002E-3</v>
      </c>
      <c r="V92" s="129">
        <v>4.6800000000000001E-2</v>
      </c>
      <c r="W92" s="129">
        <v>0</v>
      </c>
      <c r="X92" s="128">
        <v>1.74</v>
      </c>
      <c r="Y92" s="129">
        <v>3.8159999999999999E-2</v>
      </c>
      <c r="Z92" s="129">
        <v>1.804E-2</v>
      </c>
      <c r="AA92" s="129">
        <v>0</v>
      </c>
      <c r="AB92" s="129">
        <v>5.1180000000000003E-2</v>
      </c>
      <c r="AC92" s="128">
        <v>1.74</v>
      </c>
      <c r="AD92" s="129">
        <v>3.1359999999999999E-2</v>
      </c>
      <c r="AE92" s="129">
        <v>9.9400000000000009E-3</v>
      </c>
      <c r="AF92" s="129">
        <v>6.4740000000000006E-2</v>
      </c>
      <c r="AG92" s="129">
        <v>2.1440000000000001E-2</v>
      </c>
      <c r="AH92" s="128">
        <v>1.74</v>
      </c>
      <c r="AI92" s="129">
        <v>2.068E-2</v>
      </c>
      <c r="AJ92" s="129">
        <v>5.8799999999999998E-3</v>
      </c>
      <c r="AK92" s="129">
        <v>4.5399999999999996E-2</v>
      </c>
      <c r="AL92" s="129">
        <v>1.136E-2</v>
      </c>
      <c r="AM92" s="128">
        <v>1.74</v>
      </c>
      <c r="AN92" s="129">
        <v>2.9000000000000001E-2</v>
      </c>
      <c r="AO92" s="129">
        <v>1.1039999999999999E-2</v>
      </c>
      <c r="AP92" s="129">
        <v>5.9000000000000004E-2</v>
      </c>
      <c r="AQ92" s="129">
        <v>2.596E-2</v>
      </c>
      <c r="AR92" s="128">
        <v>1.74</v>
      </c>
      <c r="AS92" s="129">
        <v>1.976E-2</v>
      </c>
      <c r="AT92" s="129">
        <v>6.5000000000000006E-3</v>
      </c>
      <c r="AU92" s="129">
        <v>4.3240000000000001E-2</v>
      </c>
      <c r="AV92" s="129">
        <v>1.4319999999999999E-2</v>
      </c>
      <c r="AW92" s="128"/>
      <c r="AX92" s="129"/>
      <c r="AY92" s="129"/>
      <c r="AZ92" s="129"/>
      <c r="BA92" s="129"/>
      <c r="BB92" s="128"/>
      <c r="BC92" s="129"/>
      <c r="BD92" s="129"/>
      <c r="BE92" s="129"/>
      <c r="BF92" s="129"/>
    </row>
    <row r="93" spans="4:58" ht="15.75">
      <c r="D93" s="126">
        <v>1.75</v>
      </c>
      <c r="E93" s="127">
        <v>4.8599999999999997E-2</v>
      </c>
      <c r="F93" s="127">
        <v>1.5800000000000002E-2</v>
      </c>
      <c r="G93" s="129">
        <v>0</v>
      </c>
      <c r="H93" s="129">
        <v>0</v>
      </c>
      <c r="I93" s="126">
        <v>1.75</v>
      </c>
      <c r="J93" s="127">
        <v>3.2899999999999999E-2</v>
      </c>
      <c r="K93" s="127">
        <v>8.0000000000000002E-3</v>
      </c>
      <c r="L93" s="127">
        <v>6.8500000000000005E-2</v>
      </c>
      <c r="M93" s="129">
        <v>0</v>
      </c>
      <c r="N93" s="126">
        <v>1.75</v>
      </c>
      <c r="O93" s="127">
        <v>4.4299999999999999E-2</v>
      </c>
      <c r="P93" s="127">
        <v>1.8100000000000002E-2</v>
      </c>
      <c r="Q93" s="129">
        <v>0</v>
      </c>
      <c r="R93" s="127">
        <v>4.5999999999999999E-2</v>
      </c>
      <c r="S93" s="126">
        <v>1.75</v>
      </c>
      <c r="T93" s="127">
        <v>2.12E-2</v>
      </c>
      <c r="U93" s="127">
        <v>4.3E-3</v>
      </c>
      <c r="V93" s="127">
        <v>4.6600000000000003E-2</v>
      </c>
      <c r="W93" s="129">
        <v>0</v>
      </c>
      <c r="X93" s="126">
        <v>1.75</v>
      </c>
      <c r="Y93" s="127">
        <v>3.8300000000000001E-2</v>
      </c>
      <c r="Z93" s="127">
        <v>1.7899999999999999E-2</v>
      </c>
      <c r="AA93" s="129">
        <v>0</v>
      </c>
      <c r="AB93" s="127">
        <v>5.0700000000000002E-2</v>
      </c>
      <c r="AC93" s="126">
        <v>1.75</v>
      </c>
      <c r="AD93" s="127">
        <v>3.1300000000000001E-2</v>
      </c>
      <c r="AE93" s="127">
        <v>9.7000000000000003E-3</v>
      </c>
      <c r="AF93" s="127">
        <v>6.4500000000000002E-2</v>
      </c>
      <c r="AG93" s="127">
        <v>2.1100000000000001E-2</v>
      </c>
      <c r="AH93" s="126">
        <v>1.75</v>
      </c>
      <c r="AI93" s="127">
        <v>2.06E-2</v>
      </c>
      <c r="AJ93" s="127">
        <v>5.7999999999999996E-3</v>
      </c>
      <c r="AK93" s="127">
        <v>4.5199999999999997E-2</v>
      </c>
      <c r="AL93" s="127">
        <v>1.12E-2</v>
      </c>
      <c r="AM93" s="126">
        <v>1.75</v>
      </c>
      <c r="AN93" s="127">
        <v>2.9000000000000001E-2</v>
      </c>
      <c r="AO93" s="127">
        <v>1.09E-2</v>
      </c>
      <c r="AP93" s="127">
        <v>5.8900000000000001E-2</v>
      </c>
      <c r="AQ93" s="127">
        <v>2.5600000000000001E-2</v>
      </c>
      <c r="AR93" s="126">
        <v>1.75</v>
      </c>
      <c r="AS93" s="127">
        <v>1.9699999999999999E-2</v>
      </c>
      <c r="AT93" s="127">
        <v>6.4000000000000003E-3</v>
      </c>
      <c r="AU93" s="127">
        <v>4.3099999999999999E-2</v>
      </c>
      <c r="AV93" s="127">
        <v>1.41E-2</v>
      </c>
      <c r="AW93" s="126"/>
      <c r="AX93" s="127"/>
      <c r="AY93" s="127"/>
      <c r="AZ93" s="127"/>
      <c r="BA93" s="127"/>
      <c r="BB93" s="126"/>
      <c r="BC93" s="127"/>
      <c r="BD93" s="127"/>
      <c r="BE93" s="127"/>
      <c r="BF93" s="127"/>
    </row>
    <row r="94" spans="4:58" ht="15.75">
      <c r="D94" s="128">
        <v>1.76</v>
      </c>
      <c r="E94" s="129">
        <v>4.8579999999999998E-2</v>
      </c>
      <c r="F94" s="129">
        <v>1.5600000000000001E-2</v>
      </c>
      <c r="G94" s="129">
        <v>0</v>
      </c>
      <c r="H94" s="129">
        <v>0</v>
      </c>
      <c r="I94" s="128">
        <v>1.76</v>
      </c>
      <c r="J94" s="129">
        <v>3.2840000000000001E-2</v>
      </c>
      <c r="K94" s="129">
        <v>7.9000000000000008E-3</v>
      </c>
      <c r="L94" s="129">
        <v>6.8159999999999998E-2</v>
      </c>
      <c r="M94" s="129">
        <v>0</v>
      </c>
      <c r="N94" s="128">
        <v>1.76</v>
      </c>
      <c r="O94" s="129">
        <v>4.4319999999999998E-2</v>
      </c>
      <c r="P94" s="129">
        <v>1.7920000000000002E-2</v>
      </c>
      <c r="Q94" s="129">
        <v>0</v>
      </c>
      <c r="R94" s="129">
        <v>4.5440000000000001E-2</v>
      </c>
      <c r="S94" s="128">
        <v>1.76</v>
      </c>
      <c r="T94" s="129">
        <v>2.112E-2</v>
      </c>
      <c r="U94" s="129">
        <v>4.2399999999999998E-3</v>
      </c>
      <c r="V94" s="129">
        <v>4.6360000000000005E-2</v>
      </c>
      <c r="W94" s="129">
        <v>0</v>
      </c>
      <c r="X94" s="128">
        <v>1.76</v>
      </c>
      <c r="Y94" s="129">
        <v>3.8400000000000004E-2</v>
      </c>
      <c r="Z94" s="129">
        <v>1.7759999999999998E-2</v>
      </c>
      <c r="AA94" s="129">
        <v>0</v>
      </c>
      <c r="AB94" s="129">
        <v>5.024E-2</v>
      </c>
      <c r="AC94" s="128">
        <v>1.76</v>
      </c>
      <c r="AD94" s="129">
        <v>3.1200000000000002E-2</v>
      </c>
      <c r="AE94" s="129">
        <v>9.6799999999999994E-3</v>
      </c>
      <c r="AF94" s="129">
        <v>6.4299999999999996E-2</v>
      </c>
      <c r="AG94" s="129">
        <v>2.0799999999999999E-2</v>
      </c>
      <c r="AH94" s="128">
        <v>1.76</v>
      </c>
      <c r="AI94" s="129">
        <v>2.0539999999999999E-2</v>
      </c>
      <c r="AJ94" s="129">
        <v>5.7199999999999994E-3</v>
      </c>
      <c r="AK94" s="129">
        <v>4.4999999999999998E-2</v>
      </c>
      <c r="AL94" s="129">
        <v>1.0999999999999999E-2</v>
      </c>
      <c r="AM94" s="128">
        <v>1.76</v>
      </c>
      <c r="AN94" s="129">
        <v>2.896E-2</v>
      </c>
      <c r="AO94" s="129">
        <v>1.078E-2</v>
      </c>
      <c r="AP94" s="129">
        <v>5.8779999999999999E-2</v>
      </c>
      <c r="AQ94" s="129">
        <v>2.528E-2</v>
      </c>
      <c r="AR94" s="128">
        <v>1.76</v>
      </c>
      <c r="AS94" s="129">
        <v>1.966E-2</v>
      </c>
      <c r="AT94" s="129">
        <v>6.3200000000000001E-3</v>
      </c>
      <c r="AU94" s="129">
        <v>4.2939999999999999E-2</v>
      </c>
      <c r="AV94" s="129">
        <v>1.3899999999999999E-2</v>
      </c>
      <c r="AW94" s="128"/>
      <c r="AX94" s="129"/>
      <c r="AY94" s="129"/>
      <c r="AZ94" s="129"/>
      <c r="BA94" s="129"/>
      <c r="BB94" s="128"/>
      <c r="BC94" s="129"/>
      <c r="BD94" s="129"/>
      <c r="BE94" s="129"/>
      <c r="BF94" s="129"/>
    </row>
    <row r="95" spans="4:58" ht="15.75">
      <c r="D95" s="128">
        <v>1.77</v>
      </c>
      <c r="E95" s="129">
        <v>4.8559999999999999E-2</v>
      </c>
      <c r="F95" s="129">
        <v>1.54E-2</v>
      </c>
      <c r="G95" s="129">
        <v>0</v>
      </c>
      <c r="H95" s="129">
        <v>0</v>
      </c>
      <c r="I95" s="128">
        <v>1.77</v>
      </c>
      <c r="J95" s="129">
        <v>3.2779999999999997E-2</v>
      </c>
      <c r="K95" s="129">
        <v>7.7999999999999996E-3</v>
      </c>
      <c r="L95" s="129">
        <v>6.7820000000000005E-2</v>
      </c>
      <c r="M95" s="129">
        <v>0</v>
      </c>
      <c r="N95" s="128">
        <v>1.77</v>
      </c>
      <c r="O95" s="129">
        <v>4.4339999999999997E-2</v>
      </c>
      <c r="P95" s="129">
        <v>1.7740000000000002E-2</v>
      </c>
      <c r="Q95" s="129">
        <v>0</v>
      </c>
      <c r="R95" s="129">
        <v>4.4880000000000003E-2</v>
      </c>
      <c r="S95" s="128">
        <v>1.77</v>
      </c>
      <c r="T95" s="129">
        <v>2.104E-2</v>
      </c>
      <c r="U95" s="129">
        <v>4.1799999999999997E-3</v>
      </c>
      <c r="V95" s="129">
        <v>4.6120000000000001E-2</v>
      </c>
      <c r="W95" s="129">
        <v>0</v>
      </c>
      <c r="X95" s="128">
        <v>1.77</v>
      </c>
      <c r="Y95" s="129">
        <v>3.85E-2</v>
      </c>
      <c r="Z95" s="129">
        <v>1.762E-2</v>
      </c>
      <c r="AA95" s="129">
        <v>0</v>
      </c>
      <c r="AB95" s="129">
        <v>4.9779999999999998E-2</v>
      </c>
      <c r="AC95" s="128">
        <v>1.77</v>
      </c>
      <c r="AD95" s="129">
        <v>3.1100000000000003E-2</v>
      </c>
      <c r="AE95" s="129">
        <v>9.6600000000000002E-3</v>
      </c>
      <c r="AF95" s="129">
        <v>6.4100000000000004E-2</v>
      </c>
      <c r="AG95" s="129">
        <v>2.0500000000000001E-2</v>
      </c>
      <c r="AH95" s="128">
        <v>1.77</v>
      </c>
      <c r="AI95" s="129">
        <v>2.0479999999999998E-2</v>
      </c>
      <c r="AJ95" s="129">
        <v>5.64E-3</v>
      </c>
      <c r="AK95" s="129">
        <v>4.48E-2</v>
      </c>
      <c r="AL95" s="129">
        <v>1.0800000000000001E-2</v>
      </c>
      <c r="AM95" s="128">
        <v>1.77</v>
      </c>
      <c r="AN95" s="129">
        <v>2.8920000000000001E-2</v>
      </c>
      <c r="AO95" s="129">
        <v>1.0659999999999999E-2</v>
      </c>
      <c r="AP95" s="129">
        <v>5.8659999999999997E-2</v>
      </c>
      <c r="AQ95" s="129">
        <v>2.496E-2</v>
      </c>
      <c r="AR95" s="128">
        <v>1.77</v>
      </c>
      <c r="AS95" s="129">
        <v>1.9619999999999999E-2</v>
      </c>
      <c r="AT95" s="129">
        <v>6.2399999999999999E-3</v>
      </c>
      <c r="AU95" s="129">
        <v>4.2779999999999999E-2</v>
      </c>
      <c r="AV95" s="129">
        <v>1.37E-2</v>
      </c>
      <c r="AW95" s="128"/>
      <c r="AX95" s="129"/>
      <c r="AY95" s="129"/>
      <c r="AZ95" s="129"/>
      <c r="BA95" s="129"/>
      <c r="BB95" s="128"/>
      <c r="BC95" s="129"/>
      <c r="BD95" s="129"/>
      <c r="BE95" s="129"/>
      <c r="BF95" s="129"/>
    </row>
    <row r="96" spans="4:58" ht="15.75">
      <c r="D96" s="128">
        <v>1.78</v>
      </c>
      <c r="E96" s="129">
        <v>4.854E-2</v>
      </c>
      <c r="F96" s="129">
        <v>1.5200000000000002E-2</v>
      </c>
      <c r="G96" s="129">
        <v>0</v>
      </c>
      <c r="H96" s="129">
        <v>0</v>
      </c>
      <c r="I96" s="128">
        <v>1.78</v>
      </c>
      <c r="J96" s="129">
        <v>3.2719999999999999E-2</v>
      </c>
      <c r="K96" s="129">
        <v>7.7000000000000002E-3</v>
      </c>
      <c r="L96" s="129">
        <v>6.7479999999999998E-2</v>
      </c>
      <c r="M96" s="129">
        <v>0</v>
      </c>
      <c r="N96" s="128">
        <v>1.78</v>
      </c>
      <c r="O96" s="129">
        <v>4.4360000000000004E-2</v>
      </c>
      <c r="P96" s="129">
        <v>1.7559999999999999E-2</v>
      </c>
      <c r="Q96" s="129">
        <v>0</v>
      </c>
      <c r="R96" s="129">
        <v>4.4319999999999998E-2</v>
      </c>
      <c r="S96" s="128">
        <v>1.78</v>
      </c>
      <c r="T96" s="129">
        <v>2.0959999999999999E-2</v>
      </c>
      <c r="U96" s="129">
        <v>4.1200000000000004E-3</v>
      </c>
      <c r="V96" s="129">
        <v>4.5880000000000004E-2</v>
      </c>
      <c r="W96" s="129">
        <v>0</v>
      </c>
      <c r="X96" s="128">
        <v>1.78</v>
      </c>
      <c r="Y96" s="129">
        <v>3.8600000000000002E-2</v>
      </c>
      <c r="Z96" s="129">
        <v>1.7479999999999999E-2</v>
      </c>
      <c r="AA96" s="129">
        <v>0</v>
      </c>
      <c r="AB96" s="129">
        <v>4.9320000000000003E-2</v>
      </c>
      <c r="AC96" s="128">
        <v>1.78</v>
      </c>
      <c r="AD96" s="129">
        <v>3.1E-2</v>
      </c>
      <c r="AE96" s="129">
        <v>9.6399999999999993E-3</v>
      </c>
      <c r="AF96" s="129">
        <v>6.3899999999999998E-2</v>
      </c>
      <c r="AG96" s="129">
        <v>2.0199999999999999E-2</v>
      </c>
      <c r="AH96" s="128">
        <v>1.78</v>
      </c>
      <c r="AI96" s="129">
        <v>2.0420000000000001E-2</v>
      </c>
      <c r="AJ96" s="129">
        <v>5.5599999999999998E-3</v>
      </c>
      <c r="AK96" s="129">
        <v>4.4600000000000001E-2</v>
      </c>
      <c r="AL96" s="129">
        <v>1.06E-2</v>
      </c>
      <c r="AM96" s="128">
        <v>1.78</v>
      </c>
      <c r="AN96" s="129">
        <v>2.8879999999999999E-2</v>
      </c>
      <c r="AO96" s="129">
        <v>1.0540000000000001E-2</v>
      </c>
      <c r="AP96" s="129">
        <v>5.8540000000000002E-2</v>
      </c>
      <c r="AQ96" s="129">
        <v>2.4640000000000002E-2</v>
      </c>
      <c r="AR96" s="128">
        <v>1.78</v>
      </c>
      <c r="AS96" s="129">
        <v>1.958E-2</v>
      </c>
      <c r="AT96" s="129">
        <v>6.1600000000000005E-3</v>
      </c>
      <c r="AU96" s="129">
        <v>4.2619999999999998E-2</v>
      </c>
      <c r="AV96" s="129">
        <v>1.35E-2</v>
      </c>
      <c r="AW96" s="128"/>
      <c r="AX96" s="129"/>
      <c r="AY96" s="129"/>
      <c r="AZ96" s="129"/>
      <c r="BA96" s="129"/>
      <c r="BB96" s="128"/>
      <c r="BC96" s="129"/>
      <c r="BD96" s="129"/>
      <c r="BE96" s="129"/>
      <c r="BF96" s="129"/>
    </row>
    <row r="97" spans="4:58" ht="15.75">
      <c r="D97" s="128">
        <v>1.79</v>
      </c>
      <c r="E97" s="129">
        <v>4.8520000000000001E-2</v>
      </c>
      <c r="F97" s="129">
        <v>1.5000000000000001E-2</v>
      </c>
      <c r="G97" s="129">
        <v>0</v>
      </c>
      <c r="H97" s="129">
        <v>0</v>
      </c>
      <c r="I97" s="128">
        <v>1.79</v>
      </c>
      <c r="J97" s="129">
        <v>3.2659999999999995E-2</v>
      </c>
      <c r="K97" s="129">
        <v>7.6E-3</v>
      </c>
      <c r="L97" s="129">
        <v>6.7140000000000005E-2</v>
      </c>
      <c r="M97" s="129">
        <v>0</v>
      </c>
      <c r="N97" s="128">
        <v>1.79</v>
      </c>
      <c r="O97" s="129">
        <v>4.4380000000000003E-2</v>
      </c>
      <c r="P97" s="129">
        <v>1.738E-2</v>
      </c>
      <c r="Q97" s="129">
        <v>0</v>
      </c>
      <c r="R97" s="129">
        <v>4.376E-2</v>
      </c>
      <c r="S97" s="128">
        <v>1.79</v>
      </c>
      <c r="T97" s="129">
        <v>2.0879999999999999E-2</v>
      </c>
      <c r="U97" s="129">
        <v>4.0600000000000002E-3</v>
      </c>
      <c r="V97" s="129">
        <v>4.564E-2</v>
      </c>
      <c r="W97" s="129">
        <v>0</v>
      </c>
      <c r="X97" s="128">
        <v>1.79</v>
      </c>
      <c r="Y97" s="129">
        <v>3.8699999999999998E-2</v>
      </c>
      <c r="Z97" s="129">
        <v>1.7340000000000001E-2</v>
      </c>
      <c r="AA97" s="129">
        <v>0</v>
      </c>
      <c r="AB97" s="129">
        <v>4.8860000000000001E-2</v>
      </c>
      <c r="AC97" s="128">
        <v>1.79</v>
      </c>
      <c r="AD97" s="129">
        <v>3.09E-2</v>
      </c>
      <c r="AE97" s="129">
        <v>9.6200000000000001E-3</v>
      </c>
      <c r="AF97" s="129">
        <v>6.3700000000000007E-2</v>
      </c>
      <c r="AG97" s="129">
        <v>1.9900000000000001E-2</v>
      </c>
      <c r="AH97" s="128">
        <v>1.79</v>
      </c>
      <c r="AI97" s="129">
        <v>2.036E-2</v>
      </c>
      <c r="AJ97" s="129">
        <v>5.4800000000000005E-3</v>
      </c>
      <c r="AK97" s="129">
        <v>4.4400000000000002E-2</v>
      </c>
      <c r="AL97" s="129">
        <v>1.0400000000000001E-2</v>
      </c>
      <c r="AM97" s="128">
        <v>1.79</v>
      </c>
      <c r="AN97" s="129">
        <v>2.8840000000000001E-2</v>
      </c>
      <c r="AO97" s="129">
        <v>1.042E-2</v>
      </c>
      <c r="AP97" s="129">
        <v>5.842E-2</v>
      </c>
      <c r="AQ97" s="129">
        <v>2.4320000000000001E-2</v>
      </c>
      <c r="AR97" s="128">
        <v>1.79</v>
      </c>
      <c r="AS97" s="129">
        <v>1.9539999999999998E-2</v>
      </c>
      <c r="AT97" s="129">
        <v>6.0800000000000003E-3</v>
      </c>
      <c r="AU97" s="129">
        <v>4.2459999999999998E-2</v>
      </c>
      <c r="AV97" s="129">
        <v>1.3300000000000001E-2</v>
      </c>
      <c r="AW97" s="128"/>
      <c r="AX97" s="129"/>
      <c r="AY97" s="129"/>
      <c r="AZ97" s="129"/>
      <c r="BA97" s="129"/>
      <c r="BB97" s="128"/>
      <c r="BC97" s="129"/>
      <c r="BD97" s="129"/>
      <c r="BE97" s="129"/>
      <c r="BF97" s="129"/>
    </row>
    <row r="98" spans="4:58" ht="15.75">
      <c r="D98" s="126">
        <v>1.8</v>
      </c>
      <c r="E98" s="127">
        <v>4.8500000000000001E-2</v>
      </c>
      <c r="F98" s="127">
        <v>1.4800000000000001E-2</v>
      </c>
      <c r="G98" s="129">
        <v>0</v>
      </c>
      <c r="H98" s="129">
        <v>0</v>
      </c>
      <c r="I98" s="126">
        <v>1.8</v>
      </c>
      <c r="J98" s="127">
        <v>3.2599999999999997E-2</v>
      </c>
      <c r="K98" s="127">
        <v>7.4999999999999997E-3</v>
      </c>
      <c r="L98" s="127">
        <v>6.6799999999999998E-2</v>
      </c>
      <c r="M98" s="129">
        <v>0</v>
      </c>
      <c r="N98" s="126">
        <v>1.8</v>
      </c>
      <c r="O98" s="127">
        <v>4.4400000000000002E-2</v>
      </c>
      <c r="P98" s="127">
        <v>1.72E-2</v>
      </c>
      <c r="Q98" s="129">
        <v>0</v>
      </c>
      <c r="R98" s="127">
        <v>4.3200000000000002E-2</v>
      </c>
      <c r="S98" s="126">
        <v>1.8</v>
      </c>
      <c r="T98" s="127">
        <v>2.0799999999999999E-2</v>
      </c>
      <c r="U98" s="127">
        <v>4.0000000000000001E-3</v>
      </c>
      <c r="V98" s="127">
        <v>4.5400000000000003E-2</v>
      </c>
      <c r="W98" s="129">
        <v>0</v>
      </c>
      <c r="X98" s="126">
        <v>1.8</v>
      </c>
      <c r="Y98" s="127">
        <v>3.8800000000000001E-2</v>
      </c>
      <c r="Z98" s="127">
        <v>1.72E-2</v>
      </c>
      <c r="AA98" s="129">
        <v>0</v>
      </c>
      <c r="AB98" s="127">
        <v>4.8399999999999999E-2</v>
      </c>
      <c r="AC98" s="126">
        <v>1.8</v>
      </c>
      <c r="AD98" s="127">
        <v>3.0800000000000001E-2</v>
      </c>
      <c r="AE98" s="127">
        <v>9.5999999999999992E-3</v>
      </c>
      <c r="AF98" s="127">
        <v>6.3500000000000001E-2</v>
      </c>
      <c r="AG98" s="127">
        <v>1.9599999999999999E-2</v>
      </c>
      <c r="AH98" s="126">
        <v>1.8</v>
      </c>
      <c r="AI98" s="127">
        <v>2.0299999999999999E-2</v>
      </c>
      <c r="AJ98" s="127">
        <v>5.4000000000000003E-3</v>
      </c>
      <c r="AK98" s="127">
        <v>4.4200000000000003E-2</v>
      </c>
      <c r="AL98" s="127">
        <v>1.0200000000000001E-2</v>
      </c>
      <c r="AM98" s="126">
        <v>1.8</v>
      </c>
      <c r="AN98" s="127">
        <v>2.8799999999999999E-2</v>
      </c>
      <c r="AO98" s="127">
        <v>1.03E-2</v>
      </c>
      <c r="AP98" s="127">
        <v>5.8299999999999998E-2</v>
      </c>
      <c r="AQ98" s="127">
        <v>2.4E-2</v>
      </c>
      <c r="AR98" s="126">
        <v>1.8</v>
      </c>
      <c r="AS98" s="127">
        <v>1.95E-2</v>
      </c>
      <c r="AT98" s="127">
        <v>6.0000000000000001E-3</v>
      </c>
      <c r="AU98" s="127">
        <v>4.2299999999999997E-2</v>
      </c>
      <c r="AV98" s="127">
        <v>1.3100000000000001E-2</v>
      </c>
      <c r="AW98" s="126"/>
      <c r="AX98" s="127"/>
      <c r="AY98" s="127"/>
      <c r="AZ98" s="127"/>
      <c r="BA98" s="127"/>
      <c r="BB98" s="126"/>
      <c r="BC98" s="127"/>
      <c r="BD98" s="127"/>
      <c r="BE98" s="127"/>
      <c r="BF98" s="127"/>
    </row>
    <row r="99" spans="4:58" ht="15.75">
      <c r="D99" s="128">
        <v>1.81</v>
      </c>
      <c r="E99" s="129">
        <v>4.8480000000000002E-2</v>
      </c>
      <c r="F99" s="129">
        <v>1.464E-2</v>
      </c>
      <c r="G99" s="129">
        <v>0</v>
      </c>
      <c r="H99" s="129">
        <v>0</v>
      </c>
      <c r="I99" s="128">
        <v>1.81</v>
      </c>
      <c r="J99" s="129">
        <v>3.2499999999999994E-2</v>
      </c>
      <c r="K99" s="129">
        <v>7.3799999999999994E-3</v>
      </c>
      <c r="L99" s="129">
        <v>6.6500000000000004E-2</v>
      </c>
      <c r="M99" s="129">
        <v>0</v>
      </c>
      <c r="N99" s="128">
        <v>1.81</v>
      </c>
      <c r="O99" s="129">
        <v>4.4420000000000001E-2</v>
      </c>
      <c r="P99" s="129">
        <v>1.7059999999999999E-2</v>
      </c>
      <c r="Q99" s="129">
        <v>0</v>
      </c>
      <c r="R99" s="129">
        <v>4.2700000000000002E-2</v>
      </c>
      <c r="S99" s="128">
        <v>1.81</v>
      </c>
      <c r="T99" s="129">
        <v>2.0719999999999999E-2</v>
      </c>
      <c r="U99" s="129">
        <v>3.9399999999999999E-3</v>
      </c>
      <c r="V99" s="129">
        <v>4.5180000000000005E-2</v>
      </c>
      <c r="W99" s="129">
        <v>0</v>
      </c>
      <c r="X99" s="128">
        <v>1.81</v>
      </c>
      <c r="Y99" s="129">
        <v>3.8900000000000004E-2</v>
      </c>
      <c r="Z99" s="129">
        <v>1.7059999999999999E-2</v>
      </c>
      <c r="AA99" s="129">
        <v>0</v>
      </c>
      <c r="AB99" s="129">
        <v>4.7939999999999997E-2</v>
      </c>
      <c r="AC99" s="128">
        <v>1.81</v>
      </c>
      <c r="AD99" s="129">
        <v>3.0759999999999999E-2</v>
      </c>
      <c r="AE99" s="129">
        <v>9.4599999999999997E-3</v>
      </c>
      <c r="AF99" s="129">
        <v>6.3240000000000005E-2</v>
      </c>
      <c r="AG99" s="129">
        <v>1.934E-2</v>
      </c>
      <c r="AH99" s="128">
        <v>1.81</v>
      </c>
      <c r="AI99" s="129">
        <v>2.0239999999999998E-2</v>
      </c>
      <c r="AJ99" s="129">
        <v>5.3200000000000001E-3</v>
      </c>
      <c r="AK99" s="129">
        <v>4.4000000000000004E-2</v>
      </c>
      <c r="AL99" s="129">
        <v>1.0060000000000001E-2</v>
      </c>
      <c r="AM99" s="128">
        <v>1.81</v>
      </c>
      <c r="AN99" s="129">
        <v>2.8760000000000001E-2</v>
      </c>
      <c r="AO99" s="129">
        <v>1.018E-2</v>
      </c>
      <c r="AP99" s="129">
        <v>5.8159999999999996E-2</v>
      </c>
      <c r="AQ99" s="129">
        <v>2.3699999999999999E-2</v>
      </c>
      <c r="AR99" s="128">
        <v>1.81</v>
      </c>
      <c r="AS99" s="129">
        <v>1.9439999999999999E-2</v>
      </c>
      <c r="AT99" s="129">
        <v>5.9199999999999999E-3</v>
      </c>
      <c r="AU99" s="129">
        <v>4.2139999999999997E-2</v>
      </c>
      <c r="AV99" s="129">
        <v>1.2920000000000001E-2</v>
      </c>
      <c r="AW99" s="128"/>
      <c r="AX99" s="129"/>
      <c r="AY99" s="129"/>
      <c r="AZ99" s="129"/>
      <c r="BA99" s="129"/>
      <c r="BB99" s="128"/>
      <c r="BC99" s="129"/>
      <c r="BD99" s="129"/>
      <c r="BE99" s="129"/>
      <c r="BF99" s="129"/>
    </row>
    <row r="100" spans="4:58" ht="15.75">
      <c r="D100" s="128">
        <v>1.82</v>
      </c>
      <c r="E100" s="129">
        <v>4.8460000000000003E-2</v>
      </c>
      <c r="F100" s="129">
        <v>1.448E-2</v>
      </c>
      <c r="G100" s="129">
        <v>0</v>
      </c>
      <c r="H100" s="129">
        <v>0</v>
      </c>
      <c r="I100" s="128">
        <v>1.82</v>
      </c>
      <c r="J100" s="129">
        <v>3.2399999999999998E-2</v>
      </c>
      <c r="K100" s="129">
        <v>7.26E-3</v>
      </c>
      <c r="L100" s="129">
        <v>6.6199999999999995E-2</v>
      </c>
      <c r="M100" s="129">
        <v>0</v>
      </c>
      <c r="N100" s="128">
        <v>1.82</v>
      </c>
      <c r="O100" s="129">
        <v>4.444E-2</v>
      </c>
      <c r="P100" s="129">
        <v>1.6920000000000001E-2</v>
      </c>
      <c r="Q100" s="129">
        <v>0</v>
      </c>
      <c r="R100" s="129">
        <v>4.2200000000000001E-2</v>
      </c>
      <c r="S100" s="128">
        <v>1.82</v>
      </c>
      <c r="T100" s="129">
        <v>2.0639999999999999E-2</v>
      </c>
      <c r="U100" s="129">
        <v>3.8800000000000002E-3</v>
      </c>
      <c r="V100" s="129">
        <v>4.496E-2</v>
      </c>
      <c r="W100" s="129">
        <v>0</v>
      </c>
      <c r="X100" s="128">
        <v>1.82</v>
      </c>
      <c r="Y100" s="129">
        <v>3.9E-2</v>
      </c>
      <c r="Z100" s="129">
        <v>1.6920000000000001E-2</v>
      </c>
      <c r="AA100" s="129">
        <v>0</v>
      </c>
      <c r="AB100" s="129">
        <v>4.7480000000000001E-2</v>
      </c>
      <c r="AC100" s="128">
        <v>1.82</v>
      </c>
      <c r="AD100" s="129">
        <v>3.0720000000000001E-2</v>
      </c>
      <c r="AE100" s="129">
        <v>9.3200000000000002E-3</v>
      </c>
      <c r="AF100" s="129">
        <v>6.2979999999999994E-2</v>
      </c>
      <c r="AG100" s="129">
        <v>1.908E-2</v>
      </c>
      <c r="AH100" s="128">
        <v>1.82</v>
      </c>
      <c r="AI100" s="129">
        <v>2.018E-2</v>
      </c>
      <c r="AJ100" s="129">
        <v>5.2399999999999999E-3</v>
      </c>
      <c r="AK100" s="129">
        <v>4.3800000000000006E-2</v>
      </c>
      <c r="AL100" s="129">
        <v>9.92E-3</v>
      </c>
      <c r="AM100" s="128">
        <v>1.82</v>
      </c>
      <c r="AN100" s="129">
        <v>2.8719999999999999E-2</v>
      </c>
      <c r="AO100" s="129">
        <v>1.0059999999999999E-2</v>
      </c>
      <c r="AP100" s="129">
        <v>5.8019999999999995E-2</v>
      </c>
      <c r="AQ100" s="129">
        <v>2.3400000000000001E-2</v>
      </c>
      <c r="AR100" s="128">
        <v>1.82</v>
      </c>
      <c r="AS100" s="129">
        <v>1.9379999999999998E-2</v>
      </c>
      <c r="AT100" s="129">
        <v>5.8399999999999997E-3</v>
      </c>
      <c r="AU100" s="129">
        <v>4.1979999999999996E-2</v>
      </c>
      <c r="AV100" s="129">
        <v>1.2740000000000001E-2</v>
      </c>
      <c r="AW100" s="128"/>
      <c r="AX100" s="129"/>
      <c r="AY100" s="129"/>
      <c r="AZ100" s="129"/>
      <c r="BA100" s="129"/>
      <c r="BB100" s="128"/>
      <c r="BC100" s="129"/>
      <c r="BD100" s="129"/>
      <c r="BE100" s="129"/>
      <c r="BF100" s="129"/>
    </row>
    <row r="101" spans="4:58" ht="15.75">
      <c r="D101" s="128">
        <v>1.83</v>
      </c>
      <c r="E101" s="129">
        <v>4.8439999999999997E-2</v>
      </c>
      <c r="F101" s="129">
        <v>1.4320000000000001E-2</v>
      </c>
      <c r="G101" s="129">
        <v>0</v>
      </c>
      <c r="H101" s="129">
        <v>0</v>
      </c>
      <c r="I101" s="128">
        <v>1.83</v>
      </c>
      <c r="J101" s="129">
        <v>3.2299999999999995E-2</v>
      </c>
      <c r="K101" s="129">
        <v>7.1399999999999996E-3</v>
      </c>
      <c r="L101" s="129">
        <v>6.59E-2</v>
      </c>
      <c r="M101" s="129">
        <v>0</v>
      </c>
      <c r="N101" s="128">
        <v>1.83</v>
      </c>
      <c r="O101" s="129">
        <v>4.446E-2</v>
      </c>
      <c r="P101" s="129">
        <v>1.678E-2</v>
      </c>
      <c r="Q101" s="129">
        <v>0</v>
      </c>
      <c r="R101" s="129">
        <v>4.1700000000000001E-2</v>
      </c>
      <c r="S101" s="128">
        <v>1.83</v>
      </c>
      <c r="T101" s="129">
        <v>2.0560000000000002E-2</v>
      </c>
      <c r="U101" s="129">
        <v>3.82E-3</v>
      </c>
      <c r="V101" s="129">
        <v>4.4740000000000002E-2</v>
      </c>
      <c r="W101" s="129">
        <v>0</v>
      </c>
      <c r="X101" s="128">
        <v>1.83</v>
      </c>
      <c r="Y101" s="129">
        <v>3.9100000000000003E-2</v>
      </c>
      <c r="Z101" s="129">
        <v>1.678E-2</v>
      </c>
      <c r="AA101" s="129">
        <v>0</v>
      </c>
      <c r="AB101" s="129">
        <v>4.7019999999999999E-2</v>
      </c>
      <c r="AC101" s="128">
        <v>1.83</v>
      </c>
      <c r="AD101" s="129">
        <v>3.0679999999999999E-2</v>
      </c>
      <c r="AE101" s="129">
        <v>9.1799999999999989E-3</v>
      </c>
      <c r="AF101" s="129">
        <v>6.2719999999999998E-2</v>
      </c>
      <c r="AG101" s="129">
        <v>1.882E-2</v>
      </c>
      <c r="AH101" s="128">
        <v>1.83</v>
      </c>
      <c r="AI101" s="129">
        <v>2.0119999999999999E-2</v>
      </c>
      <c r="AJ101" s="129">
        <v>5.1600000000000005E-3</v>
      </c>
      <c r="AK101" s="129">
        <v>4.36E-2</v>
      </c>
      <c r="AL101" s="129">
        <v>9.7800000000000005E-3</v>
      </c>
      <c r="AM101" s="128">
        <v>1.83</v>
      </c>
      <c r="AN101" s="129">
        <v>2.8680000000000001E-2</v>
      </c>
      <c r="AO101" s="129">
        <v>9.9400000000000009E-3</v>
      </c>
      <c r="AP101" s="129">
        <v>5.7880000000000001E-2</v>
      </c>
      <c r="AQ101" s="129">
        <v>2.3099999999999999E-2</v>
      </c>
      <c r="AR101" s="128">
        <v>1.83</v>
      </c>
      <c r="AS101" s="129">
        <v>1.932E-2</v>
      </c>
      <c r="AT101" s="129">
        <v>5.7600000000000004E-3</v>
      </c>
      <c r="AU101" s="129">
        <v>4.1820000000000003E-2</v>
      </c>
      <c r="AV101" s="129">
        <v>1.256E-2</v>
      </c>
      <c r="AW101" s="128"/>
      <c r="AX101" s="129"/>
      <c r="AY101" s="129"/>
      <c r="AZ101" s="129"/>
      <c r="BA101" s="129"/>
      <c r="BB101" s="128"/>
      <c r="BC101" s="129"/>
      <c r="BD101" s="129"/>
      <c r="BE101" s="129"/>
      <c r="BF101" s="129"/>
    </row>
    <row r="102" spans="4:58" ht="15.75">
      <c r="D102" s="128">
        <v>1.84</v>
      </c>
      <c r="E102" s="129">
        <v>4.8419999999999998E-2</v>
      </c>
      <c r="F102" s="129">
        <v>1.4160000000000001E-2</v>
      </c>
      <c r="G102" s="129">
        <v>0</v>
      </c>
      <c r="H102" s="129">
        <v>0</v>
      </c>
      <c r="I102" s="128">
        <v>1.84</v>
      </c>
      <c r="J102" s="129">
        <v>3.2199999999999999E-2</v>
      </c>
      <c r="K102" s="129">
        <v>7.0200000000000002E-3</v>
      </c>
      <c r="L102" s="129">
        <v>6.5599999999999992E-2</v>
      </c>
      <c r="M102" s="129">
        <v>0</v>
      </c>
      <c r="N102" s="128">
        <v>1.84</v>
      </c>
      <c r="O102" s="129">
        <v>4.4479999999999999E-2</v>
      </c>
      <c r="P102" s="129">
        <v>1.6640000000000002E-2</v>
      </c>
      <c r="Q102" s="129">
        <v>0</v>
      </c>
      <c r="R102" s="129">
        <v>4.1200000000000001E-2</v>
      </c>
      <c r="S102" s="128">
        <v>1.84</v>
      </c>
      <c r="T102" s="129">
        <v>2.0480000000000002E-2</v>
      </c>
      <c r="U102" s="129">
        <v>3.7600000000000003E-3</v>
      </c>
      <c r="V102" s="129">
        <v>4.4519999999999997E-2</v>
      </c>
      <c r="W102" s="129">
        <v>0</v>
      </c>
      <c r="X102" s="128">
        <v>1.84</v>
      </c>
      <c r="Y102" s="129">
        <v>3.9199999999999999E-2</v>
      </c>
      <c r="Z102" s="129">
        <v>1.6640000000000002E-2</v>
      </c>
      <c r="AA102" s="129">
        <v>0</v>
      </c>
      <c r="AB102" s="129">
        <v>4.6560000000000004E-2</v>
      </c>
      <c r="AC102" s="128">
        <v>1.84</v>
      </c>
      <c r="AD102" s="129">
        <v>3.0640000000000001E-2</v>
      </c>
      <c r="AE102" s="129">
        <v>9.0399999999999994E-3</v>
      </c>
      <c r="AF102" s="129">
        <v>6.2460000000000002E-2</v>
      </c>
      <c r="AG102" s="129">
        <v>1.856E-2</v>
      </c>
      <c r="AH102" s="128">
        <v>1.84</v>
      </c>
      <c r="AI102" s="129">
        <v>2.0060000000000001E-2</v>
      </c>
      <c r="AJ102" s="129">
        <v>5.0800000000000003E-3</v>
      </c>
      <c r="AK102" s="129">
        <v>4.3400000000000001E-2</v>
      </c>
      <c r="AL102" s="129">
        <v>9.6399999999999993E-3</v>
      </c>
      <c r="AM102" s="128">
        <v>1.84</v>
      </c>
      <c r="AN102" s="129">
        <v>2.8639999999999999E-2</v>
      </c>
      <c r="AO102" s="129">
        <v>9.8200000000000006E-3</v>
      </c>
      <c r="AP102" s="129">
        <v>5.774E-2</v>
      </c>
      <c r="AQ102" s="129">
        <v>2.2800000000000001E-2</v>
      </c>
      <c r="AR102" s="128">
        <v>1.84</v>
      </c>
      <c r="AS102" s="129">
        <v>1.9259999999999999E-2</v>
      </c>
      <c r="AT102" s="129">
        <v>5.6800000000000002E-3</v>
      </c>
      <c r="AU102" s="129">
        <v>4.1660000000000003E-2</v>
      </c>
      <c r="AV102" s="129">
        <v>1.238E-2</v>
      </c>
      <c r="AW102" s="128"/>
      <c r="AX102" s="129"/>
      <c r="AY102" s="129"/>
      <c r="AZ102" s="129"/>
      <c r="BA102" s="129"/>
      <c r="BB102" s="128"/>
      <c r="BC102" s="129"/>
      <c r="BD102" s="129"/>
      <c r="BE102" s="129"/>
      <c r="BF102" s="129"/>
    </row>
    <row r="103" spans="4:58" ht="15.75">
      <c r="D103" s="126">
        <v>1.85</v>
      </c>
      <c r="E103" s="127">
        <v>4.8399999999999999E-2</v>
      </c>
      <c r="F103" s="127">
        <v>1.4E-2</v>
      </c>
      <c r="G103" s="129">
        <v>0</v>
      </c>
      <c r="H103" s="129">
        <v>0</v>
      </c>
      <c r="I103" s="126">
        <v>1.85</v>
      </c>
      <c r="J103" s="127">
        <v>3.2099999999999997E-2</v>
      </c>
      <c r="K103" s="127">
        <v>6.8999999999999999E-3</v>
      </c>
      <c r="L103" s="127">
        <v>6.5299999999999997E-2</v>
      </c>
      <c r="M103" s="129">
        <v>0</v>
      </c>
      <c r="N103" s="126">
        <v>1.85</v>
      </c>
      <c r="O103" s="127">
        <v>4.4499999999999998E-2</v>
      </c>
      <c r="P103" s="127">
        <v>1.6500000000000001E-2</v>
      </c>
      <c r="Q103" s="129">
        <v>0</v>
      </c>
      <c r="R103" s="127">
        <v>4.07E-2</v>
      </c>
      <c r="S103" s="126">
        <v>1.85</v>
      </c>
      <c r="T103" s="127">
        <v>2.0400000000000001E-2</v>
      </c>
      <c r="U103" s="127">
        <v>3.7000000000000002E-3</v>
      </c>
      <c r="V103" s="127">
        <v>4.4299999999999999E-2</v>
      </c>
      <c r="W103" s="129">
        <v>0</v>
      </c>
      <c r="X103" s="126">
        <v>1.85</v>
      </c>
      <c r="Y103" s="127">
        <v>3.9300000000000002E-2</v>
      </c>
      <c r="Z103" s="127">
        <v>1.6500000000000001E-2</v>
      </c>
      <c r="AA103" s="129">
        <v>0</v>
      </c>
      <c r="AB103" s="127">
        <v>4.6100000000000002E-2</v>
      </c>
      <c r="AC103" s="126">
        <v>1.85</v>
      </c>
      <c r="AD103" s="127">
        <v>3.0599999999999999E-2</v>
      </c>
      <c r="AE103" s="127">
        <v>8.8999999999999999E-3</v>
      </c>
      <c r="AF103" s="127">
        <v>6.2199999999999998E-2</v>
      </c>
      <c r="AG103" s="127">
        <v>1.83E-2</v>
      </c>
      <c r="AH103" s="126">
        <v>1.85</v>
      </c>
      <c r="AI103" s="127">
        <v>0.02</v>
      </c>
      <c r="AJ103" s="127">
        <v>5.0000000000000001E-3</v>
      </c>
      <c r="AK103" s="127">
        <v>4.3200000000000002E-2</v>
      </c>
      <c r="AL103" s="127">
        <v>9.4999999999999998E-3</v>
      </c>
      <c r="AM103" s="126">
        <v>1.85</v>
      </c>
      <c r="AN103" s="127">
        <v>2.86E-2</v>
      </c>
      <c r="AO103" s="127">
        <v>9.7000000000000003E-3</v>
      </c>
      <c r="AP103" s="127">
        <v>5.7599999999999998E-2</v>
      </c>
      <c r="AQ103" s="127">
        <v>2.2499999999999999E-2</v>
      </c>
      <c r="AR103" s="126">
        <v>1.85</v>
      </c>
      <c r="AS103" s="127">
        <v>1.9199999999999998E-2</v>
      </c>
      <c r="AT103" s="127">
        <v>5.5999999999999999E-3</v>
      </c>
      <c r="AU103" s="127">
        <v>4.1500000000000002E-2</v>
      </c>
      <c r="AV103" s="127">
        <v>1.2200000000000001E-2</v>
      </c>
      <c r="AW103" s="126"/>
      <c r="AX103" s="127"/>
      <c r="AY103" s="127"/>
      <c r="AZ103" s="127"/>
      <c r="BA103" s="127"/>
      <c r="BB103" s="126"/>
      <c r="BC103" s="127"/>
      <c r="BD103" s="127"/>
      <c r="BE103" s="127"/>
      <c r="BF103" s="127"/>
    </row>
    <row r="104" spans="4:58" ht="15.75">
      <c r="D104" s="128">
        <v>1.86</v>
      </c>
      <c r="E104" s="129">
        <v>4.8320000000000002E-2</v>
      </c>
      <c r="F104" s="129">
        <v>1.3859999999999999E-2</v>
      </c>
      <c r="G104" s="129">
        <v>0</v>
      </c>
      <c r="H104" s="129">
        <v>0</v>
      </c>
      <c r="I104" s="128">
        <v>1.86</v>
      </c>
      <c r="J104" s="129">
        <v>3.2000000000000001E-2</v>
      </c>
      <c r="K104" s="129">
        <v>6.7999999999999996E-3</v>
      </c>
      <c r="L104" s="129">
        <v>6.5000000000000002E-2</v>
      </c>
      <c r="M104" s="129">
        <v>0</v>
      </c>
      <c r="N104" s="128">
        <v>1.86</v>
      </c>
      <c r="O104" s="129">
        <v>4.4499999999999998E-2</v>
      </c>
      <c r="P104" s="129">
        <v>1.634E-2</v>
      </c>
      <c r="Q104" s="129">
        <v>0</v>
      </c>
      <c r="R104" s="129">
        <v>3.9199999999999992E-2</v>
      </c>
      <c r="S104" s="128">
        <v>1.86</v>
      </c>
      <c r="T104" s="129">
        <v>2.0300000000000002E-2</v>
      </c>
      <c r="U104" s="129">
        <v>3.64E-3</v>
      </c>
      <c r="V104" s="129">
        <v>4.4080000000000001E-2</v>
      </c>
      <c r="W104" s="129">
        <v>0</v>
      </c>
      <c r="X104" s="128">
        <v>1.86</v>
      </c>
      <c r="Y104" s="129">
        <v>3.9359999999999999E-2</v>
      </c>
      <c r="Z104" s="129">
        <v>1.636E-2</v>
      </c>
      <c r="AA104" s="129">
        <v>0</v>
      </c>
      <c r="AB104" s="129">
        <v>4.5659999999999999E-2</v>
      </c>
      <c r="AC104" s="128">
        <v>1.86</v>
      </c>
      <c r="AD104" s="129">
        <v>3.0519999999999999E-2</v>
      </c>
      <c r="AE104" s="129">
        <v>8.7999999999999988E-3</v>
      </c>
      <c r="AF104" s="129">
        <v>6.2E-2</v>
      </c>
      <c r="AG104" s="129">
        <v>1.8019999999999998E-2</v>
      </c>
      <c r="AH104" s="128">
        <v>1.86</v>
      </c>
      <c r="AI104" s="129">
        <v>1.992E-2</v>
      </c>
      <c r="AJ104" s="129">
        <v>4.9199999999999999E-3</v>
      </c>
      <c r="AK104" s="129">
        <v>4.3000000000000003E-2</v>
      </c>
      <c r="AL104" s="129">
        <v>9.3599999999999985E-3</v>
      </c>
      <c r="AM104" s="128">
        <v>1.86</v>
      </c>
      <c r="AN104" s="129">
        <v>2.8560000000000002E-2</v>
      </c>
      <c r="AO104" s="129">
        <v>9.5999999999999992E-3</v>
      </c>
      <c r="AP104" s="129">
        <v>5.7479999999999996E-2</v>
      </c>
      <c r="AQ104" s="129">
        <v>2.2239999999999999E-2</v>
      </c>
      <c r="AR104" s="128">
        <v>1.86</v>
      </c>
      <c r="AS104" s="129">
        <v>1.916E-2</v>
      </c>
      <c r="AT104" s="129">
        <v>5.5199999999999997E-3</v>
      </c>
      <c r="AU104" s="129">
        <v>4.1360000000000001E-2</v>
      </c>
      <c r="AV104" s="129">
        <v>1.2019999999999999E-2</v>
      </c>
      <c r="AW104" s="128"/>
      <c r="AX104" s="129"/>
      <c r="AY104" s="129"/>
      <c r="AZ104" s="129"/>
      <c r="BA104" s="129"/>
      <c r="BB104" s="128"/>
      <c r="BC104" s="129"/>
      <c r="BD104" s="129"/>
      <c r="BE104" s="129"/>
      <c r="BF104" s="129"/>
    </row>
    <row r="105" spans="4:58" ht="15.75">
      <c r="D105" s="128">
        <v>1.87</v>
      </c>
      <c r="E105" s="129">
        <v>4.8239999999999998E-2</v>
      </c>
      <c r="F105" s="129">
        <v>1.3719999999999998E-2</v>
      </c>
      <c r="G105" s="129">
        <v>0</v>
      </c>
      <c r="H105" s="129">
        <v>0</v>
      </c>
      <c r="I105" s="128">
        <v>1.87</v>
      </c>
      <c r="J105" s="129">
        <v>3.1899999999999998E-2</v>
      </c>
      <c r="K105" s="129">
        <v>6.6999999999999994E-3</v>
      </c>
      <c r="L105" s="129">
        <v>6.4699999999999994E-2</v>
      </c>
      <c r="M105" s="129">
        <v>0</v>
      </c>
      <c r="N105" s="128">
        <v>1.87</v>
      </c>
      <c r="O105" s="129">
        <v>4.4499999999999998E-2</v>
      </c>
      <c r="P105" s="129">
        <v>1.618E-2</v>
      </c>
      <c r="Q105" s="129">
        <v>0</v>
      </c>
      <c r="R105" s="129">
        <v>3.7699999999999984E-2</v>
      </c>
      <c r="S105" s="128">
        <v>1.87</v>
      </c>
      <c r="T105" s="129">
        <v>2.0199999999999999E-2</v>
      </c>
      <c r="U105" s="129">
        <v>3.5799999999999994E-3</v>
      </c>
      <c r="V105" s="129">
        <v>4.3859999999999996E-2</v>
      </c>
      <c r="W105" s="129">
        <v>0</v>
      </c>
      <c r="X105" s="128">
        <v>1.87</v>
      </c>
      <c r="Y105" s="129">
        <v>3.9420000000000004E-2</v>
      </c>
      <c r="Z105" s="129">
        <v>1.6219999999999998E-2</v>
      </c>
      <c r="AA105" s="129">
        <v>0</v>
      </c>
      <c r="AB105" s="129">
        <v>4.5219999999999996E-2</v>
      </c>
      <c r="AC105" s="128">
        <v>1.87</v>
      </c>
      <c r="AD105" s="129">
        <v>3.0439999999999998E-2</v>
      </c>
      <c r="AE105" s="129">
        <v>8.6999999999999994E-3</v>
      </c>
      <c r="AF105" s="129">
        <v>6.1799999999999994E-2</v>
      </c>
      <c r="AG105" s="129">
        <v>1.7739999999999995E-2</v>
      </c>
      <c r="AH105" s="128">
        <v>1.87</v>
      </c>
      <c r="AI105" s="129">
        <v>1.984E-2</v>
      </c>
      <c r="AJ105" s="129">
        <v>4.8399999999999997E-3</v>
      </c>
      <c r="AK105" s="129">
        <v>4.2799999999999998E-2</v>
      </c>
      <c r="AL105" s="129">
        <v>9.219999999999999E-3</v>
      </c>
      <c r="AM105" s="128">
        <v>1.87</v>
      </c>
      <c r="AN105" s="129">
        <v>2.852E-2</v>
      </c>
      <c r="AO105" s="129">
        <v>9.4999999999999998E-3</v>
      </c>
      <c r="AP105" s="129">
        <v>5.7360000000000001E-2</v>
      </c>
      <c r="AQ105" s="129">
        <v>2.1979999999999996E-2</v>
      </c>
      <c r="AR105" s="128">
        <v>1.87</v>
      </c>
      <c r="AS105" s="129">
        <v>1.9119999999999998E-2</v>
      </c>
      <c r="AT105" s="129">
        <v>5.4399999999999995E-3</v>
      </c>
      <c r="AU105" s="129">
        <v>4.122E-2</v>
      </c>
      <c r="AV105" s="129">
        <v>1.1839999999999998E-2</v>
      </c>
      <c r="AW105" s="128"/>
      <c r="AX105" s="129"/>
      <c r="AY105" s="129"/>
      <c r="AZ105" s="129"/>
      <c r="BA105" s="129"/>
      <c r="BB105" s="128"/>
      <c r="BC105" s="129"/>
      <c r="BD105" s="129"/>
      <c r="BE105" s="129"/>
      <c r="BF105" s="129"/>
    </row>
    <row r="106" spans="4:58" ht="15.75">
      <c r="D106" s="128">
        <v>1.88</v>
      </c>
      <c r="E106" s="129">
        <v>4.8160000000000001E-2</v>
      </c>
      <c r="F106" s="129">
        <v>1.3580000000000002E-2</v>
      </c>
      <c r="G106" s="129">
        <v>0</v>
      </c>
      <c r="H106" s="129">
        <v>0</v>
      </c>
      <c r="I106" s="128">
        <v>1.88</v>
      </c>
      <c r="J106" s="129">
        <v>3.1800000000000002E-2</v>
      </c>
      <c r="K106" s="129">
        <v>6.6000000000000008E-3</v>
      </c>
      <c r="L106" s="129">
        <v>6.4399999999999999E-2</v>
      </c>
      <c r="M106" s="129">
        <v>0</v>
      </c>
      <c r="N106" s="128">
        <v>1.88</v>
      </c>
      <c r="O106" s="129">
        <v>4.4499999999999998E-2</v>
      </c>
      <c r="P106" s="129">
        <v>1.602E-2</v>
      </c>
      <c r="Q106" s="129">
        <v>0</v>
      </c>
      <c r="R106" s="129">
        <v>3.620000000000001E-2</v>
      </c>
      <c r="S106" s="128">
        <v>1.88</v>
      </c>
      <c r="T106" s="129">
        <v>2.0100000000000003E-2</v>
      </c>
      <c r="U106" s="129">
        <v>3.5200000000000006E-3</v>
      </c>
      <c r="V106" s="129">
        <v>4.3640000000000005E-2</v>
      </c>
      <c r="W106" s="129">
        <v>0</v>
      </c>
      <c r="X106" s="128">
        <v>1.88</v>
      </c>
      <c r="Y106" s="129">
        <v>3.9480000000000001E-2</v>
      </c>
      <c r="Z106" s="129">
        <v>1.6080000000000004E-2</v>
      </c>
      <c r="AA106" s="129">
        <v>0</v>
      </c>
      <c r="AB106" s="129">
        <v>4.4780000000000007E-2</v>
      </c>
      <c r="AC106" s="128">
        <v>1.88</v>
      </c>
      <c r="AD106" s="129">
        <v>3.0360000000000002E-2</v>
      </c>
      <c r="AE106" s="129">
        <v>8.6E-3</v>
      </c>
      <c r="AF106" s="129">
        <v>6.1600000000000002E-2</v>
      </c>
      <c r="AG106" s="129">
        <v>1.7460000000000003E-2</v>
      </c>
      <c r="AH106" s="128">
        <v>1.88</v>
      </c>
      <c r="AI106" s="129">
        <v>1.976E-2</v>
      </c>
      <c r="AJ106" s="129">
        <v>4.7600000000000003E-3</v>
      </c>
      <c r="AK106" s="129">
        <v>4.2600000000000006E-2</v>
      </c>
      <c r="AL106" s="129">
        <v>9.0800000000000013E-3</v>
      </c>
      <c r="AM106" s="128">
        <v>1.88</v>
      </c>
      <c r="AN106" s="129">
        <v>2.8480000000000002E-2</v>
      </c>
      <c r="AO106" s="129">
        <v>9.4000000000000004E-3</v>
      </c>
      <c r="AP106" s="129">
        <v>5.7239999999999999E-2</v>
      </c>
      <c r="AQ106" s="129">
        <v>2.1720000000000003E-2</v>
      </c>
      <c r="AR106" s="128">
        <v>1.88</v>
      </c>
      <c r="AS106" s="129">
        <v>1.908E-2</v>
      </c>
      <c r="AT106" s="129">
        <v>5.3600000000000002E-3</v>
      </c>
      <c r="AU106" s="129">
        <v>4.1080000000000005E-2</v>
      </c>
      <c r="AV106" s="129">
        <v>1.1660000000000002E-2</v>
      </c>
      <c r="AW106" s="128"/>
      <c r="AX106" s="129"/>
      <c r="AY106" s="129"/>
      <c r="AZ106" s="129"/>
      <c r="BA106" s="129"/>
      <c r="BB106" s="128"/>
      <c r="BC106" s="129"/>
      <c r="BD106" s="129"/>
      <c r="BE106" s="129"/>
      <c r="BF106" s="129"/>
    </row>
    <row r="107" spans="4:58" ht="15.75">
      <c r="D107" s="128">
        <v>1.89</v>
      </c>
      <c r="E107" s="129">
        <v>4.8079999999999998E-2</v>
      </c>
      <c r="F107" s="129">
        <v>1.3440000000000001E-2</v>
      </c>
      <c r="G107" s="129">
        <v>0</v>
      </c>
      <c r="H107" s="129">
        <v>0</v>
      </c>
      <c r="I107" s="128">
        <v>1.89</v>
      </c>
      <c r="J107" s="129">
        <v>3.1699999999999999E-2</v>
      </c>
      <c r="K107" s="129">
        <v>6.5000000000000006E-3</v>
      </c>
      <c r="L107" s="129">
        <v>6.409999999999999E-2</v>
      </c>
      <c r="M107" s="129">
        <v>0</v>
      </c>
      <c r="N107" s="128">
        <v>1.89</v>
      </c>
      <c r="O107" s="129">
        <v>4.4499999999999998E-2</v>
      </c>
      <c r="P107" s="129">
        <v>1.5859999999999999E-2</v>
      </c>
      <c r="Q107" s="129">
        <v>0</v>
      </c>
      <c r="R107" s="129">
        <v>3.4700000000000009E-2</v>
      </c>
      <c r="S107" s="128">
        <v>1.89</v>
      </c>
      <c r="T107" s="129">
        <v>0.02</v>
      </c>
      <c r="U107" s="129">
        <v>3.46E-3</v>
      </c>
      <c r="V107" s="129">
        <v>4.342E-2</v>
      </c>
      <c r="W107" s="129">
        <v>0</v>
      </c>
      <c r="X107" s="128">
        <v>1.89</v>
      </c>
      <c r="Y107" s="129">
        <v>3.9540000000000006E-2</v>
      </c>
      <c r="Z107" s="129">
        <v>1.5940000000000003E-2</v>
      </c>
      <c r="AA107" s="129">
        <v>0</v>
      </c>
      <c r="AB107" s="129">
        <v>4.4340000000000004E-2</v>
      </c>
      <c r="AC107" s="128">
        <v>1.89</v>
      </c>
      <c r="AD107" s="129">
        <v>3.0280000000000001E-2</v>
      </c>
      <c r="AE107" s="129">
        <v>8.5000000000000006E-3</v>
      </c>
      <c r="AF107" s="129">
        <v>6.1399999999999996E-2</v>
      </c>
      <c r="AG107" s="129">
        <v>1.7180000000000001E-2</v>
      </c>
      <c r="AH107" s="128">
        <v>1.89</v>
      </c>
      <c r="AI107" s="129">
        <v>1.968E-2</v>
      </c>
      <c r="AJ107" s="129">
        <v>4.6800000000000001E-3</v>
      </c>
      <c r="AK107" s="129">
        <v>4.24E-2</v>
      </c>
      <c r="AL107" s="129">
        <v>8.9400000000000018E-3</v>
      </c>
      <c r="AM107" s="128">
        <v>1.89</v>
      </c>
      <c r="AN107" s="129">
        <v>2.844E-2</v>
      </c>
      <c r="AO107" s="129">
        <v>9.300000000000001E-3</v>
      </c>
      <c r="AP107" s="129">
        <v>5.7120000000000004E-2</v>
      </c>
      <c r="AQ107" s="129">
        <v>2.146E-2</v>
      </c>
      <c r="AR107" s="128">
        <v>1.89</v>
      </c>
      <c r="AS107" s="129">
        <v>1.9039999999999998E-2</v>
      </c>
      <c r="AT107" s="129">
        <v>5.28E-3</v>
      </c>
      <c r="AU107" s="129">
        <v>4.0940000000000004E-2</v>
      </c>
      <c r="AV107" s="129">
        <v>1.1480000000000001E-2</v>
      </c>
      <c r="AW107" s="128"/>
      <c r="AX107" s="129"/>
      <c r="AY107" s="129"/>
      <c r="AZ107" s="129"/>
      <c r="BA107" s="129"/>
      <c r="BB107" s="128"/>
      <c r="BC107" s="129"/>
      <c r="BD107" s="129"/>
      <c r="BE107" s="129"/>
      <c r="BF107" s="129"/>
    </row>
    <row r="108" spans="4:58" ht="15.75">
      <c r="D108" s="126">
        <v>1.9</v>
      </c>
      <c r="E108" s="127">
        <v>4.8000000000000001E-2</v>
      </c>
      <c r="F108" s="127">
        <v>1.3299999999999999E-2</v>
      </c>
      <c r="G108" s="129">
        <v>0</v>
      </c>
      <c r="H108" s="129">
        <v>0</v>
      </c>
      <c r="I108" s="126">
        <v>1.9</v>
      </c>
      <c r="J108" s="127">
        <v>3.1600000000000003E-2</v>
      </c>
      <c r="K108" s="127">
        <v>6.4000000000000003E-3</v>
      </c>
      <c r="L108" s="127">
        <v>6.3799999999999996E-2</v>
      </c>
      <c r="M108" s="129">
        <v>0</v>
      </c>
      <c r="N108" s="126">
        <v>1.9</v>
      </c>
      <c r="O108" s="127">
        <v>4.4499999999999998E-2</v>
      </c>
      <c r="P108" s="127">
        <v>1.5699999999999999E-2</v>
      </c>
      <c r="Q108" s="129">
        <v>0</v>
      </c>
      <c r="R108" s="127">
        <v>3.32E-2</v>
      </c>
      <c r="S108" s="126">
        <v>1.9</v>
      </c>
      <c r="T108" s="127">
        <v>1.9900000000000001E-2</v>
      </c>
      <c r="U108" s="127">
        <v>3.3999999999999998E-3</v>
      </c>
      <c r="V108" s="127">
        <v>4.3200000000000002E-2</v>
      </c>
      <c r="W108" s="129">
        <v>0</v>
      </c>
      <c r="X108" s="126">
        <v>1.9</v>
      </c>
      <c r="Y108" s="127">
        <v>3.9600000000000003E-2</v>
      </c>
      <c r="Z108" s="127">
        <v>1.5800000000000002E-2</v>
      </c>
      <c r="AA108" s="129">
        <v>0</v>
      </c>
      <c r="AB108" s="127">
        <v>4.3900000000000002E-2</v>
      </c>
      <c r="AC108" s="126">
        <v>1.9</v>
      </c>
      <c r="AD108" s="127">
        <v>3.0200000000000001E-2</v>
      </c>
      <c r="AE108" s="127">
        <v>8.3999999999999995E-3</v>
      </c>
      <c r="AF108" s="127">
        <v>6.1199999999999997E-2</v>
      </c>
      <c r="AG108" s="127">
        <v>1.6899999999999998E-2</v>
      </c>
      <c r="AH108" s="126">
        <v>1.9</v>
      </c>
      <c r="AI108" s="127">
        <v>1.9599999999999999E-2</v>
      </c>
      <c r="AJ108" s="127">
        <v>4.5999999999999999E-3</v>
      </c>
      <c r="AK108" s="127">
        <v>4.2200000000000001E-2</v>
      </c>
      <c r="AL108" s="127">
        <v>8.8000000000000005E-3</v>
      </c>
      <c r="AM108" s="126">
        <v>1.9</v>
      </c>
      <c r="AN108" s="127">
        <v>2.8400000000000002E-2</v>
      </c>
      <c r="AO108" s="127">
        <v>9.1999999999999998E-3</v>
      </c>
      <c r="AP108" s="127">
        <v>5.7000000000000002E-2</v>
      </c>
      <c r="AQ108" s="127">
        <v>2.12E-2</v>
      </c>
      <c r="AR108" s="126">
        <v>1.9</v>
      </c>
      <c r="AS108" s="127">
        <v>1.9E-2</v>
      </c>
      <c r="AT108" s="127">
        <v>5.1999999999999998E-3</v>
      </c>
      <c r="AU108" s="127">
        <v>4.0800000000000003E-2</v>
      </c>
      <c r="AV108" s="127">
        <v>1.1299999999999999E-2</v>
      </c>
      <c r="AW108" s="126"/>
      <c r="AX108" s="127"/>
      <c r="AY108" s="127"/>
      <c r="AZ108" s="127"/>
      <c r="BA108" s="127"/>
      <c r="BB108" s="126"/>
      <c r="BC108" s="127"/>
      <c r="BD108" s="127"/>
      <c r="BE108" s="127"/>
      <c r="BF108" s="127"/>
    </row>
    <row r="109" spans="4:58" ht="15.75">
      <c r="D109" s="128">
        <v>1.91</v>
      </c>
      <c r="E109" s="129">
        <v>4.7920000000000004E-2</v>
      </c>
      <c r="F109" s="129">
        <v>1.3139999999999999E-2</v>
      </c>
      <c r="G109" s="129">
        <v>0</v>
      </c>
      <c r="H109" s="129">
        <v>0</v>
      </c>
      <c r="I109" s="128">
        <v>1.91</v>
      </c>
      <c r="J109" s="129">
        <v>3.1480000000000001E-2</v>
      </c>
      <c r="K109" s="129">
        <v>6.3200000000000001E-3</v>
      </c>
      <c r="L109" s="129">
        <v>6.3519999999999993E-2</v>
      </c>
      <c r="M109" s="129">
        <v>0</v>
      </c>
      <c r="N109" s="128">
        <v>1.91</v>
      </c>
      <c r="O109" s="129">
        <v>4.4479999999999999E-2</v>
      </c>
      <c r="P109" s="129">
        <v>1.5539999999999998E-2</v>
      </c>
      <c r="Q109" s="129">
        <v>0</v>
      </c>
      <c r="R109" s="129">
        <v>3.3340000000000002E-2</v>
      </c>
      <c r="S109" s="128">
        <v>1.91</v>
      </c>
      <c r="T109" s="129">
        <v>1.984E-2</v>
      </c>
      <c r="U109" s="129">
        <v>3.3599999999999997E-3</v>
      </c>
      <c r="V109" s="129">
        <v>4.3000000000000003E-2</v>
      </c>
      <c r="W109" s="129">
        <v>0</v>
      </c>
      <c r="X109" s="128">
        <v>1.91</v>
      </c>
      <c r="Y109" s="129">
        <v>3.9640000000000002E-2</v>
      </c>
      <c r="Z109" s="129">
        <v>1.5679999999999999E-2</v>
      </c>
      <c r="AA109" s="129">
        <v>0</v>
      </c>
      <c r="AB109" s="129">
        <v>4.3479999999999998E-2</v>
      </c>
      <c r="AC109" s="128">
        <v>1.91</v>
      </c>
      <c r="AD109" s="129">
        <v>3.014E-2</v>
      </c>
      <c r="AE109" s="129">
        <v>8.2799999999999992E-3</v>
      </c>
      <c r="AF109" s="129">
        <v>6.0940000000000001E-2</v>
      </c>
      <c r="AG109" s="129">
        <v>1.6719999999999999E-2</v>
      </c>
      <c r="AH109" s="128">
        <v>1.91</v>
      </c>
      <c r="AI109" s="129">
        <v>1.9519999999999999E-2</v>
      </c>
      <c r="AJ109" s="129">
        <v>4.5399999999999998E-3</v>
      </c>
      <c r="AK109" s="129">
        <v>4.2020000000000002E-2</v>
      </c>
      <c r="AL109" s="129">
        <v>8.6800000000000002E-3</v>
      </c>
      <c r="AM109" s="128">
        <v>1.91</v>
      </c>
      <c r="AN109" s="129">
        <v>2.836E-2</v>
      </c>
      <c r="AO109" s="129">
        <v>9.0799999999999995E-3</v>
      </c>
      <c r="AP109" s="129">
        <v>5.6840000000000002E-2</v>
      </c>
      <c r="AQ109" s="129">
        <v>2.0920000000000001E-2</v>
      </c>
      <c r="AR109" s="128">
        <v>1.91</v>
      </c>
      <c r="AS109" s="129">
        <v>1.8919999999999999E-2</v>
      </c>
      <c r="AT109" s="129">
        <v>5.1399999999999996E-3</v>
      </c>
      <c r="AU109" s="129">
        <v>4.0640000000000003E-2</v>
      </c>
      <c r="AV109" s="129">
        <v>1.1179999999999999E-2</v>
      </c>
      <c r="AW109" s="128"/>
      <c r="AX109" s="129"/>
      <c r="AY109" s="129"/>
      <c r="AZ109" s="129"/>
      <c r="BA109" s="129"/>
      <c r="BB109" s="128"/>
      <c r="BC109" s="129"/>
      <c r="BD109" s="129"/>
      <c r="BE109" s="129"/>
      <c r="BF109" s="129"/>
    </row>
    <row r="110" spans="4:58" ht="15.75">
      <c r="D110" s="128">
        <v>1.92</v>
      </c>
      <c r="E110" s="129">
        <v>4.7840000000000001E-2</v>
      </c>
      <c r="F110" s="129">
        <v>1.298E-2</v>
      </c>
      <c r="G110" s="129">
        <v>0</v>
      </c>
      <c r="H110" s="129">
        <v>0</v>
      </c>
      <c r="I110" s="128">
        <v>1.92</v>
      </c>
      <c r="J110" s="129">
        <v>3.1359999999999999E-2</v>
      </c>
      <c r="K110" s="129">
        <v>6.2399999999999999E-3</v>
      </c>
      <c r="L110" s="129">
        <v>6.3239999999999991E-2</v>
      </c>
      <c r="M110" s="129">
        <v>0</v>
      </c>
      <c r="N110" s="128">
        <v>1.92</v>
      </c>
      <c r="O110" s="129">
        <v>4.446E-2</v>
      </c>
      <c r="P110" s="129">
        <v>1.538E-2</v>
      </c>
      <c r="Q110" s="129">
        <v>0</v>
      </c>
      <c r="R110" s="129">
        <v>3.3480000000000003E-2</v>
      </c>
      <c r="S110" s="128">
        <v>1.92</v>
      </c>
      <c r="T110" s="129">
        <v>1.9779999999999999E-2</v>
      </c>
      <c r="U110" s="129">
        <v>3.32E-3</v>
      </c>
      <c r="V110" s="129">
        <v>4.2800000000000005E-2</v>
      </c>
      <c r="W110" s="129">
        <v>0</v>
      </c>
      <c r="X110" s="128">
        <v>1.92</v>
      </c>
      <c r="Y110" s="129">
        <v>3.968E-2</v>
      </c>
      <c r="Z110" s="129">
        <v>1.5560000000000001E-2</v>
      </c>
      <c r="AA110" s="129">
        <v>0</v>
      </c>
      <c r="AB110" s="129">
        <v>4.3060000000000001E-2</v>
      </c>
      <c r="AC110" s="128">
        <v>1.92</v>
      </c>
      <c r="AD110" s="129">
        <v>3.0079999999999999E-2</v>
      </c>
      <c r="AE110" s="129">
        <v>8.1599999999999989E-3</v>
      </c>
      <c r="AF110" s="129">
        <v>6.0679999999999998E-2</v>
      </c>
      <c r="AG110" s="129">
        <v>1.6539999999999999E-2</v>
      </c>
      <c r="AH110" s="128">
        <v>1.92</v>
      </c>
      <c r="AI110" s="129">
        <v>1.9439999999999999E-2</v>
      </c>
      <c r="AJ110" s="129">
        <v>4.4799999999999996E-3</v>
      </c>
      <c r="AK110" s="129">
        <v>4.1840000000000002E-2</v>
      </c>
      <c r="AL110" s="129">
        <v>8.5599999999999999E-3</v>
      </c>
      <c r="AM110" s="128">
        <v>1.92</v>
      </c>
      <c r="AN110" s="129">
        <v>2.8320000000000001E-2</v>
      </c>
      <c r="AO110" s="129">
        <v>8.9599999999999992E-3</v>
      </c>
      <c r="AP110" s="129">
        <v>5.6680000000000001E-2</v>
      </c>
      <c r="AQ110" s="129">
        <v>2.0640000000000002E-2</v>
      </c>
      <c r="AR110" s="128">
        <v>1.92</v>
      </c>
      <c r="AS110" s="129">
        <v>1.8839999999999999E-2</v>
      </c>
      <c r="AT110" s="129">
        <v>5.0799999999999994E-3</v>
      </c>
      <c r="AU110" s="129">
        <v>4.0480000000000002E-2</v>
      </c>
      <c r="AV110" s="129">
        <v>1.1059999999999999E-2</v>
      </c>
      <c r="AW110" s="128"/>
      <c r="AX110" s="129"/>
      <c r="AY110" s="129"/>
      <c r="AZ110" s="129"/>
      <c r="BA110" s="129"/>
      <c r="BB110" s="128"/>
      <c r="BC110" s="129"/>
      <c r="BD110" s="129"/>
      <c r="BE110" s="129"/>
      <c r="BF110" s="129"/>
    </row>
    <row r="111" spans="4:58" ht="15.75">
      <c r="D111" s="128">
        <v>1.93</v>
      </c>
      <c r="E111" s="129">
        <v>4.7760000000000004E-2</v>
      </c>
      <c r="F111" s="129">
        <v>1.282E-2</v>
      </c>
      <c r="G111" s="129">
        <v>0</v>
      </c>
      <c r="H111" s="129">
        <v>0</v>
      </c>
      <c r="I111" s="128">
        <v>1.93</v>
      </c>
      <c r="J111" s="129">
        <v>3.124E-2</v>
      </c>
      <c r="K111" s="129">
        <v>6.1600000000000005E-3</v>
      </c>
      <c r="L111" s="129">
        <v>6.2960000000000002E-2</v>
      </c>
      <c r="M111" s="129">
        <v>0</v>
      </c>
      <c r="N111" s="128">
        <v>1.93</v>
      </c>
      <c r="O111" s="129">
        <v>4.444E-2</v>
      </c>
      <c r="P111" s="129">
        <v>1.5219999999999999E-2</v>
      </c>
      <c r="Q111" s="129">
        <v>0</v>
      </c>
      <c r="R111" s="129">
        <v>3.3619999999999997E-2</v>
      </c>
      <c r="S111" s="128">
        <v>1.93</v>
      </c>
      <c r="T111" s="129">
        <v>1.9720000000000001E-2</v>
      </c>
      <c r="U111" s="129">
        <v>3.2799999999999999E-3</v>
      </c>
      <c r="V111" s="129">
        <v>4.2599999999999999E-2</v>
      </c>
      <c r="W111" s="129">
        <v>0</v>
      </c>
      <c r="X111" s="128">
        <v>1.93</v>
      </c>
      <c r="Y111" s="129">
        <v>3.9720000000000005E-2</v>
      </c>
      <c r="Z111" s="129">
        <v>1.5440000000000001E-2</v>
      </c>
      <c r="AA111" s="129">
        <v>0</v>
      </c>
      <c r="AB111" s="129">
        <v>4.2639999999999997E-2</v>
      </c>
      <c r="AC111" s="128">
        <v>1.93</v>
      </c>
      <c r="AD111" s="129">
        <v>3.0020000000000002E-2</v>
      </c>
      <c r="AE111" s="129">
        <v>8.0400000000000003E-3</v>
      </c>
      <c r="AF111" s="129">
        <v>6.0420000000000001E-2</v>
      </c>
      <c r="AG111" s="129">
        <v>1.636E-2</v>
      </c>
      <c r="AH111" s="128">
        <v>1.93</v>
      </c>
      <c r="AI111" s="129">
        <v>1.9359999999999999E-2</v>
      </c>
      <c r="AJ111" s="129">
        <v>4.4200000000000003E-3</v>
      </c>
      <c r="AK111" s="129">
        <v>4.1660000000000003E-2</v>
      </c>
      <c r="AL111" s="129">
        <v>8.4400000000000013E-3</v>
      </c>
      <c r="AM111" s="128">
        <v>1.93</v>
      </c>
      <c r="AN111" s="129">
        <v>2.828E-2</v>
      </c>
      <c r="AO111" s="129">
        <v>8.8400000000000006E-3</v>
      </c>
      <c r="AP111" s="129">
        <v>5.6520000000000001E-2</v>
      </c>
      <c r="AQ111" s="129">
        <v>2.036E-2</v>
      </c>
      <c r="AR111" s="128">
        <v>1.93</v>
      </c>
      <c r="AS111" s="129">
        <v>1.8759999999999999E-2</v>
      </c>
      <c r="AT111" s="129">
        <v>5.0200000000000002E-3</v>
      </c>
      <c r="AU111" s="129">
        <v>4.0320000000000002E-2</v>
      </c>
      <c r="AV111" s="129">
        <v>1.094E-2</v>
      </c>
      <c r="AW111" s="128"/>
      <c r="AX111" s="129"/>
      <c r="AY111" s="129"/>
      <c r="AZ111" s="129"/>
      <c r="BA111" s="129"/>
      <c r="BB111" s="128"/>
      <c r="BC111" s="129"/>
      <c r="BD111" s="129"/>
      <c r="BE111" s="129"/>
      <c r="BF111" s="129"/>
    </row>
    <row r="112" spans="4:58" ht="15.75">
      <c r="D112" s="128">
        <v>1.94</v>
      </c>
      <c r="E112" s="129">
        <v>4.768E-2</v>
      </c>
      <c r="F112" s="129">
        <v>1.2660000000000001E-2</v>
      </c>
      <c r="G112" s="129">
        <v>0</v>
      </c>
      <c r="H112" s="129">
        <v>0</v>
      </c>
      <c r="I112" s="128">
        <v>1.94</v>
      </c>
      <c r="J112" s="129">
        <v>3.1120000000000002E-2</v>
      </c>
      <c r="K112" s="129">
        <v>6.0800000000000003E-3</v>
      </c>
      <c r="L112" s="129">
        <v>6.268E-2</v>
      </c>
      <c r="M112" s="129">
        <v>0</v>
      </c>
      <c r="N112" s="128">
        <v>1.94</v>
      </c>
      <c r="O112" s="129">
        <v>4.4420000000000001E-2</v>
      </c>
      <c r="P112" s="129">
        <v>1.506E-2</v>
      </c>
      <c r="Q112" s="129">
        <v>0</v>
      </c>
      <c r="R112" s="129">
        <v>3.3759999999999998E-2</v>
      </c>
      <c r="S112" s="128">
        <v>1.94</v>
      </c>
      <c r="T112" s="129">
        <v>1.966E-2</v>
      </c>
      <c r="U112" s="129">
        <v>3.2400000000000003E-3</v>
      </c>
      <c r="V112" s="129">
        <v>4.24E-2</v>
      </c>
      <c r="W112" s="129">
        <v>0</v>
      </c>
      <c r="X112" s="128">
        <v>1.94</v>
      </c>
      <c r="Y112" s="129">
        <v>3.9760000000000004E-2</v>
      </c>
      <c r="Z112" s="129">
        <v>1.532E-2</v>
      </c>
      <c r="AA112" s="129">
        <v>0</v>
      </c>
      <c r="AB112" s="129">
        <v>4.2220000000000001E-2</v>
      </c>
      <c r="AC112" s="128">
        <v>1.94</v>
      </c>
      <c r="AD112" s="129">
        <v>2.9960000000000001E-2</v>
      </c>
      <c r="AE112" s="129">
        <v>7.92E-3</v>
      </c>
      <c r="AF112" s="129">
        <v>6.0159999999999998E-2</v>
      </c>
      <c r="AG112" s="129">
        <v>1.618E-2</v>
      </c>
      <c r="AH112" s="128">
        <v>1.94</v>
      </c>
      <c r="AI112" s="129">
        <v>1.9279999999999999E-2</v>
      </c>
      <c r="AJ112" s="129">
        <v>4.3600000000000002E-3</v>
      </c>
      <c r="AK112" s="129">
        <v>4.1480000000000003E-2</v>
      </c>
      <c r="AL112" s="129">
        <v>8.320000000000001E-3</v>
      </c>
      <c r="AM112" s="128">
        <v>1.94</v>
      </c>
      <c r="AN112" s="129">
        <v>2.8240000000000001E-2</v>
      </c>
      <c r="AO112" s="129">
        <v>8.7200000000000003E-3</v>
      </c>
      <c r="AP112" s="129">
        <v>5.636E-2</v>
      </c>
      <c r="AQ112" s="129">
        <v>2.0080000000000001E-2</v>
      </c>
      <c r="AR112" s="128">
        <v>1.94</v>
      </c>
      <c r="AS112" s="129">
        <v>1.8679999999999999E-2</v>
      </c>
      <c r="AT112" s="129">
        <v>4.96E-3</v>
      </c>
      <c r="AU112" s="129">
        <v>4.0160000000000001E-2</v>
      </c>
      <c r="AV112" s="129">
        <v>1.082E-2</v>
      </c>
      <c r="AW112" s="128"/>
      <c r="AX112" s="129"/>
      <c r="AY112" s="129"/>
      <c r="AZ112" s="129"/>
      <c r="BA112" s="129"/>
      <c r="BB112" s="128"/>
      <c r="BC112" s="129"/>
      <c r="BD112" s="129"/>
      <c r="BE112" s="129"/>
      <c r="BF112" s="129"/>
    </row>
    <row r="113" spans="2:58" ht="15.75">
      <c r="B113" s="115"/>
      <c r="C113" s="115"/>
      <c r="D113" s="126">
        <v>1.95</v>
      </c>
      <c r="E113" s="127">
        <v>4.7600000000000003E-2</v>
      </c>
      <c r="F113" s="127">
        <v>1.2500000000000001E-2</v>
      </c>
      <c r="G113" s="129">
        <v>0</v>
      </c>
      <c r="H113" s="129">
        <v>0</v>
      </c>
      <c r="I113" s="126">
        <v>1.95</v>
      </c>
      <c r="J113" s="127">
        <v>3.1E-2</v>
      </c>
      <c r="K113" s="127">
        <v>6.0000000000000001E-3</v>
      </c>
      <c r="L113" s="127">
        <v>6.2399999999999997E-2</v>
      </c>
      <c r="M113" s="129">
        <v>0</v>
      </c>
      <c r="N113" s="126">
        <v>1.95</v>
      </c>
      <c r="O113" s="127">
        <v>4.4400000000000002E-2</v>
      </c>
      <c r="P113" s="127">
        <v>1.49E-2</v>
      </c>
      <c r="Q113" s="129">
        <v>0</v>
      </c>
      <c r="R113" s="127">
        <v>3.39E-2</v>
      </c>
      <c r="S113" s="126">
        <v>1.95</v>
      </c>
      <c r="T113" s="127">
        <v>1.9599999999999999E-2</v>
      </c>
      <c r="U113" s="127">
        <v>3.2000000000000002E-3</v>
      </c>
      <c r="V113" s="127">
        <v>4.2200000000000001E-2</v>
      </c>
      <c r="W113" s="129">
        <v>0</v>
      </c>
      <c r="X113" s="126">
        <v>1.95</v>
      </c>
      <c r="Y113" s="127">
        <v>3.9800000000000002E-2</v>
      </c>
      <c r="Z113" s="127">
        <v>1.52E-2</v>
      </c>
      <c r="AA113" s="129">
        <v>0</v>
      </c>
      <c r="AB113" s="127">
        <v>4.1799999999999997E-2</v>
      </c>
      <c r="AC113" s="126">
        <v>1.95</v>
      </c>
      <c r="AD113" s="127">
        <v>2.9899999999999999E-2</v>
      </c>
      <c r="AE113" s="127">
        <v>7.7999999999999996E-3</v>
      </c>
      <c r="AF113" s="127">
        <v>5.9900000000000002E-2</v>
      </c>
      <c r="AG113" s="127">
        <v>1.6E-2</v>
      </c>
      <c r="AH113" s="126">
        <v>1.95</v>
      </c>
      <c r="AI113" s="127">
        <v>1.9199999999999998E-2</v>
      </c>
      <c r="AJ113" s="127">
        <v>4.3E-3</v>
      </c>
      <c r="AK113" s="127">
        <v>4.1300000000000003E-2</v>
      </c>
      <c r="AL113" s="127">
        <v>8.2000000000000007E-3</v>
      </c>
      <c r="AM113" s="126">
        <v>1.95</v>
      </c>
      <c r="AN113" s="127">
        <v>2.8199999999999999E-2</v>
      </c>
      <c r="AO113" s="127">
        <v>8.6E-3</v>
      </c>
      <c r="AP113" s="127">
        <v>5.62E-2</v>
      </c>
      <c r="AQ113" s="127">
        <v>1.9800000000000002E-2</v>
      </c>
      <c r="AR113" s="126">
        <v>1.95</v>
      </c>
      <c r="AS113" s="127">
        <v>1.8599999999999998E-2</v>
      </c>
      <c r="AT113" s="127">
        <v>4.8999999999999998E-3</v>
      </c>
      <c r="AU113" s="127">
        <v>0.04</v>
      </c>
      <c r="AV113" s="127">
        <v>1.0699999999999999E-2</v>
      </c>
      <c r="AW113" s="126"/>
      <c r="AX113" s="127"/>
      <c r="AY113" s="127"/>
      <c r="AZ113" s="127"/>
      <c r="BA113" s="127"/>
      <c r="BB113" s="126"/>
      <c r="BC113" s="127"/>
      <c r="BD113" s="127"/>
      <c r="BE113" s="127"/>
      <c r="BF113" s="127"/>
    </row>
    <row r="114" spans="2:58" ht="15.75">
      <c r="B114" s="115"/>
      <c r="C114" s="115"/>
      <c r="D114" s="128">
        <v>1.96</v>
      </c>
      <c r="E114" s="129">
        <v>4.7540000000000006E-2</v>
      </c>
      <c r="F114" s="129">
        <v>1.2360000000000001E-2</v>
      </c>
      <c r="G114" s="129">
        <v>0</v>
      </c>
      <c r="H114" s="129">
        <v>0</v>
      </c>
      <c r="I114" s="128">
        <v>1.96</v>
      </c>
      <c r="J114" s="129">
        <v>3.0859999999999999E-2</v>
      </c>
      <c r="K114" s="129">
        <v>5.9199999999999999E-3</v>
      </c>
      <c r="L114" s="129">
        <v>6.2119999999999995E-2</v>
      </c>
      <c r="M114" s="129">
        <v>0</v>
      </c>
      <c r="N114" s="128">
        <v>1.96</v>
      </c>
      <c r="O114" s="129">
        <v>4.4380000000000003E-2</v>
      </c>
      <c r="P114" s="129">
        <v>1.4760000000000001E-2</v>
      </c>
      <c r="Q114" s="129">
        <v>0</v>
      </c>
      <c r="R114" s="129">
        <v>3.388E-2</v>
      </c>
      <c r="S114" s="128">
        <v>1.96</v>
      </c>
      <c r="T114" s="129">
        <v>1.9539999999999998E-2</v>
      </c>
      <c r="U114" s="129">
        <v>3.16E-3</v>
      </c>
      <c r="V114" s="129">
        <v>4.2000000000000003E-2</v>
      </c>
      <c r="W114" s="129">
        <v>0</v>
      </c>
      <c r="X114" s="128">
        <v>1.96</v>
      </c>
      <c r="Y114" s="129">
        <v>3.984E-2</v>
      </c>
      <c r="Z114" s="129">
        <v>1.508E-2</v>
      </c>
      <c r="AA114" s="129">
        <v>0</v>
      </c>
      <c r="AB114" s="129">
        <v>4.138E-2</v>
      </c>
      <c r="AC114" s="128">
        <v>1.96</v>
      </c>
      <c r="AD114" s="129">
        <v>2.98E-2</v>
      </c>
      <c r="AE114" s="129">
        <v>7.7199999999999994E-3</v>
      </c>
      <c r="AF114" s="129">
        <v>5.9680000000000004E-2</v>
      </c>
      <c r="AG114" s="129">
        <v>1.5740000000000001E-2</v>
      </c>
      <c r="AH114" s="128">
        <v>1.96</v>
      </c>
      <c r="AI114" s="129">
        <v>1.9139999999999997E-2</v>
      </c>
      <c r="AJ114" s="129">
        <v>4.2399999999999998E-3</v>
      </c>
      <c r="AK114" s="129">
        <v>4.1120000000000004E-2</v>
      </c>
      <c r="AL114" s="129">
        <v>8.0800000000000004E-3</v>
      </c>
      <c r="AM114" s="128">
        <v>1.96</v>
      </c>
      <c r="AN114" s="129">
        <v>2.8160000000000001E-2</v>
      </c>
      <c r="AO114" s="129">
        <v>8.5000000000000006E-3</v>
      </c>
      <c r="AP114" s="129">
        <v>5.6059999999999999E-2</v>
      </c>
      <c r="AQ114" s="129">
        <v>1.958E-2</v>
      </c>
      <c r="AR114" s="128">
        <v>1.96</v>
      </c>
      <c r="AS114" s="129">
        <v>1.8539999999999997E-2</v>
      </c>
      <c r="AT114" s="129">
        <v>4.8399999999999997E-3</v>
      </c>
      <c r="AU114" s="129">
        <v>3.984E-2</v>
      </c>
      <c r="AV114" s="129">
        <v>1.052E-2</v>
      </c>
      <c r="AW114" s="128"/>
      <c r="AX114" s="129"/>
      <c r="AY114" s="129"/>
      <c r="AZ114" s="129"/>
      <c r="BA114" s="129"/>
      <c r="BB114" s="128"/>
      <c r="BC114" s="129"/>
      <c r="BD114" s="129"/>
      <c r="BE114" s="129"/>
      <c r="BF114" s="129"/>
    </row>
    <row r="115" spans="2:58" ht="15.75">
      <c r="B115" s="115"/>
      <c r="C115" s="115"/>
      <c r="D115" s="128">
        <v>1.97</v>
      </c>
      <c r="E115" s="129">
        <v>4.7480000000000001E-2</v>
      </c>
      <c r="F115" s="129">
        <v>1.222E-2</v>
      </c>
      <c r="G115" s="129">
        <v>0</v>
      </c>
      <c r="H115" s="129">
        <v>0</v>
      </c>
      <c r="I115" s="128">
        <v>1.97</v>
      </c>
      <c r="J115" s="129">
        <v>3.0720000000000001E-2</v>
      </c>
      <c r="K115" s="129">
        <v>5.8399999999999997E-3</v>
      </c>
      <c r="L115" s="129">
        <v>6.1839999999999999E-2</v>
      </c>
      <c r="M115" s="129">
        <v>0</v>
      </c>
      <c r="N115" s="128">
        <v>1.97</v>
      </c>
      <c r="O115" s="129">
        <v>4.4360000000000004E-2</v>
      </c>
      <c r="P115" s="129">
        <v>1.4620000000000001E-2</v>
      </c>
      <c r="Q115" s="129">
        <v>0</v>
      </c>
      <c r="R115" s="129">
        <v>3.3860000000000001E-2</v>
      </c>
      <c r="S115" s="128">
        <v>1.97</v>
      </c>
      <c r="T115" s="129">
        <v>1.9480000000000001E-2</v>
      </c>
      <c r="U115" s="129">
        <v>3.1199999999999999E-3</v>
      </c>
      <c r="V115" s="129">
        <v>4.1800000000000004E-2</v>
      </c>
      <c r="W115" s="129">
        <v>0</v>
      </c>
      <c r="X115" s="128">
        <v>1.97</v>
      </c>
      <c r="Y115" s="129">
        <v>3.9879999999999999E-2</v>
      </c>
      <c r="Z115" s="129">
        <v>1.4959999999999999E-2</v>
      </c>
      <c r="AA115" s="129">
        <v>0</v>
      </c>
      <c r="AB115" s="129">
        <v>4.0959999999999996E-2</v>
      </c>
      <c r="AC115" s="128">
        <v>1.97</v>
      </c>
      <c r="AD115" s="129">
        <v>2.9700000000000001E-2</v>
      </c>
      <c r="AE115" s="129">
        <v>7.6400000000000001E-3</v>
      </c>
      <c r="AF115" s="129">
        <v>5.9459999999999999E-2</v>
      </c>
      <c r="AG115" s="129">
        <v>1.5480000000000001E-2</v>
      </c>
      <c r="AH115" s="128">
        <v>1.97</v>
      </c>
      <c r="AI115" s="129">
        <v>1.908E-2</v>
      </c>
      <c r="AJ115" s="129">
        <v>4.1799999999999997E-3</v>
      </c>
      <c r="AK115" s="129">
        <v>4.0940000000000004E-2</v>
      </c>
      <c r="AL115" s="129">
        <v>7.9600000000000001E-3</v>
      </c>
      <c r="AM115" s="128">
        <v>1.97</v>
      </c>
      <c r="AN115" s="129">
        <v>2.8119999999999999E-2</v>
      </c>
      <c r="AO115" s="129">
        <v>8.3999999999999995E-3</v>
      </c>
      <c r="AP115" s="129">
        <v>5.5919999999999997E-2</v>
      </c>
      <c r="AQ115" s="129">
        <v>1.9360000000000002E-2</v>
      </c>
      <c r="AR115" s="128">
        <v>1.97</v>
      </c>
      <c r="AS115" s="129">
        <v>1.848E-2</v>
      </c>
      <c r="AT115" s="129">
        <v>4.7799999999999995E-3</v>
      </c>
      <c r="AU115" s="129">
        <v>3.968E-2</v>
      </c>
      <c r="AV115" s="129">
        <v>1.034E-2</v>
      </c>
      <c r="AW115" s="128"/>
      <c r="AX115" s="129"/>
      <c r="AY115" s="129"/>
      <c r="AZ115" s="129"/>
      <c r="BA115" s="129"/>
      <c r="BB115" s="128"/>
      <c r="BC115" s="129"/>
      <c r="BD115" s="129"/>
      <c r="BE115" s="129"/>
      <c r="BF115" s="129"/>
    </row>
    <row r="116" spans="2:58" ht="15.75">
      <c r="B116" s="115"/>
      <c r="C116" s="115"/>
      <c r="D116" s="128">
        <v>1.98</v>
      </c>
      <c r="E116" s="129">
        <v>4.7420000000000004E-2</v>
      </c>
      <c r="F116" s="129">
        <v>1.208E-2</v>
      </c>
      <c r="G116" s="129">
        <v>0</v>
      </c>
      <c r="H116" s="129">
        <v>0</v>
      </c>
      <c r="I116" s="128">
        <v>1.98</v>
      </c>
      <c r="J116" s="129">
        <v>3.058E-2</v>
      </c>
      <c r="K116" s="129">
        <v>5.7600000000000004E-3</v>
      </c>
      <c r="L116" s="129">
        <v>6.1559999999999997E-2</v>
      </c>
      <c r="M116" s="129">
        <v>0</v>
      </c>
      <c r="N116" s="128">
        <v>1.98</v>
      </c>
      <c r="O116" s="129">
        <v>4.4339999999999997E-2</v>
      </c>
      <c r="P116" s="129">
        <v>1.448E-2</v>
      </c>
      <c r="Q116" s="129">
        <v>0</v>
      </c>
      <c r="R116" s="129">
        <v>3.3839999999999995E-2</v>
      </c>
      <c r="S116" s="128">
        <v>1.98</v>
      </c>
      <c r="T116" s="129">
        <v>1.942E-2</v>
      </c>
      <c r="U116" s="129">
        <v>3.0800000000000003E-3</v>
      </c>
      <c r="V116" s="129">
        <v>4.1599999999999998E-2</v>
      </c>
      <c r="W116" s="129">
        <v>0</v>
      </c>
      <c r="X116" s="128">
        <v>1.98</v>
      </c>
      <c r="Y116" s="129">
        <v>3.9920000000000004E-2</v>
      </c>
      <c r="Z116" s="129">
        <v>1.4840000000000001E-2</v>
      </c>
      <c r="AA116" s="129">
        <v>0</v>
      </c>
      <c r="AB116" s="129">
        <v>4.054E-2</v>
      </c>
      <c r="AC116" s="128">
        <v>1.98</v>
      </c>
      <c r="AD116" s="129">
        <v>2.9599999999999998E-2</v>
      </c>
      <c r="AE116" s="129">
        <v>7.5599999999999999E-3</v>
      </c>
      <c r="AF116" s="129">
        <v>5.9240000000000001E-2</v>
      </c>
      <c r="AG116" s="129">
        <v>1.5219999999999999E-2</v>
      </c>
      <c r="AH116" s="128">
        <v>1.98</v>
      </c>
      <c r="AI116" s="129">
        <v>1.9019999999999999E-2</v>
      </c>
      <c r="AJ116" s="129">
        <v>4.1200000000000004E-3</v>
      </c>
      <c r="AK116" s="129">
        <v>4.0759999999999998E-2</v>
      </c>
      <c r="AL116" s="129">
        <v>7.8399999999999997E-3</v>
      </c>
      <c r="AM116" s="128">
        <v>1.98</v>
      </c>
      <c r="AN116" s="129">
        <v>2.8080000000000001E-2</v>
      </c>
      <c r="AO116" s="129">
        <v>8.3000000000000001E-3</v>
      </c>
      <c r="AP116" s="129">
        <v>5.5780000000000003E-2</v>
      </c>
      <c r="AQ116" s="129">
        <v>1.9140000000000001E-2</v>
      </c>
      <c r="AR116" s="128">
        <v>1.98</v>
      </c>
      <c r="AS116" s="129">
        <v>1.8419999999999999E-2</v>
      </c>
      <c r="AT116" s="129">
        <v>4.7200000000000002E-3</v>
      </c>
      <c r="AU116" s="129">
        <v>3.952E-2</v>
      </c>
      <c r="AV116" s="129">
        <v>1.0159999999999999E-2</v>
      </c>
      <c r="AW116" s="128"/>
      <c r="AX116" s="129"/>
      <c r="AY116" s="129"/>
      <c r="AZ116" s="129"/>
      <c r="BA116" s="129"/>
      <c r="BB116" s="128"/>
      <c r="BC116" s="129"/>
      <c r="BD116" s="129"/>
      <c r="BE116" s="129"/>
      <c r="BF116" s="129"/>
    </row>
    <row r="117" spans="2:58" ht="15.75">
      <c r="B117" s="115"/>
      <c r="C117" s="115"/>
      <c r="D117" s="128">
        <v>1.99</v>
      </c>
      <c r="E117" s="129">
        <v>4.7359999999999999E-2</v>
      </c>
      <c r="F117" s="129">
        <v>1.1939999999999999E-2</v>
      </c>
      <c r="G117" s="129">
        <v>0</v>
      </c>
      <c r="H117" s="129">
        <v>0</v>
      </c>
      <c r="I117" s="128">
        <v>1.99</v>
      </c>
      <c r="J117" s="129">
        <v>3.0440000000000002E-2</v>
      </c>
      <c r="K117" s="129">
        <v>5.6800000000000002E-3</v>
      </c>
      <c r="L117" s="129">
        <v>6.1280000000000001E-2</v>
      </c>
      <c r="M117" s="129">
        <v>0</v>
      </c>
      <c r="N117" s="128">
        <v>1.99</v>
      </c>
      <c r="O117" s="129">
        <v>4.4319999999999998E-2</v>
      </c>
      <c r="P117" s="129">
        <v>1.434E-2</v>
      </c>
      <c r="Q117" s="129">
        <v>0</v>
      </c>
      <c r="R117" s="129">
        <v>3.3819999999999996E-2</v>
      </c>
      <c r="S117" s="128">
        <v>1.99</v>
      </c>
      <c r="T117" s="129">
        <v>1.9360000000000002E-2</v>
      </c>
      <c r="U117" s="129">
        <v>3.0400000000000002E-3</v>
      </c>
      <c r="V117" s="129">
        <v>4.1399999999999999E-2</v>
      </c>
      <c r="W117" s="129">
        <v>0</v>
      </c>
      <c r="X117" s="128">
        <v>1.99</v>
      </c>
      <c r="Y117" s="129">
        <v>3.9960000000000002E-2</v>
      </c>
      <c r="Z117" s="129">
        <v>1.472E-2</v>
      </c>
      <c r="AA117" s="129">
        <v>0</v>
      </c>
      <c r="AB117" s="129">
        <v>4.0119999999999996E-2</v>
      </c>
      <c r="AC117" s="128">
        <v>1.99</v>
      </c>
      <c r="AD117" s="129">
        <v>2.9499999999999998E-2</v>
      </c>
      <c r="AE117" s="129">
        <v>7.4800000000000005E-3</v>
      </c>
      <c r="AF117" s="129">
        <v>5.9019999999999996E-2</v>
      </c>
      <c r="AG117" s="129">
        <v>1.4959999999999999E-2</v>
      </c>
      <c r="AH117" s="128">
        <v>1.99</v>
      </c>
      <c r="AI117" s="129">
        <v>1.8960000000000001E-2</v>
      </c>
      <c r="AJ117" s="129">
        <v>4.0600000000000002E-3</v>
      </c>
      <c r="AK117" s="129">
        <v>4.0579999999999998E-2</v>
      </c>
      <c r="AL117" s="129">
        <v>7.7200000000000003E-3</v>
      </c>
      <c r="AM117" s="128">
        <v>1.99</v>
      </c>
      <c r="AN117" s="129">
        <v>2.8039999999999999E-2</v>
      </c>
      <c r="AO117" s="129">
        <v>8.199999999999999E-3</v>
      </c>
      <c r="AP117" s="129">
        <v>5.5640000000000002E-2</v>
      </c>
      <c r="AQ117" s="129">
        <v>1.8920000000000003E-2</v>
      </c>
      <c r="AR117" s="128">
        <v>1.99</v>
      </c>
      <c r="AS117" s="129">
        <v>1.8360000000000001E-2</v>
      </c>
      <c r="AT117" s="129">
        <v>4.6600000000000001E-3</v>
      </c>
      <c r="AU117" s="129">
        <v>3.9359999999999999E-2</v>
      </c>
      <c r="AV117" s="129">
        <v>9.9799999999999993E-3</v>
      </c>
      <c r="AW117" s="128"/>
      <c r="AX117" s="129"/>
      <c r="AY117" s="129"/>
      <c r="AZ117" s="129"/>
      <c r="BA117" s="129"/>
      <c r="BB117" s="128"/>
      <c r="BC117" s="129"/>
      <c r="BD117" s="129"/>
      <c r="BE117" s="129"/>
      <c r="BF117" s="129"/>
    </row>
    <row r="118" spans="2:58" ht="15.75">
      <c r="B118" s="115"/>
      <c r="C118" s="115"/>
      <c r="D118" s="126">
        <v>2</v>
      </c>
      <c r="E118" s="127">
        <v>4.7300000000000002E-2</v>
      </c>
      <c r="F118" s="127">
        <v>1.18E-2</v>
      </c>
      <c r="G118" s="129">
        <v>0</v>
      </c>
      <c r="H118" s="129">
        <v>0</v>
      </c>
      <c r="I118" s="126">
        <v>2</v>
      </c>
      <c r="J118" s="127">
        <v>3.0300000000000001E-2</v>
      </c>
      <c r="K118" s="127">
        <v>5.5999999999999999E-3</v>
      </c>
      <c r="L118" s="127">
        <v>6.0999999999999999E-2</v>
      </c>
      <c r="M118" s="129">
        <v>0</v>
      </c>
      <c r="N118" s="126">
        <v>2</v>
      </c>
      <c r="O118" s="127">
        <v>4.4299999999999999E-2</v>
      </c>
      <c r="P118" s="127">
        <v>1.4200000000000001E-2</v>
      </c>
      <c r="Q118" s="129">
        <v>0</v>
      </c>
      <c r="R118" s="127">
        <v>3.3799999999999997E-2</v>
      </c>
      <c r="S118" s="126">
        <v>2</v>
      </c>
      <c r="T118" s="127">
        <v>1.9300000000000001E-2</v>
      </c>
      <c r="U118" s="127">
        <v>3.0000000000000001E-3</v>
      </c>
      <c r="V118" s="127">
        <v>4.1200000000000001E-2</v>
      </c>
      <c r="W118" s="129">
        <v>0</v>
      </c>
      <c r="X118" s="126">
        <v>2</v>
      </c>
      <c r="Y118" s="127">
        <v>0.04</v>
      </c>
      <c r="Z118" s="127">
        <v>1.46E-2</v>
      </c>
      <c r="AA118" s="129">
        <v>0</v>
      </c>
      <c r="AB118" s="127">
        <v>3.9699999999999999E-2</v>
      </c>
      <c r="AC118" s="126">
        <v>2</v>
      </c>
      <c r="AD118" s="127">
        <v>2.9399999999999999E-2</v>
      </c>
      <c r="AE118" s="127">
        <v>7.4000000000000003E-3</v>
      </c>
      <c r="AF118" s="127">
        <v>5.8799999999999998E-2</v>
      </c>
      <c r="AG118" s="127">
        <v>1.47E-2</v>
      </c>
      <c r="AH118" s="126">
        <v>2</v>
      </c>
      <c r="AI118" s="127">
        <v>1.89E-2</v>
      </c>
      <c r="AJ118" s="127">
        <v>4.0000000000000001E-3</v>
      </c>
      <c r="AK118" s="127">
        <v>4.0399999999999998E-2</v>
      </c>
      <c r="AL118" s="127">
        <v>7.6E-3</v>
      </c>
      <c r="AM118" s="126">
        <v>2</v>
      </c>
      <c r="AN118" s="127">
        <v>2.8000000000000001E-2</v>
      </c>
      <c r="AO118" s="127">
        <v>8.0999999999999996E-3</v>
      </c>
      <c r="AP118" s="127">
        <v>5.5500000000000001E-2</v>
      </c>
      <c r="AQ118" s="127">
        <v>1.8700000000000001E-2</v>
      </c>
      <c r="AR118" s="126">
        <v>2</v>
      </c>
      <c r="AS118" s="127">
        <v>1.83E-2</v>
      </c>
      <c r="AT118" s="127">
        <v>4.5999999999999999E-3</v>
      </c>
      <c r="AU118" s="127">
        <v>3.9199999999999999E-2</v>
      </c>
      <c r="AV118" s="127">
        <v>9.7999999999999997E-3</v>
      </c>
      <c r="AW118" s="126"/>
      <c r="AX118" s="127"/>
      <c r="AY118" s="127"/>
      <c r="AZ118" s="127"/>
      <c r="BA118" s="127"/>
      <c r="BB118" s="126"/>
      <c r="BC118" s="127"/>
      <c r="BD118" s="127"/>
      <c r="BE118" s="127"/>
      <c r="BF118" s="127"/>
    </row>
    <row r="119" spans="2:58" ht="15.75">
      <c r="B119" s="115"/>
      <c r="C119" s="115"/>
      <c r="D119" s="115"/>
      <c r="E119" s="116"/>
      <c r="F119" s="116"/>
      <c r="G119" s="116"/>
      <c r="H119" s="116"/>
      <c r="I119" s="115"/>
      <c r="J119" s="116"/>
      <c r="K119" s="116"/>
      <c r="L119" s="116"/>
      <c r="M119" s="116"/>
      <c r="N119" s="115"/>
      <c r="O119" s="116"/>
      <c r="P119" s="116"/>
      <c r="Q119" s="116"/>
      <c r="R119" s="116"/>
      <c r="S119" s="115"/>
      <c r="T119" s="116"/>
      <c r="U119" s="116"/>
      <c r="V119" s="116"/>
      <c r="W119" s="116"/>
      <c r="X119" s="115"/>
      <c r="Y119" s="116"/>
      <c r="Z119" s="116"/>
      <c r="AA119" s="116"/>
      <c r="AB119" s="116"/>
      <c r="AC119" s="115"/>
      <c r="AD119" s="116"/>
      <c r="AE119" s="116"/>
      <c r="AF119" s="116"/>
      <c r="AG119" s="116"/>
      <c r="AH119" s="115"/>
      <c r="AI119" s="116"/>
      <c r="AJ119" s="116"/>
      <c r="AK119" s="116"/>
      <c r="AL119" s="116"/>
      <c r="AM119" s="115"/>
      <c r="AN119" s="116"/>
      <c r="AO119" s="116"/>
      <c r="AP119" s="116"/>
      <c r="AQ119" s="116"/>
      <c r="AR119" s="115"/>
      <c r="AS119" s="116"/>
      <c r="AT119" s="116"/>
      <c r="AU119" s="116"/>
      <c r="AV119" s="116"/>
      <c r="AW119" s="115"/>
      <c r="AX119" s="116"/>
      <c r="AY119" s="116"/>
      <c r="AZ119" s="116"/>
      <c r="BA119" s="116"/>
      <c r="BB119" s="115"/>
      <c r="BC119" s="116"/>
      <c r="BD119" s="116"/>
      <c r="BE119" s="116"/>
      <c r="BF119" s="116"/>
    </row>
    <row r="120" spans="2:58" ht="15.75">
      <c r="B120" s="115"/>
      <c r="C120" s="115"/>
      <c r="D120" s="115"/>
      <c r="E120" s="116"/>
      <c r="F120" s="116"/>
      <c r="G120" s="116"/>
      <c r="H120" s="116"/>
      <c r="I120" s="115"/>
      <c r="J120" s="116"/>
      <c r="K120" s="116"/>
      <c r="L120" s="116"/>
      <c r="M120" s="116"/>
      <c r="N120" s="115"/>
      <c r="O120" s="116"/>
      <c r="P120" s="116"/>
      <c r="Q120" s="116"/>
      <c r="R120" s="116"/>
      <c r="S120" s="115"/>
      <c r="T120" s="116"/>
      <c r="U120" s="116"/>
      <c r="V120" s="116"/>
      <c r="W120" s="116"/>
      <c r="X120" s="115"/>
      <c r="Y120" s="116"/>
      <c r="Z120" s="116"/>
      <c r="AA120" s="116"/>
      <c r="AB120" s="116"/>
      <c r="AC120" s="115"/>
      <c r="AD120" s="116"/>
      <c r="AE120" s="116"/>
      <c r="AF120" s="116"/>
      <c r="AG120" s="116"/>
      <c r="AH120" s="115"/>
      <c r="AI120" s="116"/>
      <c r="AJ120" s="116"/>
      <c r="AK120" s="116"/>
      <c r="AL120" s="116"/>
      <c r="AM120" s="115"/>
      <c r="AN120" s="116"/>
      <c r="AO120" s="116"/>
      <c r="AP120" s="116"/>
      <c r="AQ120" s="116"/>
      <c r="AR120" s="115"/>
      <c r="AS120" s="116"/>
      <c r="AT120" s="116"/>
      <c r="AU120" s="116"/>
      <c r="AV120" s="116"/>
      <c r="AW120" s="115"/>
      <c r="AX120" s="116"/>
      <c r="AY120" s="116"/>
      <c r="AZ120" s="116"/>
      <c r="BA120" s="116"/>
      <c r="BB120" s="115"/>
      <c r="BC120" s="116"/>
      <c r="BD120" s="116"/>
      <c r="BE120" s="116"/>
      <c r="BF120" s="116"/>
    </row>
    <row r="121" spans="2:58" ht="15.75">
      <c r="B121" s="115"/>
      <c r="C121" s="115"/>
      <c r="D121" s="115"/>
      <c r="E121" s="116"/>
      <c r="F121" s="116"/>
      <c r="G121" s="116"/>
      <c r="H121" s="116"/>
      <c r="I121" s="115"/>
      <c r="J121" s="116"/>
      <c r="K121" s="116"/>
      <c r="L121" s="116"/>
      <c r="M121" s="116"/>
      <c r="N121" s="115"/>
      <c r="O121" s="116"/>
      <c r="P121" s="116"/>
      <c r="Q121" s="116"/>
      <c r="R121" s="116"/>
      <c r="S121" s="115"/>
      <c r="T121" s="116"/>
      <c r="U121" s="116"/>
      <c r="V121" s="116"/>
      <c r="W121" s="116"/>
      <c r="X121" s="115"/>
      <c r="Y121" s="116"/>
      <c r="Z121" s="116"/>
      <c r="AA121" s="116"/>
      <c r="AB121" s="116"/>
      <c r="AC121" s="115"/>
      <c r="AD121" s="116"/>
      <c r="AE121" s="116"/>
      <c r="AF121" s="116"/>
      <c r="AG121" s="116"/>
      <c r="AH121" s="115"/>
      <c r="AI121" s="116"/>
      <c r="AJ121" s="116"/>
      <c r="AK121" s="116"/>
      <c r="AL121" s="116"/>
      <c r="AM121" s="115"/>
      <c r="AN121" s="116"/>
      <c r="AO121" s="116"/>
      <c r="AP121" s="116"/>
      <c r="AQ121" s="116"/>
      <c r="AR121" s="115"/>
      <c r="AS121" s="116"/>
      <c r="AT121" s="116"/>
      <c r="AU121" s="116"/>
      <c r="AV121" s="116"/>
      <c r="AW121" s="115"/>
      <c r="AX121" s="116"/>
      <c r="AY121" s="116"/>
      <c r="AZ121" s="116"/>
      <c r="BA121" s="116"/>
      <c r="BB121" s="115"/>
      <c r="BC121" s="116"/>
      <c r="BD121" s="116"/>
      <c r="BE121" s="116"/>
      <c r="BF121" s="116"/>
    </row>
    <row r="122" spans="2:58" ht="15.75">
      <c r="B122" s="117" t="s">
        <v>390</v>
      </c>
      <c r="C122" s="115"/>
      <c r="D122" s="123">
        <v>1</v>
      </c>
      <c r="E122" s="123">
        <v>2</v>
      </c>
      <c r="F122" s="123">
        <v>3</v>
      </c>
      <c r="G122" s="123">
        <v>4</v>
      </c>
      <c r="H122" s="123">
        <v>5</v>
      </c>
      <c r="I122" s="123">
        <v>6</v>
      </c>
      <c r="J122" s="123">
        <v>7</v>
      </c>
      <c r="K122" s="123">
        <v>8</v>
      </c>
      <c r="L122" s="123">
        <v>9</v>
      </c>
      <c r="M122" s="123">
        <v>10</v>
      </c>
      <c r="N122" s="123">
        <v>11</v>
      </c>
      <c r="O122" s="116"/>
      <c r="P122" s="116"/>
      <c r="Q122" s="116"/>
      <c r="R122" s="116"/>
      <c r="S122" s="115"/>
      <c r="T122" s="116"/>
      <c r="U122" s="116"/>
      <c r="V122" s="116"/>
      <c r="W122" s="116"/>
      <c r="X122" s="115"/>
      <c r="Y122" s="116"/>
      <c r="Z122" s="116"/>
      <c r="AA122" s="116"/>
      <c r="AB122" s="116"/>
      <c r="AC122" s="115"/>
      <c r="AD122" s="116"/>
      <c r="AE122" s="116"/>
      <c r="AF122" s="116"/>
      <c r="AG122" s="116"/>
      <c r="AH122" s="115"/>
      <c r="AI122" s="116"/>
      <c r="AJ122" s="116"/>
      <c r="AK122" s="116"/>
      <c r="AL122" s="116"/>
      <c r="AM122" s="115"/>
      <c r="AN122" s="116"/>
      <c r="AO122" s="116"/>
      <c r="AP122" s="116"/>
      <c r="AQ122" s="116"/>
      <c r="AR122" s="115"/>
      <c r="AS122" s="116"/>
      <c r="AT122" s="116"/>
      <c r="AU122" s="116"/>
      <c r="AV122" s="116"/>
      <c r="AW122" s="115"/>
      <c r="AX122" s="116"/>
      <c r="AY122" s="116"/>
      <c r="AZ122" s="116"/>
      <c r="BA122" s="116"/>
      <c r="BB122" s="115"/>
      <c r="BC122" s="116"/>
      <c r="BD122" s="116"/>
      <c r="BE122" s="116"/>
      <c r="BF122" s="116"/>
    </row>
    <row r="123" spans="2:58" ht="15.75">
      <c r="B123" s="115"/>
      <c r="C123" s="130"/>
      <c r="D123" s="131"/>
      <c r="E123" s="132"/>
      <c r="F123" s="132"/>
      <c r="G123" s="132"/>
      <c r="H123" s="132"/>
      <c r="I123" s="131"/>
      <c r="J123" s="132"/>
      <c r="K123" s="132"/>
      <c r="L123" s="132"/>
      <c r="M123" s="132"/>
      <c r="N123" s="131"/>
      <c r="O123" s="133"/>
      <c r="P123" s="133"/>
      <c r="Q123" s="133"/>
      <c r="R123" s="133"/>
      <c r="S123" s="115"/>
      <c r="T123" s="133"/>
      <c r="U123" s="133"/>
      <c r="V123" s="133"/>
      <c r="W123" s="133"/>
      <c r="X123" s="115"/>
      <c r="Y123" s="133"/>
      <c r="Z123" s="133"/>
      <c r="AA123" s="133"/>
      <c r="AB123" s="133"/>
      <c r="AC123" s="115"/>
      <c r="AD123" s="133"/>
      <c r="AE123" s="133"/>
      <c r="AF123" s="133"/>
      <c r="AG123" s="133"/>
      <c r="AH123" s="115"/>
      <c r="AI123" s="133"/>
      <c r="AJ123" s="133"/>
      <c r="AK123" s="133"/>
      <c r="AL123" s="133"/>
      <c r="AM123" s="115"/>
      <c r="AN123" s="133"/>
      <c r="AO123" s="133"/>
      <c r="AP123" s="133"/>
      <c r="AQ123" s="133"/>
      <c r="AR123" s="115"/>
      <c r="AS123" s="133"/>
      <c r="AT123" s="133"/>
      <c r="AU123" s="133"/>
      <c r="AV123" s="133"/>
      <c r="AW123" s="115"/>
      <c r="AX123" s="133"/>
      <c r="AY123" s="133"/>
      <c r="AZ123" s="133"/>
      <c r="BA123" s="133"/>
      <c r="BB123" s="115"/>
      <c r="BC123" s="133"/>
      <c r="BD123" s="133"/>
      <c r="BE123" s="133"/>
      <c r="BF123" s="133"/>
    </row>
    <row r="124" spans="2:58" ht="17.25">
      <c r="B124" s="115"/>
      <c r="C124" s="130"/>
      <c r="D124" s="134" t="s">
        <v>391</v>
      </c>
      <c r="E124" s="134" t="s">
        <v>392</v>
      </c>
      <c r="F124" s="134" t="s">
        <v>393</v>
      </c>
      <c r="G124" s="134" t="s">
        <v>394</v>
      </c>
      <c r="H124" s="134" t="s">
        <v>395</v>
      </c>
      <c r="I124" s="134" t="s">
        <v>396</v>
      </c>
      <c r="J124" s="134" t="s">
        <v>397</v>
      </c>
      <c r="K124" s="134" t="s">
        <v>398</v>
      </c>
      <c r="L124" s="134" t="s">
        <v>399</v>
      </c>
      <c r="M124" s="134" t="s">
        <v>400</v>
      </c>
      <c r="N124" s="134" t="s">
        <v>401</v>
      </c>
      <c r="O124" s="133"/>
      <c r="P124" s="133"/>
      <c r="Q124" s="133"/>
      <c r="R124" s="133"/>
      <c r="S124" s="115"/>
      <c r="T124" s="133"/>
      <c r="U124" s="133"/>
      <c r="V124" s="133"/>
      <c r="W124" s="133"/>
      <c r="X124" s="115"/>
      <c r="Y124" s="133"/>
      <c r="Z124" s="133"/>
      <c r="AA124" s="133"/>
      <c r="AB124" s="133"/>
      <c r="AC124" s="115"/>
      <c r="AD124" s="133"/>
      <c r="AE124" s="133"/>
      <c r="AF124" s="133"/>
      <c r="AG124" s="133"/>
      <c r="AH124" s="115"/>
      <c r="AI124" s="133"/>
      <c r="AJ124" s="133"/>
      <c r="AK124" s="133"/>
      <c r="AL124" s="133"/>
      <c r="AM124" s="115"/>
      <c r="AN124" s="133"/>
      <c r="AO124" s="133"/>
      <c r="AP124" s="133"/>
      <c r="AQ124" s="133"/>
      <c r="AR124" s="115"/>
      <c r="AS124" s="133"/>
      <c r="AT124" s="133"/>
      <c r="AU124" s="133"/>
      <c r="AV124" s="133"/>
      <c r="AW124" s="115"/>
      <c r="AX124" s="133"/>
      <c r="AY124" s="133"/>
      <c r="AZ124" s="133"/>
      <c r="BA124" s="133"/>
      <c r="BB124" s="115"/>
      <c r="BC124" s="133"/>
      <c r="BD124" s="133"/>
      <c r="BE124" s="133"/>
      <c r="BF124" s="133"/>
    </row>
    <row r="125" spans="2:58" ht="17.25">
      <c r="B125" s="115"/>
      <c r="C125" s="130"/>
      <c r="D125" s="134" t="s">
        <v>402</v>
      </c>
      <c r="E125" s="134" t="s">
        <v>403</v>
      </c>
      <c r="F125" s="134" t="s">
        <v>404</v>
      </c>
      <c r="G125" s="134" t="s">
        <v>405</v>
      </c>
      <c r="H125" s="134" t="s">
        <v>406</v>
      </c>
      <c r="I125" s="134" t="s">
        <v>407</v>
      </c>
      <c r="J125" s="134" t="s">
        <v>408</v>
      </c>
      <c r="K125" s="134" t="s">
        <v>409</v>
      </c>
      <c r="L125" s="134" t="s">
        <v>410</v>
      </c>
      <c r="M125" s="134" t="s">
        <v>411</v>
      </c>
      <c r="N125" s="134" t="s">
        <v>412</v>
      </c>
      <c r="O125" s="133"/>
      <c r="P125" s="133"/>
      <c r="Q125" s="133"/>
      <c r="R125" s="133"/>
      <c r="S125" s="115"/>
      <c r="T125" s="133"/>
      <c r="U125" s="133"/>
      <c r="V125" s="133"/>
      <c r="W125" s="133"/>
      <c r="X125" s="115"/>
      <c r="Y125" s="133"/>
      <c r="Z125" s="133"/>
      <c r="AA125" s="133"/>
      <c r="AB125" s="133"/>
      <c r="AC125" s="115"/>
      <c r="AD125" s="133"/>
      <c r="AE125" s="133"/>
      <c r="AF125" s="133"/>
      <c r="AG125" s="133"/>
      <c r="AH125" s="115"/>
      <c r="AI125" s="133"/>
      <c r="AJ125" s="133"/>
      <c r="AK125" s="133"/>
      <c r="AL125" s="133"/>
      <c r="AM125" s="115"/>
      <c r="AN125" s="133"/>
      <c r="AO125" s="133"/>
      <c r="AP125" s="133"/>
      <c r="AQ125" s="133"/>
      <c r="AR125" s="115"/>
      <c r="AS125" s="133"/>
      <c r="AT125" s="133"/>
      <c r="AU125" s="133"/>
      <c r="AV125" s="133"/>
      <c r="AW125" s="115"/>
      <c r="AX125" s="133"/>
      <c r="AY125" s="133"/>
      <c r="AZ125" s="133"/>
      <c r="BA125" s="133"/>
      <c r="BB125" s="115"/>
      <c r="BC125" s="133"/>
      <c r="BD125" s="133"/>
      <c r="BE125" s="133"/>
      <c r="BF125" s="133"/>
    </row>
    <row r="126" spans="2:58" ht="17.25">
      <c r="B126" s="115"/>
      <c r="C126" s="115"/>
      <c r="D126" s="134" t="s">
        <v>413</v>
      </c>
      <c r="E126" s="134" t="s">
        <v>414</v>
      </c>
      <c r="F126" s="134" t="s">
        <v>415</v>
      </c>
      <c r="G126" s="134" t="s">
        <v>416</v>
      </c>
      <c r="H126" s="134" t="s">
        <v>417</v>
      </c>
      <c r="I126" s="134" t="s">
        <v>418</v>
      </c>
      <c r="J126" s="134" t="s">
        <v>419</v>
      </c>
      <c r="K126" s="134" t="s">
        <v>420</v>
      </c>
      <c r="L126" s="134" t="s">
        <v>421</v>
      </c>
      <c r="M126" s="134" t="s">
        <v>422</v>
      </c>
      <c r="N126" s="134" t="s">
        <v>423</v>
      </c>
      <c r="O126" s="115"/>
      <c r="P126" s="115"/>
      <c r="Q126" s="115"/>
      <c r="R126" s="115"/>
      <c r="S126" s="115"/>
      <c r="T126" s="115"/>
      <c r="U126" s="115"/>
      <c r="V126" s="115"/>
      <c r="W126" s="115"/>
      <c r="X126" s="115"/>
      <c r="Y126" s="115"/>
      <c r="Z126" s="115"/>
      <c r="AA126" s="115"/>
      <c r="AB126" s="115"/>
      <c r="AC126" s="115"/>
      <c r="AD126" s="115"/>
      <c r="AE126" s="115"/>
      <c r="AF126" s="115"/>
      <c r="AG126" s="115"/>
      <c r="AH126" s="115"/>
      <c r="AI126" s="115"/>
      <c r="AJ126" s="115"/>
      <c r="AK126" s="115"/>
      <c r="AL126" s="115"/>
      <c r="AM126" s="115"/>
      <c r="AN126" s="115"/>
      <c r="AO126" s="115"/>
      <c r="AP126" s="115"/>
      <c r="AQ126" s="115"/>
      <c r="AR126" s="115"/>
      <c r="AS126" s="115"/>
      <c r="AT126" s="115"/>
      <c r="AU126" s="115"/>
      <c r="AV126" s="115"/>
      <c r="AW126" s="115"/>
      <c r="AX126" s="115"/>
      <c r="AY126" s="115"/>
      <c r="AZ126" s="115"/>
      <c r="BA126" s="115"/>
      <c r="BB126" s="115"/>
      <c r="BC126" s="115"/>
      <c r="BD126" s="115"/>
      <c r="BE126" s="115"/>
      <c r="BF126" s="115"/>
    </row>
    <row r="127" spans="2:58" ht="17.25">
      <c r="B127" s="115"/>
      <c r="C127" s="115"/>
      <c r="D127" s="134" t="s">
        <v>424</v>
      </c>
      <c r="E127" s="134" t="s">
        <v>425</v>
      </c>
      <c r="F127" s="134" t="s">
        <v>426</v>
      </c>
      <c r="G127" s="134" t="s">
        <v>427</v>
      </c>
      <c r="H127" s="134" t="s">
        <v>428</v>
      </c>
      <c r="I127" s="134" t="s">
        <v>429</v>
      </c>
      <c r="J127" s="134" t="s">
        <v>430</v>
      </c>
      <c r="K127" s="134" t="s">
        <v>431</v>
      </c>
      <c r="L127" s="134" t="s">
        <v>432</v>
      </c>
      <c r="M127" s="134" t="s">
        <v>433</v>
      </c>
      <c r="N127" s="134" t="s">
        <v>434</v>
      </c>
      <c r="O127" s="115"/>
      <c r="P127" s="115"/>
      <c r="Q127" s="115"/>
      <c r="R127" s="115"/>
      <c r="S127" s="115"/>
      <c r="T127" s="115"/>
      <c r="U127" s="115"/>
      <c r="V127" s="115"/>
      <c r="W127" s="115"/>
      <c r="X127" s="115"/>
      <c r="Y127" s="115"/>
      <c r="Z127" s="115"/>
      <c r="AA127" s="115"/>
      <c r="AB127" s="115"/>
      <c r="AC127" s="115"/>
      <c r="AD127" s="115"/>
      <c r="AE127" s="115"/>
      <c r="AF127" s="115"/>
      <c r="AG127" s="115"/>
      <c r="AH127" s="115"/>
      <c r="AI127" s="115"/>
      <c r="AJ127" s="115"/>
      <c r="AK127" s="115"/>
      <c r="AL127" s="115"/>
      <c r="AM127" s="115"/>
      <c r="AN127" s="115"/>
      <c r="AO127" s="115"/>
      <c r="AP127" s="115"/>
      <c r="AQ127" s="115"/>
      <c r="AR127" s="115"/>
      <c r="AS127" s="115"/>
      <c r="AT127" s="115"/>
      <c r="AU127" s="115"/>
      <c r="AV127" s="115"/>
      <c r="AW127" s="115"/>
      <c r="AX127" s="115"/>
      <c r="AY127" s="115"/>
      <c r="AZ127" s="115"/>
      <c r="BA127" s="115"/>
      <c r="BB127" s="115"/>
      <c r="BC127" s="115"/>
      <c r="BD127" s="115"/>
      <c r="BE127" s="115"/>
      <c r="BF127" s="115"/>
    </row>
    <row r="128" spans="2:58" ht="15.75">
      <c r="B128" s="115"/>
      <c r="C128" s="115"/>
      <c r="D128" s="119"/>
      <c r="E128" s="115"/>
      <c r="F128" s="115"/>
      <c r="G128" s="115"/>
      <c r="H128" s="115"/>
      <c r="I128" s="119"/>
      <c r="J128" s="115"/>
      <c r="K128" s="115"/>
      <c r="L128" s="115"/>
      <c r="M128" s="115"/>
      <c r="N128" s="119"/>
      <c r="O128" s="115"/>
      <c r="P128" s="115"/>
      <c r="Q128" s="115"/>
      <c r="R128" s="115"/>
      <c r="S128" s="115"/>
      <c r="T128" s="115"/>
      <c r="U128" s="115"/>
      <c r="V128" s="115"/>
      <c r="W128" s="115"/>
      <c r="X128" s="115"/>
      <c r="Y128" s="115"/>
      <c r="Z128" s="115"/>
      <c r="AA128" s="115"/>
      <c r="AB128" s="115"/>
      <c r="AC128" s="115"/>
      <c r="AD128" s="115"/>
      <c r="AE128" s="115"/>
      <c r="AF128" s="115"/>
      <c r="AG128" s="115"/>
      <c r="AH128" s="115"/>
      <c r="AI128" s="115"/>
      <c r="AJ128" s="115"/>
      <c r="AK128" s="115"/>
      <c r="AL128" s="115"/>
      <c r="AM128" s="115"/>
      <c r="AN128" s="115"/>
      <c r="AO128" s="115"/>
      <c r="AP128" s="115"/>
      <c r="AQ128" s="115"/>
      <c r="AR128" s="115"/>
      <c r="AS128" s="115"/>
      <c r="AT128" s="115"/>
      <c r="AU128" s="115"/>
      <c r="AV128" s="115"/>
      <c r="AW128" s="115"/>
      <c r="AX128" s="115"/>
      <c r="AY128" s="115"/>
      <c r="AZ128" s="115"/>
      <c r="BA128" s="115"/>
      <c r="BB128" s="115"/>
      <c r="BC128" s="115"/>
      <c r="BD128" s="115"/>
      <c r="BE128" s="115"/>
      <c r="BF128" s="115"/>
    </row>
    <row r="129" spans="4:58" ht="15.75">
      <c r="D129" s="135"/>
      <c r="E129" s="131" t="s">
        <v>435</v>
      </c>
      <c r="F129" s="131" t="s">
        <v>3</v>
      </c>
      <c r="G129" s="131" t="s">
        <v>436</v>
      </c>
      <c r="H129" s="131" t="s">
        <v>437</v>
      </c>
      <c r="I129" s="135"/>
      <c r="J129" s="131" t="s">
        <v>435</v>
      </c>
      <c r="K129" s="131" t="s">
        <v>3</v>
      </c>
      <c r="L129" s="131" t="s">
        <v>436</v>
      </c>
      <c r="M129" s="131" t="s">
        <v>437</v>
      </c>
      <c r="N129" s="135"/>
      <c r="O129" s="131" t="s">
        <v>435</v>
      </c>
      <c r="P129" s="131" t="s">
        <v>3</v>
      </c>
      <c r="Q129" s="131" t="s">
        <v>436</v>
      </c>
      <c r="R129" s="131" t="s">
        <v>437</v>
      </c>
      <c r="S129" s="135"/>
      <c r="T129" s="131" t="s">
        <v>435</v>
      </c>
      <c r="U129" s="131" t="s">
        <v>3</v>
      </c>
      <c r="V129" s="131" t="s">
        <v>436</v>
      </c>
      <c r="W129" s="131" t="s">
        <v>437</v>
      </c>
      <c r="X129" s="135"/>
      <c r="Y129" s="131" t="s">
        <v>435</v>
      </c>
      <c r="Z129" s="131" t="s">
        <v>3</v>
      </c>
      <c r="AA129" s="131" t="s">
        <v>436</v>
      </c>
      <c r="AB129" s="131" t="s">
        <v>437</v>
      </c>
      <c r="AC129" s="135"/>
      <c r="AD129" s="131" t="s">
        <v>435</v>
      </c>
      <c r="AE129" s="131" t="s">
        <v>3</v>
      </c>
      <c r="AF129" s="131" t="s">
        <v>436</v>
      </c>
      <c r="AG129" s="131" t="s">
        <v>437</v>
      </c>
      <c r="AH129" s="135"/>
      <c r="AI129" s="131" t="s">
        <v>435</v>
      </c>
      <c r="AJ129" s="131" t="s">
        <v>3</v>
      </c>
      <c r="AK129" s="131" t="s">
        <v>436</v>
      </c>
      <c r="AL129" s="131" t="s">
        <v>437</v>
      </c>
      <c r="AM129" s="135"/>
      <c r="AN129" s="131" t="s">
        <v>435</v>
      </c>
      <c r="AO129" s="131" t="s">
        <v>3</v>
      </c>
      <c r="AP129" s="131" t="s">
        <v>436</v>
      </c>
      <c r="AQ129" s="131" t="s">
        <v>437</v>
      </c>
      <c r="AR129" s="135"/>
      <c r="AS129" s="131" t="s">
        <v>435</v>
      </c>
      <c r="AT129" s="131" t="s">
        <v>3</v>
      </c>
      <c r="AU129" s="131" t="s">
        <v>436</v>
      </c>
      <c r="AV129" s="131" t="s">
        <v>437</v>
      </c>
      <c r="AW129" s="135"/>
      <c r="AX129" s="131" t="s">
        <v>435</v>
      </c>
      <c r="AY129" s="131" t="s">
        <v>3</v>
      </c>
      <c r="AZ129" s="131" t="s">
        <v>436</v>
      </c>
      <c r="BA129" s="131" t="s">
        <v>437</v>
      </c>
      <c r="BB129" s="135"/>
      <c r="BC129" s="131" t="s">
        <v>435</v>
      </c>
      <c r="BD129" s="131" t="s">
        <v>3</v>
      </c>
      <c r="BE129" s="131" t="s">
        <v>436</v>
      </c>
      <c r="BF129" s="131" t="s">
        <v>437</v>
      </c>
    </row>
    <row r="130" spans="4:58" ht="15.75">
      <c r="D130" s="123"/>
      <c r="E130" s="123">
        <v>1</v>
      </c>
      <c r="F130" s="123"/>
      <c r="G130" s="123"/>
      <c r="H130" s="123"/>
      <c r="I130" s="125"/>
      <c r="J130" s="123">
        <v>2</v>
      </c>
      <c r="K130" s="123"/>
      <c r="L130" s="123"/>
      <c r="M130" s="123"/>
      <c r="N130" s="123"/>
      <c r="O130" s="123">
        <v>3</v>
      </c>
      <c r="P130" s="123"/>
      <c r="Q130" s="123"/>
      <c r="R130" s="123"/>
      <c r="S130" s="125"/>
      <c r="T130" s="123">
        <v>4</v>
      </c>
      <c r="U130" s="123"/>
      <c r="V130" s="123"/>
      <c r="W130" s="123"/>
      <c r="X130" s="123"/>
      <c r="Y130" s="123">
        <v>5</v>
      </c>
      <c r="Z130" s="123"/>
      <c r="AA130" s="123"/>
      <c r="AB130" s="123"/>
      <c r="AC130" s="125"/>
      <c r="AD130" s="123">
        <v>6</v>
      </c>
      <c r="AE130" s="123"/>
      <c r="AF130" s="123"/>
      <c r="AG130" s="123"/>
      <c r="AH130" s="123"/>
      <c r="AI130" s="123">
        <v>7</v>
      </c>
      <c r="AJ130" s="123"/>
      <c r="AK130" s="123"/>
      <c r="AL130" s="123"/>
      <c r="AM130" s="125"/>
      <c r="AN130" s="123">
        <v>8</v>
      </c>
      <c r="AO130" s="123"/>
      <c r="AP130" s="123"/>
      <c r="AQ130" s="123"/>
      <c r="AR130" s="123"/>
      <c r="AS130" s="123">
        <v>9</v>
      </c>
      <c r="AT130" s="123"/>
      <c r="AU130" s="123"/>
      <c r="AV130" s="123"/>
      <c r="AW130" s="125"/>
      <c r="AX130" s="123">
        <v>10</v>
      </c>
      <c r="AY130" s="123"/>
      <c r="AZ130" s="123"/>
      <c r="BA130" s="123"/>
      <c r="BB130" s="123"/>
      <c r="BC130" s="123">
        <v>11</v>
      </c>
      <c r="BD130" s="123"/>
      <c r="BE130" s="123"/>
      <c r="BF130" s="123"/>
    </row>
    <row r="131" spans="4:58" ht="15.75">
      <c r="D131" s="123">
        <v>1</v>
      </c>
      <c r="E131" s="123">
        <v>2</v>
      </c>
      <c r="F131" s="123">
        <v>3</v>
      </c>
      <c r="G131" s="123">
        <v>4</v>
      </c>
      <c r="H131" s="123">
        <v>5</v>
      </c>
      <c r="I131" s="125">
        <v>6</v>
      </c>
      <c r="J131" s="125">
        <v>7</v>
      </c>
      <c r="K131" s="125">
        <v>8</v>
      </c>
      <c r="L131" s="125">
        <v>9</v>
      </c>
      <c r="M131" s="125">
        <v>10</v>
      </c>
      <c r="N131" s="123">
        <v>11</v>
      </c>
      <c r="O131" s="123">
        <v>12</v>
      </c>
      <c r="P131" s="123">
        <v>13</v>
      </c>
      <c r="Q131" s="123">
        <v>14</v>
      </c>
      <c r="R131" s="123">
        <v>15</v>
      </c>
      <c r="S131" s="125">
        <v>16</v>
      </c>
      <c r="T131" s="125">
        <v>17</v>
      </c>
      <c r="U131" s="125">
        <v>18</v>
      </c>
      <c r="V131" s="125">
        <v>19</v>
      </c>
      <c r="W131" s="125">
        <v>20</v>
      </c>
      <c r="X131" s="123">
        <v>21</v>
      </c>
      <c r="Y131" s="123">
        <v>22</v>
      </c>
      <c r="Z131" s="123">
        <v>23</v>
      </c>
      <c r="AA131" s="123">
        <v>24</v>
      </c>
      <c r="AB131" s="123">
        <v>25</v>
      </c>
      <c r="AC131" s="125">
        <v>26</v>
      </c>
      <c r="AD131" s="125">
        <v>27</v>
      </c>
      <c r="AE131" s="125">
        <v>28</v>
      </c>
      <c r="AF131" s="125">
        <v>29</v>
      </c>
      <c r="AG131" s="125">
        <v>30</v>
      </c>
      <c r="AH131" s="123">
        <v>31</v>
      </c>
      <c r="AI131" s="123">
        <v>32</v>
      </c>
      <c r="AJ131" s="123">
        <v>33</v>
      </c>
      <c r="AK131" s="123">
        <v>34</v>
      </c>
      <c r="AL131" s="123">
        <v>35</v>
      </c>
      <c r="AM131" s="125">
        <v>36</v>
      </c>
      <c r="AN131" s="125">
        <v>37</v>
      </c>
      <c r="AO131" s="125">
        <v>38</v>
      </c>
      <c r="AP131" s="125">
        <v>39</v>
      </c>
      <c r="AQ131" s="125">
        <v>40</v>
      </c>
      <c r="AR131" s="123">
        <v>41</v>
      </c>
      <c r="AS131" s="123">
        <v>42</v>
      </c>
      <c r="AT131" s="123">
        <v>43</v>
      </c>
      <c r="AU131" s="123">
        <v>44</v>
      </c>
      <c r="AV131" s="123">
        <v>45</v>
      </c>
      <c r="AW131" s="125">
        <v>46</v>
      </c>
      <c r="AX131" s="125">
        <v>47</v>
      </c>
      <c r="AY131" s="125">
        <v>48</v>
      </c>
      <c r="AZ131" s="125">
        <v>49</v>
      </c>
      <c r="BA131" s="125">
        <v>50</v>
      </c>
      <c r="BB131" s="123">
        <v>51</v>
      </c>
      <c r="BC131" s="123">
        <v>52</v>
      </c>
      <c r="BD131" s="123">
        <v>53</v>
      </c>
      <c r="BE131" s="123">
        <v>54</v>
      </c>
      <c r="BF131" s="123">
        <v>55</v>
      </c>
    </row>
    <row r="132" spans="4:58" ht="15.75">
      <c r="D132" s="135"/>
      <c r="E132" s="131"/>
      <c r="F132" s="131"/>
      <c r="G132" s="131"/>
      <c r="H132" s="131"/>
      <c r="I132" s="135"/>
      <c r="J132" s="131"/>
      <c r="K132" s="131"/>
      <c r="L132" s="131"/>
      <c r="M132" s="131"/>
      <c r="N132" s="135"/>
      <c r="O132" s="131"/>
      <c r="P132" s="131"/>
      <c r="Q132" s="131"/>
      <c r="R132" s="131"/>
      <c r="S132" s="135"/>
      <c r="T132" s="131"/>
      <c r="U132" s="131"/>
      <c r="V132" s="131"/>
      <c r="W132" s="131"/>
      <c r="X132" s="135"/>
      <c r="Y132" s="131"/>
      <c r="Z132" s="131"/>
      <c r="AA132" s="131"/>
      <c r="AB132" s="131"/>
      <c r="AC132" s="135"/>
      <c r="AD132" s="131"/>
      <c r="AE132" s="131"/>
      <c r="AF132" s="131"/>
      <c r="AG132" s="131"/>
      <c r="AH132" s="135"/>
      <c r="AI132" s="131"/>
      <c r="AJ132" s="131"/>
      <c r="AK132" s="131"/>
      <c r="AL132" s="131"/>
      <c r="AM132" s="135"/>
      <c r="AN132" s="131"/>
      <c r="AO132" s="131"/>
      <c r="AP132" s="131"/>
      <c r="AQ132" s="131"/>
      <c r="AR132" s="135"/>
      <c r="AS132" s="131"/>
      <c r="AT132" s="131"/>
      <c r="AU132" s="131"/>
      <c r="AV132" s="131"/>
      <c r="AW132" s="135"/>
      <c r="AX132" s="131"/>
      <c r="AY132" s="131"/>
      <c r="AZ132" s="131"/>
      <c r="BA132" s="131"/>
      <c r="BB132" s="135"/>
      <c r="BC132" s="131"/>
      <c r="BD132" s="131"/>
      <c r="BE132" s="131"/>
      <c r="BF132" s="131"/>
    </row>
    <row r="133" spans="4:58" ht="15.75">
      <c r="D133" s="123"/>
      <c r="E133" s="123"/>
      <c r="F133" s="123">
        <v>1</v>
      </c>
      <c r="G133" s="123"/>
      <c r="H133" s="123"/>
      <c r="I133" s="125"/>
      <c r="J133" s="123"/>
      <c r="K133" s="123">
        <v>2</v>
      </c>
      <c r="L133" s="123"/>
      <c r="M133" s="123"/>
      <c r="N133" s="123"/>
      <c r="O133" s="123"/>
      <c r="P133" s="123">
        <v>3</v>
      </c>
      <c r="Q133" s="123"/>
      <c r="R133" s="123"/>
      <c r="S133" s="125"/>
      <c r="T133" s="123"/>
      <c r="U133" s="123">
        <v>4</v>
      </c>
      <c r="V133" s="123"/>
      <c r="W133" s="123"/>
      <c r="X133" s="123"/>
      <c r="Y133" s="123"/>
      <c r="Z133" s="123">
        <v>5</v>
      </c>
      <c r="AA133" s="123"/>
      <c r="AB133" s="123"/>
      <c r="AC133" s="125"/>
      <c r="AD133" s="123"/>
      <c r="AE133" s="123">
        <v>6</v>
      </c>
      <c r="AF133" s="123"/>
      <c r="AG133" s="123"/>
      <c r="AH133" s="123"/>
      <c r="AI133" s="123"/>
      <c r="AJ133" s="123">
        <v>7</v>
      </c>
      <c r="AK133" s="123"/>
      <c r="AL133" s="123"/>
      <c r="AM133" s="125"/>
      <c r="AN133" s="123"/>
      <c r="AO133" s="123">
        <v>8</v>
      </c>
      <c r="AP133" s="123"/>
      <c r="AQ133" s="123"/>
      <c r="AR133" s="123"/>
      <c r="AS133" s="123"/>
      <c r="AT133" s="123">
        <v>9</v>
      </c>
      <c r="AU133" s="123"/>
      <c r="AV133" s="123"/>
      <c r="AW133" s="125"/>
      <c r="AX133" s="123"/>
      <c r="AY133" s="123">
        <v>10</v>
      </c>
      <c r="AZ133" s="123"/>
      <c r="BA133" s="123"/>
      <c r="BB133" s="123"/>
      <c r="BC133" s="123"/>
      <c r="BD133" s="123">
        <v>11</v>
      </c>
      <c r="BE133" s="123"/>
      <c r="BF133" s="123"/>
    </row>
    <row r="134" spans="4:58" ht="15.75">
      <c r="D134" s="123">
        <v>1</v>
      </c>
      <c r="E134" s="123">
        <v>2</v>
      </c>
      <c r="F134" s="123">
        <v>3</v>
      </c>
      <c r="G134" s="123">
        <v>4</v>
      </c>
      <c r="H134" s="123">
        <v>5</v>
      </c>
      <c r="I134" s="125">
        <v>6</v>
      </c>
      <c r="J134" s="125">
        <v>7</v>
      </c>
      <c r="K134" s="125">
        <v>8</v>
      </c>
      <c r="L134" s="125">
        <v>9</v>
      </c>
      <c r="M134" s="125">
        <v>10</v>
      </c>
      <c r="N134" s="123">
        <v>11</v>
      </c>
      <c r="O134" s="123">
        <v>12</v>
      </c>
      <c r="P134" s="123">
        <v>13</v>
      </c>
      <c r="Q134" s="123">
        <v>14</v>
      </c>
      <c r="R134" s="123">
        <v>15</v>
      </c>
      <c r="S134" s="125">
        <v>16</v>
      </c>
      <c r="T134" s="125">
        <v>17</v>
      </c>
      <c r="U134" s="125">
        <v>18</v>
      </c>
      <c r="V134" s="125">
        <v>19</v>
      </c>
      <c r="W134" s="125">
        <v>20</v>
      </c>
      <c r="X134" s="123">
        <v>21</v>
      </c>
      <c r="Y134" s="123">
        <v>22</v>
      </c>
      <c r="Z134" s="123">
        <v>23</v>
      </c>
      <c r="AA134" s="123">
        <v>24</v>
      </c>
      <c r="AB134" s="123">
        <v>25</v>
      </c>
      <c r="AC134" s="125">
        <v>26</v>
      </c>
      <c r="AD134" s="125">
        <v>27</v>
      </c>
      <c r="AE134" s="125">
        <v>28</v>
      </c>
      <c r="AF134" s="125">
        <v>29</v>
      </c>
      <c r="AG134" s="125">
        <v>30</v>
      </c>
      <c r="AH134" s="123">
        <v>31</v>
      </c>
      <c r="AI134" s="123">
        <v>32</v>
      </c>
      <c r="AJ134" s="123">
        <v>33</v>
      </c>
      <c r="AK134" s="123">
        <v>34</v>
      </c>
      <c r="AL134" s="123">
        <v>35</v>
      </c>
      <c r="AM134" s="125">
        <v>36</v>
      </c>
      <c r="AN134" s="125">
        <v>37</v>
      </c>
      <c r="AO134" s="125">
        <v>38</v>
      </c>
      <c r="AP134" s="125">
        <v>39</v>
      </c>
      <c r="AQ134" s="125">
        <v>40</v>
      </c>
      <c r="AR134" s="123">
        <v>41</v>
      </c>
      <c r="AS134" s="123">
        <v>42</v>
      </c>
      <c r="AT134" s="123">
        <v>43</v>
      </c>
      <c r="AU134" s="123">
        <v>44</v>
      </c>
      <c r="AV134" s="123">
        <v>45</v>
      </c>
      <c r="AW134" s="125">
        <v>46</v>
      </c>
      <c r="AX134" s="125">
        <v>47</v>
      </c>
      <c r="AY134" s="125">
        <v>48</v>
      </c>
      <c r="AZ134" s="125">
        <v>49</v>
      </c>
      <c r="BA134" s="125">
        <v>50</v>
      </c>
      <c r="BB134" s="123">
        <v>51</v>
      </c>
      <c r="BC134" s="123">
        <v>52</v>
      </c>
      <c r="BD134" s="123">
        <v>53</v>
      </c>
      <c r="BE134" s="123">
        <v>54</v>
      </c>
      <c r="BF134" s="123">
        <v>55</v>
      </c>
    </row>
    <row r="135" spans="4:58" ht="15.75">
      <c r="D135" s="135"/>
      <c r="E135" s="131"/>
      <c r="F135" s="131"/>
      <c r="G135" s="131"/>
      <c r="H135" s="131"/>
      <c r="I135" s="135"/>
      <c r="J135" s="131"/>
      <c r="K135" s="131"/>
      <c r="L135" s="131"/>
      <c r="M135" s="131"/>
      <c r="N135" s="135"/>
      <c r="O135" s="131"/>
      <c r="P135" s="131"/>
      <c r="Q135" s="131"/>
      <c r="R135" s="131"/>
      <c r="S135" s="135"/>
      <c r="T135" s="131"/>
      <c r="U135" s="131"/>
      <c r="V135" s="131"/>
      <c r="W135" s="131"/>
      <c r="X135" s="135"/>
      <c r="Y135" s="131"/>
      <c r="Z135" s="131"/>
      <c r="AA135" s="131"/>
      <c r="AB135" s="131"/>
      <c r="AC135" s="135"/>
      <c r="AD135" s="131"/>
      <c r="AE135" s="131"/>
      <c r="AF135" s="131"/>
      <c r="AG135" s="131"/>
      <c r="AH135" s="135"/>
      <c r="AI135" s="131"/>
      <c r="AJ135" s="131"/>
      <c r="AK135" s="131"/>
      <c r="AL135" s="131"/>
      <c r="AM135" s="135"/>
      <c r="AN135" s="131"/>
      <c r="AO135" s="131"/>
      <c r="AP135" s="131"/>
      <c r="AQ135" s="131"/>
      <c r="AR135" s="135"/>
      <c r="AS135" s="131"/>
      <c r="AT135" s="131"/>
      <c r="AU135" s="131"/>
      <c r="AV135" s="131"/>
      <c r="AW135" s="135"/>
      <c r="AX135" s="131"/>
      <c r="AY135" s="131"/>
      <c r="AZ135" s="131"/>
      <c r="BA135" s="131"/>
      <c r="BB135" s="135"/>
      <c r="BC135" s="131"/>
      <c r="BD135" s="131"/>
      <c r="BE135" s="131"/>
      <c r="BF135" s="131"/>
    </row>
    <row r="136" spans="4:58" ht="15.75">
      <c r="D136" s="123"/>
      <c r="E136" s="123"/>
      <c r="F136" s="123"/>
      <c r="G136" s="123">
        <v>1</v>
      </c>
      <c r="H136" s="123"/>
      <c r="I136" s="125"/>
      <c r="J136" s="123"/>
      <c r="K136" s="123"/>
      <c r="L136" s="123">
        <v>2</v>
      </c>
      <c r="M136" s="123"/>
      <c r="N136" s="123"/>
      <c r="O136" s="123"/>
      <c r="P136" s="123"/>
      <c r="Q136" s="123">
        <v>3</v>
      </c>
      <c r="R136" s="123"/>
      <c r="S136" s="125"/>
      <c r="T136" s="123"/>
      <c r="U136" s="123"/>
      <c r="V136" s="123">
        <v>4</v>
      </c>
      <c r="W136" s="123"/>
      <c r="X136" s="123"/>
      <c r="Y136" s="123"/>
      <c r="Z136" s="123"/>
      <c r="AA136" s="123">
        <v>5</v>
      </c>
      <c r="AB136" s="123"/>
      <c r="AC136" s="125"/>
      <c r="AD136" s="123"/>
      <c r="AE136" s="123"/>
      <c r="AF136" s="123">
        <v>6</v>
      </c>
      <c r="AG136" s="123"/>
      <c r="AH136" s="123"/>
      <c r="AI136" s="123"/>
      <c r="AJ136" s="123"/>
      <c r="AK136" s="123">
        <v>7</v>
      </c>
      <c r="AL136" s="123"/>
      <c r="AM136" s="125"/>
      <c r="AN136" s="123"/>
      <c r="AO136" s="123"/>
      <c r="AP136" s="123">
        <v>8</v>
      </c>
      <c r="AQ136" s="123"/>
      <c r="AR136" s="123"/>
      <c r="AS136" s="123"/>
      <c r="AT136" s="123"/>
      <c r="AU136" s="123">
        <v>9</v>
      </c>
      <c r="AV136" s="123"/>
      <c r="AW136" s="125"/>
      <c r="AX136" s="123"/>
      <c r="AY136" s="123"/>
      <c r="AZ136" s="123">
        <v>10</v>
      </c>
      <c r="BA136" s="123"/>
      <c r="BB136" s="123"/>
      <c r="BC136" s="123"/>
      <c r="BD136" s="123"/>
      <c r="BE136" s="123">
        <v>11</v>
      </c>
      <c r="BF136" s="123"/>
    </row>
    <row r="137" spans="4:58" ht="15.75">
      <c r="D137" s="123">
        <v>1</v>
      </c>
      <c r="E137" s="123">
        <v>2</v>
      </c>
      <c r="F137" s="123">
        <v>3</v>
      </c>
      <c r="G137" s="123">
        <v>4</v>
      </c>
      <c r="H137" s="123">
        <v>5</v>
      </c>
      <c r="I137" s="125">
        <v>6</v>
      </c>
      <c r="J137" s="125">
        <v>7</v>
      </c>
      <c r="K137" s="125">
        <v>8</v>
      </c>
      <c r="L137" s="125">
        <v>9</v>
      </c>
      <c r="M137" s="125">
        <v>10</v>
      </c>
      <c r="N137" s="123">
        <v>11</v>
      </c>
      <c r="O137" s="123">
        <v>12</v>
      </c>
      <c r="P137" s="123">
        <v>13</v>
      </c>
      <c r="Q137" s="123">
        <v>14</v>
      </c>
      <c r="R137" s="123">
        <v>15</v>
      </c>
      <c r="S137" s="125">
        <v>16</v>
      </c>
      <c r="T137" s="125">
        <v>17</v>
      </c>
      <c r="U137" s="125">
        <v>18</v>
      </c>
      <c r="V137" s="125">
        <v>19</v>
      </c>
      <c r="W137" s="125">
        <v>20</v>
      </c>
      <c r="X137" s="123">
        <v>21</v>
      </c>
      <c r="Y137" s="123">
        <v>22</v>
      </c>
      <c r="Z137" s="123">
        <v>23</v>
      </c>
      <c r="AA137" s="123">
        <v>24</v>
      </c>
      <c r="AB137" s="123">
        <v>25</v>
      </c>
      <c r="AC137" s="125">
        <v>26</v>
      </c>
      <c r="AD137" s="125">
        <v>27</v>
      </c>
      <c r="AE137" s="125">
        <v>28</v>
      </c>
      <c r="AF137" s="125">
        <v>29</v>
      </c>
      <c r="AG137" s="125">
        <v>30</v>
      </c>
      <c r="AH137" s="123">
        <v>31</v>
      </c>
      <c r="AI137" s="123">
        <v>32</v>
      </c>
      <c r="AJ137" s="123">
        <v>33</v>
      </c>
      <c r="AK137" s="123">
        <v>34</v>
      </c>
      <c r="AL137" s="123">
        <v>35</v>
      </c>
      <c r="AM137" s="125">
        <v>36</v>
      </c>
      <c r="AN137" s="125">
        <v>37</v>
      </c>
      <c r="AO137" s="125">
        <v>38</v>
      </c>
      <c r="AP137" s="125">
        <v>39</v>
      </c>
      <c r="AQ137" s="125">
        <v>40</v>
      </c>
      <c r="AR137" s="123">
        <v>41</v>
      </c>
      <c r="AS137" s="123">
        <v>42</v>
      </c>
      <c r="AT137" s="123">
        <v>43</v>
      </c>
      <c r="AU137" s="123">
        <v>44</v>
      </c>
      <c r="AV137" s="123">
        <v>45</v>
      </c>
      <c r="AW137" s="125">
        <v>46</v>
      </c>
      <c r="AX137" s="125">
        <v>47</v>
      </c>
      <c r="AY137" s="125">
        <v>48</v>
      </c>
      <c r="AZ137" s="125">
        <v>49</v>
      </c>
      <c r="BA137" s="125">
        <v>50</v>
      </c>
      <c r="BB137" s="123">
        <v>51</v>
      </c>
      <c r="BC137" s="123">
        <v>52</v>
      </c>
      <c r="BD137" s="123">
        <v>53</v>
      </c>
      <c r="BE137" s="123">
        <v>54</v>
      </c>
      <c r="BF137" s="123">
        <v>55</v>
      </c>
    </row>
    <row r="138" spans="4:58" ht="15.75">
      <c r="D138" s="135"/>
      <c r="E138" s="131"/>
      <c r="F138" s="131"/>
      <c r="G138" s="131"/>
      <c r="H138" s="131"/>
      <c r="I138" s="135"/>
      <c r="J138" s="131"/>
      <c r="K138" s="131"/>
      <c r="L138" s="131"/>
      <c r="M138" s="131"/>
      <c r="N138" s="135"/>
      <c r="O138" s="131"/>
      <c r="P138" s="131"/>
      <c r="Q138" s="131"/>
      <c r="R138" s="131"/>
      <c r="S138" s="135"/>
      <c r="T138" s="131"/>
      <c r="U138" s="131"/>
      <c r="V138" s="131"/>
      <c r="W138" s="131"/>
      <c r="X138" s="135"/>
      <c r="Y138" s="131"/>
      <c r="Z138" s="131"/>
      <c r="AA138" s="131"/>
      <c r="AB138" s="131"/>
      <c r="AC138" s="135"/>
      <c r="AD138" s="131"/>
      <c r="AE138" s="131"/>
      <c r="AF138" s="131"/>
      <c r="AG138" s="131"/>
      <c r="AH138" s="135"/>
      <c r="AI138" s="131"/>
      <c r="AJ138" s="131"/>
      <c r="AK138" s="131"/>
      <c r="AL138" s="131"/>
      <c r="AM138" s="135"/>
      <c r="AN138" s="131"/>
      <c r="AO138" s="131"/>
      <c r="AP138" s="131"/>
      <c r="AQ138" s="131"/>
      <c r="AR138" s="135"/>
      <c r="AS138" s="131"/>
      <c r="AT138" s="131"/>
      <c r="AU138" s="131"/>
      <c r="AV138" s="131"/>
      <c r="AW138" s="135"/>
      <c r="AX138" s="131"/>
      <c r="AY138" s="131"/>
      <c r="AZ138" s="131"/>
      <c r="BA138" s="131"/>
      <c r="BB138" s="135"/>
      <c r="BC138" s="131"/>
      <c r="BD138" s="131"/>
      <c r="BE138" s="131"/>
      <c r="BF138" s="131"/>
    </row>
    <row r="139" spans="4:58" ht="15.75">
      <c r="D139" s="123"/>
      <c r="E139" s="123"/>
      <c r="F139" s="123"/>
      <c r="G139" s="123"/>
      <c r="H139" s="123">
        <v>1</v>
      </c>
      <c r="I139" s="123"/>
      <c r="J139" s="123"/>
      <c r="K139" s="123"/>
      <c r="L139" s="123"/>
      <c r="M139" s="123">
        <v>2</v>
      </c>
      <c r="N139" s="123"/>
      <c r="O139" s="123"/>
      <c r="P139" s="123"/>
      <c r="Q139" s="123"/>
      <c r="R139" s="123">
        <v>3</v>
      </c>
      <c r="S139" s="123"/>
      <c r="T139" s="123"/>
      <c r="U139" s="123"/>
      <c r="V139" s="123"/>
      <c r="W139" s="123">
        <v>4</v>
      </c>
      <c r="X139" s="123"/>
      <c r="Y139" s="123"/>
      <c r="Z139" s="123"/>
      <c r="AA139" s="123"/>
      <c r="AB139" s="123">
        <v>5</v>
      </c>
      <c r="AC139" s="123"/>
      <c r="AD139" s="123"/>
      <c r="AE139" s="123"/>
      <c r="AF139" s="123"/>
      <c r="AG139" s="123">
        <v>6</v>
      </c>
      <c r="AH139" s="123"/>
      <c r="AI139" s="123"/>
      <c r="AJ139" s="123"/>
      <c r="AK139" s="123"/>
      <c r="AL139" s="123">
        <v>7</v>
      </c>
      <c r="AM139" s="123"/>
      <c r="AN139" s="123"/>
      <c r="AO139" s="123"/>
      <c r="AP139" s="123"/>
      <c r="AQ139" s="123">
        <v>8</v>
      </c>
      <c r="AR139" s="123"/>
      <c r="AS139" s="123"/>
      <c r="AT139" s="123"/>
      <c r="AU139" s="123"/>
      <c r="AV139" s="123">
        <v>9</v>
      </c>
      <c r="AW139" s="123"/>
      <c r="AX139" s="123"/>
      <c r="AY139" s="123"/>
      <c r="AZ139" s="123"/>
      <c r="BA139" s="123">
        <v>10</v>
      </c>
      <c r="BB139" s="123"/>
      <c r="BC139" s="123"/>
      <c r="BD139" s="123"/>
      <c r="BE139" s="123"/>
      <c r="BF139" s="123">
        <v>11</v>
      </c>
    </row>
    <row r="140" spans="4:58" ht="15.75">
      <c r="D140" s="123">
        <v>1</v>
      </c>
      <c r="E140" s="123">
        <v>2</v>
      </c>
      <c r="F140" s="123">
        <v>3</v>
      </c>
      <c r="G140" s="123">
        <v>4</v>
      </c>
      <c r="H140" s="123">
        <v>5</v>
      </c>
      <c r="I140" s="125">
        <v>6</v>
      </c>
      <c r="J140" s="125">
        <v>7</v>
      </c>
      <c r="K140" s="125">
        <v>8</v>
      </c>
      <c r="L140" s="125">
        <v>9</v>
      </c>
      <c r="M140" s="125">
        <v>10</v>
      </c>
      <c r="N140" s="123">
        <v>11</v>
      </c>
      <c r="O140" s="123">
        <v>12</v>
      </c>
      <c r="P140" s="123">
        <v>13</v>
      </c>
      <c r="Q140" s="123">
        <v>14</v>
      </c>
      <c r="R140" s="123">
        <v>15</v>
      </c>
      <c r="S140" s="125">
        <v>16</v>
      </c>
      <c r="T140" s="125">
        <v>17</v>
      </c>
      <c r="U140" s="125">
        <v>18</v>
      </c>
      <c r="V140" s="125">
        <v>19</v>
      </c>
      <c r="W140" s="125">
        <v>20</v>
      </c>
      <c r="X140" s="123">
        <v>21</v>
      </c>
      <c r="Y140" s="123">
        <v>22</v>
      </c>
      <c r="Z140" s="123">
        <v>23</v>
      </c>
      <c r="AA140" s="123">
        <v>24</v>
      </c>
      <c r="AB140" s="123">
        <v>25</v>
      </c>
      <c r="AC140" s="125">
        <v>26</v>
      </c>
      <c r="AD140" s="125">
        <v>27</v>
      </c>
      <c r="AE140" s="125">
        <v>28</v>
      </c>
      <c r="AF140" s="125">
        <v>29</v>
      </c>
      <c r="AG140" s="125">
        <v>30</v>
      </c>
      <c r="AH140" s="123">
        <v>31</v>
      </c>
      <c r="AI140" s="123">
        <v>32</v>
      </c>
      <c r="AJ140" s="123">
        <v>33</v>
      </c>
      <c r="AK140" s="123">
        <v>34</v>
      </c>
      <c r="AL140" s="123">
        <v>35</v>
      </c>
      <c r="AM140" s="125">
        <v>36</v>
      </c>
      <c r="AN140" s="125">
        <v>37</v>
      </c>
      <c r="AO140" s="125">
        <v>38</v>
      </c>
      <c r="AP140" s="125">
        <v>39</v>
      </c>
      <c r="AQ140" s="125">
        <v>40</v>
      </c>
      <c r="AR140" s="123">
        <v>41</v>
      </c>
      <c r="AS140" s="123">
        <v>42</v>
      </c>
      <c r="AT140" s="123">
        <v>43</v>
      </c>
      <c r="AU140" s="123">
        <v>44</v>
      </c>
      <c r="AV140" s="123">
        <v>45</v>
      </c>
      <c r="AW140" s="125">
        <v>46</v>
      </c>
      <c r="AX140" s="125">
        <v>47</v>
      </c>
      <c r="AY140" s="125">
        <v>48</v>
      </c>
      <c r="AZ140" s="125">
        <v>49</v>
      </c>
      <c r="BA140" s="125">
        <v>50</v>
      </c>
      <c r="BB140" s="123">
        <v>51</v>
      </c>
      <c r="BC140" s="123">
        <v>52</v>
      </c>
      <c r="BD140" s="123">
        <v>53</v>
      </c>
      <c r="BE140" s="123">
        <v>54</v>
      </c>
      <c r="BF140" s="123">
        <v>55</v>
      </c>
    </row>
    <row r="141" spans="4:58">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c r="AB141" s="115"/>
      <c r="AC141" s="115"/>
      <c r="AD141" s="115"/>
      <c r="AE141" s="115"/>
      <c r="AF141" s="115"/>
      <c r="AG141" s="115"/>
      <c r="AH141" s="115"/>
      <c r="AI141" s="115"/>
      <c r="AJ141" s="115"/>
      <c r="AK141" s="115"/>
      <c r="AL141" s="115"/>
      <c r="AM141" s="115"/>
      <c r="AN141" s="115"/>
      <c r="AO141" s="115"/>
      <c r="AP141" s="115"/>
      <c r="AQ141" s="115"/>
      <c r="AR141" s="115"/>
      <c r="AS141" s="115"/>
      <c r="AT141" s="115"/>
      <c r="AU141" s="115"/>
      <c r="AV141" s="115"/>
      <c r="AW141" s="115"/>
      <c r="AX141" s="115"/>
      <c r="AY141" s="115"/>
      <c r="AZ141" s="115"/>
      <c r="BA141" s="115"/>
      <c r="BB141" s="115"/>
      <c r="BC141" s="115"/>
      <c r="BD141" s="115"/>
      <c r="BE141" s="115"/>
      <c r="BF141" s="115"/>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1C26-1CBD-4819-8C02-778F38698A90}">
  <dimension ref="A4:T66"/>
  <sheetViews>
    <sheetView workbookViewId="0">
      <selection activeCell="R6" sqref="R6"/>
    </sheetView>
  </sheetViews>
  <sheetFormatPr defaultRowHeight="15"/>
  <cols>
    <col min="19" max="19" width="12" bestFit="1" customWidth="1"/>
  </cols>
  <sheetData>
    <row r="4" spans="2:20">
      <c r="B4" s="80"/>
      <c r="C4" s="80"/>
      <c r="D4" s="80"/>
      <c r="E4" s="80"/>
      <c r="F4" s="80"/>
      <c r="G4" s="80"/>
      <c r="H4" s="80"/>
      <c r="I4" s="80"/>
      <c r="J4" s="80"/>
      <c r="K4" s="80"/>
      <c r="L4" s="80"/>
      <c r="M4" s="80"/>
      <c r="N4" s="80"/>
      <c r="O4" s="80"/>
      <c r="P4" s="80"/>
      <c r="Q4" s="80"/>
    </row>
    <row r="5" spans="2:20">
      <c r="B5" s="80"/>
      <c r="C5" s="91"/>
      <c r="D5" s="91"/>
      <c r="E5" s="91"/>
      <c r="F5" s="91"/>
      <c r="G5" s="82" t="s">
        <v>265</v>
      </c>
      <c r="H5" s="92"/>
      <c r="I5" s="91"/>
      <c r="J5" s="91"/>
      <c r="K5" s="91"/>
      <c r="L5" s="91"/>
      <c r="M5" s="91"/>
      <c r="N5" s="91"/>
      <c r="O5" s="91"/>
      <c r="P5" s="80"/>
      <c r="Q5" s="80"/>
    </row>
    <row r="6" spans="2:20">
      <c r="B6" s="80"/>
      <c r="C6" s="93"/>
      <c r="D6" s="93"/>
      <c r="E6" s="93"/>
      <c r="F6" s="93"/>
      <c r="G6" s="93"/>
      <c r="H6" s="92"/>
      <c r="I6" s="91"/>
      <c r="J6" s="91"/>
      <c r="K6" s="91"/>
      <c r="L6" s="91"/>
      <c r="M6" s="91"/>
      <c r="N6" s="91"/>
      <c r="O6" s="91"/>
      <c r="P6" s="80"/>
      <c r="Q6" s="80"/>
    </row>
    <row r="7" spans="2:20" ht="26.25">
      <c r="B7" s="80"/>
      <c r="C7" s="83" t="s">
        <v>266</v>
      </c>
      <c r="D7" s="779" t="s">
        <v>267</v>
      </c>
      <c r="E7" s="780"/>
      <c r="F7" s="84"/>
      <c r="G7" s="84"/>
      <c r="H7" s="84"/>
      <c r="I7" s="84" t="s">
        <v>267</v>
      </c>
      <c r="J7" s="84"/>
      <c r="K7" s="84"/>
      <c r="L7" s="84"/>
      <c r="M7" s="84"/>
      <c r="N7" s="84"/>
      <c r="O7" s="94"/>
      <c r="P7" s="95"/>
      <c r="Q7" s="80"/>
    </row>
    <row r="8" spans="2:20">
      <c r="B8" s="80"/>
      <c r="C8" s="85" t="s">
        <v>268</v>
      </c>
      <c r="D8" s="96"/>
      <c r="E8" s="97"/>
      <c r="F8" s="98"/>
      <c r="G8" s="98"/>
      <c r="H8" s="98"/>
      <c r="I8" s="98"/>
      <c r="J8" s="98"/>
      <c r="K8" s="98"/>
      <c r="L8" s="98"/>
      <c r="M8" s="98"/>
      <c r="N8" s="98"/>
      <c r="O8" s="97"/>
      <c r="P8" s="99"/>
      <c r="Q8" s="80"/>
    </row>
    <row r="9" spans="2:20">
      <c r="B9" s="80"/>
      <c r="C9" s="100"/>
      <c r="D9" s="100">
        <v>6</v>
      </c>
      <c r="E9" s="101"/>
      <c r="F9" s="101">
        <v>6</v>
      </c>
      <c r="G9" s="101">
        <v>8</v>
      </c>
      <c r="H9" s="101"/>
      <c r="I9" s="100">
        <v>10</v>
      </c>
      <c r="J9" s="100"/>
      <c r="K9" s="100">
        <v>12</v>
      </c>
      <c r="L9" s="100"/>
      <c r="M9" s="100">
        <v>14</v>
      </c>
      <c r="N9" s="100"/>
      <c r="O9" s="100">
        <v>16</v>
      </c>
      <c r="P9" s="95"/>
      <c r="Q9" s="80"/>
      <c r="R9">
        <v>6</v>
      </c>
      <c r="S9">
        <f>(R9/10/2)^2*PI()</f>
        <v>0.28274333882308139</v>
      </c>
      <c r="T9" t="s">
        <v>552</v>
      </c>
    </row>
    <row r="10" spans="2:20">
      <c r="B10" s="80"/>
      <c r="C10" s="85"/>
      <c r="D10" s="101"/>
      <c r="E10" s="101"/>
      <c r="F10" s="101"/>
      <c r="G10" s="101"/>
      <c r="H10" s="101"/>
      <c r="I10" s="101"/>
      <c r="J10" s="101"/>
      <c r="K10" s="101"/>
      <c r="L10" s="101"/>
      <c r="M10" s="101"/>
      <c r="N10" s="101"/>
      <c r="O10" s="85"/>
      <c r="P10" s="99"/>
      <c r="Q10" s="80"/>
      <c r="R10">
        <v>8</v>
      </c>
      <c r="S10">
        <f t="shared" ref="S10:S17" si="0">(R10/10/2)^2*PI()</f>
        <v>0.50265482457436694</v>
      </c>
      <c r="T10" t="s">
        <v>552</v>
      </c>
    </row>
    <row r="11" spans="2:20">
      <c r="B11" s="80"/>
      <c r="C11" s="102">
        <v>10</v>
      </c>
      <c r="D11" s="103">
        <v>2.83</v>
      </c>
      <c r="E11" s="86" t="s">
        <v>269</v>
      </c>
      <c r="F11" s="103">
        <v>2.83</v>
      </c>
      <c r="G11" s="104">
        <v>5.03</v>
      </c>
      <c r="H11" s="87" t="s">
        <v>270</v>
      </c>
      <c r="I11" s="103">
        <v>7.85</v>
      </c>
      <c r="J11" s="86" t="s">
        <v>271</v>
      </c>
      <c r="K11" s="104">
        <v>11.31</v>
      </c>
      <c r="L11" s="87" t="s">
        <v>272</v>
      </c>
      <c r="M11" s="103">
        <v>15.39</v>
      </c>
      <c r="N11" s="86" t="s">
        <v>273</v>
      </c>
      <c r="O11" s="104">
        <v>20.100000000000001</v>
      </c>
      <c r="P11" s="88" t="s">
        <v>274</v>
      </c>
      <c r="Q11" s="80"/>
      <c r="R11">
        <v>10</v>
      </c>
      <c r="S11">
        <f t="shared" si="0"/>
        <v>0.78539816339744828</v>
      </c>
      <c r="T11" t="s">
        <v>552</v>
      </c>
    </row>
    <row r="12" spans="2:20">
      <c r="B12" s="80"/>
      <c r="C12" s="102">
        <v>11</v>
      </c>
      <c r="D12" s="103">
        <v>2.57</v>
      </c>
      <c r="E12" s="86" t="s">
        <v>275</v>
      </c>
      <c r="F12" s="103">
        <v>2.57</v>
      </c>
      <c r="G12" s="104">
        <v>4.57</v>
      </c>
      <c r="H12" s="87" t="s">
        <v>276</v>
      </c>
      <c r="I12" s="103">
        <v>7.14</v>
      </c>
      <c r="J12" s="86" t="s">
        <v>277</v>
      </c>
      <c r="K12" s="104">
        <v>10.28</v>
      </c>
      <c r="L12" s="87" t="s">
        <v>278</v>
      </c>
      <c r="M12" s="103">
        <v>13.99</v>
      </c>
      <c r="N12" s="86" t="s">
        <v>279</v>
      </c>
      <c r="O12" s="104">
        <v>18.28</v>
      </c>
      <c r="P12" s="89" t="s">
        <v>280</v>
      </c>
      <c r="Q12" s="80"/>
      <c r="R12">
        <v>12</v>
      </c>
      <c r="S12">
        <f t="shared" si="0"/>
        <v>1.1309733552923256</v>
      </c>
      <c r="T12" t="s">
        <v>552</v>
      </c>
    </row>
    <row r="13" spans="2:20">
      <c r="B13" s="80"/>
      <c r="C13" s="102">
        <v>12</v>
      </c>
      <c r="D13" s="103">
        <v>2.36</v>
      </c>
      <c r="E13" s="86" t="s">
        <v>281</v>
      </c>
      <c r="F13" s="103">
        <v>2.36</v>
      </c>
      <c r="G13" s="104">
        <v>4.1900000000000004</v>
      </c>
      <c r="H13" s="87" t="s">
        <v>282</v>
      </c>
      <c r="I13" s="103">
        <v>6.54</v>
      </c>
      <c r="J13" s="86" t="s">
        <v>283</v>
      </c>
      <c r="K13" s="104">
        <v>9.42</v>
      </c>
      <c r="L13" s="87" t="s">
        <v>284</v>
      </c>
      <c r="M13" s="103">
        <v>12.83</v>
      </c>
      <c r="N13" s="86" t="s">
        <v>285</v>
      </c>
      <c r="O13" s="104">
        <v>16.760000000000002</v>
      </c>
      <c r="P13" s="89" t="s">
        <v>286</v>
      </c>
      <c r="Q13" s="80"/>
      <c r="R13">
        <v>14</v>
      </c>
      <c r="S13">
        <f t="shared" si="0"/>
        <v>1.5393804002589984</v>
      </c>
      <c r="T13" t="s">
        <v>552</v>
      </c>
    </row>
    <row r="14" spans="2:20">
      <c r="B14" s="80"/>
      <c r="C14" s="102">
        <v>13</v>
      </c>
      <c r="D14" s="103">
        <v>2.1800000000000002</v>
      </c>
      <c r="E14" s="86" t="s">
        <v>287</v>
      </c>
      <c r="F14" s="103">
        <v>2.1800000000000002</v>
      </c>
      <c r="G14" s="104">
        <v>3.87</v>
      </c>
      <c r="H14" s="87" t="s">
        <v>288</v>
      </c>
      <c r="I14" s="103">
        <v>6.04</v>
      </c>
      <c r="J14" s="86" t="s">
        <v>289</v>
      </c>
      <c r="K14" s="104">
        <v>8.6999999999999993</v>
      </c>
      <c r="L14" s="87" t="s">
        <v>290</v>
      </c>
      <c r="M14" s="103">
        <v>11.84</v>
      </c>
      <c r="N14" s="86" t="s">
        <v>291</v>
      </c>
      <c r="O14" s="104">
        <v>15.47</v>
      </c>
      <c r="P14" s="89" t="s">
        <v>292</v>
      </c>
      <c r="Q14" s="80"/>
      <c r="R14">
        <v>16</v>
      </c>
      <c r="S14">
        <f t="shared" si="0"/>
        <v>2.0106192982974678</v>
      </c>
      <c r="T14" t="s">
        <v>552</v>
      </c>
    </row>
    <row r="15" spans="2:20">
      <c r="B15" s="80"/>
      <c r="C15" s="102">
        <v>14</v>
      </c>
      <c r="D15" s="103">
        <v>2.02</v>
      </c>
      <c r="E15" s="86" t="s">
        <v>293</v>
      </c>
      <c r="F15" s="103">
        <v>2.02</v>
      </c>
      <c r="G15" s="104">
        <v>3.59</v>
      </c>
      <c r="H15" s="87" t="s">
        <v>294</v>
      </c>
      <c r="I15" s="103">
        <v>5.61</v>
      </c>
      <c r="J15" s="86" t="s">
        <v>295</v>
      </c>
      <c r="K15" s="104">
        <v>8.08</v>
      </c>
      <c r="L15" s="87" t="s">
        <v>296</v>
      </c>
      <c r="M15" s="103">
        <v>11</v>
      </c>
      <c r="N15" s="86" t="s">
        <v>297</v>
      </c>
      <c r="O15" s="104">
        <v>14.36</v>
      </c>
      <c r="P15" s="89" t="s">
        <v>298</v>
      </c>
      <c r="Q15" s="80"/>
      <c r="R15">
        <v>18</v>
      </c>
      <c r="S15">
        <f t="shared" si="0"/>
        <v>2.5446900494077327</v>
      </c>
      <c r="T15" t="s">
        <v>552</v>
      </c>
    </row>
    <row r="16" spans="2:20">
      <c r="B16" s="80"/>
      <c r="C16" s="102">
        <v>15</v>
      </c>
      <c r="D16" s="103">
        <v>1.89</v>
      </c>
      <c r="E16" s="86" t="s">
        <v>263</v>
      </c>
      <c r="F16" s="103">
        <v>1.89</v>
      </c>
      <c r="G16" s="104">
        <v>3.35</v>
      </c>
      <c r="H16" s="87" t="s">
        <v>299</v>
      </c>
      <c r="I16" s="103">
        <v>5.23</v>
      </c>
      <c r="J16" s="86" t="s">
        <v>300</v>
      </c>
      <c r="K16" s="104">
        <v>7.54</v>
      </c>
      <c r="L16" s="87" t="s">
        <v>301</v>
      </c>
      <c r="M16" s="103">
        <v>10.26</v>
      </c>
      <c r="N16" s="86" t="s">
        <v>302</v>
      </c>
      <c r="O16" s="104">
        <v>13.41</v>
      </c>
      <c r="P16" s="89" t="s">
        <v>303</v>
      </c>
      <c r="Q16" s="80"/>
      <c r="R16">
        <v>20</v>
      </c>
      <c r="S16">
        <f t="shared" si="0"/>
        <v>3.1415926535897931</v>
      </c>
      <c r="T16" t="s">
        <v>552</v>
      </c>
    </row>
    <row r="17" spans="1:20">
      <c r="A17" s="78"/>
      <c r="B17" s="80"/>
      <c r="C17" s="102">
        <v>20</v>
      </c>
      <c r="D17" s="103">
        <v>1.41</v>
      </c>
      <c r="E17" s="86" t="s">
        <v>261</v>
      </c>
      <c r="F17" s="103">
        <v>1.41</v>
      </c>
      <c r="G17" s="104">
        <v>2.5099999999999998</v>
      </c>
      <c r="H17" s="87" t="s">
        <v>304</v>
      </c>
      <c r="I17" s="103">
        <v>3.93</v>
      </c>
      <c r="J17" s="86" t="s">
        <v>305</v>
      </c>
      <c r="K17" s="104">
        <v>5.65</v>
      </c>
      <c r="L17" s="87" t="s">
        <v>306</v>
      </c>
      <c r="M17" s="103">
        <v>7.69</v>
      </c>
      <c r="N17" s="86" t="s">
        <v>307</v>
      </c>
      <c r="O17" s="104">
        <v>10.050000000000001</v>
      </c>
      <c r="P17" s="89" t="s">
        <v>308</v>
      </c>
      <c r="Q17" s="80"/>
      <c r="R17">
        <v>22</v>
      </c>
      <c r="S17">
        <f t="shared" si="0"/>
        <v>3.8013271108436504</v>
      </c>
      <c r="T17" t="s">
        <v>552</v>
      </c>
    </row>
    <row r="18" spans="1:20">
      <c r="A18" s="78"/>
      <c r="B18" s="80"/>
      <c r="C18" s="105"/>
      <c r="D18" s="106"/>
      <c r="E18" s="107"/>
      <c r="F18" s="106"/>
      <c r="G18" s="91"/>
      <c r="H18" s="91"/>
      <c r="I18" s="91"/>
      <c r="J18" s="91"/>
      <c r="K18" s="91"/>
      <c r="L18" s="91"/>
      <c r="M18" s="91"/>
      <c r="N18" s="91"/>
      <c r="O18" s="91"/>
      <c r="P18" s="80"/>
      <c r="Q18" s="80"/>
    </row>
    <row r="19" spans="1:20">
      <c r="A19" s="78"/>
      <c r="B19" s="80"/>
      <c r="C19" s="108"/>
      <c r="D19" s="109">
        <v>8</v>
      </c>
      <c r="E19" s="110"/>
      <c r="F19" s="109">
        <v>8</v>
      </c>
      <c r="G19" s="91"/>
      <c r="H19" s="91"/>
      <c r="I19" s="91"/>
      <c r="J19" s="91"/>
      <c r="K19" s="91"/>
      <c r="L19" s="91"/>
      <c r="M19" s="91"/>
      <c r="N19" s="91"/>
      <c r="O19" s="91"/>
      <c r="P19" s="80"/>
      <c r="Q19" s="80"/>
    </row>
    <row r="20" spans="1:20">
      <c r="A20" s="79">
        <v>5.65</v>
      </c>
      <c r="B20" s="80" t="s">
        <v>306</v>
      </c>
      <c r="C20" s="102">
        <v>10</v>
      </c>
      <c r="D20" s="104">
        <v>5.03</v>
      </c>
      <c r="E20" s="87" t="s">
        <v>270</v>
      </c>
      <c r="F20" s="104">
        <v>5.03</v>
      </c>
      <c r="G20" s="91"/>
      <c r="H20" s="91"/>
      <c r="I20" s="91"/>
      <c r="J20" s="91"/>
      <c r="K20" s="91"/>
      <c r="L20" s="91"/>
      <c r="M20" s="91"/>
      <c r="N20" s="91"/>
      <c r="O20" s="91"/>
      <c r="P20" s="80"/>
      <c r="Q20" s="80"/>
    </row>
    <row r="21" spans="1:20">
      <c r="A21" s="78"/>
      <c r="B21" s="80"/>
      <c r="C21" s="102">
        <v>11</v>
      </c>
      <c r="D21" s="104">
        <v>4.57</v>
      </c>
      <c r="E21" s="87" t="s">
        <v>276</v>
      </c>
      <c r="F21" s="104">
        <v>4.57</v>
      </c>
      <c r="G21" s="91"/>
      <c r="H21" s="91"/>
      <c r="I21" s="91"/>
      <c r="J21" s="91"/>
      <c r="K21" s="91"/>
      <c r="L21" s="91"/>
      <c r="M21" s="91"/>
      <c r="N21" s="91"/>
      <c r="O21" s="91"/>
      <c r="P21" s="80"/>
      <c r="Q21" s="80"/>
    </row>
    <row r="22" spans="1:20">
      <c r="A22" s="78"/>
      <c r="B22" s="80"/>
      <c r="C22" s="102">
        <v>12</v>
      </c>
      <c r="D22" s="104">
        <v>4.1900000000000004</v>
      </c>
      <c r="E22" s="87" t="s">
        <v>282</v>
      </c>
      <c r="F22" s="104">
        <v>4.1900000000000004</v>
      </c>
      <c r="G22" s="91"/>
      <c r="H22" s="91"/>
      <c r="I22" s="91"/>
      <c r="J22" s="91"/>
      <c r="K22" s="91"/>
      <c r="L22" s="91"/>
      <c r="M22" s="91"/>
      <c r="N22" s="91"/>
      <c r="O22" s="91"/>
      <c r="P22" s="80"/>
      <c r="Q22" s="80"/>
    </row>
    <row r="23" spans="1:20">
      <c r="A23" s="78"/>
      <c r="B23" s="80"/>
      <c r="C23" s="102">
        <v>13</v>
      </c>
      <c r="D23" s="104">
        <v>3.87</v>
      </c>
      <c r="E23" s="87" t="s">
        <v>288</v>
      </c>
      <c r="F23" s="104">
        <v>3.87</v>
      </c>
      <c r="G23" s="91"/>
      <c r="H23" s="91"/>
      <c r="I23" s="91"/>
      <c r="J23" s="91"/>
      <c r="K23" s="91"/>
      <c r="L23" s="91"/>
      <c r="M23" s="91"/>
      <c r="N23" s="91"/>
      <c r="O23" s="91"/>
      <c r="P23" s="80"/>
      <c r="Q23" s="80"/>
    </row>
    <row r="24" spans="1:20">
      <c r="A24" s="78"/>
      <c r="B24" s="80"/>
      <c r="C24" s="102">
        <v>14</v>
      </c>
      <c r="D24" s="104">
        <v>3.59</v>
      </c>
      <c r="E24" s="87" t="s">
        <v>294</v>
      </c>
      <c r="F24" s="104">
        <v>3.59</v>
      </c>
      <c r="G24" s="91"/>
      <c r="H24" s="91"/>
      <c r="I24" s="91"/>
      <c r="J24" s="91"/>
      <c r="K24" s="91"/>
      <c r="L24" s="91"/>
      <c r="M24" s="91"/>
      <c r="N24" s="91"/>
      <c r="O24" s="91"/>
      <c r="P24" s="80"/>
      <c r="Q24" s="80"/>
    </row>
    <row r="25" spans="1:20">
      <c r="A25" s="78"/>
      <c r="B25" s="80"/>
      <c r="C25" s="102">
        <v>15</v>
      </c>
      <c r="D25" s="104">
        <v>3.35</v>
      </c>
      <c r="E25" s="87" t="s">
        <v>299</v>
      </c>
      <c r="F25" s="104">
        <v>3.35</v>
      </c>
      <c r="G25" s="91"/>
      <c r="H25" s="91"/>
      <c r="I25" s="91"/>
      <c r="J25" s="91"/>
      <c r="K25" s="91"/>
      <c r="L25" s="91"/>
      <c r="M25" s="91"/>
      <c r="N25" s="91"/>
      <c r="O25" s="91"/>
      <c r="P25" s="80"/>
      <c r="Q25" s="80"/>
    </row>
    <row r="26" spans="1:20">
      <c r="A26" s="78"/>
      <c r="B26" s="80"/>
      <c r="C26" s="102">
        <v>20</v>
      </c>
      <c r="D26" s="104">
        <v>2.5099999999999998</v>
      </c>
      <c r="E26" s="87" t="s">
        <v>304</v>
      </c>
      <c r="F26" s="104">
        <v>2.5099999999999998</v>
      </c>
      <c r="G26" s="91"/>
      <c r="H26" s="91"/>
      <c r="I26" s="91"/>
      <c r="J26" s="91"/>
      <c r="K26" s="91"/>
      <c r="L26" s="91"/>
      <c r="M26" s="91"/>
      <c r="N26" s="91"/>
      <c r="O26" s="91"/>
      <c r="P26" s="80"/>
      <c r="Q26" s="80"/>
    </row>
    <row r="27" spans="1:20">
      <c r="A27" s="78"/>
      <c r="B27" s="80"/>
      <c r="C27" s="105"/>
      <c r="D27" s="106"/>
      <c r="E27" s="107"/>
      <c r="F27" s="106"/>
      <c r="G27" s="91"/>
      <c r="H27" s="91"/>
      <c r="I27" s="91"/>
      <c r="J27" s="91"/>
      <c r="K27" s="91"/>
      <c r="L27" s="91"/>
      <c r="M27" s="91"/>
      <c r="N27" s="91"/>
      <c r="O27" s="91"/>
      <c r="P27" s="80"/>
      <c r="Q27" s="80"/>
    </row>
    <row r="28" spans="1:20">
      <c r="A28" s="78"/>
      <c r="B28" s="80"/>
      <c r="C28" s="108"/>
      <c r="D28" s="109">
        <v>10</v>
      </c>
      <c r="E28" s="110"/>
      <c r="F28" s="109">
        <v>10</v>
      </c>
      <c r="G28" s="91"/>
      <c r="H28" s="91"/>
      <c r="I28" s="91"/>
      <c r="J28" s="91"/>
      <c r="K28" s="91"/>
      <c r="L28" s="91"/>
      <c r="M28" s="91"/>
      <c r="N28" s="91"/>
      <c r="O28" s="91"/>
      <c r="P28" s="80"/>
      <c r="Q28" s="80"/>
    </row>
    <row r="29" spans="1:20">
      <c r="A29" s="78"/>
      <c r="B29" s="80"/>
      <c r="C29" s="102">
        <v>10</v>
      </c>
      <c r="D29" s="103">
        <v>7.85</v>
      </c>
      <c r="E29" s="86" t="s">
        <v>271</v>
      </c>
      <c r="F29" s="103">
        <v>7.85</v>
      </c>
      <c r="G29" s="91"/>
      <c r="H29" s="91"/>
      <c r="I29" s="91"/>
      <c r="J29" s="91"/>
      <c r="K29" s="91"/>
      <c r="L29" s="91"/>
      <c r="M29" s="91"/>
      <c r="N29" s="91"/>
      <c r="O29" s="91"/>
      <c r="P29" s="80"/>
      <c r="Q29" s="80"/>
    </row>
    <row r="30" spans="1:20">
      <c r="A30" s="78"/>
      <c r="B30" s="80"/>
      <c r="C30" s="102">
        <v>11</v>
      </c>
      <c r="D30" s="103">
        <v>7.14</v>
      </c>
      <c r="E30" s="86" t="s">
        <v>277</v>
      </c>
      <c r="F30" s="103">
        <v>7.14</v>
      </c>
      <c r="G30" s="91"/>
      <c r="H30" s="91"/>
      <c r="I30" s="91"/>
      <c r="J30" s="91"/>
      <c r="K30" s="91"/>
      <c r="L30" s="91"/>
      <c r="M30" s="91"/>
      <c r="N30" s="91"/>
      <c r="O30" s="91"/>
      <c r="P30" s="80"/>
      <c r="Q30" s="80"/>
    </row>
    <row r="31" spans="1:20">
      <c r="A31" s="78"/>
      <c r="B31" s="80"/>
      <c r="C31" s="102">
        <v>12</v>
      </c>
      <c r="D31" s="103">
        <v>6.54</v>
      </c>
      <c r="E31" s="86" t="s">
        <v>283</v>
      </c>
      <c r="F31" s="103">
        <v>6.54</v>
      </c>
      <c r="G31" s="91"/>
      <c r="H31" s="91"/>
      <c r="I31" s="91"/>
      <c r="J31" s="91"/>
      <c r="K31" s="91"/>
      <c r="L31" s="91"/>
      <c r="M31" s="91"/>
      <c r="N31" s="91"/>
      <c r="O31" s="91"/>
      <c r="P31" s="80"/>
      <c r="Q31" s="80"/>
    </row>
    <row r="32" spans="1:20">
      <c r="A32" s="78"/>
      <c r="B32" s="80"/>
      <c r="C32" s="102">
        <v>13</v>
      </c>
      <c r="D32" s="103">
        <v>6.04</v>
      </c>
      <c r="E32" s="86" t="s">
        <v>289</v>
      </c>
      <c r="F32" s="103">
        <v>6.04</v>
      </c>
      <c r="G32" s="91"/>
      <c r="H32" s="91"/>
      <c r="I32" s="91"/>
      <c r="J32" s="91"/>
      <c r="K32" s="91"/>
      <c r="L32" s="91"/>
      <c r="M32" s="91"/>
      <c r="N32" s="91"/>
      <c r="O32" s="91"/>
      <c r="P32" s="80"/>
      <c r="Q32" s="80"/>
    </row>
    <row r="33" spans="2:17">
      <c r="B33" s="80"/>
      <c r="C33" s="102">
        <v>14</v>
      </c>
      <c r="D33" s="103">
        <v>5.61</v>
      </c>
      <c r="E33" s="86" t="s">
        <v>295</v>
      </c>
      <c r="F33" s="103">
        <v>5.61</v>
      </c>
      <c r="G33" s="91"/>
      <c r="H33" s="91"/>
      <c r="I33" s="91"/>
      <c r="J33" s="91"/>
      <c r="K33" s="91"/>
      <c r="L33" s="91"/>
      <c r="M33" s="91"/>
      <c r="N33" s="91"/>
      <c r="O33" s="91"/>
      <c r="P33" s="80"/>
      <c r="Q33" s="80"/>
    </row>
    <row r="34" spans="2:17">
      <c r="B34" s="80"/>
      <c r="C34" s="102">
        <v>15</v>
      </c>
      <c r="D34" s="103">
        <v>5.23</v>
      </c>
      <c r="E34" s="86" t="s">
        <v>300</v>
      </c>
      <c r="F34" s="103">
        <v>5.23</v>
      </c>
      <c r="G34" s="91"/>
      <c r="H34" s="91"/>
      <c r="I34" s="91"/>
      <c r="J34" s="91"/>
      <c r="K34" s="91"/>
      <c r="L34" s="91"/>
      <c r="M34" s="91"/>
      <c r="N34" s="91"/>
      <c r="O34" s="91"/>
      <c r="P34" s="80"/>
      <c r="Q34" s="80"/>
    </row>
    <row r="35" spans="2:17">
      <c r="B35" s="80"/>
      <c r="C35" s="102">
        <v>20</v>
      </c>
      <c r="D35" s="103">
        <v>3.93</v>
      </c>
      <c r="E35" s="86" t="s">
        <v>305</v>
      </c>
      <c r="F35" s="103">
        <v>3.93</v>
      </c>
      <c r="G35" s="91"/>
      <c r="H35" s="91"/>
      <c r="I35" s="91"/>
      <c r="J35" s="91"/>
      <c r="K35" s="91"/>
      <c r="L35" s="91"/>
      <c r="M35" s="91"/>
      <c r="N35" s="91"/>
      <c r="O35" s="91"/>
      <c r="P35" s="80"/>
      <c r="Q35" s="80"/>
    </row>
    <row r="36" spans="2:17">
      <c r="B36" s="80"/>
      <c r="C36" s="105"/>
      <c r="D36" s="106"/>
      <c r="E36" s="107"/>
      <c r="F36" s="106"/>
      <c r="G36" s="91"/>
      <c r="H36" s="91"/>
      <c r="I36" s="91"/>
      <c r="J36" s="91"/>
      <c r="K36" s="91"/>
      <c r="L36" s="91"/>
      <c r="M36" s="91"/>
      <c r="N36" s="91"/>
      <c r="O36" s="91"/>
      <c r="P36" s="80"/>
      <c r="Q36" s="80"/>
    </row>
    <row r="37" spans="2:17">
      <c r="B37" s="80"/>
      <c r="C37" s="108"/>
      <c r="D37" s="109">
        <v>12</v>
      </c>
      <c r="E37" s="110"/>
      <c r="F37" s="109">
        <v>12</v>
      </c>
      <c r="G37" s="91"/>
      <c r="H37" s="91"/>
      <c r="I37" s="91"/>
      <c r="J37" s="91"/>
      <c r="K37" s="91"/>
      <c r="L37" s="91"/>
      <c r="M37" s="91"/>
      <c r="N37" s="91"/>
      <c r="O37" s="91"/>
      <c r="P37" s="80"/>
      <c r="Q37" s="80"/>
    </row>
    <row r="38" spans="2:17">
      <c r="B38" s="80"/>
      <c r="C38" s="102">
        <v>10</v>
      </c>
      <c r="D38" s="104">
        <v>11.31</v>
      </c>
      <c r="E38" s="87" t="s">
        <v>272</v>
      </c>
      <c r="F38" s="104">
        <v>11.31</v>
      </c>
      <c r="G38" s="91"/>
      <c r="H38" s="91"/>
      <c r="I38" s="91"/>
      <c r="J38" s="91"/>
      <c r="K38" s="91"/>
      <c r="L38" s="91"/>
      <c r="M38" s="91"/>
      <c r="N38" s="91"/>
      <c r="O38" s="91"/>
      <c r="P38" s="80"/>
      <c r="Q38" s="80"/>
    </row>
    <row r="39" spans="2:17">
      <c r="B39" s="80"/>
      <c r="C39" s="102">
        <v>11</v>
      </c>
      <c r="D39" s="104">
        <v>10.28</v>
      </c>
      <c r="E39" s="87" t="s">
        <v>278</v>
      </c>
      <c r="F39" s="104">
        <v>10.28</v>
      </c>
      <c r="G39" s="91"/>
      <c r="H39" s="91"/>
      <c r="I39" s="91"/>
      <c r="J39" s="91"/>
      <c r="K39" s="91"/>
      <c r="L39" s="91"/>
      <c r="M39" s="91"/>
      <c r="N39" s="91"/>
      <c r="O39" s="91"/>
      <c r="P39" s="80"/>
      <c r="Q39" s="80"/>
    </row>
    <row r="40" spans="2:17">
      <c r="B40" s="80"/>
      <c r="C40" s="102">
        <v>12</v>
      </c>
      <c r="D40" s="104">
        <v>9.42</v>
      </c>
      <c r="E40" s="87" t="s">
        <v>284</v>
      </c>
      <c r="F40" s="104">
        <v>9.42</v>
      </c>
      <c r="G40" s="91"/>
      <c r="H40" s="91"/>
      <c r="I40" s="91"/>
      <c r="J40" s="91"/>
      <c r="K40" s="91"/>
      <c r="L40" s="91"/>
      <c r="M40" s="91"/>
      <c r="N40" s="91"/>
      <c r="O40" s="91"/>
      <c r="P40" s="80"/>
      <c r="Q40" s="80"/>
    </row>
    <row r="41" spans="2:17">
      <c r="B41" s="80"/>
      <c r="C41" s="102">
        <v>13</v>
      </c>
      <c r="D41" s="104">
        <v>8.6999999999999993</v>
      </c>
      <c r="E41" s="87" t="s">
        <v>290</v>
      </c>
      <c r="F41" s="104">
        <v>8.6999999999999993</v>
      </c>
      <c r="G41" s="91"/>
      <c r="H41" s="91"/>
      <c r="I41" s="91"/>
      <c r="J41" s="91"/>
      <c r="K41" s="91"/>
      <c r="L41" s="91"/>
      <c r="M41" s="91"/>
      <c r="N41" s="91"/>
      <c r="O41" s="91"/>
      <c r="P41" s="80"/>
      <c r="Q41" s="80"/>
    </row>
    <row r="42" spans="2:17">
      <c r="B42" s="80"/>
      <c r="C42" s="102">
        <v>14</v>
      </c>
      <c r="D42" s="104">
        <v>8.08</v>
      </c>
      <c r="E42" s="87" t="s">
        <v>296</v>
      </c>
      <c r="F42" s="104">
        <v>8.08</v>
      </c>
      <c r="G42" s="91"/>
      <c r="H42" s="91"/>
      <c r="I42" s="91"/>
      <c r="J42" s="91"/>
      <c r="K42" s="91"/>
      <c r="L42" s="91"/>
      <c r="M42" s="91"/>
      <c r="N42" s="91"/>
      <c r="O42" s="91"/>
      <c r="P42" s="80"/>
      <c r="Q42" s="80"/>
    </row>
    <row r="43" spans="2:17">
      <c r="B43" s="80"/>
      <c r="C43" s="102">
        <v>15</v>
      </c>
      <c r="D43" s="104">
        <v>7.54</v>
      </c>
      <c r="E43" s="87" t="s">
        <v>301</v>
      </c>
      <c r="F43" s="104">
        <v>7.54</v>
      </c>
      <c r="G43" s="91"/>
      <c r="H43" s="91"/>
      <c r="I43" s="91"/>
      <c r="J43" s="91"/>
      <c r="K43" s="91"/>
      <c r="L43" s="91"/>
      <c r="M43" s="91"/>
      <c r="N43" s="91"/>
      <c r="O43" s="91"/>
      <c r="P43" s="80"/>
      <c r="Q43" s="80"/>
    </row>
    <row r="44" spans="2:17">
      <c r="B44" s="80"/>
      <c r="C44" s="102">
        <v>20</v>
      </c>
      <c r="D44" s="104">
        <v>5.65</v>
      </c>
      <c r="E44" s="87" t="s">
        <v>306</v>
      </c>
      <c r="F44" s="104">
        <v>5.65</v>
      </c>
      <c r="G44" s="91"/>
      <c r="H44" s="91"/>
      <c r="I44" s="91"/>
      <c r="J44" s="91"/>
      <c r="K44" s="91"/>
      <c r="L44" s="91"/>
      <c r="M44" s="91"/>
      <c r="N44" s="91"/>
      <c r="O44" s="91"/>
      <c r="P44" s="80"/>
      <c r="Q44" s="80"/>
    </row>
    <row r="45" spans="2:17">
      <c r="B45" s="80"/>
      <c r="C45" s="105"/>
      <c r="D45" s="106"/>
      <c r="E45" s="107"/>
      <c r="F45" s="106"/>
      <c r="G45" s="91"/>
      <c r="H45" s="91"/>
      <c r="I45" s="91"/>
      <c r="J45" s="91"/>
      <c r="K45" s="91"/>
      <c r="L45" s="91"/>
      <c r="M45" s="91"/>
      <c r="N45" s="91"/>
      <c r="O45" s="91"/>
      <c r="P45" s="80"/>
      <c r="Q45" s="80"/>
    </row>
    <row r="46" spans="2:17">
      <c r="B46" s="80"/>
      <c r="C46" s="108"/>
      <c r="D46" s="109">
        <v>14</v>
      </c>
      <c r="E46" s="110"/>
      <c r="F46" s="109">
        <v>14</v>
      </c>
      <c r="G46" s="91"/>
      <c r="H46" s="91"/>
      <c r="I46" s="91"/>
      <c r="J46" s="91"/>
      <c r="K46" s="91"/>
      <c r="L46" s="91"/>
      <c r="M46" s="91"/>
      <c r="N46" s="91"/>
      <c r="O46" s="91"/>
      <c r="P46" s="80"/>
      <c r="Q46" s="80"/>
    </row>
    <row r="47" spans="2:17">
      <c r="B47" s="80"/>
      <c r="C47" s="102">
        <v>10</v>
      </c>
      <c r="D47" s="103">
        <v>15.39</v>
      </c>
      <c r="E47" s="86" t="s">
        <v>273</v>
      </c>
      <c r="F47" s="103">
        <v>15.39</v>
      </c>
      <c r="G47" s="91"/>
      <c r="H47" s="91"/>
      <c r="I47" s="91"/>
      <c r="J47" s="91"/>
      <c r="K47" s="91"/>
      <c r="L47" s="91"/>
      <c r="M47" s="91"/>
      <c r="N47" s="91"/>
      <c r="O47" s="91"/>
      <c r="P47" s="80"/>
      <c r="Q47" s="80"/>
    </row>
    <row r="48" spans="2:17">
      <c r="B48" s="80"/>
      <c r="C48" s="102">
        <v>11</v>
      </c>
      <c r="D48" s="103">
        <v>13.99</v>
      </c>
      <c r="E48" s="86" t="s">
        <v>279</v>
      </c>
      <c r="F48" s="103">
        <v>13.99</v>
      </c>
      <c r="G48" s="91"/>
      <c r="H48" s="91"/>
      <c r="I48" s="91"/>
      <c r="J48" s="91"/>
      <c r="K48" s="91"/>
      <c r="L48" s="91"/>
      <c r="M48" s="91"/>
      <c r="N48" s="91"/>
      <c r="O48" s="91"/>
      <c r="P48" s="80"/>
      <c r="Q48" s="80"/>
    </row>
    <row r="49" spans="2:17">
      <c r="B49" s="80"/>
      <c r="C49" s="102">
        <v>12</v>
      </c>
      <c r="D49" s="103">
        <v>12.83</v>
      </c>
      <c r="E49" s="86" t="s">
        <v>285</v>
      </c>
      <c r="F49" s="103">
        <v>12.83</v>
      </c>
      <c r="G49" s="91"/>
      <c r="H49" s="91"/>
      <c r="I49" s="91"/>
      <c r="J49" s="91"/>
      <c r="K49" s="91"/>
      <c r="L49" s="91"/>
      <c r="M49" s="91"/>
      <c r="N49" s="91"/>
      <c r="O49" s="91"/>
      <c r="P49" s="80"/>
      <c r="Q49" s="80"/>
    </row>
    <row r="50" spans="2:17">
      <c r="B50" s="80"/>
      <c r="C50" s="102">
        <v>13</v>
      </c>
      <c r="D50" s="103">
        <v>11.84</v>
      </c>
      <c r="E50" s="86" t="s">
        <v>291</v>
      </c>
      <c r="F50" s="103">
        <v>11.84</v>
      </c>
      <c r="G50" s="91"/>
      <c r="H50" s="91"/>
      <c r="I50" s="91"/>
      <c r="J50" s="91"/>
      <c r="K50" s="91"/>
      <c r="L50" s="91"/>
      <c r="M50" s="91"/>
      <c r="N50" s="91"/>
      <c r="O50" s="91"/>
      <c r="P50" s="80"/>
      <c r="Q50" s="80"/>
    </row>
    <row r="51" spans="2:17">
      <c r="B51" s="80"/>
      <c r="C51" s="102">
        <v>14</v>
      </c>
      <c r="D51" s="103">
        <v>11</v>
      </c>
      <c r="E51" s="86" t="s">
        <v>297</v>
      </c>
      <c r="F51" s="103">
        <v>11</v>
      </c>
      <c r="G51" s="91"/>
      <c r="H51" s="91"/>
      <c r="I51" s="91"/>
      <c r="J51" s="91"/>
      <c r="K51" s="91"/>
      <c r="L51" s="91"/>
      <c r="M51" s="91"/>
      <c r="N51" s="91"/>
      <c r="O51" s="91"/>
      <c r="P51" s="80"/>
      <c r="Q51" s="80"/>
    </row>
    <row r="52" spans="2:17">
      <c r="B52" s="80"/>
      <c r="C52" s="102">
        <v>15</v>
      </c>
      <c r="D52" s="103">
        <v>10.26</v>
      </c>
      <c r="E52" s="86" t="s">
        <v>302</v>
      </c>
      <c r="F52" s="103">
        <v>10.26</v>
      </c>
      <c r="G52" s="91"/>
      <c r="H52" s="91"/>
      <c r="I52" s="91"/>
      <c r="J52" s="91"/>
      <c r="K52" s="91"/>
      <c r="L52" s="91"/>
      <c r="M52" s="91"/>
      <c r="N52" s="91"/>
      <c r="O52" s="91"/>
      <c r="P52" s="80"/>
      <c r="Q52" s="80"/>
    </row>
    <row r="53" spans="2:17">
      <c r="B53" s="80"/>
      <c r="C53" s="102">
        <v>20</v>
      </c>
      <c r="D53" s="103">
        <v>7.69</v>
      </c>
      <c r="E53" s="86" t="s">
        <v>307</v>
      </c>
      <c r="F53" s="103">
        <v>7.69</v>
      </c>
      <c r="G53" s="91"/>
      <c r="H53" s="91"/>
      <c r="I53" s="91"/>
      <c r="J53" s="91"/>
      <c r="K53" s="91"/>
      <c r="L53" s="91"/>
      <c r="M53" s="91"/>
      <c r="N53" s="91"/>
      <c r="O53" s="91"/>
      <c r="P53" s="80"/>
      <c r="Q53" s="80"/>
    </row>
    <row r="54" spans="2:17">
      <c r="B54" s="80"/>
      <c r="C54" s="105"/>
      <c r="D54" s="106"/>
      <c r="E54" s="107"/>
      <c r="F54" s="106"/>
      <c r="G54" s="91"/>
      <c r="H54" s="91"/>
      <c r="I54" s="91"/>
      <c r="J54" s="91"/>
      <c r="K54" s="91"/>
      <c r="L54" s="91"/>
      <c r="M54" s="91"/>
      <c r="N54" s="91"/>
      <c r="O54" s="91"/>
      <c r="P54" s="80"/>
      <c r="Q54" s="80"/>
    </row>
    <row r="55" spans="2:17">
      <c r="B55" s="80"/>
      <c r="C55" s="108"/>
      <c r="D55" s="109">
        <v>16</v>
      </c>
      <c r="E55" s="111"/>
      <c r="F55" s="109">
        <v>16</v>
      </c>
      <c r="G55" s="91"/>
      <c r="H55" s="91"/>
      <c r="I55" s="91"/>
      <c r="J55" s="91"/>
      <c r="K55" s="91"/>
      <c r="L55" s="91"/>
      <c r="M55" s="91"/>
      <c r="N55" s="91"/>
      <c r="O55" s="91"/>
      <c r="P55" s="80"/>
      <c r="Q55" s="80"/>
    </row>
    <row r="56" spans="2:17">
      <c r="B56" s="80"/>
      <c r="C56" s="102">
        <v>10</v>
      </c>
      <c r="D56" s="104">
        <v>20.100000000000001</v>
      </c>
      <c r="E56" s="90" t="s">
        <v>274</v>
      </c>
      <c r="F56" s="104">
        <v>20.100000000000001</v>
      </c>
      <c r="G56" s="91"/>
      <c r="H56" s="91"/>
      <c r="I56" s="91"/>
      <c r="J56" s="91"/>
      <c r="K56" s="91"/>
      <c r="L56" s="91"/>
      <c r="M56" s="91"/>
      <c r="N56" s="91"/>
      <c r="O56" s="91"/>
      <c r="P56" s="80"/>
      <c r="Q56" s="80"/>
    </row>
    <row r="57" spans="2:17">
      <c r="B57" s="80"/>
      <c r="C57" s="102">
        <v>11</v>
      </c>
      <c r="D57" s="104">
        <v>18.28</v>
      </c>
      <c r="E57" s="87" t="s">
        <v>280</v>
      </c>
      <c r="F57" s="104">
        <v>18.28</v>
      </c>
      <c r="G57" s="91"/>
      <c r="H57" s="91"/>
      <c r="I57" s="91"/>
      <c r="J57" s="91"/>
      <c r="K57" s="91"/>
      <c r="L57" s="91"/>
      <c r="M57" s="91"/>
      <c r="N57" s="91"/>
      <c r="O57" s="91"/>
      <c r="P57" s="80"/>
      <c r="Q57" s="80"/>
    </row>
    <row r="58" spans="2:17">
      <c r="B58" s="80"/>
      <c r="C58" s="102">
        <v>12</v>
      </c>
      <c r="D58" s="104">
        <v>16.760000000000002</v>
      </c>
      <c r="E58" s="87" t="s">
        <v>286</v>
      </c>
      <c r="F58" s="104">
        <v>16.760000000000002</v>
      </c>
      <c r="G58" s="91"/>
      <c r="H58" s="91"/>
      <c r="I58" s="91"/>
      <c r="J58" s="91"/>
      <c r="K58" s="91"/>
      <c r="L58" s="91"/>
      <c r="M58" s="91"/>
      <c r="N58" s="91"/>
      <c r="O58" s="91"/>
      <c r="P58" s="80"/>
      <c r="Q58" s="80"/>
    </row>
    <row r="59" spans="2:17">
      <c r="B59" s="80"/>
      <c r="C59" s="102">
        <v>13</v>
      </c>
      <c r="D59" s="104">
        <v>15.47</v>
      </c>
      <c r="E59" s="87" t="s">
        <v>292</v>
      </c>
      <c r="F59" s="104">
        <v>15.47</v>
      </c>
      <c r="G59" s="91"/>
      <c r="H59" s="91"/>
      <c r="I59" s="91"/>
      <c r="J59" s="91"/>
      <c r="K59" s="91"/>
      <c r="L59" s="91"/>
      <c r="M59" s="91"/>
      <c r="N59" s="91"/>
      <c r="O59" s="91"/>
      <c r="P59" s="80"/>
      <c r="Q59" s="80"/>
    </row>
    <row r="60" spans="2:17">
      <c r="B60" s="80"/>
      <c r="C60" s="102">
        <v>14</v>
      </c>
      <c r="D60" s="104">
        <v>14.36</v>
      </c>
      <c r="E60" s="87" t="s">
        <v>298</v>
      </c>
      <c r="F60" s="104">
        <v>14.36</v>
      </c>
      <c r="G60" s="91"/>
      <c r="H60" s="91"/>
      <c r="I60" s="91"/>
      <c r="J60" s="91"/>
      <c r="K60" s="91"/>
      <c r="L60" s="91"/>
      <c r="M60" s="91"/>
      <c r="N60" s="91"/>
      <c r="O60" s="91"/>
      <c r="P60" s="80"/>
      <c r="Q60" s="80"/>
    </row>
    <row r="61" spans="2:17">
      <c r="B61" s="80"/>
      <c r="C61" s="102">
        <v>15</v>
      </c>
      <c r="D61" s="104">
        <v>13.41</v>
      </c>
      <c r="E61" s="87" t="s">
        <v>303</v>
      </c>
      <c r="F61" s="104">
        <v>13.41</v>
      </c>
      <c r="G61" s="91"/>
      <c r="H61" s="91"/>
      <c r="I61" s="91"/>
      <c r="J61" s="91"/>
      <c r="K61" s="91"/>
      <c r="L61" s="91"/>
      <c r="M61" s="91"/>
      <c r="N61" s="91"/>
      <c r="O61" s="91"/>
      <c r="P61" s="80"/>
      <c r="Q61" s="80"/>
    </row>
    <row r="62" spans="2:17">
      <c r="B62" s="80"/>
      <c r="C62" s="102">
        <v>20</v>
      </c>
      <c r="D62" s="104">
        <v>10.050000000000001</v>
      </c>
      <c r="E62" s="87" t="s">
        <v>308</v>
      </c>
      <c r="F62" s="104">
        <v>10.050000000000001</v>
      </c>
      <c r="G62" s="91"/>
      <c r="H62" s="91"/>
      <c r="I62" s="91"/>
      <c r="J62" s="91"/>
      <c r="K62" s="91"/>
      <c r="L62" s="91"/>
      <c r="M62" s="91"/>
      <c r="N62" s="91"/>
      <c r="O62" s="91"/>
      <c r="P62" s="80"/>
      <c r="Q62" s="80"/>
    </row>
    <row r="63" spans="2:17">
      <c r="B63" s="80"/>
      <c r="C63" s="91"/>
      <c r="D63" s="91"/>
      <c r="E63" s="91"/>
      <c r="F63" s="91"/>
      <c r="G63" s="91"/>
      <c r="H63" s="91"/>
      <c r="I63" s="91"/>
      <c r="J63" s="91"/>
      <c r="K63" s="91"/>
      <c r="L63" s="91"/>
      <c r="M63" s="91"/>
      <c r="N63" s="91"/>
      <c r="O63" s="91"/>
      <c r="P63" s="80"/>
      <c r="Q63" s="80"/>
    </row>
    <row r="64" spans="2:17">
      <c r="B64" s="80"/>
      <c r="C64" s="91"/>
      <c r="D64" s="91"/>
      <c r="E64" s="91"/>
      <c r="F64" s="91"/>
      <c r="G64" s="91"/>
      <c r="H64" s="91"/>
      <c r="I64" s="91"/>
      <c r="J64" s="91"/>
      <c r="K64" s="91"/>
      <c r="L64" s="91"/>
      <c r="M64" s="91"/>
      <c r="N64" s="91"/>
      <c r="O64" s="91"/>
      <c r="P64" s="80"/>
      <c r="Q64" s="80"/>
    </row>
    <row r="65" spans="2:17">
      <c r="B65" s="80"/>
      <c r="C65" s="91"/>
      <c r="D65" s="91"/>
      <c r="E65" s="91"/>
      <c r="F65" s="91"/>
      <c r="G65" s="91"/>
      <c r="H65" s="91"/>
      <c r="I65" s="91"/>
      <c r="J65" s="91"/>
      <c r="K65" s="91"/>
      <c r="L65" s="91"/>
      <c r="M65" s="91"/>
      <c r="N65" s="91"/>
      <c r="O65" s="91"/>
      <c r="P65" s="80"/>
      <c r="Q65" s="80"/>
    </row>
    <row r="66" spans="2:17">
      <c r="B66" s="80"/>
      <c r="C66" s="80"/>
      <c r="D66" s="80"/>
      <c r="E66" s="80"/>
      <c r="F66" s="80"/>
      <c r="G66" s="80"/>
      <c r="H66" s="80"/>
      <c r="I66" s="80"/>
      <c r="J66" s="80"/>
      <c r="K66" s="80"/>
      <c r="L66" s="80"/>
      <c r="M66" s="80"/>
      <c r="N66" s="80"/>
      <c r="O66" s="80"/>
      <c r="P66" s="80"/>
      <c r="Q66" s="80"/>
    </row>
  </sheetData>
  <mergeCells count="1">
    <mergeCell ref="D7:E7"/>
  </mergeCells>
  <phoneticPr fontId="45"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A2BD-0C46-4A74-9450-8E48075937B3}">
  <dimension ref="A1:T30"/>
  <sheetViews>
    <sheetView workbookViewId="0">
      <selection activeCell="E2" sqref="E2"/>
    </sheetView>
  </sheetViews>
  <sheetFormatPr defaultRowHeight="15"/>
  <cols>
    <col min="1" max="1" width="10.42578125" bestFit="1" customWidth="1"/>
    <col min="2" max="2" width="14.5703125" bestFit="1" customWidth="1"/>
    <col min="3" max="3" width="12.85546875" bestFit="1" customWidth="1"/>
    <col min="4" max="5" width="5.140625" bestFit="1" customWidth="1"/>
    <col min="9" max="9" width="13.85546875" customWidth="1"/>
    <col min="10" max="10" width="13.85546875" bestFit="1" customWidth="1"/>
    <col min="13" max="13" width="9.140625" style="6"/>
    <col min="17" max="17" width="12" style="6" customWidth="1"/>
  </cols>
  <sheetData>
    <row r="1" spans="1:20">
      <c r="A1" t="s">
        <v>98</v>
      </c>
      <c r="B1" t="s">
        <v>99</v>
      </c>
      <c r="C1" t="s">
        <v>100</v>
      </c>
      <c r="D1" t="s">
        <v>101</v>
      </c>
      <c r="E1" t="s">
        <v>102</v>
      </c>
      <c r="F1" t="s">
        <v>113</v>
      </c>
      <c r="G1" t="s">
        <v>120</v>
      </c>
      <c r="H1" t="s">
        <v>182</v>
      </c>
      <c r="I1" t="s">
        <v>183</v>
      </c>
      <c r="J1" t="s">
        <v>114</v>
      </c>
      <c r="K1" t="s">
        <v>118</v>
      </c>
      <c r="L1" t="s">
        <v>119</v>
      </c>
      <c r="M1" s="6" t="s">
        <v>179</v>
      </c>
      <c r="P1" t="s">
        <v>184</v>
      </c>
      <c r="Q1" s="6" t="s">
        <v>181</v>
      </c>
      <c r="R1" t="s">
        <v>118</v>
      </c>
      <c r="S1" t="s">
        <v>119</v>
      </c>
      <c r="T1" t="s">
        <v>185</v>
      </c>
    </row>
    <row r="2" spans="1:20">
      <c r="A2" t="s">
        <v>121</v>
      </c>
      <c r="B2" t="s">
        <v>122</v>
      </c>
      <c r="C2" t="s">
        <v>201</v>
      </c>
      <c r="D2">
        <v>3800</v>
      </c>
      <c r="E2">
        <v>5800</v>
      </c>
      <c r="F2">
        <f>#REF!*#REF!/1000000</f>
        <v>22.04</v>
      </c>
      <c r="G2">
        <v>4</v>
      </c>
      <c r="H2" s="12">
        <f>#REF!</f>
        <v>3800</v>
      </c>
      <c r="I2" s="9">
        <f>#REF!</f>
        <v>5800</v>
      </c>
      <c r="J2" s="9">
        <f>MAX(F2:F30)</f>
        <v>22.04</v>
      </c>
      <c r="K2" s="11">
        <f>VLOOKUP(J2,$F$2:$I$30,3,FALSE)</f>
        <v>3800</v>
      </c>
      <c r="L2" s="11">
        <f>VLOOKUP(J2,$F$2:$I$30,4,FALSE)</f>
        <v>5800</v>
      </c>
      <c r="M2" s="6">
        <f>#REF!/#REF!</f>
        <v>1.5263157894736843</v>
      </c>
      <c r="N2">
        <f>#REF!</f>
        <v>3800</v>
      </c>
      <c r="O2">
        <f>#REF!</f>
        <v>5800</v>
      </c>
      <c r="P2" t="str">
        <f>#REF!</f>
        <v>S1A</v>
      </c>
      <c r="Q2" s="6">
        <f>MAX(M2:M30)</f>
        <v>6</v>
      </c>
      <c r="R2" s="11">
        <f>VLOOKUP(Q2,M2:O30,2,FALSE)</f>
        <v>700</v>
      </c>
      <c r="S2" s="11">
        <f>VLOOKUP(Q2,M2:O30,3,FALSE)</f>
        <v>4200</v>
      </c>
      <c r="T2" t="str">
        <f>VLOOKUP(Q2,M2:P30,4,FALSE)</f>
        <v>S11</v>
      </c>
    </row>
    <row r="3" spans="1:20">
      <c r="A3" t="s">
        <v>123</v>
      </c>
      <c r="B3" t="s">
        <v>122</v>
      </c>
      <c r="C3" t="s">
        <v>204</v>
      </c>
      <c r="D3">
        <v>3800</v>
      </c>
      <c r="E3">
        <v>5800</v>
      </c>
      <c r="F3">
        <f>#REF!*#REF!/1000000</f>
        <v>22.04</v>
      </c>
      <c r="G3">
        <v>14</v>
      </c>
      <c r="H3" s="12">
        <f>#REF!</f>
        <v>3800</v>
      </c>
      <c r="I3" s="9">
        <f t="shared" ref="I3:I30" si="0">E3</f>
        <v>5800</v>
      </c>
      <c r="M3" s="6">
        <f>#REF!/#REF!</f>
        <v>1.5263157894736843</v>
      </c>
      <c r="N3">
        <f>#REF!</f>
        <v>3800</v>
      </c>
      <c r="O3">
        <f>#REF!</f>
        <v>5800</v>
      </c>
      <c r="P3" t="str">
        <f>#REF!</f>
        <v>S1B</v>
      </c>
    </row>
    <row r="4" spans="1:20">
      <c r="A4" t="s">
        <v>124</v>
      </c>
      <c r="B4" t="s">
        <v>122</v>
      </c>
      <c r="C4" t="s">
        <v>105</v>
      </c>
      <c r="D4">
        <v>3800</v>
      </c>
      <c r="E4">
        <v>5800</v>
      </c>
      <c r="F4">
        <f>#REF!*#REF!/1000000</f>
        <v>22.04</v>
      </c>
      <c r="G4">
        <v>18</v>
      </c>
      <c r="H4" s="12">
        <f>#REF!</f>
        <v>3800</v>
      </c>
      <c r="I4" s="9">
        <f t="shared" si="0"/>
        <v>5800</v>
      </c>
      <c r="M4" s="6">
        <f>#REF!/#REF!</f>
        <v>1.5263157894736843</v>
      </c>
      <c r="N4">
        <f>#REF!</f>
        <v>3800</v>
      </c>
      <c r="O4">
        <f>#REF!</f>
        <v>5800</v>
      </c>
      <c r="P4" t="str">
        <f>#REF!</f>
        <v>S1</v>
      </c>
    </row>
    <row r="5" spans="1:20">
      <c r="A5" t="s">
        <v>125</v>
      </c>
      <c r="B5" t="s">
        <v>122</v>
      </c>
      <c r="C5" t="s">
        <v>105</v>
      </c>
      <c r="D5">
        <v>3800</v>
      </c>
      <c r="E5">
        <v>5800</v>
      </c>
      <c r="F5">
        <f>#REF!*#REF!/1000000</f>
        <v>22.04</v>
      </c>
      <c r="G5">
        <v>19</v>
      </c>
      <c r="H5" s="12">
        <f>#REF!</f>
        <v>3800</v>
      </c>
      <c r="I5" s="9">
        <f t="shared" si="0"/>
        <v>5800</v>
      </c>
      <c r="M5" s="6">
        <f>#REF!/#REF!</f>
        <v>1.5263157894736843</v>
      </c>
      <c r="N5">
        <f>#REF!</f>
        <v>3800</v>
      </c>
      <c r="O5">
        <f>#REF!</f>
        <v>5800</v>
      </c>
      <c r="P5" t="str">
        <f>#REF!</f>
        <v>S1</v>
      </c>
    </row>
    <row r="6" spans="1:20">
      <c r="A6" t="s">
        <v>126</v>
      </c>
      <c r="B6" t="s">
        <v>122</v>
      </c>
      <c r="C6" t="s">
        <v>105</v>
      </c>
      <c r="D6">
        <v>3800</v>
      </c>
      <c r="E6">
        <v>5800</v>
      </c>
      <c r="F6">
        <f>#REF!*#REF!/1000000</f>
        <v>22.04</v>
      </c>
      <c r="G6">
        <v>25</v>
      </c>
      <c r="H6" s="12">
        <f>#REF!</f>
        <v>3800</v>
      </c>
      <c r="I6" s="9">
        <f t="shared" si="0"/>
        <v>5800</v>
      </c>
      <c r="M6" s="6">
        <f>#REF!/#REF!</f>
        <v>1.5263157894736843</v>
      </c>
      <c r="N6">
        <f>#REF!</f>
        <v>3800</v>
      </c>
      <c r="O6">
        <f>#REF!</f>
        <v>5800</v>
      </c>
      <c r="P6" t="str">
        <f>#REF!</f>
        <v>S1</v>
      </c>
    </row>
    <row r="7" spans="1:20">
      <c r="A7" t="s">
        <v>127</v>
      </c>
      <c r="B7" t="s">
        <v>122</v>
      </c>
      <c r="C7" t="s">
        <v>105</v>
      </c>
      <c r="D7">
        <v>3800</v>
      </c>
      <c r="E7">
        <v>5800</v>
      </c>
      <c r="F7">
        <f>#REF!*#REF!/1000000</f>
        <v>22.04</v>
      </c>
      <c r="G7">
        <v>26</v>
      </c>
      <c r="H7" s="12">
        <f>#REF!</f>
        <v>3800</v>
      </c>
      <c r="I7" s="9">
        <f t="shared" si="0"/>
        <v>5800</v>
      </c>
      <c r="M7" s="6">
        <f>#REF!/#REF!</f>
        <v>1.5263157894736843</v>
      </c>
      <c r="N7">
        <f>#REF!</f>
        <v>3800</v>
      </c>
      <c r="O7">
        <f>#REF!</f>
        <v>5800</v>
      </c>
      <c r="P7" t="str">
        <f>#REF!</f>
        <v>S1</v>
      </c>
    </row>
    <row r="8" spans="1:20">
      <c r="A8" t="s">
        <v>128</v>
      </c>
      <c r="B8" t="s">
        <v>129</v>
      </c>
      <c r="C8" t="s">
        <v>104</v>
      </c>
      <c r="D8">
        <v>3800</v>
      </c>
      <c r="E8">
        <v>5300</v>
      </c>
      <c r="F8">
        <f>#REF!*#REF!/1000000</f>
        <v>20.14</v>
      </c>
      <c r="G8">
        <v>1</v>
      </c>
      <c r="H8" s="12">
        <f>#REF!</f>
        <v>3800</v>
      </c>
      <c r="I8" s="9">
        <f t="shared" si="0"/>
        <v>5300</v>
      </c>
      <c r="M8" s="6">
        <f>#REF!/#REF!</f>
        <v>1.3947368421052631</v>
      </c>
      <c r="N8">
        <f>#REF!</f>
        <v>3800</v>
      </c>
      <c r="O8">
        <f>#REF!</f>
        <v>5300</v>
      </c>
      <c r="P8" t="str">
        <f>#REF!</f>
        <v>S3</v>
      </c>
    </row>
    <row r="9" spans="1:20">
      <c r="A9" t="s">
        <v>130</v>
      </c>
      <c r="B9" t="s">
        <v>131</v>
      </c>
      <c r="C9" t="s">
        <v>104</v>
      </c>
      <c r="D9">
        <v>3800</v>
      </c>
      <c r="E9">
        <v>5300</v>
      </c>
      <c r="F9">
        <f>#REF!*#REF!/1000000</f>
        <v>20.14</v>
      </c>
      <c r="G9">
        <v>5</v>
      </c>
      <c r="H9" s="12">
        <f>#REF!</f>
        <v>3800</v>
      </c>
      <c r="I9" s="9">
        <f t="shared" si="0"/>
        <v>5300</v>
      </c>
      <c r="M9" s="6">
        <f>#REF!/#REF!</f>
        <v>1.3947368421052631</v>
      </c>
      <c r="N9">
        <f>#REF!</f>
        <v>3800</v>
      </c>
      <c r="O9">
        <f>#REF!</f>
        <v>5300</v>
      </c>
      <c r="P9" t="str">
        <f>#REF!</f>
        <v>S3</v>
      </c>
    </row>
    <row r="10" spans="1:20">
      <c r="A10" t="s">
        <v>132</v>
      </c>
      <c r="B10" t="s">
        <v>129</v>
      </c>
      <c r="C10" t="s">
        <v>104</v>
      </c>
      <c r="D10">
        <v>3800</v>
      </c>
      <c r="E10">
        <v>5300</v>
      </c>
      <c r="F10">
        <f>#REF!*#REF!/1000000</f>
        <v>20.14</v>
      </c>
      <c r="G10">
        <v>11</v>
      </c>
      <c r="H10" s="12">
        <f>#REF!</f>
        <v>3800</v>
      </c>
      <c r="I10" s="9">
        <f t="shared" si="0"/>
        <v>5300</v>
      </c>
      <c r="M10" s="6">
        <f>#REF!/#REF!</f>
        <v>1.3947368421052631</v>
      </c>
      <c r="N10">
        <f>#REF!</f>
        <v>3800</v>
      </c>
      <c r="O10">
        <f>#REF!</f>
        <v>5300</v>
      </c>
      <c r="P10" t="str">
        <f>#REF!</f>
        <v>S3</v>
      </c>
    </row>
    <row r="11" spans="1:20">
      <c r="A11" t="s">
        <v>133</v>
      </c>
      <c r="B11" t="s">
        <v>131</v>
      </c>
      <c r="C11" t="s">
        <v>104</v>
      </c>
      <c r="D11">
        <v>3800</v>
      </c>
      <c r="E11">
        <v>5300</v>
      </c>
      <c r="F11">
        <f>#REF!*#REF!/1000000</f>
        <v>20.14</v>
      </c>
      <c r="G11">
        <v>15</v>
      </c>
      <c r="H11" s="12">
        <f>#REF!</f>
        <v>3800</v>
      </c>
      <c r="I11" s="9">
        <f t="shared" si="0"/>
        <v>5300</v>
      </c>
      <c r="M11" s="6">
        <f>#REF!/#REF!</f>
        <v>1.3947368421052631</v>
      </c>
      <c r="N11">
        <f>#REF!</f>
        <v>3800</v>
      </c>
      <c r="O11">
        <f>#REF!</f>
        <v>5300</v>
      </c>
      <c r="P11" t="str">
        <f>#REF!</f>
        <v>S3</v>
      </c>
    </row>
    <row r="12" spans="1:20">
      <c r="A12" t="s">
        <v>134</v>
      </c>
      <c r="B12" t="s">
        <v>135</v>
      </c>
      <c r="C12" t="s">
        <v>110</v>
      </c>
      <c r="D12">
        <v>3800</v>
      </c>
      <c r="E12">
        <v>3800</v>
      </c>
      <c r="F12">
        <f>#REF!*#REF!/1000000</f>
        <v>14.44</v>
      </c>
      <c r="G12">
        <v>22</v>
      </c>
      <c r="H12" s="12">
        <f>#REF!</f>
        <v>3800</v>
      </c>
      <c r="I12" s="9">
        <f t="shared" si="0"/>
        <v>3800</v>
      </c>
      <c r="M12" s="6">
        <f>#REF!/#REF!</f>
        <v>1</v>
      </c>
      <c r="N12">
        <f>#REF!</f>
        <v>3800</v>
      </c>
      <c r="O12">
        <f>#REF!</f>
        <v>3800</v>
      </c>
      <c r="P12" t="str">
        <f>#REF!</f>
        <v>S8</v>
      </c>
    </row>
    <row r="13" spans="1:20">
      <c r="A13" t="s">
        <v>136</v>
      </c>
      <c r="B13" t="s">
        <v>137</v>
      </c>
      <c r="C13" t="s">
        <v>103</v>
      </c>
      <c r="D13">
        <v>2800</v>
      </c>
      <c r="E13">
        <v>3800</v>
      </c>
      <c r="F13">
        <f>#REF!*#REF!/1000000</f>
        <v>10.64</v>
      </c>
      <c r="G13">
        <v>2</v>
      </c>
      <c r="H13" s="12">
        <f>#REF!</f>
        <v>2800</v>
      </c>
      <c r="I13" s="9">
        <f t="shared" si="0"/>
        <v>3800</v>
      </c>
      <c r="M13" s="6">
        <f>#REF!/#REF!</f>
        <v>1.3571428571428572</v>
      </c>
      <c r="N13">
        <f>#REF!</f>
        <v>2800</v>
      </c>
      <c r="O13">
        <f>#REF!</f>
        <v>3800</v>
      </c>
      <c r="P13" t="str">
        <f>#REF!</f>
        <v>S2</v>
      </c>
    </row>
    <row r="14" spans="1:20">
      <c r="A14" t="s">
        <v>138</v>
      </c>
      <c r="B14" t="s">
        <v>137</v>
      </c>
      <c r="C14" t="s">
        <v>103</v>
      </c>
      <c r="D14">
        <v>2800</v>
      </c>
      <c r="E14">
        <v>3800</v>
      </c>
      <c r="F14">
        <f>#REF!*#REF!/1000000</f>
        <v>10.64</v>
      </c>
      <c r="G14">
        <v>12</v>
      </c>
      <c r="H14" s="12">
        <f>#REF!</f>
        <v>2800</v>
      </c>
      <c r="I14" s="9">
        <f t="shared" si="0"/>
        <v>3800</v>
      </c>
      <c r="M14" s="6">
        <f>#REF!/#REF!</f>
        <v>1.3571428571428572</v>
      </c>
      <c r="N14">
        <f>#REF!</f>
        <v>2800</v>
      </c>
      <c r="O14">
        <f>#REF!</f>
        <v>3800</v>
      </c>
      <c r="P14" t="str">
        <f>#REF!</f>
        <v>S2</v>
      </c>
    </row>
    <row r="15" spans="1:20">
      <c r="A15" t="s">
        <v>139</v>
      </c>
      <c r="B15" t="s">
        <v>137</v>
      </c>
      <c r="C15" t="s">
        <v>103</v>
      </c>
      <c r="D15">
        <v>2800</v>
      </c>
      <c r="E15">
        <v>3800</v>
      </c>
      <c r="F15">
        <f>#REF!*#REF!/1000000</f>
        <v>10.64</v>
      </c>
      <c r="G15">
        <v>20</v>
      </c>
      <c r="H15" s="12">
        <f>#REF!</f>
        <v>2800</v>
      </c>
      <c r="I15" s="9">
        <f t="shared" si="0"/>
        <v>3800</v>
      </c>
      <c r="M15" s="6">
        <f>#REF!/#REF!</f>
        <v>1.3571428571428572</v>
      </c>
      <c r="N15">
        <f>#REF!</f>
        <v>2800</v>
      </c>
      <c r="O15">
        <f>#REF!</f>
        <v>3800</v>
      </c>
      <c r="P15" t="str">
        <f>#REF!</f>
        <v>S2</v>
      </c>
    </row>
    <row r="16" spans="1:20">
      <c r="A16" t="s">
        <v>140</v>
      </c>
      <c r="B16" t="s">
        <v>137</v>
      </c>
      <c r="C16" t="s">
        <v>103</v>
      </c>
      <c r="D16">
        <v>2800</v>
      </c>
      <c r="E16">
        <v>3800</v>
      </c>
      <c r="F16">
        <f>#REF!*#REF!/1000000</f>
        <v>10.64</v>
      </c>
      <c r="G16">
        <v>23</v>
      </c>
      <c r="H16" s="12">
        <f>#REF!</f>
        <v>2800</v>
      </c>
      <c r="I16" s="9">
        <f t="shared" si="0"/>
        <v>3800</v>
      </c>
      <c r="M16" s="6">
        <f>#REF!/#REF!</f>
        <v>1.3571428571428572</v>
      </c>
      <c r="N16">
        <f>#REF!</f>
        <v>2800</v>
      </c>
      <c r="O16">
        <f>#REF!</f>
        <v>3800</v>
      </c>
      <c r="P16" t="str">
        <f>#REF!</f>
        <v>S2</v>
      </c>
    </row>
    <row r="17" spans="1:16">
      <c r="A17" t="s">
        <v>141</v>
      </c>
      <c r="B17" t="s">
        <v>142</v>
      </c>
      <c r="C17" t="s">
        <v>108</v>
      </c>
      <c r="D17">
        <v>1800</v>
      </c>
      <c r="E17">
        <v>5800</v>
      </c>
      <c r="F17">
        <f>#REF!*#REF!/1000000</f>
        <v>10.44</v>
      </c>
      <c r="G17">
        <v>3</v>
      </c>
      <c r="H17" s="12">
        <f>#REF!</f>
        <v>1800</v>
      </c>
      <c r="I17" s="9">
        <f t="shared" si="0"/>
        <v>5800</v>
      </c>
      <c r="M17" s="13">
        <f>#REF!/#REF!</f>
        <v>3.2222222222222223</v>
      </c>
      <c r="N17" s="10">
        <f>#REF!</f>
        <v>1800</v>
      </c>
      <c r="O17" s="10">
        <f>#REF!</f>
        <v>5800</v>
      </c>
      <c r="P17" s="10" t="str">
        <f>#REF!</f>
        <v>S4</v>
      </c>
    </row>
    <row r="18" spans="1:16">
      <c r="A18" t="s">
        <v>143</v>
      </c>
      <c r="B18" t="s">
        <v>142</v>
      </c>
      <c r="C18" t="s">
        <v>108</v>
      </c>
      <c r="D18">
        <v>1800</v>
      </c>
      <c r="E18">
        <v>5800</v>
      </c>
      <c r="F18">
        <f>#REF!*#REF!/1000000</f>
        <v>10.44</v>
      </c>
      <c r="G18">
        <v>13</v>
      </c>
      <c r="H18" s="12">
        <f>#REF!</f>
        <v>1800</v>
      </c>
      <c r="I18" s="9">
        <f t="shared" si="0"/>
        <v>5800</v>
      </c>
      <c r="M18" s="13">
        <f>#REF!/#REF!</f>
        <v>3.2222222222222223</v>
      </c>
      <c r="N18" s="10">
        <f>#REF!</f>
        <v>1800</v>
      </c>
      <c r="O18" s="10">
        <f>#REF!</f>
        <v>5800</v>
      </c>
      <c r="P18" s="10" t="str">
        <f>#REF!</f>
        <v>S4</v>
      </c>
    </row>
    <row r="19" spans="1:16">
      <c r="A19" t="s">
        <v>144</v>
      </c>
      <c r="B19" t="s">
        <v>145</v>
      </c>
      <c r="C19" t="s">
        <v>111</v>
      </c>
      <c r="D19">
        <v>2700</v>
      </c>
      <c r="E19">
        <v>3800</v>
      </c>
      <c r="F19">
        <f>#REF!*#REF!/1000000</f>
        <v>10.26</v>
      </c>
      <c r="G19">
        <v>10</v>
      </c>
      <c r="H19" s="12">
        <f>#REF!</f>
        <v>2700</v>
      </c>
      <c r="I19" s="9">
        <f t="shared" si="0"/>
        <v>3800</v>
      </c>
      <c r="M19" s="6">
        <f>#REF!/#REF!</f>
        <v>1.4074074074074074</v>
      </c>
      <c r="N19">
        <f>#REF!</f>
        <v>2700</v>
      </c>
      <c r="O19">
        <f>#REF!</f>
        <v>3800</v>
      </c>
      <c r="P19" t="str">
        <f>#REF!</f>
        <v>S10</v>
      </c>
    </row>
    <row r="20" spans="1:16">
      <c r="A20" t="s">
        <v>146</v>
      </c>
      <c r="B20" t="s">
        <v>147</v>
      </c>
      <c r="C20" t="s">
        <v>106</v>
      </c>
      <c r="D20">
        <v>1800</v>
      </c>
      <c r="E20">
        <v>5300</v>
      </c>
      <c r="F20">
        <f>#REF!*#REF!/1000000</f>
        <v>9.5399999999999991</v>
      </c>
      <c r="G20">
        <v>6</v>
      </c>
      <c r="H20" s="12">
        <f>#REF!</f>
        <v>1800</v>
      </c>
      <c r="I20" s="9">
        <f t="shared" si="0"/>
        <v>5300</v>
      </c>
      <c r="M20" s="13">
        <f>#REF!/#REF!</f>
        <v>2.9444444444444446</v>
      </c>
      <c r="N20" s="10">
        <f>#REF!</f>
        <v>1800</v>
      </c>
      <c r="O20" s="10">
        <f>#REF!</f>
        <v>5300</v>
      </c>
      <c r="P20" s="10" t="str">
        <f>#REF!</f>
        <v>S6</v>
      </c>
    </row>
    <row r="21" spans="1:16">
      <c r="A21" t="s">
        <v>148</v>
      </c>
      <c r="B21" t="s">
        <v>147</v>
      </c>
      <c r="C21" t="s">
        <v>106</v>
      </c>
      <c r="D21">
        <v>1800</v>
      </c>
      <c r="E21">
        <v>5300</v>
      </c>
      <c r="F21">
        <f>#REF!*#REF!/1000000</f>
        <v>9.5399999999999991</v>
      </c>
      <c r="G21">
        <v>16</v>
      </c>
      <c r="H21" s="12">
        <f>#REF!</f>
        <v>1800</v>
      </c>
      <c r="I21" s="9">
        <f t="shared" si="0"/>
        <v>5300</v>
      </c>
      <c r="M21" s="13">
        <f>#REF!/#REF!</f>
        <v>2.9444444444444446</v>
      </c>
      <c r="N21" s="10">
        <f>#REF!</f>
        <v>1800</v>
      </c>
      <c r="O21" s="10">
        <f>#REF!</f>
        <v>5300</v>
      </c>
      <c r="P21" s="10" t="str">
        <f>#REF!</f>
        <v>S6</v>
      </c>
    </row>
    <row r="22" spans="1:16">
      <c r="A22" t="s">
        <v>149</v>
      </c>
      <c r="B22" t="s">
        <v>150</v>
      </c>
      <c r="C22" t="s">
        <v>109</v>
      </c>
      <c r="D22">
        <v>1800</v>
      </c>
      <c r="E22">
        <v>3800</v>
      </c>
      <c r="F22">
        <f>#REF!*#REF!/1000000</f>
        <v>6.84</v>
      </c>
      <c r="G22">
        <v>8</v>
      </c>
      <c r="H22" s="12">
        <f>#REF!</f>
        <v>1800</v>
      </c>
      <c r="I22" s="9">
        <f t="shared" si="0"/>
        <v>3800</v>
      </c>
      <c r="M22" s="13">
        <f>#REF!/#REF!</f>
        <v>2.1111111111111112</v>
      </c>
      <c r="N22" s="10">
        <f>#REF!</f>
        <v>1800</v>
      </c>
      <c r="O22" s="10">
        <f>#REF!</f>
        <v>3800</v>
      </c>
      <c r="P22" s="10" t="str">
        <f>#REF!</f>
        <v>S7</v>
      </c>
    </row>
    <row r="23" spans="1:16">
      <c r="A23" t="s">
        <v>151</v>
      </c>
      <c r="B23" t="s">
        <v>150</v>
      </c>
      <c r="C23" t="s">
        <v>109</v>
      </c>
      <c r="D23">
        <v>1800</v>
      </c>
      <c r="E23">
        <v>3800</v>
      </c>
      <c r="F23">
        <f>#REF!*#REF!/1000000</f>
        <v>6.84</v>
      </c>
      <c r="G23">
        <v>9</v>
      </c>
      <c r="H23" s="12">
        <f>#REF!</f>
        <v>1800</v>
      </c>
      <c r="I23" s="9">
        <f t="shared" si="0"/>
        <v>3800</v>
      </c>
      <c r="M23" s="13">
        <f>#REF!/#REF!</f>
        <v>2.1111111111111112</v>
      </c>
      <c r="N23" s="10">
        <f>#REF!</f>
        <v>1800</v>
      </c>
      <c r="O23" s="10">
        <f>#REF!</f>
        <v>3800</v>
      </c>
      <c r="P23" s="10" t="str">
        <f>#REF!</f>
        <v>S7</v>
      </c>
    </row>
    <row r="24" spans="1:16">
      <c r="A24" t="s">
        <v>152</v>
      </c>
      <c r="B24" t="s">
        <v>153</v>
      </c>
      <c r="C24" t="s">
        <v>107</v>
      </c>
      <c r="D24">
        <v>1800</v>
      </c>
      <c r="E24">
        <v>2800</v>
      </c>
      <c r="F24">
        <f>#REF!*#REF!/1000000</f>
        <v>5.04</v>
      </c>
      <c r="G24">
        <v>7</v>
      </c>
      <c r="H24" s="12">
        <f>#REF!</f>
        <v>1800</v>
      </c>
      <c r="I24" s="9">
        <f t="shared" si="0"/>
        <v>2800</v>
      </c>
      <c r="M24" s="6">
        <f>#REF!/#REF!</f>
        <v>1.5555555555555556</v>
      </c>
      <c r="N24">
        <f>#REF!</f>
        <v>1800</v>
      </c>
      <c r="O24">
        <f>#REF!</f>
        <v>2800</v>
      </c>
      <c r="P24" t="str">
        <f>#REF!</f>
        <v>S5</v>
      </c>
    </row>
    <row r="25" spans="1:16">
      <c r="A25" t="s">
        <v>154</v>
      </c>
      <c r="B25" t="s">
        <v>153</v>
      </c>
      <c r="C25" t="s">
        <v>107</v>
      </c>
      <c r="D25">
        <v>1800</v>
      </c>
      <c r="E25">
        <v>2800</v>
      </c>
      <c r="F25">
        <f>#REF!*#REF!/1000000</f>
        <v>5.04</v>
      </c>
      <c r="G25">
        <v>17</v>
      </c>
      <c r="H25" s="12">
        <f>#REF!</f>
        <v>1800</v>
      </c>
      <c r="I25" s="9">
        <f t="shared" si="0"/>
        <v>2800</v>
      </c>
      <c r="M25" s="6">
        <f>#REF!/#REF!</f>
        <v>1.5555555555555556</v>
      </c>
      <c r="N25">
        <f>#REF!</f>
        <v>1800</v>
      </c>
      <c r="O25">
        <f>#REF!</f>
        <v>2800</v>
      </c>
      <c r="P25" t="str">
        <f>#REF!</f>
        <v>S5</v>
      </c>
    </row>
    <row r="26" spans="1:16">
      <c r="A26" t="s">
        <v>155</v>
      </c>
      <c r="B26" t="s">
        <v>156</v>
      </c>
      <c r="C26" t="s">
        <v>112</v>
      </c>
      <c r="D26">
        <v>1800</v>
      </c>
      <c r="E26">
        <v>2500</v>
      </c>
      <c r="F26">
        <f>#REF!*#REF!/1000000</f>
        <v>4.5</v>
      </c>
      <c r="G26">
        <v>21</v>
      </c>
      <c r="H26" s="12">
        <f>#REF!</f>
        <v>1800</v>
      </c>
      <c r="I26" s="9">
        <f t="shared" si="0"/>
        <v>2500</v>
      </c>
      <c r="M26" s="6">
        <f>#REF!/#REF!</f>
        <v>1.3888888888888888</v>
      </c>
      <c r="N26">
        <f>#REF!</f>
        <v>1800</v>
      </c>
      <c r="O26">
        <f>#REF!</f>
        <v>2500</v>
      </c>
      <c r="P26" t="str">
        <f>#REF!</f>
        <v>S9</v>
      </c>
    </row>
    <row r="27" spans="1:16">
      <c r="A27" t="s">
        <v>463</v>
      </c>
      <c r="B27" t="s">
        <v>568</v>
      </c>
      <c r="C27" t="s">
        <v>461</v>
      </c>
      <c r="D27">
        <v>700</v>
      </c>
      <c r="E27">
        <v>4200</v>
      </c>
      <c r="F27" s="12">
        <f>#REF!*#REF!/1000000</f>
        <v>2.94</v>
      </c>
      <c r="G27" s="12"/>
      <c r="H27" s="12">
        <f>#REF!</f>
        <v>700</v>
      </c>
      <c r="I27" s="9">
        <f>E27</f>
        <v>4200</v>
      </c>
      <c r="M27" s="6">
        <f>#REF!/#REF!</f>
        <v>6</v>
      </c>
      <c r="N27">
        <f>#REF!</f>
        <v>700</v>
      </c>
      <c r="O27">
        <f>#REF!</f>
        <v>4200</v>
      </c>
      <c r="P27" t="str">
        <f>#REF!</f>
        <v>S11</v>
      </c>
    </row>
    <row r="28" spans="1:16">
      <c r="A28" t="s">
        <v>465</v>
      </c>
      <c r="B28" t="s">
        <v>464</v>
      </c>
      <c r="C28" t="s">
        <v>462</v>
      </c>
      <c r="D28">
        <v>700</v>
      </c>
      <c r="E28">
        <v>3600</v>
      </c>
      <c r="F28" s="12">
        <f>#REF!*#REF!/1000000</f>
        <v>2.52</v>
      </c>
      <c r="G28" s="12"/>
      <c r="H28" s="12">
        <f>#REF!</f>
        <v>700</v>
      </c>
      <c r="I28" s="9">
        <f>E28</f>
        <v>3600</v>
      </c>
      <c r="M28" s="6">
        <f>#REF!/#REF!</f>
        <v>5.1428571428571432</v>
      </c>
      <c r="N28">
        <f>#REF!</f>
        <v>700</v>
      </c>
      <c r="O28">
        <f>#REF!</f>
        <v>3600</v>
      </c>
      <c r="P28" t="str">
        <f>#REF!</f>
        <v>S12</v>
      </c>
    </row>
    <row r="29" spans="1:16">
      <c r="A29" t="s">
        <v>466</v>
      </c>
      <c r="B29" t="s">
        <v>464</v>
      </c>
      <c r="C29" t="s">
        <v>462</v>
      </c>
      <c r="D29">
        <v>700</v>
      </c>
      <c r="E29">
        <v>3600</v>
      </c>
      <c r="F29" s="12">
        <f>#REF!*#REF!/1000000</f>
        <v>2.52</v>
      </c>
      <c r="G29" s="12"/>
      <c r="H29" s="12">
        <f>#REF!</f>
        <v>700</v>
      </c>
      <c r="I29" s="9">
        <f>E29</f>
        <v>3600</v>
      </c>
      <c r="M29" s="6">
        <f>#REF!/#REF!</f>
        <v>5.1428571428571432</v>
      </c>
      <c r="N29">
        <f>#REF!</f>
        <v>700</v>
      </c>
      <c r="O29">
        <f>#REF!</f>
        <v>3600</v>
      </c>
      <c r="P29" t="str">
        <f>#REF!</f>
        <v>S12</v>
      </c>
    </row>
    <row r="30" spans="1:16">
      <c r="A30" t="s">
        <v>157</v>
      </c>
      <c r="B30" t="s">
        <v>156</v>
      </c>
      <c r="C30" t="s">
        <v>112</v>
      </c>
      <c r="D30">
        <v>1800</v>
      </c>
      <c r="E30">
        <v>2500</v>
      </c>
      <c r="F30">
        <f>#REF!*#REF!/1000000</f>
        <v>4.5</v>
      </c>
      <c r="G30">
        <v>24</v>
      </c>
      <c r="H30" s="12">
        <f>#REF!</f>
        <v>1800</v>
      </c>
      <c r="I30" s="9">
        <f t="shared" si="0"/>
        <v>2500</v>
      </c>
      <c r="M30" s="6">
        <f>#REF!/#REF!</f>
        <v>1.3888888888888888</v>
      </c>
      <c r="N30">
        <f>#REF!</f>
        <v>1800</v>
      </c>
      <c r="O30">
        <f>#REF!</f>
        <v>2500</v>
      </c>
      <c r="P30" t="str">
        <f>#REF!</f>
        <v>S9</v>
      </c>
    </row>
  </sheetData>
  <conditionalFormatting sqref="Q2">
    <cfRule type="cellIs" dxfId="0" priority="1" operator="lessThan">
      <formula>2</formula>
    </cfRule>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49B9-D7A8-4EAF-8BDF-0C28663E4EF7}">
  <dimension ref="A1:E30"/>
  <sheetViews>
    <sheetView topLeftCell="A2" workbookViewId="0">
      <selection activeCell="H5" sqref="H5"/>
    </sheetView>
  </sheetViews>
  <sheetFormatPr defaultRowHeight="15"/>
  <sheetData>
    <row r="1" spans="1:5">
      <c r="A1" t="s">
        <v>98</v>
      </c>
      <c r="B1" t="s">
        <v>99</v>
      </c>
      <c r="C1" t="s">
        <v>100</v>
      </c>
      <c r="D1" t="s">
        <v>101</v>
      </c>
      <c r="E1" t="s">
        <v>102</v>
      </c>
    </row>
    <row r="2" spans="1:5">
      <c r="A2" t="s">
        <v>128</v>
      </c>
      <c r="B2" t="s">
        <v>555</v>
      </c>
      <c r="C2" t="s">
        <v>104</v>
      </c>
      <c r="D2">
        <v>3800</v>
      </c>
      <c r="E2">
        <v>5300</v>
      </c>
    </row>
    <row r="3" spans="1:5">
      <c r="A3" t="s">
        <v>136</v>
      </c>
      <c r="B3" t="s">
        <v>556</v>
      </c>
      <c r="C3" t="s">
        <v>103</v>
      </c>
      <c r="D3">
        <v>2800</v>
      </c>
      <c r="E3">
        <v>3800</v>
      </c>
    </row>
    <row r="4" spans="1:5">
      <c r="A4" t="s">
        <v>141</v>
      </c>
      <c r="B4" t="s">
        <v>557</v>
      </c>
      <c r="C4" t="s">
        <v>108</v>
      </c>
      <c r="D4">
        <v>1800</v>
      </c>
      <c r="E4">
        <v>5800</v>
      </c>
    </row>
    <row r="5" spans="1:5">
      <c r="A5" t="s">
        <v>121</v>
      </c>
      <c r="B5" t="s">
        <v>558</v>
      </c>
      <c r="C5" t="s">
        <v>105</v>
      </c>
      <c r="D5">
        <v>3800</v>
      </c>
      <c r="E5">
        <v>5800</v>
      </c>
    </row>
    <row r="6" spans="1:5">
      <c r="A6" t="s">
        <v>130</v>
      </c>
      <c r="B6" t="s">
        <v>559</v>
      </c>
      <c r="C6" t="s">
        <v>104</v>
      </c>
      <c r="D6">
        <v>3800</v>
      </c>
      <c r="E6">
        <v>5300</v>
      </c>
    </row>
    <row r="7" spans="1:5">
      <c r="A7" t="s">
        <v>146</v>
      </c>
      <c r="B7" t="s">
        <v>560</v>
      </c>
      <c r="C7" t="s">
        <v>106</v>
      </c>
      <c r="D7">
        <v>1800</v>
      </c>
      <c r="E7">
        <v>5300</v>
      </c>
    </row>
    <row r="8" spans="1:5">
      <c r="A8" t="s">
        <v>152</v>
      </c>
      <c r="B8" t="s">
        <v>561</v>
      </c>
      <c r="C8" t="s">
        <v>107</v>
      </c>
      <c r="D8">
        <v>1800</v>
      </c>
      <c r="E8">
        <v>2800</v>
      </c>
    </row>
    <row r="9" spans="1:5">
      <c r="A9" t="s">
        <v>149</v>
      </c>
      <c r="B9" t="s">
        <v>562</v>
      </c>
      <c r="C9" t="s">
        <v>109</v>
      </c>
      <c r="D9">
        <v>1800</v>
      </c>
      <c r="E9">
        <v>3800</v>
      </c>
    </row>
    <row r="10" spans="1:5">
      <c r="A10" t="s">
        <v>151</v>
      </c>
      <c r="B10" t="s">
        <v>562</v>
      </c>
      <c r="C10" t="s">
        <v>109</v>
      </c>
      <c r="D10">
        <v>1800</v>
      </c>
      <c r="E10">
        <v>3800</v>
      </c>
    </row>
    <row r="11" spans="1:5">
      <c r="A11" t="s">
        <v>144</v>
      </c>
      <c r="B11" t="s">
        <v>563</v>
      </c>
      <c r="C11" t="s">
        <v>111</v>
      </c>
      <c r="D11">
        <v>2700</v>
      </c>
      <c r="E11">
        <v>3800</v>
      </c>
    </row>
    <row r="12" spans="1:5">
      <c r="A12" t="s">
        <v>132</v>
      </c>
      <c r="B12" t="s">
        <v>555</v>
      </c>
      <c r="C12" t="s">
        <v>104</v>
      </c>
      <c r="D12">
        <v>3800</v>
      </c>
      <c r="E12">
        <v>5300</v>
      </c>
    </row>
    <row r="13" spans="1:5">
      <c r="A13" t="s">
        <v>138</v>
      </c>
      <c r="B13" t="s">
        <v>556</v>
      </c>
      <c r="C13" t="s">
        <v>103</v>
      </c>
      <c r="D13">
        <v>2800</v>
      </c>
      <c r="E13">
        <v>3800</v>
      </c>
    </row>
    <row r="14" spans="1:5">
      <c r="A14" t="s">
        <v>143</v>
      </c>
      <c r="B14" t="s">
        <v>557</v>
      </c>
      <c r="C14" t="s">
        <v>108</v>
      </c>
      <c r="D14">
        <v>1800</v>
      </c>
      <c r="E14">
        <v>5800</v>
      </c>
    </row>
    <row r="15" spans="1:5">
      <c r="A15" t="s">
        <v>123</v>
      </c>
      <c r="B15" t="s">
        <v>558</v>
      </c>
      <c r="C15" t="s">
        <v>105</v>
      </c>
      <c r="D15">
        <v>3800</v>
      </c>
      <c r="E15">
        <v>5800</v>
      </c>
    </row>
    <row r="16" spans="1:5">
      <c r="A16" t="s">
        <v>133</v>
      </c>
      <c r="B16" t="s">
        <v>559</v>
      </c>
      <c r="C16" t="s">
        <v>104</v>
      </c>
      <c r="D16">
        <v>3800</v>
      </c>
      <c r="E16">
        <v>5300</v>
      </c>
    </row>
    <row r="17" spans="1:5">
      <c r="A17" t="s">
        <v>148</v>
      </c>
      <c r="B17" t="s">
        <v>560</v>
      </c>
      <c r="C17" t="s">
        <v>106</v>
      </c>
      <c r="D17">
        <v>1800</v>
      </c>
      <c r="E17">
        <v>5300</v>
      </c>
    </row>
    <row r="18" spans="1:5">
      <c r="A18" t="s">
        <v>154</v>
      </c>
      <c r="B18" t="s">
        <v>561</v>
      </c>
      <c r="C18" t="s">
        <v>107</v>
      </c>
      <c r="D18">
        <v>1800</v>
      </c>
      <c r="E18">
        <v>2800</v>
      </c>
    </row>
    <row r="19" spans="1:5">
      <c r="A19" t="s">
        <v>124</v>
      </c>
      <c r="B19" t="s">
        <v>558</v>
      </c>
      <c r="C19" t="s">
        <v>105</v>
      </c>
      <c r="D19">
        <v>3800</v>
      </c>
      <c r="E19">
        <v>5800</v>
      </c>
    </row>
    <row r="20" spans="1:5">
      <c r="A20" t="s">
        <v>125</v>
      </c>
      <c r="B20" t="s">
        <v>558</v>
      </c>
      <c r="C20" t="s">
        <v>105</v>
      </c>
      <c r="D20">
        <v>3800</v>
      </c>
      <c r="E20">
        <v>5800</v>
      </c>
    </row>
    <row r="21" spans="1:5">
      <c r="A21" t="s">
        <v>139</v>
      </c>
      <c r="B21" t="s">
        <v>556</v>
      </c>
      <c r="C21" t="s">
        <v>103</v>
      </c>
      <c r="D21">
        <v>2800</v>
      </c>
      <c r="E21">
        <v>3800</v>
      </c>
    </row>
    <row r="22" spans="1:5">
      <c r="A22" t="s">
        <v>155</v>
      </c>
      <c r="B22" t="s">
        <v>564</v>
      </c>
      <c r="C22" t="s">
        <v>112</v>
      </c>
      <c r="D22">
        <v>1800</v>
      </c>
      <c r="E22">
        <v>2500</v>
      </c>
    </row>
    <row r="23" spans="1:5">
      <c r="A23" t="s">
        <v>134</v>
      </c>
      <c r="B23" t="s">
        <v>565</v>
      </c>
      <c r="C23" t="s">
        <v>110</v>
      </c>
      <c r="D23">
        <v>3800</v>
      </c>
      <c r="E23">
        <v>3800</v>
      </c>
    </row>
    <row r="24" spans="1:5">
      <c r="A24" t="s">
        <v>140</v>
      </c>
      <c r="B24" t="s">
        <v>556</v>
      </c>
      <c r="C24" t="s">
        <v>103</v>
      </c>
      <c r="D24">
        <v>2800</v>
      </c>
      <c r="E24">
        <v>3800</v>
      </c>
    </row>
    <row r="25" spans="1:5">
      <c r="A25" t="s">
        <v>157</v>
      </c>
      <c r="B25" t="s">
        <v>564</v>
      </c>
      <c r="C25" t="s">
        <v>112</v>
      </c>
      <c r="D25">
        <v>1800</v>
      </c>
      <c r="E25">
        <v>2500</v>
      </c>
    </row>
    <row r="26" spans="1:5">
      <c r="A26" t="s">
        <v>126</v>
      </c>
      <c r="B26" t="s">
        <v>558</v>
      </c>
      <c r="C26" t="s">
        <v>566</v>
      </c>
      <c r="D26">
        <v>3800</v>
      </c>
      <c r="E26">
        <v>5800</v>
      </c>
    </row>
    <row r="27" spans="1:5">
      <c r="A27" t="s">
        <v>127</v>
      </c>
      <c r="B27" t="s">
        <v>558</v>
      </c>
      <c r="C27" t="s">
        <v>567</v>
      </c>
      <c r="D27">
        <v>3800</v>
      </c>
      <c r="E27">
        <v>5800</v>
      </c>
    </row>
    <row r="28" spans="1:5">
      <c r="A28" t="s">
        <v>463</v>
      </c>
      <c r="B28" t="s">
        <v>568</v>
      </c>
      <c r="C28" t="s">
        <v>461</v>
      </c>
      <c r="D28">
        <v>700</v>
      </c>
      <c r="E28">
        <v>4200</v>
      </c>
    </row>
    <row r="29" spans="1:5">
      <c r="A29" t="s">
        <v>465</v>
      </c>
      <c r="B29" t="s">
        <v>464</v>
      </c>
      <c r="C29" t="s">
        <v>462</v>
      </c>
      <c r="D29">
        <v>700</v>
      </c>
      <c r="E29">
        <v>3600</v>
      </c>
    </row>
    <row r="30" spans="1:5">
      <c r="A30" t="s">
        <v>466</v>
      </c>
      <c r="B30" t="s">
        <v>464</v>
      </c>
      <c r="C30" t="s">
        <v>462</v>
      </c>
      <c r="D30">
        <v>700</v>
      </c>
      <c r="E30">
        <v>3600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4033E-9B4A-4649-829F-9052EB4CE1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20</vt:i4>
      </vt:variant>
    </vt:vector>
  </HeadingPairs>
  <TitlesOfParts>
    <vt:vector size="50" baseType="lpstr">
      <vt:lpstr>momen 1p</vt:lpstr>
      <vt:lpstr>thepsan 1p</vt:lpstr>
      <vt:lpstr>SĐD_1 Phương</vt:lpstr>
      <vt:lpstr>TH</vt:lpstr>
      <vt:lpstr>Sheet2</vt:lpstr>
      <vt:lpstr>SĐĐH_2 Phương</vt:lpstr>
      <vt:lpstr>thepsan</vt:lpstr>
      <vt:lpstr>BANGTINHCOT</vt:lpstr>
      <vt:lpstr>momensan</vt:lpstr>
      <vt:lpstr>Thong so vat lieu</vt:lpstr>
      <vt:lpstr>Bảng tra_VL</vt:lpstr>
      <vt:lpstr>Bảng tra hệ số ĐH</vt:lpstr>
      <vt:lpstr>config</vt:lpstr>
      <vt:lpstr>Cotthep</vt:lpstr>
      <vt:lpstr>betong</vt:lpstr>
      <vt:lpstr>tinhtai_san</vt:lpstr>
      <vt:lpstr>hoattai_san</vt:lpstr>
      <vt:lpstr>tải sàn</vt:lpstr>
      <vt:lpstr>dam loai 1 T2</vt:lpstr>
      <vt:lpstr>dam loai 2 T2</vt:lpstr>
      <vt:lpstr>dam loai 3 T2</vt:lpstr>
      <vt:lpstr>TONG HOP T2</vt:lpstr>
      <vt:lpstr>dam loai 1 TD</vt:lpstr>
      <vt:lpstr>dam loai 2 TD</vt:lpstr>
      <vt:lpstr>dam loai 3 TD</vt:lpstr>
      <vt:lpstr>TONG HOP TD</vt:lpstr>
      <vt:lpstr>du lieu</vt:lpstr>
      <vt:lpstr>tra thep</vt:lpstr>
      <vt:lpstr>TINH TOAN</vt:lpstr>
      <vt:lpstr>Sheet1</vt:lpstr>
      <vt:lpstr>BANGTINHCOT!_Hlk46077046</vt:lpstr>
      <vt:lpstr>TH!_Toc445542596</vt:lpstr>
      <vt:lpstr>TH!_Toc445542641</vt:lpstr>
      <vt:lpstr>TH!_Toc44590596</vt:lpstr>
      <vt:lpstr>TH!_Toc44590676</vt:lpstr>
      <vt:lpstr>B_BT</vt:lpstr>
      <vt:lpstr>B_CT</vt:lpstr>
      <vt:lpstr>Ebt</vt:lpstr>
      <vt:lpstr>h0_san</vt:lpstr>
      <vt:lpstr>KH_SAN</vt:lpstr>
      <vt:lpstr>KH_SAN2</vt:lpstr>
      <vt:lpstr>MBT</vt:lpstr>
      <vt:lpstr>MT</vt:lpstr>
      <vt:lpstr>Rb</vt:lpstr>
      <vt:lpstr>Rbt</vt:lpstr>
      <vt:lpstr>Rs_1</vt:lpstr>
      <vt:lpstr>Rs_2</vt:lpstr>
      <vt:lpstr>Rsc_1</vt:lpstr>
      <vt:lpstr>Rsc_2</vt:lpstr>
      <vt:lpstr>solethapphan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Minh Thành</dc:creator>
  <cp:lastModifiedBy>Cao Minh Thành</cp:lastModifiedBy>
  <dcterms:created xsi:type="dcterms:W3CDTF">2015-06-05T18:17:20Z</dcterms:created>
  <dcterms:modified xsi:type="dcterms:W3CDTF">2020-07-20T12:39:02Z</dcterms:modified>
</cp:coreProperties>
</file>